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dmin\Desktop\ĐIỀU CHỈNH DỰ TOÁN NĂM 2025_SAU SÁP NHẬP\trình UBND TP\lần 2_ 18.02.2025\"/>
    </mc:Choice>
  </mc:AlternateContent>
  <bookViews>
    <workbookView xWindow="-120" yWindow="-120" windowWidth="29040" windowHeight="15720" firstSheet="12" activeTab="12"/>
  </bookViews>
  <sheets>
    <sheet name="GIÁO DỤC" sheetId="51" state="hidden" r:id="rId1"/>
    <sheet name="Sheet2" sheetId="52" state="hidden" r:id="rId2"/>
    <sheet name="TỔNG CHI XÃ" sheetId="50" state="hidden" r:id="rId3"/>
    <sheet name="BS XÃ" sheetId="49" state="hidden" r:id="rId4"/>
    <sheet name="Dự toán Chi tiết 2025" sheetId="34" state="hidden" r:id="rId5"/>
    <sheet name="TTDVNN V " sheetId="1" state="hidden" r:id="rId6"/>
    <sheet name="BQL DA ĐT V" sheetId="48" state="hidden" r:id="rId7"/>
    <sheet name="Trung tâm Chính trị V" sheetId="32" state="hidden" r:id="rId8"/>
    <sheet name="Đội QLTTĐT V" sheetId="4" state="hidden" r:id="rId9"/>
    <sheet name="BQL Chợ V" sheetId="5" state="hidden" r:id="rId10"/>
    <sheet name="Hội Chữ thập đỏ V" sheetId="6" state="hidden" r:id="rId11"/>
    <sheet name="Trung tâm TTVHTT V" sheetId="7" state="hidden" r:id="rId12"/>
    <sheet name="PL_01" sheetId="66" r:id="rId13"/>
    <sheet name="PL_ 02 " sheetId="75" r:id="rId14"/>
    <sheet name="Sheet8" sheetId="72" state="hidden" r:id="rId15"/>
    <sheet name="TỔNG HỢP ĐIỀU CHỈNH DỰ TOÁN" sheetId="65" state="hidden" r:id="rId16"/>
    <sheet name="VP HĐND&amp;UBND V_điều chỉnh" sheetId="60" state="hidden" r:id="rId17"/>
    <sheet name="VP HĐND&amp;UBND V" sheetId="8" state="hidden" r:id="rId18"/>
    <sheet name="Y tế V_điều chỉnh" sheetId="54" state="hidden" r:id="rId19"/>
    <sheet name="Y tế V" sheetId="9" state="hidden" r:id="rId20"/>
    <sheet name="Tư pháp V" sheetId="10" state="hidden" r:id="rId21"/>
    <sheet name="TCKH V " sheetId="11" state="hidden" r:id="rId22"/>
    <sheet name="ĐT_Kinh tế, HT &amp;Đô thị_V" sheetId="56" state="hidden" r:id="rId23"/>
    <sheet name="Quản lý đô thị _điều chỉnh" sheetId="73" state="hidden" r:id="rId24"/>
    <sheet name="Quản lý đô thị V" sheetId="12" state="hidden" r:id="rId25"/>
    <sheet name="ĐT_TN &amp; MT_ điều chỉnh" sheetId="57" state="hidden" r:id="rId26"/>
    <sheet name="Tài nguyên Môi trường V" sheetId="13" state="hidden" r:id="rId27"/>
    <sheet name="Kinh tế V_điều chỉnh" sheetId="53" state="hidden" r:id="rId28"/>
    <sheet name="Kinh tế V" sheetId="14" state="hidden" r:id="rId29"/>
    <sheet name="Lap động tbxh_điều chỉnh" sheetId="58" state="hidden" r:id="rId30"/>
    <sheet name="Lao động TBXH V" sheetId="17" state="hidden" r:id="rId31"/>
    <sheet name="ĐT_Văn hoá KH và TT_V" sheetId="55" state="hidden" r:id="rId32"/>
    <sheet name="Văn hóa và TT V_ điều chỉnh" sheetId="74" state="hidden" r:id="rId33"/>
    <sheet name="Văn hóa và TT V" sheetId="18" state="hidden" r:id="rId34"/>
    <sheet name="ĐT_ Nội vụ_ điều chỉnh" sheetId="59" state="hidden" r:id="rId35"/>
    <sheet name="nội vụ V" sheetId="46" state="hidden" r:id="rId36"/>
    <sheet name="Thanh tra V" sheetId="47" state="hidden" r:id="rId37"/>
    <sheet name="Giáo dục V" sheetId="19" state="hidden" r:id="rId38"/>
    <sheet name="Thành ủy V_điều chỉnh" sheetId="61" state="hidden" r:id="rId39"/>
    <sheet name="Thành ủy V" sheetId="30" state="hidden" r:id="rId40"/>
    <sheet name="UBMTTQ V-điều chỉnh" sheetId="62" state="hidden" r:id="rId41"/>
    <sheet name="UBMTTQ V" sheetId="20" state="hidden" r:id="rId42"/>
    <sheet name="Thành đoàn V" sheetId="21" state="hidden" r:id="rId43"/>
    <sheet name="Phụ nữ V -điều chỉnh" sheetId="64" state="hidden" r:id="rId44"/>
    <sheet name="Phụ nữ V" sheetId="22" state="hidden" r:id="rId45"/>
    <sheet name="Nông dân V" sheetId="23" state="hidden" r:id="rId46"/>
    <sheet name="Cựu chiến binh V-điều chỉnh" sheetId="63" state="hidden" r:id="rId47"/>
    <sheet name="Cựu chiến binh V" sheetId="24" state="hidden" r:id="rId48"/>
    <sheet name="Quỹ ND và Vốn vay V " sheetId="25" state="hidden" r:id="rId49"/>
    <sheet name="Ban ATGT V" sheetId="31" state="hidden" r:id="rId50"/>
    <sheet name="Công an V" sheetId="26" state="hidden" r:id="rId51"/>
    <sheet name="BCH QS V" sheetId="27" state="hidden" r:id="rId52"/>
    <sheet name="CĐ DC V" sheetId="36" state="hidden" r:id="rId53"/>
    <sheet name="Khuyến học V" sheetId="38" state="hidden" r:id="rId54"/>
    <sheet name="NCT V" sheetId="35" state="hidden" r:id="rId55"/>
    <sheet name="TNXP V" sheetId="39" state="hidden" r:id="rId56"/>
    <sheet name="Tù yêu nước V" sheetId="40" state="hidden" r:id="rId57"/>
    <sheet name="LUẬT GIA V" sheetId="41" state="hidden" r:id="rId58"/>
    <sheet name="NGƯỜI MÙ V" sheetId="42" state="hidden" r:id="rId59"/>
    <sheet name="ĐÔNG Y V" sheetId="43" state="hidden" r:id="rId60"/>
    <sheet name="CỰU GIÁO CHỨC V" sheetId="44" state="hidden" r:id="rId61"/>
    <sheet name="Biên phòng" sheetId="28" state="hidden" r:id="rId62"/>
    <sheet name="Chi tiết" sheetId="3" state="hidden" r:id="rId63"/>
    <sheet name="10% Tiết kiệm chi" sheetId="33" state="hidden" r:id="rId64"/>
    <sheet name="Sheet11" sheetId="45" state="hidden"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_05.6022" localSheetId="6">#REF!</definedName>
    <definedName name="_05.6022" localSheetId="52">#REF!</definedName>
    <definedName name="_05.6022" localSheetId="46">#REF!</definedName>
    <definedName name="_05.6022" localSheetId="34">#REF!</definedName>
    <definedName name="_05.6022" localSheetId="22">#REF!</definedName>
    <definedName name="_05.6022" localSheetId="25">#REF!</definedName>
    <definedName name="_05.6022" localSheetId="31">#REF!</definedName>
    <definedName name="_05.6022" localSheetId="27">#REF!</definedName>
    <definedName name="_05.6022" localSheetId="29">#REF!</definedName>
    <definedName name="_05.6022" localSheetId="43">#REF!</definedName>
    <definedName name="_05.6022" localSheetId="12">#REF!</definedName>
    <definedName name="_05.6022" localSheetId="23">#REF!</definedName>
    <definedName name="_05.6022" localSheetId="38">#REF!</definedName>
    <definedName name="_05.6022" localSheetId="40">#REF!</definedName>
    <definedName name="_05.6022" localSheetId="32">#REF!</definedName>
    <definedName name="_05.6022" localSheetId="16">#REF!</definedName>
    <definedName name="_05.6022" localSheetId="18">#REF!</definedName>
    <definedName name="_05.6022">#REF!</definedName>
    <definedName name="_1">#N/A</definedName>
    <definedName name="_1000A01">#N/A</definedName>
    <definedName name="_2">#N/A</definedName>
    <definedName name="_CON1" localSheetId="6">#REF!</definedName>
    <definedName name="_CON1" localSheetId="52">#REF!</definedName>
    <definedName name="_CON1" localSheetId="46">#REF!</definedName>
    <definedName name="_CON1" localSheetId="34">#REF!</definedName>
    <definedName name="_CON1" localSheetId="22">#REF!</definedName>
    <definedName name="_CON1" localSheetId="25">#REF!</definedName>
    <definedName name="_CON1" localSheetId="31">#REF!</definedName>
    <definedName name="_CON1" localSheetId="27">#REF!</definedName>
    <definedName name="_CON1" localSheetId="29">#REF!</definedName>
    <definedName name="_CON1" localSheetId="43">#REF!</definedName>
    <definedName name="_CON1" localSheetId="12">#REF!</definedName>
    <definedName name="_CON1" localSheetId="23">#REF!</definedName>
    <definedName name="_CON1" localSheetId="38">#REF!</definedName>
    <definedName name="_CON1" localSheetId="40">#REF!</definedName>
    <definedName name="_CON1" localSheetId="32">#REF!</definedName>
    <definedName name="_CON1" localSheetId="16">#REF!</definedName>
    <definedName name="_CON1" localSheetId="18">#REF!</definedName>
    <definedName name="_CON1">#REF!</definedName>
    <definedName name="_CON2" localSheetId="6">#REF!</definedName>
    <definedName name="_CON2" localSheetId="52">#REF!</definedName>
    <definedName name="_CON2" localSheetId="46">#REF!</definedName>
    <definedName name="_CON2" localSheetId="34">#REF!</definedName>
    <definedName name="_CON2" localSheetId="22">#REF!</definedName>
    <definedName name="_CON2" localSheetId="25">#REF!</definedName>
    <definedName name="_CON2" localSheetId="31">#REF!</definedName>
    <definedName name="_CON2" localSheetId="27">#REF!</definedName>
    <definedName name="_CON2" localSheetId="29">#REF!</definedName>
    <definedName name="_CON2" localSheetId="43">#REF!</definedName>
    <definedName name="_CON2" localSheetId="12">#REF!</definedName>
    <definedName name="_CON2" localSheetId="23">#REF!</definedName>
    <definedName name="_CON2" localSheetId="38">#REF!</definedName>
    <definedName name="_CON2" localSheetId="40">#REF!</definedName>
    <definedName name="_CON2" localSheetId="32">#REF!</definedName>
    <definedName name="_CON2" localSheetId="16">#REF!</definedName>
    <definedName name="_CON2" localSheetId="18">#REF!</definedName>
    <definedName name="_CON2">#REF!</definedName>
    <definedName name="_xlnm._FilterDatabase" localSheetId="4" hidden="1">'Dự toán Chi tiết 2025'!$B$1:$B$1285</definedName>
    <definedName name="_Key1" localSheetId="6" hidden="1">#REF!</definedName>
    <definedName name="_Key1" localSheetId="52" hidden="1">#REF!</definedName>
    <definedName name="_Key1" localSheetId="46" hidden="1">#REF!</definedName>
    <definedName name="_Key1" localSheetId="34" hidden="1">#REF!</definedName>
    <definedName name="_Key1" localSheetId="22" hidden="1">#REF!</definedName>
    <definedName name="_Key1" localSheetId="25" hidden="1">#REF!</definedName>
    <definedName name="_Key1" localSheetId="31" hidden="1">#REF!</definedName>
    <definedName name="_Key1" localSheetId="27" hidden="1">#REF!</definedName>
    <definedName name="_Key1" localSheetId="29" hidden="1">#REF!</definedName>
    <definedName name="_Key1" localSheetId="43" hidden="1">#REF!</definedName>
    <definedName name="_Key1" localSheetId="12" hidden="1">#REF!</definedName>
    <definedName name="_Key1" localSheetId="23" hidden="1">#REF!</definedName>
    <definedName name="_Key1" localSheetId="38" hidden="1">#REF!</definedName>
    <definedName name="_Key1" localSheetId="40" hidden="1">#REF!</definedName>
    <definedName name="_Key1" localSheetId="32" hidden="1">#REF!</definedName>
    <definedName name="_Key1" localSheetId="16" hidden="1">#REF!</definedName>
    <definedName name="_Key1" localSheetId="18" hidden="1">#REF!</definedName>
    <definedName name="_Key1" hidden="1">#REF!</definedName>
    <definedName name="_Key2" localSheetId="6" hidden="1">#REF!</definedName>
    <definedName name="_Key2" localSheetId="52" hidden="1">#REF!</definedName>
    <definedName name="_Key2" localSheetId="46" hidden="1">#REF!</definedName>
    <definedName name="_Key2" localSheetId="34" hidden="1">#REF!</definedName>
    <definedName name="_Key2" localSheetId="22" hidden="1">#REF!</definedName>
    <definedName name="_Key2" localSheetId="25" hidden="1">#REF!</definedName>
    <definedName name="_Key2" localSheetId="31" hidden="1">#REF!</definedName>
    <definedName name="_Key2" localSheetId="27" hidden="1">#REF!</definedName>
    <definedName name="_Key2" localSheetId="29" hidden="1">#REF!</definedName>
    <definedName name="_Key2" localSheetId="43" hidden="1">#REF!</definedName>
    <definedName name="_Key2" localSheetId="12" hidden="1">#REF!</definedName>
    <definedName name="_Key2" localSheetId="23" hidden="1">#REF!</definedName>
    <definedName name="_Key2" localSheetId="38" hidden="1">#REF!</definedName>
    <definedName name="_Key2" localSheetId="40" hidden="1">#REF!</definedName>
    <definedName name="_Key2" localSheetId="32" hidden="1">#REF!</definedName>
    <definedName name="_Key2" localSheetId="16" hidden="1">#REF!</definedName>
    <definedName name="_Key2" localSheetId="18" hidden="1">#REF!</definedName>
    <definedName name="_Key2" hidden="1">#REF!</definedName>
    <definedName name="_lap1" localSheetId="6">#REF!</definedName>
    <definedName name="_lap1" localSheetId="52">#REF!</definedName>
    <definedName name="_lap1" localSheetId="46">#REF!</definedName>
    <definedName name="_lap1" localSheetId="34">#REF!</definedName>
    <definedName name="_lap1" localSheetId="22">#REF!</definedName>
    <definedName name="_lap1" localSheetId="25">#REF!</definedName>
    <definedName name="_lap1" localSheetId="31">#REF!</definedName>
    <definedName name="_lap1" localSheetId="27">#REF!</definedName>
    <definedName name="_lap1" localSheetId="29">#REF!</definedName>
    <definedName name="_lap1" localSheetId="43">#REF!</definedName>
    <definedName name="_lap1" localSheetId="12">#REF!</definedName>
    <definedName name="_lap1" localSheetId="23">#REF!</definedName>
    <definedName name="_lap1" localSheetId="38">#REF!</definedName>
    <definedName name="_lap1" localSheetId="40">#REF!</definedName>
    <definedName name="_lap1" localSheetId="32">#REF!</definedName>
    <definedName name="_lap1" localSheetId="16">#REF!</definedName>
    <definedName name="_lap1" localSheetId="18">#REF!</definedName>
    <definedName name="_lap1">#REF!</definedName>
    <definedName name="_lap2" localSheetId="6">#REF!</definedName>
    <definedName name="_lap2" localSheetId="52">#REF!</definedName>
    <definedName name="_lap2" localSheetId="46">#REF!</definedName>
    <definedName name="_lap2" localSheetId="34">#REF!</definedName>
    <definedName name="_lap2" localSheetId="22">#REF!</definedName>
    <definedName name="_lap2" localSheetId="25">#REF!</definedName>
    <definedName name="_lap2" localSheetId="31">#REF!</definedName>
    <definedName name="_lap2" localSheetId="27">#REF!</definedName>
    <definedName name="_lap2" localSheetId="29">#REF!</definedName>
    <definedName name="_lap2" localSheetId="43">#REF!</definedName>
    <definedName name="_lap2" localSheetId="12">#REF!</definedName>
    <definedName name="_lap2" localSheetId="23">#REF!</definedName>
    <definedName name="_lap2" localSheetId="38">#REF!</definedName>
    <definedName name="_lap2" localSheetId="40">#REF!</definedName>
    <definedName name="_lap2" localSheetId="32">#REF!</definedName>
    <definedName name="_lap2" localSheetId="16">#REF!</definedName>
    <definedName name="_lap2" localSheetId="18">#REF!</definedName>
    <definedName name="_lap2">#REF!</definedName>
    <definedName name="_NET2" localSheetId="6">#REF!</definedName>
    <definedName name="_NET2" localSheetId="52">#REF!</definedName>
    <definedName name="_NET2" localSheetId="46">#REF!</definedName>
    <definedName name="_NET2" localSheetId="34">#REF!</definedName>
    <definedName name="_NET2" localSheetId="22">#REF!</definedName>
    <definedName name="_NET2" localSheetId="25">#REF!</definedName>
    <definedName name="_NET2" localSheetId="31">#REF!</definedName>
    <definedName name="_NET2" localSheetId="27">#REF!</definedName>
    <definedName name="_NET2" localSheetId="29">#REF!</definedName>
    <definedName name="_NET2" localSheetId="43">#REF!</definedName>
    <definedName name="_NET2" localSheetId="12">#REF!</definedName>
    <definedName name="_NET2" localSheetId="23">#REF!</definedName>
    <definedName name="_NET2" localSheetId="38">#REF!</definedName>
    <definedName name="_NET2" localSheetId="40">#REF!</definedName>
    <definedName name="_NET2" localSheetId="32">#REF!</definedName>
    <definedName name="_NET2" localSheetId="16">#REF!</definedName>
    <definedName name="_NET2" localSheetId="18">#REF!</definedName>
    <definedName name="_NET2">#REF!</definedName>
    <definedName name="_Order1" hidden="1">255</definedName>
    <definedName name="_Order2" hidden="1">255</definedName>
    <definedName name="_Sort" localSheetId="6" hidden="1">#REF!</definedName>
    <definedName name="_Sort" localSheetId="52" hidden="1">#REF!</definedName>
    <definedName name="_Sort" localSheetId="46" hidden="1">#REF!</definedName>
    <definedName name="_Sort" localSheetId="34" hidden="1">#REF!</definedName>
    <definedName name="_Sort" localSheetId="22" hidden="1">#REF!</definedName>
    <definedName name="_Sort" localSheetId="25" hidden="1">#REF!</definedName>
    <definedName name="_Sort" localSheetId="31" hidden="1">#REF!</definedName>
    <definedName name="_Sort" localSheetId="27" hidden="1">#REF!</definedName>
    <definedName name="_Sort" localSheetId="29" hidden="1">#REF!</definedName>
    <definedName name="_Sort" localSheetId="43" hidden="1">#REF!</definedName>
    <definedName name="_Sort" localSheetId="12" hidden="1">#REF!</definedName>
    <definedName name="_Sort" localSheetId="23" hidden="1">#REF!</definedName>
    <definedName name="_Sort" localSheetId="38" hidden="1">#REF!</definedName>
    <definedName name="_Sort" localSheetId="40" hidden="1">#REF!</definedName>
    <definedName name="_Sort" localSheetId="32" hidden="1">#REF!</definedName>
    <definedName name="_Sort" localSheetId="16" hidden="1">#REF!</definedName>
    <definedName name="_Sort" localSheetId="18" hidden="1">#REF!</definedName>
    <definedName name="_Sort" hidden="1">#REF!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6">#REF!</definedName>
    <definedName name="AA" localSheetId="52">#REF!</definedName>
    <definedName name="AA" localSheetId="46">#REF!</definedName>
    <definedName name="AA" localSheetId="34">#REF!</definedName>
    <definedName name="AA" localSheetId="22">#REF!</definedName>
    <definedName name="AA" localSheetId="25">#REF!</definedName>
    <definedName name="AA" localSheetId="31">#REF!</definedName>
    <definedName name="AA" localSheetId="27">#REF!</definedName>
    <definedName name="AA" localSheetId="29">#REF!</definedName>
    <definedName name="AA" localSheetId="43">#REF!</definedName>
    <definedName name="AA" localSheetId="12">#REF!</definedName>
    <definedName name="AA" localSheetId="23">#REF!</definedName>
    <definedName name="AA" localSheetId="38">#REF!</definedName>
    <definedName name="AA" localSheetId="40">#REF!</definedName>
    <definedName name="AA" localSheetId="32">#REF!</definedName>
    <definedName name="AA" localSheetId="16">#REF!</definedName>
    <definedName name="AA" localSheetId="18">#REF!</definedName>
    <definedName name="AA">#REF!</definedName>
    <definedName name="All_Item" localSheetId="6">#REF!</definedName>
    <definedName name="All_Item" localSheetId="52">#REF!</definedName>
    <definedName name="All_Item" localSheetId="46">#REF!</definedName>
    <definedName name="All_Item" localSheetId="34">#REF!</definedName>
    <definedName name="All_Item" localSheetId="22">#REF!</definedName>
    <definedName name="All_Item" localSheetId="25">#REF!</definedName>
    <definedName name="All_Item" localSheetId="31">#REF!</definedName>
    <definedName name="All_Item" localSheetId="27">#REF!</definedName>
    <definedName name="All_Item" localSheetId="29">#REF!</definedName>
    <definedName name="All_Item" localSheetId="43">#REF!</definedName>
    <definedName name="All_Item" localSheetId="12">#REF!</definedName>
    <definedName name="All_Item" localSheetId="23">#REF!</definedName>
    <definedName name="All_Item" localSheetId="38">#REF!</definedName>
    <definedName name="All_Item" localSheetId="40">#REF!</definedName>
    <definedName name="All_Item" localSheetId="32">#REF!</definedName>
    <definedName name="All_Item" localSheetId="16">#REF!</definedName>
    <definedName name="All_Item" localSheetId="18">#REF!</definedName>
    <definedName name="All_Item">#REF!</definedName>
    <definedName name="ALPIN">#N/A</definedName>
    <definedName name="ALPJYOU">#N/A</definedName>
    <definedName name="ALPTOI">#N/A</definedName>
    <definedName name="BB" localSheetId="6">#REF!</definedName>
    <definedName name="BB" localSheetId="52">#REF!</definedName>
    <definedName name="BB" localSheetId="46">#REF!</definedName>
    <definedName name="BB" localSheetId="34">#REF!</definedName>
    <definedName name="BB" localSheetId="22">#REF!</definedName>
    <definedName name="BB" localSheetId="25">#REF!</definedName>
    <definedName name="BB" localSheetId="31">#REF!</definedName>
    <definedName name="BB" localSheetId="27">#REF!</definedName>
    <definedName name="BB" localSheetId="29">#REF!</definedName>
    <definedName name="BB" localSheetId="43">#REF!</definedName>
    <definedName name="BB" localSheetId="12">#REF!</definedName>
    <definedName name="BB" localSheetId="23">#REF!</definedName>
    <definedName name="BB" localSheetId="38">#REF!</definedName>
    <definedName name="BB" localSheetId="40">#REF!</definedName>
    <definedName name="BB" localSheetId="32">#REF!</definedName>
    <definedName name="BB" localSheetId="16">#REF!</definedName>
    <definedName name="BB" localSheetId="18">#REF!</definedName>
    <definedName name="BB">#REF!</definedName>
    <definedName name="BOQ" localSheetId="6">#REF!</definedName>
    <definedName name="BOQ" localSheetId="52">#REF!</definedName>
    <definedName name="BOQ" localSheetId="46">#REF!</definedName>
    <definedName name="BOQ" localSheetId="34">#REF!</definedName>
    <definedName name="BOQ" localSheetId="22">#REF!</definedName>
    <definedName name="BOQ" localSheetId="25">#REF!</definedName>
    <definedName name="BOQ" localSheetId="31">#REF!</definedName>
    <definedName name="BOQ" localSheetId="27">#REF!</definedName>
    <definedName name="BOQ" localSheetId="29">#REF!</definedName>
    <definedName name="BOQ" localSheetId="43">#REF!</definedName>
    <definedName name="BOQ" localSheetId="12">#REF!</definedName>
    <definedName name="BOQ" localSheetId="23">#REF!</definedName>
    <definedName name="BOQ" localSheetId="38">#REF!</definedName>
    <definedName name="BOQ" localSheetId="40">#REF!</definedName>
    <definedName name="BOQ" localSheetId="32">#REF!</definedName>
    <definedName name="BOQ" localSheetId="16">#REF!</definedName>
    <definedName name="BOQ" localSheetId="18">#REF!</definedName>
    <definedName name="BOQ">#REF!</definedName>
    <definedName name="BudgetNT" localSheetId="6">#REF!</definedName>
    <definedName name="BudgetNT" localSheetId="52">#REF!</definedName>
    <definedName name="BudgetNT" localSheetId="46">#REF!</definedName>
    <definedName name="BudgetNT" localSheetId="34">#REF!</definedName>
    <definedName name="BudgetNT" localSheetId="22">#REF!</definedName>
    <definedName name="BudgetNT" localSheetId="25">#REF!</definedName>
    <definedName name="BudgetNT" localSheetId="31">#REF!</definedName>
    <definedName name="BudgetNT" localSheetId="27">#REF!</definedName>
    <definedName name="BudgetNT" localSheetId="29">#REF!</definedName>
    <definedName name="BudgetNT" localSheetId="43">#REF!</definedName>
    <definedName name="BudgetNT" localSheetId="12">#REF!</definedName>
    <definedName name="BudgetNT" localSheetId="23">#REF!</definedName>
    <definedName name="BudgetNT" localSheetId="38">#REF!</definedName>
    <definedName name="BudgetNT" localSheetId="40">#REF!</definedName>
    <definedName name="BudgetNT" localSheetId="32">#REF!</definedName>
    <definedName name="BudgetNT" localSheetId="16">#REF!</definedName>
    <definedName name="BudgetNT" localSheetId="18">#REF!</definedName>
    <definedName name="BudgetNT">#REF!</definedName>
    <definedName name="BudgetPNT" localSheetId="6">#REF!</definedName>
    <definedName name="BudgetPNT" localSheetId="52">#REF!</definedName>
    <definedName name="BudgetPNT" localSheetId="46">#REF!</definedName>
    <definedName name="BudgetPNT" localSheetId="34">#REF!</definedName>
    <definedName name="BudgetPNT" localSheetId="22">#REF!</definedName>
    <definedName name="BudgetPNT" localSheetId="25">#REF!</definedName>
    <definedName name="BudgetPNT" localSheetId="31">#REF!</definedName>
    <definedName name="BudgetPNT" localSheetId="27">#REF!</definedName>
    <definedName name="BudgetPNT" localSheetId="29">#REF!</definedName>
    <definedName name="BudgetPNT" localSheetId="43">#REF!</definedName>
    <definedName name="BudgetPNT" localSheetId="12">#REF!</definedName>
    <definedName name="BudgetPNT" localSheetId="23">#REF!</definedName>
    <definedName name="BudgetPNT" localSheetId="38">#REF!</definedName>
    <definedName name="BudgetPNT" localSheetId="40">#REF!</definedName>
    <definedName name="BudgetPNT" localSheetId="32">#REF!</definedName>
    <definedName name="BudgetPNT" localSheetId="16">#REF!</definedName>
    <definedName name="BudgetPNT" localSheetId="18">#REF!</definedName>
    <definedName name="BudgetPNT">#REF!</definedName>
    <definedName name="BudgetWSNT" localSheetId="6">#REF!</definedName>
    <definedName name="BudgetWSNT" localSheetId="52">#REF!</definedName>
    <definedName name="BudgetWSNT" localSheetId="46">#REF!</definedName>
    <definedName name="BudgetWSNT" localSheetId="34">#REF!</definedName>
    <definedName name="BudgetWSNT" localSheetId="22">#REF!</definedName>
    <definedName name="BudgetWSNT" localSheetId="25">#REF!</definedName>
    <definedName name="BudgetWSNT" localSheetId="31">#REF!</definedName>
    <definedName name="BudgetWSNT" localSheetId="27">#REF!</definedName>
    <definedName name="BudgetWSNT" localSheetId="29">#REF!</definedName>
    <definedName name="BudgetWSNT" localSheetId="43">#REF!</definedName>
    <definedName name="BudgetWSNT" localSheetId="12">#REF!</definedName>
    <definedName name="BudgetWSNT" localSheetId="23">#REF!</definedName>
    <definedName name="BudgetWSNT" localSheetId="38">#REF!</definedName>
    <definedName name="BudgetWSNT" localSheetId="40">#REF!</definedName>
    <definedName name="BudgetWSNT" localSheetId="32">#REF!</definedName>
    <definedName name="BudgetWSNT" localSheetId="16">#REF!</definedName>
    <definedName name="BudgetWSNT" localSheetId="18">#REF!</definedName>
    <definedName name="BudgetWSNT">#REF!</definedName>
    <definedName name="BudgetWSNTdzo" localSheetId="6">#REF!</definedName>
    <definedName name="BudgetWSNTdzo" localSheetId="52">#REF!</definedName>
    <definedName name="BudgetWSNTdzo" localSheetId="46">#REF!</definedName>
    <definedName name="BudgetWSNTdzo" localSheetId="34">#REF!</definedName>
    <definedName name="BudgetWSNTdzo" localSheetId="22">#REF!</definedName>
    <definedName name="BudgetWSNTdzo" localSheetId="25">#REF!</definedName>
    <definedName name="BudgetWSNTdzo" localSheetId="31">#REF!</definedName>
    <definedName name="BudgetWSNTdzo" localSheetId="27">#REF!</definedName>
    <definedName name="BudgetWSNTdzo" localSheetId="29">#REF!</definedName>
    <definedName name="BudgetWSNTdzo" localSheetId="43">#REF!</definedName>
    <definedName name="BudgetWSNTdzo" localSheetId="12">#REF!</definedName>
    <definedName name="BudgetWSNTdzo" localSheetId="23">#REF!</definedName>
    <definedName name="BudgetWSNTdzo" localSheetId="38">#REF!</definedName>
    <definedName name="BudgetWSNTdzo" localSheetId="40">#REF!</definedName>
    <definedName name="BudgetWSNTdzo" localSheetId="32">#REF!</definedName>
    <definedName name="BudgetWSNTdzo" localSheetId="16">#REF!</definedName>
    <definedName name="BudgetWSNTdzo" localSheetId="18">#REF!</definedName>
    <definedName name="BudgetWSNTdzo">#REF!</definedName>
    <definedName name="BVCISUMMARY" localSheetId="6">#REF!</definedName>
    <definedName name="BVCISUMMARY" localSheetId="52">#REF!</definedName>
    <definedName name="BVCISUMMARY" localSheetId="46">#REF!</definedName>
    <definedName name="BVCISUMMARY" localSheetId="34">#REF!</definedName>
    <definedName name="BVCISUMMARY" localSheetId="22">#REF!</definedName>
    <definedName name="BVCISUMMARY" localSheetId="25">#REF!</definedName>
    <definedName name="BVCISUMMARY" localSheetId="31">#REF!</definedName>
    <definedName name="BVCISUMMARY" localSheetId="27">#REF!</definedName>
    <definedName name="BVCISUMMARY" localSheetId="29">#REF!</definedName>
    <definedName name="BVCISUMMARY" localSheetId="43">#REF!</definedName>
    <definedName name="BVCISUMMARY" localSheetId="12">#REF!</definedName>
    <definedName name="BVCISUMMARY" localSheetId="23">#REF!</definedName>
    <definedName name="BVCISUMMARY" localSheetId="38">#REF!</definedName>
    <definedName name="BVCISUMMARY" localSheetId="40">#REF!</definedName>
    <definedName name="BVCISUMMARY" localSheetId="32">#REF!</definedName>
    <definedName name="BVCISUMMARY" localSheetId="16">#REF!</definedName>
    <definedName name="BVCISUMMARY" localSheetId="18">#REF!</definedName>
    <definedName name="BVCISUMMARY">#REF!</definedName>
    <definedName name="cap" localSheetId="6">#REF!</definedName>
    <definedName name="cap" localSheetId="52">#REF!</definedName>
    <definedName name="cap" localSheetId="46">#REF!</definedName>
    <definedName name="cap" localSheetId="34">#REF!</definedName>
    <definedName name="cap" localSheetId="22">#REF!</definedName>
    <definedName name="cap" localSheetId="25">#REF!</definedName>
    <definedName name="cap" localSheetId="31">#REF!</definedName>
    <definedName name="cap" localSheetId="27">#REF!</definedName>
    <definedName name="cap" localSheetId="29">#REF!</definedName>
    <definedName name="cap" localSheetId="43">#REF!</definedName>
    <definedName name="cap" localSheetId="12">#REF!</definedName>
    <definedName name="cap" localSheetId="23">#REF!</definedName>
    <definedName name="cap" localSheetId="38">#REF!</definedName>
    <definedName name="cap" localSheetId="40">#REF!</definedName>
    <definedName name="cap" localSheetId="32">#REF!</definedName>
    <definedName name="cap" localSheetId="16">#REF!</definedName>
    <definedName name="cap" localSheetId="18">#REF!</definedName>
    <definedName name="cap">#REF!</definedName>
    <definedName name="cap0.7" localSheetId="6">#REF!</definedName>
    <definedName name="cap0.7" localSheetId="52">#REF!</definedName>
    <definedName name="cap0.7" localSheetId="46">#REF!</definedName>
    <definedName name="cap0.7" localSheetId="34">#REF!</definedName>
    <definedName name="cap0.7" localSheetId="22">#REF!</definedName>
    <definedName name="cap0.7" localSheetId="25">#REF!</definedName>
    <definedName name="cap0.7" localSheetId="31">#REF!</definedName>
    <definedName name="cap0.7" localSheetId="27">#REF!</definedName>
    <definedName name="cap0.7" localSheetId="29">#REF!</definedName>
    <definedName name="cap0.7" localSheetId="43">#REF!</definedName>
    <definedName name="cap0.7" localSheetId="12">#REF!</definedName>
    <definedName name="cap0.7" localSheetId="23">#REF!</definedName>
    <definedName name="cap0.7" localSheetId="38">#REF!</definedName>
    <definedName name="cap0.7" localSheetId="40">#REF!</definedName>
    <definedName name="cap0.7" localSheetId="32">#REF!</definedName>
    <definedName name="cap0.7" localSheetId="16">#REF!</definedName>
    <definedName name="cap0.7" localSheetId="18">#REF!</definedName>
    <definedName name="cap0.7">#REF!</definedName>
    <definedName name="Category_All" localSheetId="6">#REF!</definedName>
    <definedName name="Category_All" localSheetId="52">#REF!</definedName>
    <definedName name="Category_All" localSheetId="46">#REF!</definedName>
    <definedName name="Category_All" localSheetId="34">#REF!</definedName>
    <definedName name="Category_All" localSheetId="22">#REF!</definedName>
    <definedName name="Category_All" localSheetId="25">#REF!</definedName>
    <definedName name="Category_All" localSheetId="31">#REF!</definedName>
    <definedName name="Category_All" localSheetId="27">#REF!</definedName>
    <definedName name="Category_All" localSheetId="29">#REF!</definedName>
    <definedName name="Category_All" localSheetId="43">#REF!</definedName>
    <definedName name="Category_All" localSheetId="12">#REF!</definedName>
    <definedName name="Category_All" localSheetId="23">#REF!</definedName>
    <definedName name="Category_All" localSheetId="38">#REF!</definedName>
    <definedName name="Category_All" localSheetId="40">#REF!</definedName>
    <definedName name="Category_All" localSheetId="32">#REF!</definedName>
    <definedName name="Category_All" localSheetId="16">#REF!</definedName>
    <definedName name="Category_All" localSheetId="18">#REF!</definedName>
    <definedName name="Category_All">#REF!</definedName>
    <definedName name="CATIN">#N/A</definedName>
    <definedName name="CATJYOU">#N/A</definedName>
    <definedName name="CATREC">#N/A</definedName>
    <definedName name="CATSYU">#N/A</definedName>
    <definedName name="CL" localSheetId="6">#REF!</definedName>
    <definedName name="CL" localSheetId="52">#REF!</definedName>
    <definedName name="CL" localSheetId="46">#REF!</definedName>
    <definedName name="CL" localSheetId="34">#REF!</definedName>
    <definedName name="CL" localSheetId="22">#REF!</definedName>
    <definedName name="CL" localSheetId="25">#REF!</definedName>
    <definedName name="CL" localSheetId="31">#REF!</definedName>
    <definedName name="CL" localSheetId="27">#REF!</definedName>
    <definedName name="CL" localSheetId="29">#REF!</definedName>
    <definedName name="CL" localSheetId="43">#REF!</definedName>
    <definedName name="CL" localSheetId="12">#REF!</definedName>
    <definedName name="CL" localSheetId="23">#REF!</definedName>
    <definedName name="CL" localSheetId="38">#REF!</definedName>
    <definedName name="CL" localSheetId="40">#REF!</definedName>
    <definedName name="CL" localSheetId="32">#REF!</definedName>
    <definedName name="CL" localSheetId="16">#REF!</definedName>
    <definedName name="CL" localSheetId="18">#REF!</definedName>
    <definedName name="CL">#REF!</definedName>
    <definedName name="CommitmentNT" localSheetId="6">#REF!</definedName>
    <definedName name="CommitmentNT" localSheetId="52">#REF!</definedName>
    <definedName name="CommitmentNT" localSheetId="46">#REF!</definedName>
    <definedName name="CommitmentNT" localSheetId="34">#REF!</definedName>
    <definedName name="CommitmentNT" localSheetId="22">#REF!</definedName>
    <definedName name="CommitmentNT" localSheetId="25">#REF!</definedName>
    <definedName name="CommitmentNT" localSheetId="31">#REF!</definedName>
    <definedName name="CommitmentNT" localSheetId="27">#REF!</definedName>
    <definedName name="CommitmentNT" localSheetId="29">#REF!</definedName>
    <definedName name="CommitmentNT" localSheetId="43">#REF!</definedName>
    <definedName name="CommitmentNT" localSheetId="12">#REF!</definedName>
    <definedName name="CommitmentNT" localSheetId="23">#REF!</definedName>
    <definedName name="CommitmentNT" localSheetId="38">#REF!</definedName>
    <definedName name="CommitmentNT" localSheetId="40">#REF!</definedName>
    <definedName name="CommitmentNT" localSheetId="32">#REF!</definedName>
    <definedName name="CommitmentNT" localSheetId="16">#REF!</definedName>
    <definedName name="CommitmentNT" localSheetId="18">#REF!</definedName>
    <definedName name="CommitmentNT">#REF!</definedName>
    <definedName name="CommitmentPNT" localSheetId="6">#REF!</definedName>
    <definedName name="CommitmentPNT" localSheetId="52">#REF!</definedName>
    <definedName name="CommitmentPNT" localSheetId="46">#REF!</definedName>
    <definedName name="CommitmentPNT" localSheetId="34">#REF!</definedName>
    <definedName name="CommitmentPNT" localSheetId="22">#REF!</definedName>
    <definedName name="CommitmentPNT" localSheetId="25">#REF!</definedName>
    <definedName name="CommitmentPNT" localSheetId="31">#REF!</definedName>
    <definedName name="CommitmentPNT" localSheetId="27">#REF!</definedName>
    <definedName name="CommitmentPNT" localSheetId="29">#REF!</definedName>
    <definedName name="CommitmentPNT" localSheetId="43">#REF!</definedName>
    <definedName name="CommitmentPNT" localSheetId="12">#REF!</definedName>
    <definedName name="CommitmentPNT" localSheetId="23">#REF!</definedName>
    <definedName name="CommitmentPNT" localSheetId="38">#REF!</definedName>
    <definedName name="CommitmentPNT" localSheetId="40">#REF!</definedName>
    <definedName name="CommitmentPNT" localSheetId="32">#REF!</definedName>
    <definedName name="CommitmentPNT" localSheetId="16">#REF!</definedName>
    <definedName name="CommitmentPNT" localSheetId="18">#REF!</definedName>
    <definedName name="CommitmentPNT">#REF!</definedName>
    <definedName name="COMMON" localSheetId="6">#REF!</definedName>
    <definedName name="COMMON" localSheetId="52">#REF!</definedName>
    <definedName name="COMMON" localSheetId="46">#REF!</definedName>
    <definedName name="COMMON" localSheetId="34">#REF!</definedName>
    <definedName name="COMMON" localSheetId="22">#REF!</definedName>
    <definedName name="COMMON" localSheetId="25">#REF!</definedName>
    <definedName name="COMMON" localSheetId="31">#REF!</definedName>
    <definedName name="COMMON" localSheetId="27">#REF!</definedName>
    <definedName name="COMMON" localSheetId="29">#REF!</definedName>
    <definedName name="COMMON" localSheetId="43">#REF!</definedName>
    <definedName name="COMMON" localSheetId="12">#REF!</definedName>
    <definedName name="COMMON" localSheetId="23">#REF!</definedName>
    <definedName name="COMMON" localSheetId="38">#REF!</definedName>
    <definedName name="COMMON" localSheetId="40">#REF!</definedName>
    <definedName name="COMMON" localSheetId="32">#REF!</definedName>
    <definedName name="COMMON" localSheetId="16">#REF!</definedName>
    <definedName name="COMMON" localSheetId="18">#REF!</definedName>
    <definedName name="COMMON">#REF!</definedName>
    <definedName name="CON_EQP_COS" localSheetId="6">#REF!</definedName>
    <definedName name="CON_EQP_COS" localSheetId="52">#REF!</definedName>
    <definedName name="CON_EQP_COS" localSheetId="46">#REF!</definedName>
    <definedName name="CON_EQP_COS" localSheetId="34">#REF!</definedName>
    <definedName name="CON_EQP_COS" localSheetId="22">#REF!</definedName>
    <definedName name="CON_EQP_COS" localSheetId="25">#REF!</definedName>
    <definedName name="CON_EQP_COS" localSheetId="31">#REF!</definedName>
    <definedName name="CON_EQP_COS" localSheetId="27">#REF!</definedName>
    <definedName name="CON_EQP_COS" localSheetId="29">#REF!</definedName>
    <definedName name="CON_EQP_COS" localSheetId="43">#REF!</definedName>
    <definedName name="CON_EQP_COS" localSheetId="12">#REF!</definedName>
    <definedName name="CON_EQP_COS" localSheetId="23">#REF!</definedName>
    <definedName name="CON_EQP_COS" localSheetId="38">#REF!</definedName>
    <definedName name="CON_EQP_COS" localSheetId="40">#REF!</definedName>
    <definedName name="CON_EQP_COS" localSheetId="32">#REF!</definedName>
    <definedName name="CON_EQP_COS" localSheetId="16">#REF!</definedName>
    <definedName name="CON_EQP_COS" localSheetId="18">#REF!</definedName>
    <definedName name="CON_EQP_COS">#REF!</definedName>
    <definedName name="CON_EQP_COST" localSheetId="6">#REF!</definedName>
    <definedName name="CON_EQP_COST" localSheetId="52">#REF!</definedName>
    <definedName name="CON_EQP_COST" localSheetId="46">#REF!</definedName>
    <definedName name="CON_EQP_COST" localSheetId="34">#REF!</definedName>
    <definedName name="CON_EQP_COST" localSheetId="22">#REF!</definedName>
    <definedName name="CON_EQP_COST" localSheetId="25">#REF!</definedName>
    <definedName name="CON_EQP_COST" localSheetId="31">#REF!</definedName>
    <definedName name="CON_EQP_COST" localSheetId="27">#REF!</definedName>
    <definedName name="CON_EQP_COST" localSheetId="29">#REF!</definedName>
    <definedName name="CON_EQP_COST" localSheetId="43">#REF!</definedName>
    <definedName name="CON_EQP_COST" localSheetId="12">#REF!</definedName>
    <definedName name="CON_EQP_COST" localSheetId="23">#REF!</definedName>
    <definedName name="CON_EQP_COST" localSheetId="38">#REF!</definedName>
    <definedName name="CON_EQP_COST" localSheetId="40">#REF!</definedName>
    <definedName name="CON_EQP_COST" localSheetId="32">#REF!</definedName>
    <definedName name="CON_EQP_COST" localSheetId="16">#REF!</definedName>
    <definedName name="CON_EQP_COST" localSheetId="18">#REF!</definedName>
    <definedName name="CON_EQP_COST">#REF!</definedName>
    <definedName name="CONST_EQ" localSheetId="6">#REF!</definedName>
    <definedName name="CONST_EQ" localSheetId="52">#REF!</definedName>
    <definedName name="CONST_EQ" localSheetId="46">#REF!</definedName>
    <definedName name="CONST_EQ" localSheetId="34">#REF!</definedName>
    <definedName name="CONST_EQ" localSheetId="22">#REF!</definedName>
    <definedName name="CONST_EQ" localSheetId="25">#REF!</definedName>
    <definedName name="CONST_EQ" localSheetId="31">#REF!</definedName>
    <definedName name="CONST_EQ" localSheetId="27">#REF!</definedName>
    <definedName name="CONST_EQ" localSheetId="29">#REF!</definedName>
    <definedName name="CONST_EQ" localSheetId="43">#REF!</definedName>
    <definedName name="CONST_EQ" localSheetId="12">#REF!</definedName>
    <definedName name="CONST_EQ" localSheetId="23">#REF!</definedName>
    <definedName name="CONST_EQ" localSheetId="38">#REF!</definedName>
    <definedName name="CONST_EQ" localSheetId="40">#REF!</definedName>
    <definedName name="CONST_EQ" localSheetId="32">#REF!</definedName>
    <definedName name="CONST_EQ" localSheetId="16">#REF!</definedName>
    <definedName name="CONST_EQ" localSheetId="18">#REF!</definedName>
    <definedName name="CONST_EQ">#REF!</definedName>
    <definedName name="COVER" localSheetId="6">#REF!</definedName>
    <definedName name="COVER" localSheetId="52">#REF!</definedName>
    <definedName name="COVER" localSheetId="46">#REF!</definedName>
    <definedName name="COVER" localSheetId="34">#REF!</definedName>
    <definedName name="COVER" localSheetId="22">#REF!</definedName>
    <definedName name="COVER" localSheetId="25">#REF!</definedName>
    <definedName name="COVER" localSheetId="31">#REF!</definedName>
    <definedName name="COVER" localSheetId="27">#REF!</definedName>
    <definedName name="COVER" localSheetId="29">#REF!</definedName>
    <definedName name="COVER" localSheetId="43">#REF!</definedName>
    <definedName name="COVER" localSheetId="12">#REF!</definedName>
    <definedName name="COVER" localSheetId="23">#REF!</definedName>
    <definedName name="COVER" localSheetId="38">#REF!</definedName>
    <definedName name="COVER" localSheetId="40">#REF!</definedName>
    <definedName name="COVER" localSheetId="32">#REF!</definedName>
    <definedName name="COVER" localSheetId="16">#REF!</definedName>
    <definedName name="COVER" localSheetId="18">#REF!</definedName>
    <definedName name="COVER">#REF!</definedName>
    <definedName name="CRITINST" localSheetId="6">#REF!</definedName>
    <definedName name="CRITINST" localSheetId="52">#REF!</definedName>
    <definedName name="CRITINST" localSheetId="46">#REF!</definedName>
    <definedName name="CRITINST" localSheetId="34">#REF!</definedName>
    <definedName name="CRITINST" localSheetId="22">#REF!</definedName>
    <definedName name="CRITINST" localSheetId="25">#REF!</definedName>
    <definedName name="CRITINST" localSheetId="31">#REF!</definedName>
    <definedName name="CRITINST" localSheetId="27">#REF!</definedName>
    <definedName name="CRITINST" localSheetId="29">#REF!</definedName>
    <definedName name="CRITINST" localSheetId="43">#REF!</definedName>
    <definedName name="CRITINST" localSheetId="12">#REF!</definedName>
    <definedName name="CRITINST" localSheetId="23">#REF!</definedName>
    <definedName name="CRITINST" localSheetId="38">#REF!</definedName>
    <definedName name="CRITINST" localSheetId="40">#REF!</definedName>
    <definedName name="CRITINST" localSheetId="32">#REF!</definedName>
    <definedName name="CRITINST" localSheetId="16">#REF!</definedName>
    <definedName name="CRITINST" localSheetId="18">#REF!</definedName>
    <definedName name="CRITINST">#REF!</definedName>
    <definedName name="CRITPURC" localSheetId="6">#REF!</definedName>
    <definedName name="CRITPURC" localSheetId="52">#REF!</definedName>
    <definedName name="CRITPURC" localSheetId="46">#REF!</definedName>
    <definedName name="CRITPURC" localSheetId="34">#REF!</definedName>
    <definedName name="CRITPURC" localSheetId="22">#REF!</definedName>
    <definedName name="CRITPURC" localSheetId="25">#REF!</definedName>
    <definedName name="CRITPURC" localSheetId="31">#REF!</definedName>
    <definedName name="CRITPURC" localSheetId="27">#REF!</definedName>
    <definedName name="CRITPURC" localSheetId="29">#REF!</definedName>
    <definedName name="CRITPURC" localSheetId="43">#REF!</definedName>
    <definedName name="CRITPURC" localSheetId="12">#REF!</definedName>
    <definedName name="CRITPURC" localSheetId="23">#REF!</definedName>
    <definedName name="CRITPURC" localSheetId="38">#REF!</definedName>
    <definedName name="CRITPURC" localSheetId="40">#REF!</definedName>
    <definedName name="CRITPURC" localSheetId="32">#REF!</definedName>
    <definedName name="CRITPURC" localSheetId="16">#REF!</definedName>
    <definedName name="CRITPURC" localSheetId="18">#REF!</definedName>
    <definedName name="CRITPURC">#REF!</definedName>
    <definedName name="CS_10" localSheetId="6">#REF!</definedName>
    <definedName name="CS_10" localSheetId="52">#REF!</definedName>
    <definedName name="CS_10" localSheetId="46">#REF!</definedName>
    <definedName name="CS_10" localSheetId="34">#REF!</definedName>
    <definedName name="CS_10" localSheetId="22">#REF!</definedName>
    <definedName name="CS_10" localSheetId="25">#REF!</definedName>
    <definedName name="CS_10" localSheetId="31">#REF!</definedName>
    <definedName name="CS_10" localSheetId="27">#REF!</definedName>
    <definedName name="CS_10" localSheetId="29">#REF!</definedName>
    <definedName name="CS_10" localSheetId="43">#REF!</definedName>
    <definedName name="CS_10" localSheetId="12">#REF!</definedName>
    <definedName name="CS_10" localSheetId="23">#REF!</definedName>
    <definedName name="CS_10" localSheetId="38">#REF!</definedName>
    <definedName name="CS_10" localSheetId="40">#REF!</definedName>
    <definedName name="CS_10" localSheetId="32">#REF!</definedName>
    <definedName name="CS_10" localSheetId="16">#REF!</definedName>
    <definedName name="CS_10" localSheetId="18">#REF!</definedName>
    <definedName name="CS_10">#REF!</definedName>
    <definedName name="CS_100" localSheetId="6">#REF!</definedName>
    <definedName name="CS_100" localSheetId="52">#REF!</definedName>
    <definedName name="CS_100" localSheetId="46">#REF!</definedName>
    <definedName name="CS_100" localSheetId="34">#REF!</definedName>
    <definedName name="CS_100" localSheetId="22">#REF!</definedName>
    <definedName name="CS_100" localSheetId="25">#REF!</definedName>
    <definedName name="CS_100" localSheetId="31">#REF!</definedName>
    <definedName name="CS_100" localSheetId="27">#REF!</definedName>
    <definedName name="CS_100" localSheetId="29">#REF!</definedName>
    <definedName name="CS_100" localSheetId="43">#REF!</definedName>
    <definedName name="CS_100" localSheetId="12">#REF!</definedName>
    <definedName name="CS_100" localSheetId="23">#REF!</definedName>
    <definedName name="CS_100" localSheetId="38">#REF!</definedName>
    <definedName name="CS_100" localSheetId="40">#REF!</definedName>
    <definedName name="CS_100" localSheetId="32">#REF!</definedName>
    <definedName name="CS_100" localSheetId="16">#REF!</definedName>
    <definedName name="CS_100" localSheetId="18">#REF!</definedName>
    <definedName name="CS_100">#REF!</definedName>
    <definedName name="CS_10S" localSheetId="6">#REF!</definedName>
    <definedName name="CS_10S" localSheetId="52">#REF!</definedName>
    <definedName name="CS_10S" localSheetId="46">#REF!</definedName>
    <definedName name="CS_10S" localSheetId="34">#REF!</definedName>
    <definedName name="CS_10S" localSheetId="22">#REF!</definedName>
    <definedName name="CS_10S" localSheetId="25">#REF!</definedName>
    <definedName name="CS_10S" localSheetId="31">#REF!</definedName>
    <definedName name="CS_10S" localSheetId="27">#REF!</definedName>
    <definedName name="CS_10S" localSheetId="29">#REF!</definedName>
    <definedName name="CS_10S" localSheetId="43">#REF!</definedName>
    <definedName name="CS_10S" localSheetId="12">#REF!</definedName>
    <definedName name="CS_10S" localSheetId="23">#REF!</definedName>
    <definedName name="CS_10S" localSheetId="38">#REF!</definedName>
    <definedName name="CS_10S" localSheetId="40">#REF!</definedName>
    <definedName name="CS_10S" localSheetId="32">#REF!</definedName>
    <definedName name="CS_10S" localSheetId="16">#REF!</definedName>
    <definedName name="CS_10S" localSheetId="18">#REF!</definedName>
    <definedName name="CS_10S">#REF!</definedName>
    <definedName name="CS_120" localSheetId="6">#REF!</definedName>
    <definedName name="CS_120" localSheetId="52">#REF!</definedName>
    <definedName name="CS_120" localSheetId="46">#REF!</definedName>
    <definedName name="CS_120" localSheetId="34">#REF!</definedName>
    <definedName name="CS_120" localSheetId="22">#REF!</definedName>
    <definedName name="CS_120" localSheetId="25">#REF!</definedName>
    <definedName name="CS_120" localSheetId="31">#REF!</definedName>
    <definedName name="CS_120" localSheetId="27">#REF!</definedName>
    <definedName name="CS_120" localSheetId="29">#REF!</definedName>
    <definedName name="CS_120" localSheetId="43">#REF!</definedName>
    <definedName name="CS_120" localSheetId="12">#REF!</definedName>
    <definedName name="CS_120" localSheetId="23">#REF!</definedName>
    <definedName name="CS_120" localSheetId="38">#REF!</definedName>
    <definedName name="CS_120" localSheetId="40">#REF!</definedName>
    <definedName name="CS_120" localSheetId="32">#REF!</definedName>
    <definedName name="CS_120" localSheetId="16">#REF!</definedName>
    <definedName name="CS_120" localSheetId="18">#REF!</definedName>
    <definedName name="CS_120">#REF!</definedName>
    <definedName name="CS_140" localSheetId="6">#REF!</definedName>
    <definedName name="CS_140" localSheetId="52">#REF!</definedName>
    <definedName name="CS_140" localSheetId="46">#REF!</definedName>
    <definedName name="CS_140" localSheetId="34">#REF!</definedName>
    <definedName name="CS_140" localSheetId="22">#REF!</definedName>
    <definedName name="CS_140" localSheetId="25">#REF!</definedName>
    <definedName name="CS_140" localSheetId="31">#REF!</definedName>
    <definedName name="CS_140" localSheetId="27">#REF!</definedName>
    <definedName name="CS_140" localSheetId="29">#REF!</definedName>
    <definedName name="CS_140" localSheetId="43">#REF!</definedName>
    <definedName name="CS_140" localSheetId="12">#REF!</definedName>
    <definedName name="CS_140" localSheetId="23">#REF!</definedName>
    <definedName name="CS_140" localSheetId="38">#REF!</definedName>
    <definedName name="CS_140" localSheetId="40">#REF!</definedName>
    <definedName name="CS_140" localSheetId="32">#REF!</definedName>
    <definedName name="CS_140" localSheetId="16">#REF!</definedName>
    <definedName name="CS_140" localSheetId="18">#REF!</definedName>
    <definedName name="CS_140">#REF!</definedName>
    <definedName name="CS_160" localSheetId="6">#REF!</definedName>
    <definedName name="CS_160" localSheetId="52">#REF!</definedName>
    <definedName name="CS_160" localSheetId="46">#REF!</definedName>
    <definedName name="CS_160" localSheetId="34">#REF!</definedName>
    <definedName name="CS_160" localSheetId="22">#REF!</definedName>
    <definedName name="CS_160" localSheetId="25">#REF!</definedName>
    <definedName name="CS_160" localSheetId="31">#REF!</definedName>
    <definedName name="CS_160" localSheetId="27">#REF!</definedName>
    <definedName name="CS_160" localSheetId="29">#REF!</definedName>
    <definedName name="CS_160" localSheetId="43">#REF!</definedName>
    <definedName name="CS_160" localSheetId="12">#REF!</definedName>
    <definedName name="CS_160" localSheetId="23">#REF!</definedName>
    <definedName name="CS_160" localSheetId="38">#REF!</definedName>
    <definedName name="CS_160" localSheetId="40">#REF!</definedName>
    <definedName name="CS_160" localSheetId="32">#REF!</definedName>
    <definedName name="CS_160" localSheetId="16">#REF!</definedName>
    <definedName name="CS_160" localSheetId="18">#REF!</definedName>
    <definedName name="CS_160">#REF!</definedName>
    <definedName name="CS_20" localSheetId="6">#REF!</definedName>
    <definedName name="CS_20" localSheetId="52">#REF!</definedName>
    <definedName name="CS_20" localSheetId="46">#REF!</definedName>
    <definedName name="CS_20" localSheetId="34">#REF!</definedName>
    <definedName name="CS_20" localSheetId="22">#REF!</definedName>
    <definedName name="CS_20" localSheetId="25">#REF!</definedName>
    <definedName name="CS_20" localSheetId="31">#REF!</definedName>
    <definedName name="CS_20" localSheetId="27">#REF!</definedName>
    <definedName name="CS_20" localSheetId="29">#REF!</definedName>
    <definedName name="CS_20" localSheetId="43">#REF!</definedName>
    <definedName name="CS_20" localSheetId="12">#REF!</definedName>
    <definedName name="CS_20" localSheetId="23">#REF!</definedName>
    <definedName name="CS_20" localSheetId="38">#REF!</definedName>
    <definedName name="CS_20" localSheetId="40">#REF!</definedName>
    <definedName name="CS_20" localSheetId="32">#REF!</definedName>
    <definedName name="CS_20" localSheetId="16">#REF!</definedName>
    <definedName name="CS_20" localSheetId="18">#REF!</definedName>
    <definedName name="CS_20">#REF!</definedName>
    <definedName name="CS_30" localSheetId="6">#REF!</definedName>
    <definedName name="CS_30" localSheetId="52">#REF!</definedName>
    <definedName name="CS_30" localSheetId="46">#REF!</definedName>
    <definedName name="CS_30" localSheetId="34">#REF!</definedName>
    <definedName name="CS_30" localSheetId="22">#REF!</definedName>
    <definedName name="CS_30" localSheetId="25">#REF!</definedName>
    <definedName name="CS_30" localSheetId="31">#REF!</definedName>
    <definedName name="CS_30" localSheetId="27">#REF!</definedName>
    <definedName name="CS_30" localSheetId="29">#REF!</definedName>
    <definedName name="CS_30" localSheetId="43">#REF!</definedName>
    <definedName name="CS_30" localSheetId="12">#REF!</definedName>
    <definedName name="CS_30" localSheetId="23">#REF!</definedName>
    <definedName name="CS_30" localSheetId="38">#REF!</definedName>
    <definedName name="CS_30" localSheetId="40">#REF!</definedName>
    <definedName name="CS_30" localSheetId="32">#REF!</definedName>
    <definedName name="CS_30" localSheetId="16">#REF!</definedName>
    <definedName name="CS_30" localSheetId="18">#REF!</definedName>
    <definedName name="CS_30">#REF!</definedName>
    <definedName name="CS_40" localSheetId="6">#REF!</definedName>
    <definedName name="CS_40" localSheetId="52">#REF!</definedName>
    <definedName name="CS_40" localSheetId="46">#REF!</definedName>
    <definedName name="CS_40" localSheetId="34">#REF!</definedName>
    <definedName name="CS_40" localSheetId="22">#REF!</definedName>
    <definedName name="CS_40" localSheetId="25">#REF!</definedName>
    <definedName name="CS_40" localSheetId="31">#REF!</definedName>
    <definedName name="CS_40" localSheetId="27">#REF!</definedName>
    <definedName name="CS_40" localSheetId="29">#REF!</definedName>
    <definedName name="CS_40" localSheetId="43">#REF!</definedName>
    <definedName name="CS_40" localSheetId="12">#REF!</definedName>
    <definedName name="CS_40" localSheetId="23">#REF!</definedName>
    <definedName name="CS_40" localSheetId="38">#REF!</definedName>
    <definedName name="CS_40" localSheetId="40">#REF!</definedName>
    <definedName name="CS_40" localSheetId="32">#REF!</definedName>
    <definedName name="CS_40" localSheetId="16">#REF!</definedName>
    <definedName name="CS_40" localSheetId="18">#REF!</definedName>
    <definedName name="CS_40">#REF!</definedName>
    <definedName name="CS_40S" localSheetId="6">#REF!</definedName>
    <definedName name="CS_40S" localSheetId="52">#REF!</definedName>
    <definedName name="CS_40S" localSheetId="46">#REF!</definedName>
    <definedName name="CS_40S" localSheetId="34">#REF!</definedName>
    <definedName name="CS_40S" localSheetId="22">#REF!</definedName>
    <definedName name="CS_40S" localSheetId="25">#REF!</definedName>
    <definedName name="CS_40S" localSheetId="31">#REF!</definedName>
    <definedName name="CS_40S" localSheetId="27">#REF!</definedName>
    <definedName name="CS_40S" localSheetId="29">#REF!</definedName>
    <definedName name="CS_40S" localSheetId="43">#REF!</definedName>
    <definedName name="CS_40S" localSheetId="12">#REF!</definedName>
    <definedName name="CS_40S" localSheetId="23">#REF!</definedName>
    <definedName name="CS_40S" localSheetId="38">#REF!</definedName>
    <definedName name="CS_40S" localSheetId="40">#REF!</definedName>
    <definedName name="CS_40S" localSheetId="32">#REF!</definedName>
    <definedName name="CS_40S" localSheetId="16">#REF!</definedName>
    <definedName name="CS_40S" localSheetId="18">#REF!</definedName>
    <definedName name="CS_40S">#REF!</definedName>
    <definedName name="CS_5S" localSheetId="6">#REF!</definedName>
    <definedName name="CS_5S" localSheetId="52">#REF!</definedName>
    <definedName name="CS_5S" localSheetId="46">#REF!</definedName>
    <definedName name="CS_5S" localSheetId="34">#REF!</definedName>
    <definedName name="CS_5S" localSheetId="22">#REF!</definedName>
    <definedName name="CS_5S" localSheetId="25">#REF!</definedName>
    <definedName name="CS_5S" localSheetId="31">#REF!</definedName>
    <definedName name="CS_5S" localSheetId="27">#REF!</definedName>
    <definedName name="CS_5S" localSheetId="29">#REF!</definedName>
    <definedName name="CS_5S" localSheetId="43">#REF!</definedName>
    <definedName name="CS_5S" localSheetId="12">#REF!</definedName>
    <definedName name="CS_5S" localSheetId="23">#REF!</definedName>
    <definedName name="CS_5S" localSheetId="38">#REF!</definedName>
    <definedName name="CS_5S" localSheetId="40">#REF!</definedName>
    <definedName name="CS_5S" localSheetId="32">#REF!</definedName>
    <definedName name="CS_5S" localSheetId="16">#REF!</definedName>
    <definedName name="CS_5S" localSheetId="18">#REF!</definedName>
    <definedName name="CS_5S">#REF!</definedName>
    <definedName name="CS_60" localSheetId="6">#REF!</definedName>
    <definedName name="CS_60" localSheetId="52">#REF!</definedName>
    <definedName name="CS_60" localSheetId="46">#REF!</definedName>
    <definedName name="CS_60" localSheetId="34">#REF!</definedName>
    <definedName name="CS_60" localSheetId="22">#REF!</definedName>
    <definedName name="CS_60" localSheetId="25">#REF!</definedName>
    <definedName name="CS_60" localSheetId="31">#REF!</definedName>
    <definedName name="CS_60" localSheetId="27">#REF!</definedName>
    <definedName name="CS_60" localSheetId="29">#REF!</definedName>
    <definedName name="CS_60" localSheetId="43">#REF!</definedName>
    <definedName name="CS_60" localSheetId="12">#REF!</definedName>
    <definedName name="CS_60" localSheetId="23">#REF!</definedName>
    <definedName name="CS_60" localSheetId="38">#REF!</definedName>
    <definedName name="CS_60" localSheetId="40">#REF!</definedName>
    <definedName name="CS_60" localSheetId="32">#REF!</definedName>
    <definedName name="CS_60" localSheetId="16">#REF!</definedName>
    <definedName name="CS_60" localSheetId="18">#REF!</definedName>
    <definedName name="CS_60">#REF!</definedName>
    <definedName name="CS_80" localSheetId="6">#REF!</definedName>
    <definedName name="CS_80" localSheetId="52">#REF!</definedName>
    <definedName name="CS_80" localSheetId="46">#REF!</definedName>
    <definedName name="CS_80" localSheetId="34">#REF!</definedName>
    <definedName name="CS_80" localSheetId="22">#REF!</definedName>
    <definedName name="CS_80" localSheetId="25">#REF!</definedName>
    <definedName name="CS_80" localSheetId="31">#REF!</definedName>
    <definedName name="CS_80" localSheetId="27">#REF!</definedName>
    <definedName name="CS_80" localSheetId="29">#REF!</definedName>
    <definedName name="CS_80" localSheetId="43">#REF!</definedName>
    <definedName name="CS_80" localSheetId="12">#REF!</definedName>
    <definedName name="CS_80" localSheetId="23">#REF!</definedName>
    <definedName name="CS_80" localSheetId="38">#REF!</definedName>
    <definedName name="CS_80" localSheetId="40">#REF!</definedName>
    <definedName name="CS_80" localSheetId="32">#REF!</definedName>
    <definedName name="CS_80" localSheetId="16">#REF!</definedName>
    <definedName name="CS_80" localSheetId="18">#REF!</definedName>
    <definedName name="CS_80">#REF!</definedName>
    <definedName name="CS_80S" localSheetId="6">#REF!</definedName>
    <definedName name="CS_80S" localSheetId="52">#REF!</definedName>
    <definedName name="CS_80S" localSheetId="46">#REF!</definedName>
    <definedName name="CS_80S" localSheetId="34">#REF!</definedName>
    <definedName name="CS_80S" localSheetId="22">#REF!</definedName>
    <definedName name="CS_80S" localSheetId="25">#REF!</definedName>
    <definedName name="CS_80S" localSheetId="31">#REF!</definedName>
    <definedName name="CS_80S" localSheetId="27">#REF!</definedName>
    <definedName name="CS_80S" localSheetId="29">#REF!</definedName>
    <definedName name="CS_80S" localSheetId="43">#REF!</definedName>
    <definedName name="CS_80S" localSheetId="12">#REF!</definedName>
    <definedName name="CS_80S" localSheetId="23">#REF!</definedName>
    <definedName name="CS_80S" localSheetId="38">#REF!</definedName>
    <definedName name="CS_80S" localSheetId="40">#REF!</definedName>
    <definedName name="CS_80S" localSheetId="32">#REF!</definedName>
    <definedName name="CS_80S" localSheetId="16">#REF!</definedName>
    <definedName name="CS_80S" localSheetId="18">#REF!</definedName>
    <definedName name="CS_80S">#REF!</definedName>
    <definedName name="CS_STD" localSheetId="6">#REF!</definedName>
    <definedName name="CS_STD" localSheetId="52">#REF!</definedName>
    <definedName name="CS_STD" localSheetId="46">#REF!</definedName>
    <definedName name="CS_STD" localSheetId="34">#REF!</definedName>
    <definedName name="CS_STD" localSheetId="22">#REF!</definedName>
    <definedName name="CS_STD" localSheetId="25">#REF!</definedName>
    <definedName name="CS_STD" localSheetId="31">#REF!</definedName>
    <definedName name="CS_STD" localSheetId="27">#REF!</definedName>
    <definedName name="CS_STD" localSheetId="29">#REF!</definedName>
    <definedName name="CS_STD" localSheetId="43">#REF!</definedName>
    <definedName name="CS_STD" localSheetId="12">#REF!</definedName>
    <definedName name="CS_STD" localSheetId="23">#REF!</definedName>
    <definedName name="CS_STD" localSheetId="38">#REF!</definedName>
    <definedName name="CS_STD" localSheetId="40">#REF!</definedName>
    <definedName name="CS_STD" localSheetId="32">#REF!</definedName>
    <definedName name="CS_STD" localSheetId="16">#REF!</definedName>
    <definedName name="CS_STD" localSheetId="18">#REF!</definedName>
    <definedName name="CS_STD">#REF!</definedName>
    <definedName name="CS_XS" localSheetId="6">#REF!</definedName>
    <definedName name="CS_XS" localSheetId="52">#REF!</definedName>
    <definedName name="CS_XS" localSheetId="46">#REF!</definedName>
    <definedName name="CS_XS" localSheetId="34">#REF!</definedName>
    <definedName name="CS_XS" localSheetId="22">#REF!</definedName>
    <definedName name="CS_XS" localSheetId="25">#REF!</definedName>
    <definedName name="CS_XS" localSheetId="31">#REF!</definedName>
    <definedName name="CS_XS" localSheetId="27">#REF!</definedName>
    <definedName name="CS_XS" localSheetId="29">#REF!</definedName>
    <definedName name="CS_XS" localSheetId="43">#REF!</definedName>
    <definedName name="CS_XS" localSheetId="12">#REF!</definedName>
    <definedName name="CS_XS" localSheetId="23">#REF!</definedName>
    <definedName name="CS_XS" localSheetId="38">#REF!</definedName>
    <definedName name="CS_XS" localSheetId="40">#REF!</definedName>
    <definedName name="CS_XS" localSheetId="32">#REF!</definedName>
    <definedName name="CS_XS" localSheetId="16">#REF!</definedName>
    <definedName name="CS_XS" localSheetId="18">#REF!</definedName>
    <definedName name="CS_XS">#REF!</definedName>
    <definedName name="CS_XXS" localSheetId="6">#REF!</definedName>
    <definedName name="CS_XXS" localSheetId="52">#REF!</definedName>
    <definedName name="CS_XXS" localSheetId="46">#REF!</definedName>
    <definedName name="CS_XXS" localSheetId="34">#REF!</definedName>
    <definedName name="CS_XXS" localSheetId="22">#REF!</definedName>
    <definedName name="CS_XXS" localSheetId="25">#REF!</definedName>
    <definedName name="CS_XXS" localSheetId="31">#REF!</definedName>
    <definedName name="CS_XXS" localSheetId="27">#REF!</definedName>
    <definedName name="CS_XXS" localSheetId="29">#REF!</definedName>
    <definedName name="CS_XXS" localSheetId="43">#REF!</definedName>
    <definedName name="CS_XXS" localSheetId="12">#REF!</definedName>
    <definedName name="CS_XXS" localSheetId="23">#REF!</definedName>
    <definedName name="CS_XXS" localSheetId="38">#REF!</definedName>
    <definedName name="CS_XXS" localSheetId="40">#REF!</definedName>
    <definedName name="CS_XXS" localSheetId="32">#REF!</definedName>
    <definedName name="CS_XXS" localSheetId="16">#REF!</definedName>
    <definedName name="CS_XXS" localSheetId="18">#REF!</definedName>
    <definedName name="CS_XXS">#REF!</definedName>
    <definedName name="ctdn9697" localSheetId="6">#REF!</definedName>
    <definedName name="ctdn9697" localSheetId="52">#REF!</definedName>
    <definedName name="ctdn9697" localSheetId="46">#REF!</definedName>
    <definedName name="ctdn9697" localSheetId="34">#REF!</definedName>
    <definedName name="ctdn9697" localSheetId="22">#REF!</definedName>
    <definedName name="ctdn9697" localSheetId="25">#REF!</definedName>
    <definedName name="ctdn9697" localSheetId="31">#REF!</definedName>
    <definedName name="ctdn9697" localSheetId="27">#REF!</definedName>
    <definedName name="ctdn9697" localSheetId="29">#REF!</definedName>
    <definedName name="ctdn9697" localSheetId="43">#REF!</definedName>
    <definedName name="ctdn9697" localSheetId="12">#REF!</definedName>
    <definedName name="ctdn9697" localSheetId="23">#REF!</definedName>
    <definedName name="ctdn9697" localSheetId="38">#REF!</definedName>
    <definedName name="ctdn9697" localSheetId="40">#REF!</definedName>
    <definedName name="ctdn9697" localSheetId="32">#REF!</definedName>
    <definedName name="ctdn9697" localSheetId="16">#REF!</definedName>
    <definedName name="ctdn9697" localSheetId="18">#REF!</definedName>
    <definedName name="ctdn9697">#REF!</definedName>
    <definedName name="CURRENCY" localSheetId="6">#REF!</definedName>
    <definedName name="CURRENCY" localSheetId="52">#REF!</definedName>
    <definedName name="CURRENCY" localSheetId="46">#REF!</definedName>
    <definedName name="CURRENCY" localSheetId="34">#REF!</definedName>
    <definedName name="CURRENCY" localSheetId="22">#REF!</definedName>
    <definedName name="CURRENCY" localSheetId="25">#REF!</definedName>
    <definedName name="CURRENCY" localSheetId="31">#REF!</definedName>
    <definedName name="CURRENCY" localSheetId="27">#REF!</definedName>
    <definedName name="CURRENCY" localSheetId="29">#REF!</definedName>
    <definedName name="CURRENCY" localSheetId="43">#REF!</definedName>
    <definedName name="CURRENCY" localSheetId="12">#REF!</definedName>
    <definedName name="CURRENCY" localSheetId="23">#REF!</definedName>
    <definedName name="CURRENCY" localSheetId="38">#REF!</definedName>
    <definedName name="CURRENCY" localSheetId="40">#REF!</definedName>
    <definedName name="CURRENCY" localSheetId="32">#REF!</definedName>
    <definedName name="CURRENCY" localSheetId="16">#REF!</definedName>
    <definedName name="CURRENCY" localSheetId="18">#REF!</definedName>
    <definedName name="CURRENCY">#REF!</definedName>
    <definedName name="D_7101A_B" localSheetId="6">#REF!</definedName>
    <definedName name="D_7101A_B" localSheetId="52">#REF!</definedName>
    <definedName name="D_7101A_B" localSheetId="46">#REF!</definedName>
    <definedName name="D_7101A_B" localSheetId="34">#REF!</definedName>
    <definedName name="D_7101A_B" localSheetId="22">#REF!</definedName>
    <definedName name="D_7101A_B" localSheetId="25">#REF!</definedName>
    <definedName name="D_7101A_B" localSheetId="31">#REF!</definedName>
    <definedName name="D_7101A_B" localSheetId="27">#REF!</definedName>
    <definedName name="D_7101A_B" localSheetId="29">#REF!</definedName>
    <definedName name="D_7101A_B" localSheetId="43">#REF!</definedName>
    <definedName name="D_7101A_B" localSheetId="12">#REF!</definedName>
    <definedName name="D_7101A_B" localSheetId="23">#REF!</definedName>
    <definedName name="D_7101A_B" localSheetId="38">#REF!</definedName>
    <definedName name="D_7101A_B" localSheetId="40">#REF!</definedName>
    <definedName name="D_7101A_B" localSheetId="32">#REF!</definedName>
    <definedName name="D_7101A_B" localSheetId="16">#REF!</definedName>
    <definedName name="D_7101A_B" localSheetId="18">#REF!</definedName>
    <definedName name="D_7101A_B">#REF!</definedName>
    <definedName name="_xlnm.Database" localSheetId="6">#REF!</definedName>
    <definedName name="_xlnm.Database" localSheetId="52">#REF!</definedName>
    <definedName name="_xlnm.Database" localSheetId="46">#REF!</definedName>
    <definedName name="_xlnm.Database" localSheetId="34">#REF!</definedName>
    <definedName name="_xlnm.Database" localSheetId="22">#REF!</definedName>
    <definedName name="_xlnm.Database" localSheetId="25">#REF!</definedName>
    <definedName name="_xlnm.Database" localSheetId="31">#REF!</definedName>
    <definedName name="_xlnm.Database" localSheetId="27">#REF!</definedName>
    <definedName name="_xlnm.Database" localSheetId="29">#REF!</definedName>
    <definedName name="_xlnm.Database" localSheetId="43">#REF!</definedName>
    <definedName name="_xlnm.Database" localSheetId="12">#REF!</definedName>
    <definedName name="_xlnm.Database" localSheetId="23">#REF!</definedName>
    <definedName name="_xlnm.Database" localSheetId="38">#REF!</definedName>
    <definedName name="_xlnm.Database" localSheetId="40">#REF!</definedName>
    <definedName name="_xlnm.Database" localSheetId="32">#REF!</definedName>
    <definedName name="_xlnm.Database" localSheetId="16">#REF!</definedName>
    <definedName name="_xlnm.Database" localSheetId="18">#REF!</definedName>
    <definedName name="_xlnm.Database">#REF!</definedName>
    <definedName name="dobt" localSheetId="6">#REF!</definedName>
    <definedName name="dobt" localSheetId="52">#REF!</definedName>
    <definedName name="dobt" localSheetId="46">#REF!</definedName>
    <definedName name="dobt" localSheetId="34">#REF!</definedName>
    <definedName name="dobt" localSheetId="22">#REF!</definedName>
    <definedName name="dobt" localSheetId="25">#REF!</definedName>
    <definedName name="dobt" localSheetId="31">#REF!</definedName>
    <definedName name="dobt" localSheetId="27">#REF!</definedName>
    <definedName name="dobt" localSheetId="29">#REF!</definedName>
    <definedName name="dobt" localSheetId="43">#REF!</definedName>
    <definedName name="dobt" localSheetId="12">#REF!</definedName>
    <definedName name="dobt" localSheetId="23">#REF!</definedName>
    <definedName name="dobt" localSheetId="38">#REF!</definedName>
    <definedName name="dobt" localSheetId="40">#REF!</definedName>
    <definedName name="dobt" localSheetId="32">#REF!</definedName>
    <definedName name="dobt" localSheetId="16">#REF!</definedName>
    <definedName name="dobt" localSheetId="18">#REF!</definedName>
    <definedName name="dobt">#REF!</definedName>
    <definedName name="DSUMDATA" localSheetId="6">#REF!</definedName>
    <definedName name="DSUMDATA" localSheetId="52">#REF!</definedName>
    <definedName name="DSUMDATA" localSheetId="46">#REF!</definedName>
    <definedName name="DSUMDATA" localSheetId="34">#REF!</definedName>
    <definedName name="DSUMDATA" localSheetId="22">#REF!</definedName>
    <definedName name="DSUMDATA" localSheetId="25">#REF!</definedName>
    <definedName name="DSUMDATA" localSheetId="31">#REF!</definedName>
    <definedName name="DSUMDATA" localSheetId="27">#REF!</definedName>
    <definedName name="DSUMDATA" localSheetId="29">#REF!</definedName>
    <definedName name="DSUMDATA" localSheetId="43">#REF!</definedName>
    <definedName name="DSUMDATA" localSheetId="12">#REF!</definedName>
    <definedName name="DSUMDATA" localSheetId="23">#REF!</definedName>
    <definedName name="DSUMDATA" localSheetId="38">#REF!</definedName>
    <definedName name="DSUMDATA" localSheetId="40">#REF!</definedName>
    <definedName name="DSUMDATA" localSheetId="32">#REF!</definedName>
    <definedName name="DSUMDATA" localSheetId="16">#REF!</definedName>
    <definedName name="DSUMDATA" localSheetId="18">#REF!</definedName>
    <definedName name="DSUMDATA">#REF!</definedName>
    <definedName name="End_1" localSheetId="6">#REF!</definedName>
    <definedName name="End_1" localSheetId="52">#REF!</definedName>
    <definedName name="End_1" localSheetId="46">#REF!</definedName>
    <definedName name="End_1" localSheetId="34">#REF!</definedName>
    <definedName name="End_1" localSheetId="22">#REF!</definedName>
    <definedName name="End_1" localSheetId="25">#REF!</definedName>
    <definedName name="End_1" localSheetId="31">#REF!</definedName>
    <definedName name="End_1" localSheetId="27">#REF!</definedName>
    <definedName name="End_1" localSheetId="29">#REF!</definedName>
    <definedName name="End_1" localSheetId="43">#REF!</definedName>
    <definedName name="End_1" localSheetId="12">#REF!</definedName>
    <definedName name="End_1" localSheetId="23">#REF!</definedName>
    <definedName name="End_1" localSheetId="38">#REF!</definedName>
    <definedName name="End_1" localSheetId="40">#REF!</definedName>
    <definedName name="End_1" localSheetId="32">#REF!</definedName>
    <definedName name="End_1" localSheetId="16">#REF!</definedName>
    <definedName name="End_1" localSheetId="18">#REF!</definedName>
    <definedName name="End_1">#REF!</definedName>
    <definedName name="End_10" localSheetId="6">#REF!</definedName>
    <definedName name="End_10" localSheetId="52">#REF!</definedName>
    <definedName name="End_10" localSheetId="46">#REF!</definedName>
    <definedName name="End_10" localSheetId="34">#REF!</definedName>
    <definedName name="End_10" localSheetId="22">#REF!</definedName>
    <definedName name="End_10" localSheetId="25">#REF!</definedName>
    <definedName name="End_10" localSheetId="31">#REF!</definedName>
    <definedName name="End_10" localSheetId="27">#REF!</definedName>
    <definedName name="End_10" localSheetId="29">#REF!</definedName>
    <definedName name="End_10" localSheetId="43">#REF!</definedName>
    <definedName name="End_10" localSheetId="12">#REF!</definedName>
    <definedName name="End_10" localSheetId="23">#REF!</definedName>
    <definedName name="End_10" localSheetId="38">#REF!</definedName>
    <definedName name="End_10" localSheetId="40">#REF!</definedName>
    <definedName name="End_10" localSheetId="32">#REF!</definedName>
    <definedName name="End_10" localSheetId="16">#REF!</definedName>
    <definedName name="End_10" localSheetId="18">#REF!</definedName>
    <definedName name="End_10">#REF!</definedName>
    <definedName name="End_11" localSheetId="6">#REF!</definedName>
    <definedName name="End_11" localSheetId="52">#REF!</definedName>
    <definedName name="End_11" localSheetId="46">#REF!</definedName>
    <definedName name="End_11" localSheetId="34">#REF!</definedName>
    <definedName name="End_11" localSheetId="22">#REF!</definedName>
    <definedName name="End_11" localSheetId="25">#REF!</definedName>
    <definedName name="End_11" localSheetId="31">#REF!</definedName>
    <definedName name="End_11" localSheetId="27">#REF!</definedName>
    <definedName name="End_11" localSheetId="29">#REF!</definedName>
    <definedName name="End_11" localSheetId="43">#REF!</definedName>
    <definedName name="End_11" localSheetId="12">#REF!</definedName>
    <definedName name="End_11" localSheetId="23">#REF!</definedName>
    <definedName name="End_11" localSheetId="38">#REF!</definedName>
    <definedName name="End_11" localSheetId="40">#REF!</definedName>
    <definedName name="End_11" localSheetId="32">#REF!</definedName>
    <definedName name="End_11" localSheetId="16">#REF!</definedName>
    <definedName name="End_11" localSheetId="18">#REF!</definedName>
    <definedName name="End_11">#REF!</definedName>
    <definedName name="End_12" localSheetId="6">#REF!</definedName>
    <definedName name="End_12" localSheetId="52">#REF!</definedName>
    <definedName name="End_12" localSheetId="46">#REF!</definedName>
    <definedName name="End_12" localSheetId="34">#REF!</definedName>
    <definedName name="End_12" localSheetId="22">#REF!</definedName>
    <definedName name="End_12" localSheetId="25">#REF!</definedName>
    <definedName name="End_12" localSheetId="31">#REF!</definedName>
    <definedName name="End_12" localSheetId="27">#REF!</definedName>
    <definedName name="End_12" localSheetId="29">#REF!</definedName>
    <definedName name="End_12" localSheetId="43">#REF!</definedName>
    <definedName name="End_12" localSheetId="12">#REF!</definedName>
    <definedName name="End_12" localSheetId="23">#REF!</definedName>
    <definedName name="End_12" localSheetId="38">#REF!</definedName>
    <definedName name="End_12" localSheetId="40">#REF!</definedName>
    <definedName name="End_12" localSheetId="32">#REF!</definedName>
    <definedName name="End_12" localSheetId="16">#REF!</definedName>
    <definedName name="End_12" localSheetId="18">#REF!</definedName>
    <definedName name="End_12">#REF!</definedName>
    <definedName name="End_13" localSheetId="6">#REF!</definedName>
    <definedName name="End_13" localSheetId="52">#REF!</definedName>
    <definedName name="End_13" localSheetId="46">#REF!</definedName>
    <definedName name="End_13" localSheetId="34">#REF!</definedName>
    <definedName name="End_13" localSheetId="22">#REF!</definedName>
    <definedName name="End_13" localSheetId="25">#REF!</definedName>
    <definedName name="End_13" localSheetId="31">#REF!</definedName>
    <definedName name="End_13" localSheetId="27">#REF!</definedName>
    <definedName name="End_13" localSheetId="29">#REF!</definedName>
    <definedName name="End_13" localSheetId="43">#REF!</definedName>
    <definedName name="End_13" localSheetId="12">#REF!</definedName>
    <definedName name="End_13" localSheetId="23">#REF!</definedName>
    <definedName name="End_13" localSheetId="38">#REF!</definedName>
    <definedName name="End_13" localSheetId="40">#REF!</definedName>
    <definedName name="End_13" localSheetId="32">#REF!</definedName>
    <definedName name="End_13" localSheetId="16">#REF!</definedName>
    <definedName name="End_13" localSheetId="18">#REF!</definedName>
    <definedName name="End_13">#REF!</definedName>
    <definedName name="End_2" localSheetId="6">#REF!</definedName>
    <definedName name="End_2" localSheetId="52">#REF!</definedName>
    <definedName name="End_2" localSheetId="46">#REF!</definedName>
    <definedName name="End_2" localSheetId="34">#REF!</definedName>
    <definedName name="End_2" localSheetId="22">#REF!</definedName>
    <definedName name="End_2" localSheetId="25">#REF!</definedName>
    <definedName name="End_2" localSheetId="31">#REF!</definedName>
    <definedName name="End_2" localSheetId="27">#REF!</definedName>
    <definedName name="End_2" localSheetId="29">#REF!</definedName>
    <definedName name="End_2" localSheetId="43">#REF!</definedName>
    <definedName name="End_2" localSheetId="12">#REF!</definedName>
    <definedName name="End_2" localSheetId="23">#REF!</definedName>
    <definedName name="End_2" localSheetId="38">#REF!</definedName>
    <definedName name="End_2" localSheetId="40">#REF!</definedName>
    <definedName name="End_2" localSheetId="32">#REF!</definedName>
    <definedName name="End_2" localSheetId="16">#REF!</definedName>
    <definedName name="End_2" localSheetId="18">#REF!</definedName>
    <definedName name="End_2">#REF!</definedName>
    <definedName name="End_3" localSheetId="6">#REF!</definedName>
    <definedName name="End_3" localSheetId="52">#REF!</definedName>
    <definedName name="End_3" localSheetId="46">#REF!</definedName>
    <definedName name="End_3" localSheetId="34">#REF!</definedName>
    <definedName name="End_3" localSheetId="22">#REF!</definedName>
    <definedName name="End_3" localSheetId="25">#REF!</definedName>
    <definedName name="End_3" localSheetId="31">#REF!</definedName>
    <definedName name="End_3" localSheetId="27">#REF!</definedName>
    <definedName name="End_3" localSheetId="29">#REF!</definedName>
    <definedName name="End_3" localSheetId="43">#REF!</definedName>
    <definedName name="End_3" localSheetId="12">#REF!</definedName>
    <definedName name="End_3" localSheetId="23">#REF!</definedName>
    <definedName name="End_3" localSheetId="38">#REF!</definedName>
    <definedName name="End_3" localSheetId="40">#REF!</definedName>
    <definedName name="End_3" localSheetId="32">#REF!</definedName>
    <definedName name="End_3" localSheetId="16">#REF!</definedName>
    <definedName name="End_3" localSheetId="18">#REF!</definedName>
    <definedName name="End_3">#REF!</definedName>
    <definedName name="End_4" localSheetId="6">#REF!</definedName>
    <definedName name="End_4" localSheetId="52">#REF!</definedName>
    <definedName name="End_4" localSheetId="46">#REF!</definedName>
    <definedName name="End_4" localSheetId="34">#REF!</definedName>
    <definedName name="End_4" localSheetId="22">#REF!</definedName>
    <definedName name="End_4" localSheetId="25">#REF!</definedName>
    <definedName name="End_4" localSheetId="31">#REF!</definedName>
    <definedName name="End_4" localSheetId="27">#REF!</definedName>
    <definedName name="End_4" localSheetId="29">#REF!</definedName>
    <definedName name="End_4" localSheetId="43">#REF!</definedName>
    <definedName name="End_4" localSheetId="12">#REF!</definedName>
    <definedName name="End_4" localSheetId="23">#REF!</definedName>
    <definedName name="End_4" localSheetId="38">#REF!</definedName>
    <definedName name="End_4" localSheetId="40">#REF!</definedName>
    <definedName name="End_4" localSheetId="32">#REF!</definedName>
    <definedName name="End_4" localSheetId="16">#REF!</definedName>
    <definedName name="End_4" localSheetId="18">#REF!</definedName>
    <definedName name="End_4">#REF!</definedName>
    <definedName name="End_5" localSheetId="6">#REF!</definedName>
    <definedName name="End_5" localSheetId="52">#REF!</definedName>
    <definedName name="End_5" localSheetId="46">#REF!</definedName>
    <definedName name="End_5" localSheetId="34">#REF!</definedName>
    <definedName name="End_5" localSheetId="22">#REF!</definedName>
    <definedName name="End_5" localSheetId="25">#REF!</definedName>
    <definedName name="End_5" localSheetId="31">#REF!</definedName>
    <definedName name="End_5" localSheetId="27">#REF!</definedName>
    <definedName name="End_5" localSheetId="29">#REF!</definedName>
    <definedName name="End_5" localSheetId="43">#REF!</definedName>
    <definedName name="End_5" localSheetId="12">#REF!</definedName>
    <definedName name="End_5" localSheetId="23">#REF!</definedName>
    <definedName name="End_5" localSheetId="38">#REF!</definedName>
    <definedName name="End_5" localSheetId="40">#REF!</definedName>
    <definedName name="End_5" localSheetId="32">#REF!</definedName>
    <definedName name="End_5" localSheetId="16">#REF!</definedName>
    <definedName name="End_5" localSheetId="18">#REF!</definedName>
    <definedName name="End_5">#REF!</definedName>
    <definedName name="End_6" localSheetId="6">#REF!</definedName>
    <definedName name="End_6" localSheetId="52">#REF!</definedName>
    <definedName name="End_6" localSheetId="46">#REF!</definedName>
    <definedName name="End_6" localSheetId="34">#REF!</definedName>
    <definedName name="End_6" localSheetId="22">#REF!</definedName>
    <definedName name="End_6" localSheetId="25">#REF!</definedName>
    <definedName name="End_6" localSheetId="31">#REF!</definedName>
    <definedName name="End_6" localSheetId="27">#REF!</definedName>
    <definedName name="End_6" localSheetId="29">#REF!</definedName>
    <definedName name="End_6" localSheetId="43">#REF!</definedName>
    <definedName name="End_6" localSheetId="12">#REF!</definedName>
    <definedName name="End_6" localSheetId="23">#REF!</definedName>
    <definedName name="End_6" localSheetId="38">#REF!</definedName>
    <definedName name="End_6" localSheetId="40">#REF!</definedName>
    <definedName name="End_6" localSheetId="32">#REF!</definedName>
    <definedName name="End_6" localSheetId="16">#REF!</definedName>
    <definedName name="End_6" localSheetId="18">#REF!</definedName>
    <definedName name="End_6">#REF!</definedName>
    <definedName name="End_7" localSheetId="6">#REF!</definedName>
    <definedName name="End_7" localSheetId="52">#REF!</definedName>
    <definedName name="End_7" localSheetId="46">#REF!</definedName>
    <definedName name="End_7" localSheetId="34">#REF!</definedName>
    <definedName name="End_7" localSheetId="22">#REF!</definedName>
    <definedName name="End_7" localSheetId="25">#REF!</definedName>
    <definedName name="End_7" localSheetId="31">#REF!</definedName>
    <definedName name="End_7" localSheetId="27">#REF!</definedName>
    <definedName name="End_7" localSheetId="29">#REF!</definedName>
    <definedName name="End_7" localSheetId="43">#REF!</definedName>
    <definedName name="End_7" localSheetId="12">#REF!</definedName>
    <definedName name="End_7" localSheetId="23">#REF!</definedName>
    <definedName name="End_7" localSheetId="38">#REF!</definedName>
    <definedName name="End_7" localSheetId="40">#REF!</definedName>
    <definedName name="End_7" localSheetId="32">#REF!</definedName>
    <definedName name="End_7" localSheetId="16">#REF!</definedName>
    <definedName name="End_7" localSheetId="18">#REF!</definedName>
    <definedName name="End_7">#REF!</definedName>
    <definedName name="End_8" localSheetId="6">#REF!</definedName>
    <definedName name="End_8" localSheetId="52">#REF!</definedName>
    <definedName name="End_8" localSheetId="46">#REF!</definedName>
    <definedName name="End_8" localSheetId="34">#REF!</definedName>
    <definedName name="End_8" localSheetId="22">#REF!</definedName>
    <definedName name="End_8" localSheetId="25">#REF!</definedName>
    <definedName name="End_8" localSheetId="31">#REF!</definedName>
    <definedName name="End_8" localSheetId="27">#REF!</definedName>
    <definedName name="End_8" localSheetId="29">#REF!</definedName>
    <definedName name="End_8" localSheetId="43">#REF!</definedName>
    <definedName name="End_8" localSheetId="12">#REF!</definedName>
    <definedName name="End_8" localSheetId="23">#REF!</definedName>
    <definedName name="End_8" localSheetId="38">#REF!</definedName>
    <definedName name="End_8" localSheetId="40">#REF!</definedName>
    <definedName name="End_8" localSheetId="32">#REF!</definedName>
    <definedName name="End_8" localSheetId="16">#REF!</definedName>
    <definedName name="End_8" localSheetId="18">#REF!</definedName>
    <definedName name="End_8">#REF!</definedName>
    <definedName name="End_9" localSheetId="6">#REF!</definedName>
    <definedName name="End_9" localSheetId="52">#REF!</definedName>
    <definedName name="End_9" localSheetId="46">#REF!</definedName>
    <definedName name="End_9" localSheetId="34">#REF!</definedName>
    <definedName name="End_9" localSheetId="22">#REF!</definedName>
    <definedName name="End_9" localSheetId="25">#REF!</definedName>
    <definedName name="End_9" localSheetId="31">#REF!</definedName>
    <definedName name="End_9" localSheetId="27">#REF!</definedName>
    <definedName name="End_9" localSheetId="29">#REF!</definedName>
    <definedName name="End_9" localSheetId="43">#REF!</definedName>
    <definedName name="End_9" localSheetId="12">#REF!</definedName>
    <definedName name="End_9" localSheetId="23">#REF!</definedName>
    <definedName name="End_9" localSheetId="38">#REF!</definedName>
    <definedName name="End_9" localSheetId="40">#REF!</definedName>
    <definedName name="End_9" localSheetId="32">#REF!</definedName>
    <definedName name="End_9" localSheetId="16">#REF!</definedName>
    <definedName name="End_9" localSheetId="18">#REF!</definedName>
    <definedName name="End_9">#REF!</definedName>
    <definedName name="FACTOR" localSheetId="6">#REF!</definedName>
    <definedName name="FACTOR" localSheetId="52">#REF!</definedName>
    <definedName name="FACTOR" localSheetId="46">#REF!</definedName>
    <definedName name="FACTOR" localSheetId="34">#REF!</definedName>
    <definedName name="FACTOR" localSheetId="22">#REF!</definedName>
    <definedName name="FACTOR" localSheetId="25">#REF!</definedName>
    <definedName name="FACTOR" localSheetId="31">#REF!</definedName>
    <definedName name="FACTOR" localSheetId="27">#REF!</definedName>
    <definedName name="FACTOR" localSheetId="29">#REF!</definedName>
    <definedName name="FACTOR" localSheetId="43">#REF!</definedName>
    <definedName name="FACTOR" localSheetId="12">#REF!</definedName>
    <definedName name="FACTOR" localSheetId="23">#REF!</definedName>
    <definedName name="FACTOR" localSheetId="38">#REF!</definedName>
    <definedName name="FACTOR" localSheetId="40">#REF!</definedName>
    <definedName name="FACTOR" localSheetId="32">#REF!</definedName>
    <definedName name="FACTOR" localSheetId="16">#REF!</definedName>
    <definedName name="FACTOR" localSheetId="18">#REF!</definedName>
    <definedName name="FACTOR">#REF!</definedName>
    <definedName name="heso" localSheetId="6">#REF!</definedName>
    <definedName name="heso" localSheetId="52">#REF!</definedName>
    <definedName name="heso" localSheetId="46">#REF!</definedName>
    <definedName name="heso" localSheetId="34">#REF!</definedName>
    <definedName name="heso" localSheetId="22">#REF!</definedName>
    <definedName name="heso" localSheetId="25">#REF!</definedName>
    <definedName name="heso" localSheetId="31">#REF!</definedName>
    <definedName name="heso" localSheetId="27">#REF!</definedName>
    <definedName name="heso" localSheetId="29">#REF!</definedName>
    <definedName name="heso" localSheetId="43">#REF!</definedName>
    <definedName name="heso" localSheetId="12">#REF!</definedName>
    <definedName name="heso" localSheetId="23">#REF!</definedName>
    <definedName name="heso" localSheetId="38">#REF!</definedName>
    <definedName name="heso" localSheetId="40">#REF!</definedName>
    <definedName name="heso" localSheetId="32">#REF!</definedName>
    <definedName name="heso" localSheetId="16">#REF!</definedName>
    <definedName name="heso" localSheetId="18">#REF!</definedName>
    <definedName name="heso">#REF!</definedName>
    <definedName name="HOME_MANP" localSheetId="6">#REF!</definedName>
    <definedName name="HOME_MANP" localSheetId="52">#REF!</definedName>
    <definedName name="HOME_MANP" localSheetId="46">#REF!</definedName>
    <definedName name="HOME_MANP" localSheetId="34">#REF!</definedName>
    <definedName name="HOME_MANP" localSheetId="22">#REF!</definedName>
    <definedName name="HOME_MANP" localSheetId="25">#REF!</definedName>
    <definedName name="HOME_MANP" localSheetId="31">#REF!</definedName>
    <definedName name="HOME_MANP" localSheetId="27">#REF!</definedName>
    <definedName name="HOME_MANP" localSheetId="29">#REF!</definedName>
    <definedName name="HOME_MANP" localSheetId="43">#REF!</definedName>
    <definedName name="HOME_MANP" localSheetId="12">#REF!</definedName>
    <definedName name="HOME_MANP" localSheetId="23">#REF!</definedName>
    <definedName name="HOME_MANP" localSheetId="38">#REF!</definedName>
    <definedName name="HOME_MANP" localSheetId="40">#REF!</definedName>
    <definedName name="HOME_MANP" localSheetId="32">#REF!</definedName>
    <definedName name="HOME_MANP" localSheetId="16">#REF!</definedName>
    <definedName name="HOME_MANP" localSheetId="18">#REF!</definedName>
    <definedName name="HOME_MANP">#REF!</definedName>
    <definedName name="HOMEOFFICE_COST" localSheetId="6">#REF!</definedName>
    <definedName name="HOMEOFFICE_COST" localSheetId="52">#REF!</definedName>
    <definedName name="HOMEOFFICE_COST" localSheetId="46">#REF!</definedName>
    <definedName name="HOMEOFFICE_COST" localSheetId="34">#REF!</definedName>
    <definedName name="HOMEOFFICE_COST" localSheetId="22">#REF!</definedName>
    <definedName name="HOMEOFFICE_COST" localSheetId="25">#REF!</definedName>
    <definedName name="HOMEOFFICE_COST" localSheetId="31">#REF!</definedName>
    <definedName name="HOMEOFFICE_COST" localSheetId="27">#REF!</definedName>
    <definedName name="HOMEOFFICE_COST" localSheetId="29">#REF!</definedName>
    <definedName name="HOMEOFFICE_COST" localSheetId="43">#REF!</definedName>
    <definedName name="HOMEOFFICE_COST" localSheetId="12">#REF!</definedName>
    <definedName name="HOMEOFFICE_COST" localSheetId="23">#REF!</definedName>
    <definedName name="HOMEOFFICE_COST" localSheetId="38">#REF!</definedName>
    <definedName name="HOMEOFFICE_COST" localSheetId="40">#REF!</definedName>
    <definedName name="HOMEOFFICE_COST" localSheetId="32">#REF!</definedName>
    <definedName name="HOMEOFFICE_COST" localSheetId="16">#REF!</definedName>
    <definedName name="HOMEOFFICE_COST" localSheetId="18">#REF!</definedName>
    <definedName name="HOMEOFFICE_COST">#REF!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6">#REF!</definedName>
    <definedName name="IDLAB_COST" localSheetId="52">#REF!</definedName>
    <definedName name="IDLAB_COST" localSheetId="46">#REF!</definedName>
    <definedName name="IDLAB_COST" localSheetId="34">#REF!</definedName>
    <definedName name="IDLAB_COST" localSheetId="22">#REF!</definedName>
    <definedName name="IDLAB_COST" localSheetId="25">#REF!</definedName>
    <definedName name="IDLAB_COST" localSheetId="31">#REF!</definedName>
    <definedName name="IDLAB_COST" localSheetId="27">#REF!</definedName>
    <definedName name="IDLAB_COST" localSheetId="29">#REF!</definedName>
    <definedName name="IDLAB_COST" localSheetId="43">#REF!</definedName>
    <definedName name="IDLAB_COST" localSheetId="12">#REF!</definedName>
    <definedName name="IDLAB_COST" localSheetId="23">#REF!</definedName>
    <definedName name="IDLAB_COST" localSheetId="38">#REF!</definedName>
    <definedName name="IDLAB_COST" localSheetId="40">#REF!</definedName>
    <definedName name="IDLAB_COST" localSheetId="32">#REF!</definedName>
    <definedName name="IDLAB_COST" localSheetId="16">#REF!</definedName>
    <definedName name="IDLAB_COST" localSheetId="18">#REF!</definedName>
    <definedName name="IDLAB_COST">#REF!</definedName>
    <definedName name="IND_LAB" localSheetId="6">#REF!</definedName>
    <definedName name="IND_LAB" localSheetId="52">#REF!</definedName>
    <definedName name="IND_LAB" localSheetId="46">#REF!</definedName>
    <definedName name="IND_LAB" localSheetId="34">#REF!</definedName>
    <definedName name="IND_LAB" localSheetId="22">#REF!</definedName>
    <definedName name="IND_LAB" localSheetId="25">#REF!</definedName>
    <definedName name="IND_LAB" localSheetId="31">#REF!</definedName>
    <definedName name="IND_LAB" localSheetId="27">#REF!</definedName>
    <definedName name="IND_LAB" localSheetId="29">#REF!</definedName>
    <definedName name="IND_LAB" localSheetId="43">#REF!</definedName>
    <definedName name="IND_LAB" localSheetId="12">#REF!</definedName>
    <definedName name="IND_LAB" localSheetId="23">#REF!</definedName>
    <definedName name="IND_LAB" localSheetId="38">#REF!</definedName>
    <definedName name="IND_LAB" localSheetId="40">#REF!</definedName>
    <definedName name="IND_LAB" localSheetId="32">#REF!</definedName>
    <definedName name="IND_LAB" localSheetId="16">#REF!</definedName>
    <definedName name="IND_LAB" localSheetId="18">#REF!</definedName>
    <definedName name="IND_LAB">#REF!</definedName>
    <definedName name="INDMANP" localSheetId="6">#REF!</definedName>
    <definedName name="INDMANP" localSheetId="52">#REF!</definedName>
    <definedName name="INDMANP" localSheetId="46">#REF!</definedName>
    <definedName name="INDMANP" localSheetId="34">#REF!</definedName>
    <definedName name="INDMANP" localSheetId="22">#REF!</definedName>
    <definedName name="INDMANP" localSheetId="25">#REF!</definedName>
    <definedName name="INDMANP" localSheetId="31">#REF!</definedName>
    <definedName name="INDMANP" localSheetId="27">#REF!</definedName>
    <definedName name="INDMANP" localSheetId="29">#REF!</definedName>
    <definedName name="INDMANP" localSheetId="43">#REF!</definedName>
    <definedName name="INDMANP" localSheetId="12">#REF!</definedName>
    <definedName name="INDMANP" localSheetId="23">#REF!</definedName>
    <definedName name="INDMANP" localSheetId="38">#REF!</definedName>
    <definedName name="INDMANP" localSheetId="40">#REF!</definedName>
    <definedName name="INDMANP" localSheetId="32">#REF!</definedName>
    <definedName name="INDMANP" localSheetId="16">#REF!</definedName>
    <definedName name="INDMANP" localSheetId="18">#REF!</definedName>
    <definedName name="INDMANP">#REF!</definedName>
    <definedName name="K" localSheetId="6">#REF!</definedName>
    <definedName name="K" localSheetId="52">#REF!</definedName>
    <definedName name="K" localSheetId="46">#REF!</definedName>
    <definedName name="K" localSheetId="34">#REF!</definedName>
    <definedName name="K" localSheetId="22">#REF!</definedName>
    <definedName name="K" localSheetId="25">#REF!</definedName>
    <definedName name="K" localSheetId="31">#REF!</definedName>
    <definedName name="K" localSheetId="27">#REF!</definedName>
    <definedName name="K" localSheetId="29">#REF!</definedName>
    <definedName name="K" localSheetId="43">#REF!</definedName>
    <definedName name="K" localSheetId="12">#REF!</definedName>
    <definedName name="K" localSheetId="23">#REF!</definedName>
    <definedName name="K" localSheetId="38">#REF!</definedName>
    <definedName name="K" localSheetId="40">#REF!</definedName>
    <definedName name="K" localSheetId="32">#REF!</definedName>
    <definedName name="K" localSheetId="16">#REF!</definedName>
    <definedName name="K" localSheetId="18">#REF!</definedName>
    <definedName name="K">#REF!</definedName>
    <definedName name="KVC" localSheetId="6">#REF!</definedName>
    <definedName name="KVC" localSheetId="52">#REF!</definedName>
    <definedName name="KVC" localSheetId="46">#REF!</definedName>
    <definedName name="KVC" localSheetId="34">#REF!</definedName>
    <definedName name="KVC" localSheetId="22">#REF!</definedName>
    <definedName name="KVC" localSheetId="25">#REF!</definedName>
    <definedName name="KVC" localSheetId="31">#REF!</definedName>
    <definedName name="KVC" localSheetId="27">#REF!</definedName>
    <definedName name="KVC" localSheetId="29">#REF!</definedName>
    <definedName name="KVC" localSheetId="43">#REF!</definedName>
    <definedName name="KVC" localSheetId="12">#REF!</definedName>
    <definedName name="KVC" localSheetId="23">#REF!</definedName>
    <definedName name="KVC" localSheetId="38">#REF!</definedName>
    <definedName name="KVC" localSheetId="40">#REF!</definedName>
    <definedName name="KVC" localSheetId="32">#REF!</definedName>
    <definedName name="KVC" localSheetId="16">#REF!</definedName>
    <definedName name="KVC" localSheetId="18">#REF!</definedName>
    <definedName name="KVC">#REF!</definedName>
    <definedName name="L" localSheetId="6">#REF!</definedName>
    <definedName name="L" localSheetId="52">#REF!</definedName>
    <definedName name="L" localSheetId="46">#REF!</definedName>
    <definedName name="L" localSheetId="34">#REF!</definedName>
    <definedName name="L" localSheetId="22">#REF!</definedName>
    <definedName name="L" localSheetId="25">#REF!</definedName>
    <definedName name="L" localSheetId="31">#REF!</definedName>
    <definedName name="L" localSheetId="27">#REF!</definedName>
    <definedName name="L" localSheetId="29">#REF!</definedName>
    <definedName name="L" localSheetId="43">#REF!</definedName>
    <definedName name="L" localSheetId="12">#REF!</definedName>
    <definedName name="L" localSheetId="23">#REF!</definedName>
    <definedName name="L" localSheetId="38">#REF!</definedName>
    <definedName name="L" localSheetId="40">#REF!</definedName>
    <definedName name="L" localSheetId="32">#REF!</definedName>
    <definedName name="L" localSheetId="16">#REF!</definedName>
    <definedName name="L" localSheetId="18">#REF!</definedName>
    <definedName name="L">#REF!</definedName>
    <definedName name="LastYearNT" localSheetId="6">#REF!</definedName>
    <definedName name="LastYearNT" localSheetId="52">#REF!</definedName>
    <definedName name="LastYearNT" localSheetId="46">#REF!</definedName>
    <definedName name="LastYearNT" localSheetId="34">#REF!</definedName>
    <definedName name="LastYearNT" localSheetId="22">#REF!</definedName>
    <definedName name="LastYearNT" localSheetId="25">#REF!</definedName>
    <definedName name="LastYearNT" localSheetId="31">#REF!</definedName>
    <definedName name="LastYearNT" localSheetId="27">#REF!</definedName>
    <definedName name="LastYearNT" localSheetId="29">#REF!</definedName>
    <definedName name="LastYearNT" localSheetId="43">#REF!</definedName>
    <definedName name="LastYearNT" localSheetId="12">#REF!</definedName>
    <definedName name="LastYearNT" localSheetId="23">#REF!</definedName>
    <definedName name="LastYearNT" localSheetId="38">#REF!</definedName>
    <definedName name="LastYearNT" localSheetId="40">#REF!</definedName>
    <definedName name="LastYearNT" localSheetId="32">#REF!</definedName>
    <definedName name="LastYearNT" localSheetId="16">#REF!</definedName>
    <definedName name="LastYearNT" localSheetId="18">#REF!</definedName>
    <definedName name="LastYearNT">#REF!</definedName>
    <definedName name="LastYearPNT" localSheetId="6">#REF!</definedName>
    <definedName name="LastYearPNT" localSheetId="52">#REF!</definedName>
    <definedName name="LastYearPNT" localSheetId="46">#REF!</definedName>
    <definedName name="LastYearPNT" localSheetId="34">#REF!</definedName>
    <definedName name="LastYearPNT" localSheetId="22">#REF!</definedName>
    <definedName name="LastYearPNT" localSheetId="25">#REF!</definedName>
    <definedName name="LastYearPNT" localSheetId="31">#REF!</definedName>
    <definedName name="LastYearPNT" localSheetId="27">#REF!</definedName>
    <definedName name="LastYearPNT" localSheetId="29">#REF!</definedName>
    <definedName name="LastYearPNT" localSheetId="43">#REF!</definedName>
    <definedName name="LastYearPNT" localSheetId="12">#REF!</definedName>
    <definedName name="LastYearPNT" localSheetId="23">#REF!</definedName>
    <definedName name="LastYearPNT" localSheetId="38">#REF!</definedName>
    <definedName name="LastYearPNT" localSheetId="40">#REF!</definedName>
    <definedName name="LastYearPNT" localSheetId="32">#REF!</definedName>
    <definedName name="LastYearPNT" localSheetId="16">#REF!</definedName>
    <definedName name="LastYearPNT" localSheetId="18">#REF!</definedName>
    <definedName name="LastYearPNT">#REF!</definedName>
    <definedName name="LastYearWSNT" localSheetId="6">#REF!</definedName>
    <definedName name="LastYearWSNT" localSheetId="52">#REF!</definedName>
    <definedName name="LastYearWSNT" localSheetId="46">#REF!</definedName>
    <definedName name="LastYearWSNT" localSheetId="34">#REF!</definedName>
    <definedName name="LastYearWSNT" localSheetId="22">#REF!</definedName>
    <definedName name="LastYearWSNT" localSheetId="25">#REF!</definedName>
    <definedName name="LastYearWSNT" localSheetId="31">#REF!</definedName>
    <definedName name="LastYearWSNT" localSheetId="27">#REF!</definedName>
    <definedName name="LastYearWSNT" localSheetId="29">#REF!</definedName>
    <definedName name="LastYearWSNT" localSheetId="43">#REF!</definedName>
    <definedName name="LastYearWSNT" localSheetId="12">#REF!</definedName>
    <definedName name="LastYearWSNT" localSheetId="23">#REF!</definedName>
    <definedName name="LastYearWSNT" localSheetId="38">#REF!</definedName>
    <definedName name="LastYearWSNT" localSheetId="40">#REF!</definedName>
    <definedName name="LastYearWSNT" localSheetId="32">#REF!</definedName>
    <definedName name="LastYearWSNT" localSheetId="16">#REF!</definedName>
    <definedName name="LastYearWSNT" localSheetId="18">#REF!</definedName>
    <definedName name="LastYearWSNT">#REF!</definedName>
    <definedName name="LastYearWSNTdzo" localSheetId="6">#REF!</definedName>
    <definedName name="LastYearWSNTdzo" localSheetId="52">#REF!</definedName>
    <definedName name="LastYearWSNTdzo" localSheetId="46">#REF!</definedName>
    <definedName name="LastYearWSNTdzo" localSheetId="34">#REF!</definedName>
    <definedName name="LastYearWSNTdzo" localSheetId="22">#REF!</definedName>
    <definedName name="LastYearWSNTdzo" localSheetId="25">#REF!</definedName>
    <definedName name="LastYearWSNTdzo" localSheetId="31">#REF!</definedName>
    <definedName name="LastYearWSNTdzo" localSheetId="27">#REF!</definedName>
    <definedName name="LastYearWSNTdzo" localSheetId="29">#REF!</definedName>
    <definedName name="LastYearWSNTdzo" localSheetId="43">#REF!</definedName>
    <definedName name="LastYearWSNTdzo" localSheetId="12">#REF!</definedName>
    <definedName name="LastYearWSNTdzo" localSheetId="23">#REF!</definedName>
    <definedName name="LastYearWSNTdzo" localSheetId="38">#REF!</definedName>
    <definedName name="LastYearWSNTdzo" localSheetId="40">#REF!</definedName>
    <definedName name="LastYearWSNTdzo" localSheetId="32">#REF!</definedName>
    <definedName name="LastYearWSNTdzo" localSheetId="16">#REF!</definedName>
    <definedName name="LastYearWSNTdzo" localSheetId="18">#REF!</definedName>
    <definedName name="LastYearWSNTdzo">#REF!</definedName>
    <definedName name="lVC" localSheetId="6">#REF!</definedName>
    <definedName name="lVC" localSheetId="52">#REF!</definedName>
    <definedName name="lVC" localSheetId="46">#REF!</definedName>
    <definedName name="lVC" localSheetId="34">#REF!</definedName>
    <definedName name="lVC" localSheetId="22">#REF!</definedName>
    <definedName name="lVC" localSheetId="25">#REF!</definedName>
    <definedName name="lVC" localSheetId="31">#REF!</definedName>
    <definedName name="lVC" localSheetId="27">#REF!</definedName>
    <definedName name="lVC" localSheetId="29">#REF!</definedName>
    <definedName name="lVC" localSheetId="43">#REF!</definedName>
    <definedName name="lVC" localSheetId="12">#REF!</definedName>
    <definedName name="lVC" localSheetId="23">#REF!</definedName>
    <definedName name="lVC" localSheetId="38">#REF!</definedName>
    <definedName name="lVC" localSheetId="40">#REF!</definedName>
    <definedName name="lVC" localSheetId="32">#REF!</definedName>
    <definedName name="lVC" localSheetId="16">#REF!</definedName>
    <definedName name="lVC" localSheetId="18">#REF!</definedName>
    <definedName name="lVC">#REF!</definedName>
    <definedName name="MAJ_CON_EQP" localSheetId="6">#REF!</definedName>
    <definedName name="MAJ_CON_EQP" localSheetId="52">#REF!</definedName>
    <definedName name="MAJ_CON_EQP" localSheetId="46">#REF!</definedName>
    <definedName name="MAJ_CON_EQP" localSheetId="34">#REF!</definedName>
    <definedName name="MAJ_CON_EQP" localSheetId="22">#REF!</definedName>
    <definedName name="MAJ_CON_EQP" localSheetId="25">#REF!</definedName>
    <definedName name="MAJ_CON_EQP" localSheetId="31">#REF!</definedName>
    <definedName name="MAJ_CON_EQP" localSheetId="27">#REF!</definedName>
    <definedName name="MAJ_CON_EQP" localSheetId="29">#REF!</definedName>
    <definedName name="MAJ_CON_EQP" localSheetId="43">#REF!</definedName>
    <definedName name="MAJ_CON_EQP" localSheetId="12">#REF!</definedName>
    <definedName name="MAJ_CON_EQP" localSheetId="23">#REF!</definedName>
    <definedName name="MAJ_CON_EQP" localSheetId="38">#REF!</definedName>
    <definedName name="MAJ_CON_EQP" localSheetId="40">#REF!</definedName>
    <definedName name="MAJ_CON_EQP" localSheetId="32">#REF!</definedName>
    <definedName name="MAJ_CON_EQP" localSheetId="16">#REF!</definedName>
    <definedName name="MAJ_CON_EQP" localSheetId="18">#REF!</definedName>
    <definedName name="MAJ_CON_EQP">#REF!</definedName>
    <definedName name="MG_A" localSheetId="6">#REF!</definedName>
    <definedName name="MG_A" localSheetId="52">#REF!</definedName>
    <definedName name="MG_A" localSheetId="46">#REF!</definedName>
    <definedName name="MG_A" localSheetId="34">#REF!</definedName>
    <definedName name="MG_A" localSheetId="22">#REF!</definedName>
    <definedName name="MG_A" localSheetId="25">#REF!</definedName>
    <definedName name="MG_A" localSheetId="31">#REF!</definedName>
    <definedName name="MG_A" localSheetId="27">#REF!</definedName>
    <definedName name="MG_A" localSheetId="29">#REF!</definedName>
    <definedName name="MG_A" localSheetId="43">#REF!</definedName>
    <definedName name="MG_A" localSheetId="12">#REF!</definedName>
    <definedName name="MG_A" localSheetId="23">#REF!</definedName>
    <definedName name="MG_A" localSheetId="38">#REF!</definedName>
    <definedName name="MG_A" localSheetId="40">#REF!</definedName>
    <definedName name="MG_A" localSheetId="32">#REF!</definedName>
    <definedName name="MG_A" localSheetId="16">#REF!</definedName>
    <definedName name="MG_A" localSheetId="18">#REF!</definedName>
    <definedName name="MG_A">#REF!</definedName>
    <definedName name="MonthTable" localSheetId="6">#REF!</definedName>
    <definedName name="MonthTable" localSheetId="52">#REF!</definedName>
    <definedName name="MonthTable" localSheetId="46">#REF!</definedName>
    <definedName name="MonthTable" localSheetId="34">#REF!</definedName>
    <definedName name="MonthTable" localSheetId="22">#REF!</definedName>
    <definedName name="MonthTable" localSheetId="25">#REF!</definedName>
    <definedName name="MonthTable" localSheetId="31">#REF!</definedName>
    <definedName name="MonthTable" localSheetId="27">#REF!</definedName>
    <definedName name="MonthTable" localSheetId="29">#REF!</definedName>
    <definedName name="MonthTable" localSheetId="43">#REF!</definedName>
    <definedName name="MonthTable" localSheetId="12">#REF!</definedName>
    <definedName name="MonthTable" localSheetId="23">#REF!</definedName>
    <definedName name="MonthTable" localSheetId="38">#REF!</definedName>
    <definedName name="MonthTable" localSheetId="40">#REF!</definedName>
    <definedName name="MonthTable" localSheetId="32">#REF!</definedName>
    <definedName name="MonthTable" localSheetId="16">#REF!</definedName>
    <definedName name="MonthTable" localSheetId="18">#REF!</definedName>
    <definedName name="MonthTable">#REF!</definedName>
    <definedName name="NCcap0.7" localSheetId="6">#REF!</definedName>
    <definedName name="NCcap0.7" localSheetId="52">#REF!</definedName>
    <definedName name="NCcap0.7" localSheetId="46">#REF!</definedName>
    <definedName name="NCcap0.7" localSheetId="34">#REF!</definedName>
    <definedName name="NCcap0.7" localSheetId="22">#REF!</definedName>
    <definedName name="NCcap0.7" localSheetId="25">#REF!</definedName>
    <definedName name="NCcap0.7" localSheetId="31">#REF!</definedName>
    <definedName name="NCcap0.7" localSheetId="27">#REF!</definedName>
    <definedName name="NCcap0.7" localSheetId="29">#REF!</definedName>
    <definedName name="NCcap0.7" localSheetId="43">#REF!</definedName>
    <definedName name="NCcap0.7" localSheetId="12">#REF!</definedName>
    <definedName name="NCcap0.7" localSheetId="23">#REF!</definedName>
    <definedName name="NCcap0.7" localSheetId="38">#REF!</definedName>
    <definedName name="NCcap0.7" localSheetId="40">#REF!</definedName>
    <definedName name="NCcap0.7" localSheetId="32">#REF!</definedName>
    <definedName name="NCcap0.7" localSheetId="16">#REF!</definedName>
    <definedName name="NCcap0.7" localSheetId="18">#REF!</definedName>
    <definedName name="NCcap0.7">#REF!</definedName>
    <definedName name="NCcap1" localSheetId="6">#REF!</definedName>
    <definedName name="NCcap1" localSheetId="52">#REF!</definedName>
    <definedName name="NCcap1" localSheetId="46">#REF!</definedName>
    <definedName name="NCcap1" localSheetId="34">#REF!</definedName>
    <definedName name="NCcap1" localSheetId="22">#REF!</definedName>
    <definedName name="NCcap1" localSheetId="25">#REF!</definedName>
    <definedName name="NCcap1" localSheetId="31">#REF!</definedName>
    <definedName name="NCcap1" localSheetId="27">#REF!</definedName>
    <definedName name="NCcap1" localSheetId="29">#REF!</definedName>
    <definedName name="NCcap1" localSheetId="43">#REF!</definedName>
    <definedName name="NCcap1" localSheetId="12">#REF!</definedName>
    <definedName name="NCcap1" localSheetId="23">#REF!</definedName>
    <definedName name="NCcap1" localSheetId="38">#REF!</definedName>
    <definedName name="NCcap1" localSheetId="40">#REF!</definedName>
    <definedName name="NCcap1" localSheetId="32">#REF!</definedName>
    <definedName name="NCcap1" localSheetId="16">#REF!</definedName>
    <definedName name="NCcap1" localSheetId="18">#REF!</definedName>
    <definedName name="NCcap1">#REF!</definedName>
    <definedName name="NET" localSheetId="6">#REF!</definedName>
    <definedName name="NET" localSheetId="52">#REF!</definedName>
    <definedName name="NET" localSheetId="46">#REF!</definedName>
    <definedName name="NET" localSheetId="34">#REF!</definedName>
    <definedName name="NET" localSheetId="22">#REF!</definedName>
    <definedName name="NET" localSheetId="25">#REF!</definedName>
    <definedName name="NET" localSheetId="31">#REF!</definedName>
    <definedName name="NET" localSheetId="27">#REF!</definedName>
    <definedName name="NET" localSheetId="29">#REF!</definedName>
    <definedName name="NET" localSheetId="43">#REF!</definedName>
    <definedName name="NET" localSheetId="12">#REF!</definedName>
    <definedName name="NET" localSheetId="23">#REF!</definedName>
    <definedName name="NET" localSheetId="38">#REF!</definedName>
    <definedName name="NET" localSheetId="40">#REF!</definedName>
    <definedName name="NET" localSheetId="32">#REF!</definedName>
    <definedName name="NET" localSheetId="16">#REF!</definedName>
    <definedName name="NET" localSheetId="18">#REF!</definedName>
    <definedName name="NET">#REF!</definedName>
    <definedName name="NET_1" localSheetId="6">#REF!</definedName>
    <definedName name="NET_1" localSheetId="52">#REF!</definedName>
    <definedName name="NET_1" localSheetId="46">#REF!</definedName>
    <definedName name="NET_1" localSheetId="34">#REF!</definedName>
    <definedName name="NET_1" localSheetId="22">#REF!</definedName>
    <definedName name="NET_1" localSheetId="25">#REF!</definedName>
    <definedName name="NET_1" localSheetId="31">#REF!</definedName>
    <definedName name="NET_1" localSheetId="27">#REF!</definedName>
    <definedName name="NET_1" localSheetId="29">#REF!</definedName>
    <definedName name="NET_1" localSheetId="43">#REF!</definedName>
    <definedName name="NET_1" localSheetId="12">#REF!</definedName>
    <definedName name="NET_1" localSheetId="23">#REF!</definedName>
    <definedName name="NET_1" localSheetId="38">#REF!</definedName>
    <definedName name="NET_1" localSheetId="40">#REF!</definedName>
    <definedName name="NET_1" localSheetId="32">#REF!</definedName>
    <definedName name="NET_1" localSheetId="16">#REF!</definedName>
    <definedName name="NET_1" localSheetId="18">#REF!</definedName>
    <definedName name="NET_1">#REF!</definedName>
    <definedName name="NET_ANA" localSheetId="6">#REF!</definedName>
    <definedName name="NET_ANA" localSheetId="52">#REF!</definedName>
    <definedName name="NET_ANA" localSheetId="46">#REF!</definedName>
    <definedName name="NET_ANA" localSheetId="34">#REF!</definedName>
    <definedName name="NET_ANA" localSheetId="22">#REF!</definedName>
    <definedName name="NET_ANA" localSheetId="25">#REF!</definedName>
    <definedName name="NET_ANA" localSheetId="31">#REF!</definedName>
    <definedName name="NET_ANA" localSheetId="27">#REF!</definedName>
    <definedName name="NET_ANA" localSheetId="29">#REF!</definedName>
    <definedName name="NET_ANA" localSheetId="43">#REF!</definedName>
    <definedName name="NET_ANA" localSheetId="12">#REF!</definedName>
    <definedName name="NET_ANA" localSheetId="23">#REF!</definedName>
    <definedName name="NET_ANA" localSheetId="38">#REF!</definedName>
    <definedName name="NET_ANA" localSheetId="40">#REF!</definedName>
    <definedName name="NET_ANA" localSheetId="32">#REF!</definedName>
    <definedName name="NET_ANA" localSheetId="16">#REF!</definedName>
    <definedName name="NET_ANA" localSheetId="18">#REF!</definedName>
    <definedName name="NET_ANA">#REF!</definedName>
    <definedName name="NET_ANA_1" localSheetId="6">#REF!</definedName>
    <definedName name="NET_ANA_1" localSheetId="52">#REF!</definedName>
    <definedName name="NET_ANA_1" localSheetId="46">#REF!</definedName>
    <definedName name="NET_ANA_1" localSheetId="34">#REF!</definedName>
    <definedName name="NET_ANA_1" localSheetId="22">#REF!</definedName>
    <definedName name="NET_ANA_1" localSheetId="25">#REF!</definedName>
    <definedName name="NET_ANA_1" localSheetId="31">#REF!</definedName>
    <definedName name="NET_ANA_1" localSheetId="27">#REF!</definedName>
    <definedName name="NET_ANA_1" localSheetId="29">#REF!</definedName>
    <definedName name="NET_ANA_1" localSheetId="43">#REF!</definedName>
    <definedName name="NET_ANA_1" localSheetId="12">#REF!</definedName>
    <definedName name="NET_ANA_1" localSheetId="23">#REF!</definedName>
    <definedName name="NET_ANA_1" localSheetId="38">#REF!</definedName>
    <definedName name="NET_ANA_1" localSheetId="40">#REF!</definedName>
    <definedName name="NET_ANA_1" localSheetId="32">#REF!</definedName>
    <definedName name="NET_ANA_1" localSheetId="16">#REF!</definedName>
    <definedName name="NET_ANA_1" localSheetId="18">#REF!</definedName>
    <definedName name="NET_ANA_1">#REF!</definedName>
    <definedName name="NET_ANA_2" localSheetId="6">#REF!</definedName>
    <definedName name="NET_ANA_2" localSheetId="52">#REF!</definedName>
    <definedName name="NET_ANA_2" localSheetId="46">#REF!</definedName>
    <definedName name="NET_ANA_2" localSheetId="34">#REF!</definedName>
    <definedName name="NET_ANA_2" localSheetId="22">#REF!</definedName>
    <definedName name="NET_ANA_2" localSheetId="25">#REF!</definedName>
    <definedName name="NET_ANA_2" localSheetId="31">#REF!</definedName>
    <definedName name="NET_ANA_2" localSheetId="27">#REF!</definedName>
    <definedName name="NET_ANA_2" localSheetId="29">#REF!</definedName>
    <definedName name="NET_ANA_2" localSheetId="43">#REF!</definedName>
    <definedName name="NET_ANA_2" localSheetId="12">#REF!</definedName>
    <definedName name="NET_ANA_2" localSheetId="23">#REF!</definedName>
    <definedName name="NET_ANA_2" localSheetId="38">#REF!</definedName>
    <definedName name="NET_ANA_2" localSheetId="40">#REF!</definedName>
    <definedName name="NET_ANA_2" localSheetId="32">#REF!</definedName>
    <definedName name="NET_ANA_2" localSheetId="16">#REF!</definedName>
    <definedName name="NET_ANA_2" localSheetId="18">#REF!</definedName>
    <definedName name="NET_ANA_2">#REF!</definedName>
    <definedName name="PRICE" localSheetId="6">#REF!</definedName>
    <definedName name="PRICE" localSheetId="52">#REF!</definedName>
    <definedName name="PRICE" localSheetId="46">#REF!</definedName>
    <definedName name="PRICE" localSheetId="34">#REF!</definedName>
    <definedName name="PRICE" localSheetId="22">#REF!</definedName>
    <definedName name="PRICE" localSheetId="25">#REF!</definedName>
    <definedName name="PRICE" localSheetId="31">#REF!</definedName>
    <definedName name="PRICE" localSheetId="27">#REF!</definedName>
    <definedName name="PRICE" localSheetId="29">#REF!</definedName>
    <definedName name="PRICE" localSheetId="43">#REF!</definedName>
    <definedName name="PRICE" localSheetId="12">#REF!</definedName>
    <definedName name="PRICE" localSheetId="23">#REF!</definedName>
    <definedName name="PRICE" localSheetId="38">#REF!</definedName>
    <definedName name="PRICE" localSheetId="40">#REF!</definedName>
    <definedName name="PRICE" localSheetId="32">#REF!</definedName>
    <definedName name="PRICE" localSheetId="16">#REF!</definedName>
    <definedName name="PRICE" localSheetId="18">#REF!</definedName>
    <definedName name="PRICE">#REF!</definedName>
    <definedName name="PRICE1" localSheetId="6">#REF!</definedName>
    <definedName name="PRICE1" localSheetId="52">#REF!</definedName>
    <definedName name="PRICE1" localSheetId="46">#REF!</definedName>
    <definedName name="PRICE1" localSheetId="34">#REF!</definedName>
    <definedName name="PRICE1" localSheetId="22">#REF!</definedName>
    <definedName name="PRICE1" localSheetId="25">#REF!</definedName>
    <definedName name="PRICE1" localSheetId="31">#REF!</definedName>
    <definedName name="PRICE1" localSheetId="27">#REF!</definedName>
    <definedName name="PRICE1" localSheetId="29">#REF!</definedName>
    <definedName name="PRICE1" localSheetId="43">#REF!</definedName>
    <definedName name="PRICE1" localSheetId="12">#REF!</definedName>
    <definedName name="PRICE1" localSheetId="23">#REF!</definedName>
    <definedName name="PRICE1" localSheetId="38">#REF!</definedName>
    <definedName name="PRICE1" localSheetId="40">#REF!</definedName>
    <definedName name="PRICE1" localSheetId="32">#REF!</definedName>
    <definedName name="PRICE1" localSheetId="16">#REF!</definedName>
    <definedName name="PRICE1" localSheetId="18">#REF!</definedName>
    <definedName name="PRICE1">#REF!</definedName>
    <definedName name="_xlnm.Print_Area" localSheetId="49">'Ban ATGT V'!$A$1:$F$15</definedName>
    <definedName name="_xlnm.Print_Area" localSheetId="51">'BCH QS V'!$A$1:$F$46</definedName>
    <definedName name="_xlnm.Print_Area" localSheetId="61">'Biên phòng'!$A$1:$F$18</definedName>
    <definedName name="_xlnm.Print_Area" localSheetId="9">'BQL Chợ V'!$A$1:$F$29</definedName>
    <definedName name="_xlnm.Print_Area" localSheetId="6">'BQL DA ĐT V'!$A$1:$G$23</definedName>
    <definedName name="_xlnm.Print_Area" localSheetId="52">'CĐ DC V'!$A$1:$C$10</definedName>
    <definedName name="_xlnm.Print_Area" localSheetId="50">'Công an V'!$A$1:$F$39</definedName>
    <definedName name="_xlnm.Print_Area" localSheetId="47">'Cựu chiến binh V'!$A$1:$G$30</definedName>
    <definedName name="_xlnm.Print_Area" localSheetId="46">'Cựu chiến binh V-điều chỉnh'!$A$1:$G$30</definedName>
    <definedName name="_xlnm.Print_Area" localSheetId="60">'CỰU GIÁO CHỨC V'!$A$1:$C$9</definedName>
    <definedName name="_xlnm.Print_Area" localSheetId="8">'Đội QLTTĐT V'!$A$1:$G$32</definedName>
    <definedName name="_xlnm.Print_Area" localSheetId="59">'ĐÔNG Y V'!$A$1:$C$10</definedName>
    <definedName name="_xlnm.Print_Area" localSheetId="34">'ĐT_ Nội vụ_ điều chỉnh'!$A$1:$G$52</definedName>
    <definedName name="_xlnm.Print_Area" localSheetId="22">'ĐT_Kinh tế, HT &amp;Đô thị_V'!$A$1:$G$32</definedName>
    <definedName name="_xlnm.Print_Area" localSheetId="25">'ĐT_TN &amp; MT_ điều chỉnh'!$A$1:$G$47</definedName>
    <definedName name="_xlnm.Print_Area" localSheetId="31">'ĐT_Văn hoá KH và TT_V'!$A$1:$G$42</definedName>
    <definedName name="_xlnm.Print_Area" localSheetId="4">'Dự toán Chi tiết 2025'!$A$1:$M$1196</definedName>
    <definedName name="_xlnm.Print_Area" localSheetId="0">'GIÁO DỤC'!$A$1:$U$84</definedName>
    <definedName name="_xlnm.Print_Area" localSheetId="37">'Giáo dục V'!$A$1:$G$28</definedName>
    <definedName name="_xlnm.Print_Area" localSheetId="10">'Hội Chữ thập đỏ V'!$A$1:$G$28</definedName>
    <definedName name="_xlnm.Print_Area" localSheetId="53">'Khuyến học V'!$A$1:$C$10</definedName>
    <definedName name="_xlnm.Print_Area" localSheetId="28">'Kinh tế V'!$A$1:$G$41</definedName>
    <definedName name="_xlnm.Print_Area" localSheetId="27">'Kinh tế V_điều chỉnh'!$A$1:$J$41</definedName>
    <definedName name="_xlnm.Print_Area" localSheetId="30">'Lao động TBXH V'!$A$1:$G$52</definedName>
    <definedName name="_xlnm.Print_Area" localSheetId="29">'Lap động tbxh_điều chỉnh'!$A$1:$J$52</definedName>
    <definedName name="_xlnm.Print_Area" localSheetId="57">'LUẬT GIA V'!$A$1:$C$9</definedName>
    <definedName name="_xlnm.Print_Area" localSheetId="54">'NCT V'!$A$1:$C$9</definedName>
    <definedName name="_xlnm.Print_Area" localSheetId="58">'NGƯỜI MÙ V'!$A$1:$C$9</definedName>
    <definedName name="_xlnm.Print_Area" localSheetId="35">'nội vụ V'!$A$1:$G$38</definedName>
    <definedName name="_xlnm.Print_Area" localSheetId="45">'Nông dân V'!$A$1:$G$32</definedName>
    <definedName name="_xlnm.Print_Area" localSheetId="44">'Phụ nữ V'!$A$1:$G$31</definedName>
    <definedName name="_xlnm.Print_Area" localSheetId="43">'Phụ nữ V -điều chỉnh'!$A$1:$G$29</definedName>
    <definedName name="_xlnm.Print_Area" localSheetId="13">'PL_ 02 '!$A$1:$F$17</definedName>
    <definedName name="_xlnm.Print_Area" localSheetId="12">PL_01!$A$1:$AF$41</definedName>
    <definedName name="_xlnm.Print_Area" localSheetId="23">'Quản lý đô thị _điều chỉnh'!$A$1:$H$32</definedName>
    <definedName name="_xlnm.Print_Area" localSheetId="24">'Quản lý đô thị V'!$A$1:$G$32</definedName>
    <definedName name="_xlnm.Print_Area" localSheetId="48">'Quỹ ND và Vốn vay V '!$A$1:$E$10</definedName>
    <definedName name="_xlnm.Print_Area" localSheetId="14">Sheet8!$A$1:$AF$42</definedName>
    <definedName name="_xlnm.Print_Area" localSheetId="26">'Tài nguyên Môi trường V'!$A$1:$G$36</definedName>
    <definedName name="_xlnm.Print_Area" localSheetId="21">'TCKH V '!$A$1:$G$38</definedName>
    <definedName name="_xlnm.Print_Area" localSheetId="42">'Thành đoàn V'!$A$1:$G$34</definedName>
    <definedName name="_xlnm.Print_Area" localSheetId="36">'Thanh tra V'!$A$1:$G$30</definedName>
    <definedName name="_xlnm.Print_Area" localSheetId="39">'Thành ủy V'!$A$1:$G$63</definedName>
    <definedName name="_xlnm.Print_Area" localSheetId="38">'Thành ủy V_điều chỉnh'!$A$1:$G$63</definedName>
    <definedName name="_xlnm.Print_Area" localSheetId="55">'TNXP V'!$A$1:$C$9</definedName>
    <definedName name="_xlnm.Print_Area" localSheetId="15">'TỔNG HỢP ĐIỀU CHỈNH DỰ TOÁN'!$A$1:$T$32</definedName>
    <definedName name="_xlnm.Print_Area" localSheetId="7">'Trung tâm Chính trị V'!$A$1:$G$24</definedName>
    <definedName name="_xlnm.Print_Area" localSheetId="11">'Trung tâm TTVHTT V'!$A$1:$G$57</definedName>
    <definedName name="_xlnm.Print_Area" localSheetId="5">'TTDVNN V '!$A$1:$G$29</definedName>
    <definedName name="_xlnm.Print_Area" localSheetId="20">'Tư pháp V'!$A$1:$G$36</definedName>
    <definedName name="_xlnm.Print_Area" localSheetId="56">'Tù yêu nước V'!$A$1:$C$9</definedName>
    <definedName name="_xlnm.Print_Area" localSheetId="41">'UBMTTQ V'!$A$1:$G$37</definedName>
    <definedName name="_xlnm.Print_Area" localSheetId="40">'UBMTTQ V-điều chỉnh'!$A$1:$G$39</definedName>
    <definedName name="_xlnm.Print_Area" localSheetId="33">'Văn hóa và TT V'!$A$1:$G$41</definedName>
    <definedName name="_xlnm.Print_Area" localSheetId="32">'Văn hóa và TT V_ điều chỉnh'!$A$1:$H$41</definedName>
    <definedName name="_xlnm.Print_Area" localSheetId="17">'VP HĐND&amp;UBND V'!$A$1:$G$53</definedName>
    <definedName name="_xlnm.Print_Area" localSheetId="16">'VP HĐND&amp;UBND V_điều chỉnh'!$A$1:$G$78</definedName>
    <definedName name="_xlnm.Print_Area" localSheetId="19">'Y tế V'!$A$1:$J$31</definedName>
    <definedName name="_xlnm.Print_Area" localSheetId="18">'Y tế V_điều chỉnh'!$A$1:$J$31</definedName>
    <definedName name="_xlnm.Print_Area">#REF!</definedName>
    <definedName name="_xlnm.Print_Titles" localSheetId="49">'Ban ATGT V'!$10:$12</definedName>
    <definedName name="_xlnm.Print_Titles" localSheetId="51">'BCH QS V'!$9:$11</definedName>
    <definedName name="_xlnm.Print_Titles" localSheetId="61">'Biên phòng'!$9:$11</definedName>
    <definedName name="_xlnm.Print_Titles" localSheetId="9">'BQL Chợ V'!$9:$11</definedName>
    <definedName name="_xlnm.Print_Titles" localSheetId="6">'BQL DA ĐT V'!$9:$11</definedName>
    <definedName name="_xlnm.Print_Titles" localSheetId="50">'Công an V'!$9:$11</definedName>
    <definedName name="_xlnm.Print_Titles" localSheetId="47">'Cựu chiến binh V'!$9:$11</definedName>
    <definedName name="_xlnm.Print_Titles" localSheetId="46">'Cựu chiến binh V-điều chỉnh'!$9:$11</definedName>
    <definedName name="_xlnm.Print_Titles" localSheetId="8">'Đội QLTTĐT V'!$10:$12</definedName>
    <definedName name="_xlnm.Print_Titles" localSheetId="34">'ĐT_ Nội vụ_ điều chỉnh'!$10:$10</definedName>
    <definedName name="_xlnm.Print_Titles" localSheetId="22">'ĐT_Kinh tế, HT &amp;Đô thị_V'!$9:$11</definedName>
    <definedName name="_xlnm.Print_Titles" localSheetId="25">'ĐT_TN &amp; MT_ điều chỉnh'!$10:$12</definedName>
    <definedName name="_xlnm.Print_Titles" localSheetId="31">'ĐT_Văn hoá KH và TT_V'!$10:$12</definedName>
    <definedName name="_xlnm.Print_Titles" localSheetId="4">'Dự toán Chi tiết 2025'!$2:$3</definedName>
    <definedName name="_xlnm.Print_Titles" localSheetId="0">'GIÁO DỤC'!$4:$6</definedName>
    <definedName name="_xlnm.Print_Titles" localSheetId="37">'Giáo dục V'!$9:$11</definedName>
    <definedName name="_xlnm.Print_Titles" localSheetId="10">'Hội Chữ thập đỏ V'!$9:$11</definedName>
    <definedName name="_xlnm.Print_Titles" localSheetId="28">'Kinh tế V'!$11:$13</definedName>
    <definedName name="_xlnm.Print_Titles" localSheetId="27">'Kinh tế V_điều chỉnh'!$11:$13</definedName>
    <definedName name="_xlnm.Print_Titles" localSheetId="30">'Lao động TBXH V'!$9:$11</definedName>
    <definedName name="_xlnm.Print_Titles" localSheetId="29">'Lap động tbxh_điều chỉnh'!$9:$11</definedName>
    <definedName name="_xlnm.Print_Titles" localSheetId="45">'Nông dân V'!$9:$11</definedName>
    <definedName name="_xlnm.Print_Titles" localSheetId="44">'Phụ nữ V'!$9:$11</definedName>
    <definedName name="_xlnm.Print_Titles" localSheetId="43">'Phụ nữ V -điều chỉnh'!$9:$11</definedName>
    <definedName name="_xlnm.Print_Titles" localSheetId="23">'Quản lý đô thị _điều chỉnh'!$9:$11</definedName>
    <definedName name="_xlnm.Print_Titles" localSheetId="24">'Quản lý đô thị V'!$9:$11</definedName>
    <definedName name="_xlnm.Print_Titles" localSheetId="48">'Quỹ ND và Vốn vay V '!$4:$6</definedName>
    <definedName name="_xlnm.Print_Titles" localSheetId="26">'Tài nguyên Môi trường V'!$9:$11</definedName>
    <definedName name="_xlnm.Print_Titles" localSheetId="21">'TCKH V '!$9:$11</definedName>
    <definedName name="_xlnm.Print_Titles" localSheetId="42">'Thành đoàn V'!$9:$11</definedName>
    <definedName name="_xlnm.Print_Titles" localSheetId="39">'Thành ủy V'!$9:$11</definedName>
    <definedName name="_xlnm.Print_Titles" localSheetId="38">'Thành ủy V_điều chỉnh'!$9:$11</definedName>
    <definedName name="_xlnm.Print_Titles" localSheetId="7">'Trung tâm Chính trị V'!$9:$11</definedName>
    <definedName name="_xlnm.Print_Titles" localSheetId="11">'Trung tâm TTVHTT V'!$9:$11</definedName>
    <definedName name="_xlnm.Print_Titles" localSheetId="5">'TTDVNN V '!$10:$12</definedName>
    <definedName name="_xlnm.Print_Titles" localSheetId="20">'Tư pháp V'!$10:$12</definedName>
    <definedName name="_xlnm.Print_Titles" localSheetId="41">'UBMTTQ V'!$9:$11</definedName>
    <definedName name="_xlnm.Print_Titles" localSheetId="40">'UBMTTQ V-điều chỉnh'!$9:$11</definedName>
    <definedName name="_xlnm.Print_Titles" localSheetId="33">'Văn hóa và TT V'!$10:$12</definedName>
    <definedName name="_xlnm.Print_Titles" localSheetId="32">'Văn hóa và TT V_ điều chỉnh'!$10:$12</definedName>
    <definedName name="_xlnm.Print_Titles" localSheetId="17">'VP HĐND&amp;UBND V'!$10:$12</definedName>
    <definedName name="_xlnm.Print_Titles" localSheetId="16">'VP HĐND&amp;UBND V_điều chỉnh'!$10:$12</definedName>
    <definedName name="_xlnm.Print_Titles" localSheetId="19">'Y tế V'!$10:$12</definedName>
    <definedName name="_xlnm.Print_Titles" localSheetId="18">'Y tế V_điều chỉnh'!$10:$12</definedName>
    <definedName name="_xlnm.Print_Titles">#REF!</definedName>
    <definedName name="Print_Titles_MI" localSheetId="6">#REF!</definedName>
    <definedName name="Print_Titles_MI" localSheetId="52">#REF!</definedName>
    <definedName name="Print_Titles_MI" localSheetId="46">#REF!</definedName>
    <definedName name="Print_Titles_MI" localSheetId="34">#REF!</definedName>
    <definedName name="Print_Titles_MI" localSheetId="22">#REF!</definedName>
    <definedName name="Print_Titles_MI" localSheetId="25">#REF!</definedName>
    <definedName name="Print_Titles_MI" localSheetId="31">#REF!</definedName>
    <definedName name="Print_Titles_MI" localSheetId="27">#REF!</definedName>
    <definedName name="Print_Titles_MI" localSheetId="29">#REF!</definedName>
    <definedName name="Print_Titles_MI" localSheetId="43">#REF!</definedName>
    <definedName name="Print_Titles_MI" localSheetId="12">#REF!</definedName>
    <definedName name="Print_Titles_MI" localSheetId="23">#REF!</definedName>
    <definedName name="Print_Titles_MI" localSheetId="38">#REF!</definedName>
    <definedName name="Print_Titles_MI" localSheetId="40">#REF!</definedName>
    <definedName name="Print_Titles_MI" localSheetId="32">#REF!</definedName>
    <definedName name="Print_Titles_MI" localSheetId="16">#REF!</definedName>
    <definedName name="Print_Titles_MI" localSheetId="18">#REF!</definedName>
    <definedName name="Print_Titles_MI">#REF!</definedName>
    <definedName name="PRINTA" localSheetId="6">#REF!</definedName>
    <definedName name="PRINTA" localSheetId="52">#REF!</definedName>
    <definedName name="PRINTA" localSheetId="46">#REF!</definedName>
    <definedName name="PRINTA" localSheetId="34">#REF!</definedName>
    <definedName name="PRINTA" localSheetId="22">#REF!</definedName>
    <definedName name="PRINTA" localSheetId="25">#REF!</definedName>
    <definedName name="PRINTA" localSheetId="31">#REF!</definedName>
    <definedName name="PRINTA" localSheetId="27">#REF!</definedName>
    <definedName name="PRINTA" localSheetId="29">#REF!</definedName>
    <definedName name="PRINTA" localSheetId="43">#REF!</definedName>
    <definedName name="PRINTA" localSheetId="12">#REF!</definedName>
    <definedName name="PRINTA" localSheetId="23">#REF!</definedName>
    <definedName name="PRINTA" localSheetId="38">#REF!</definedName>
    <definedName name="PRINTA" localSheetId="40">#REF!</definedName>
    <definedName name="PRINTA" localSheetId="32">#REF!</definedName>
    <definedName name="PRINTA" localSheetId="16">#REF!</definedName>
    <definedName name="PRINTA" localSheetId="18">#REF!</definedName>
    <definedName name="PRINTA">#REF!</definedName>
    <definedName name="PRINTB" localSheetId="6">#REF!</definedName>
    <definedName name="PRINTB" localSheetId="52">#REF!</definedName>
    <definedName name="PRINTB" localSheetId="46">#REF!</definedName>
    <definedName name="PRINTB" localSheetId="34">#REF!</definedName>
    <definedName name="PRINTB" localSheetId="22">#REF!</definedName>
    <definedName name="PRINTB" localSheetId="25">#REF!</definedName>
    <definedName name="PRINTB" localSheetId="31">#REF!</definedName>
    <definedName name="PRINTB" localSheetId="27">#REF!</definedName>
    <definedName name="PRINTB" localSheetId="29">#REF!</definedName>
    <definedName name="PRINTB" localSheetId="43">#REF!</definedName>
    <definedName name="PRINTB" localSheetId="12">#REF!</definedName>
    <definedName name="PRINTB" localSheetId="23">#REF!</definedName>
    <definedName name="PRINTB" localSheetId="38">#REF!</definedName>
    <definedName name="PRINTB" localSheetId="40">#REF!</definedName>
    <definedName name="PRINTB" localSheetId="32">#REF!</definedName>
    <definedName name="PRINTB" localSheetId="16">#REF!</definedName>
    <definedName name="PRINTB" localSheetId="18">#REF!</definedName>
    <definedName name="PRINTB">#REF!</definedName>
    <definedName name="PRINTC" localSheetId="6">#REF!</definedName>
    <definedName name="PRINTC" localSheetId="52">#REF!</definedName>
    <definedName name="PRINTC" localSheetId="46">#REF!</definedName>
    <definedName name="PRINTC" localSheetId="34">#REF!</definedName>
    <definedName name="PRINTC" localSheetId="22">#REF!</definedName>
    <definedName name="PRINTC" localSheetId="25">#REF!</definedName>
    <definedName name="PRINTC" localSheetId="31">#REF!</definedName>
    <definedName name="PRINTC" localSheetId="27">#REF!</definedName>
    <definedName name="PRINTC" localSheetId="29">#REF!</definedName>
    <definedName name="PRINTC" localSheetId="43">#REF!</definedName>
    <definedName name="PRINTC" localSheetId="12">#REF!</definedName>
    <definedName name="PRINTC" localSheetId="23">#REF!</definedName>
    <definedName name="PRINTC" localSheetId="38">#REF!</definedName>
    <definedName name="PRINTC" localSheetId="40">#REF!</definedName>
    <definedName name="PRINTC" localSheetId="32">#REF!</definedName>
    <definedName name="PRINTC" localSheetId="16">#REF!</definedName>
    <definedName name="PRINTC" localSheetId="18">#REF!</definedName>
    <definedName name="PRINTC">#REF!</definedName>
    <definedName name="PROPOSAL" localSheetId="6">#REF!</definedName>
    <definedName name="PROPOSAL" localSheetId="52">#REF!</definedName>
    <definedName name="PROPOSAL" localSheetId="46">#REF!</definedName>
    <definedName name="PROPOSAL" localSheetId="34">#REF!</definedName>
    <definedName name="PROPOSAL" localSheetId="22">#REF!</definedName>
    <definedName name="PROPOSAL" localSheetId="25">#REF!</definedName>
    <definedName name="PROPOSAL" localSheetId="31">#REF!</definedName>
    <definedName name="PROPOSAL" localSheetId="27">#REF!</definedName>
    <definedName name="PROPOSAL" localSheetId="29">#REF!</definedName>
    <definedName name="PROPOSAL" localSheetId="43">#REF!</definedName>
    <definedName name="PROPOSAL" localSheetId="12">#REF!</definedName>
    <definedName name="PROPOSAL" localSheetId="23">#REF!</definedName>
    <definedName name="PROPOSAL" localSheetId="38">#REF!</definedName>
    <definedName name="PROPOSAL" localSheetId="40">#REF!</definedName>
    <definedName name="PROPOSAL" localSheetId="32">#REF!</definedName>
    <definedName name="PROPOSAL" localSheetId="16">#REF!</definedName>
    <definedName name="PROPOSAL" localSheetId="18">#REF!</definedName>
    <definedName name="PROPOSAL">#REF!</definedName>
    <definedName name="RECOUT">#N/A</definedName>
    <definedName name="RFP003A" localSheetId="6">#REF!</definedName>
    <definedName name="RFP003A" localSheetId="52">#REF!</definedName>
    <definedName name="RFP003A" localSheetId="46">#REF!</definedName>
    <definedName name="RFP003A" localSheetId="34">#REF!</definedName>
    <definedName name="RFP003A" localSheetId="22">#REF!</definedName>
    <definedName name="RFP003A" localSheetId="25">#REF!</definedName>
    <definedName name="RFP003A" localSheetId="31">#REF!</definedName>
    <definedName name="RFP003A" localSheetId="27">#REF!</definedName>
    <definedName name="RFP003A" localSheetId="29">#REF!</definedName>
    <definedName name="RFP003A" localSheetId="43">#REF!</definedName>
    <definedName name="RFP003A" localSheetId="12">#REF!</definedName>
    <definedName name="RFP003A" localSheetId="23">#REF!</definedName>
    <definedName name="RFP003A" localSheetId="38">#REF!</definedName>
    <definedName name="RFP003A" localSheetId="40">#REF!</definedName>
    <definedName name="RFP003A" localSheetId="32">#REF!</definedName>
    <definedName name="RFP003A" localSheetId="16">#REF!</definedName>
    <definedName name="RFP003A" localSheetId="18">#REF!</definedName>
    <definedName name="RFP003A">#REF!</definedName>
    <definedName name="RFP003B" localSheetId="6">#REF!</definedName>
    <definedName name="RFP003B" localSheetId="52">#REF!</definedName>
    <definedName name="RFP003B" localSheetId="46">#REF!</definedName>
    <definedName name="RFP003B" localSheetId="34">#REF!</definedName>
    <definedName name="RFP003B" localSheetId="22">#REF!</definedName>
    <definedName name="RFP003B" localSheetId="25">#REF!</definedName>
    <definedName name="RFP003B" localSheetId="31">#REF!</definedName>
    <definedName name="RFP003B" localSheetId="27">#REF!</definedName>
    <definedName name="RFP003B" localSheetId="29">#REF!</definedName>
    <definedName name="RFP003B" localSheetId="43">#REF!</definedName>
    <definedName name="RFP003B" localSheetId="12">#REF!</definedName>
    <definedName name="RFP003B" localSheetId="23">#REF!</definedName>
    <definedName name="RFP003B" localSheetId="38">#REF!</definedName>
    <definedName name="RFP003B" localSheetId="40">#REF!</definedName>
    <definedName name="RFP003B" localSheetId="32">#REF!</definedName>
    <definedName name="RFP003B" localSheetId="16">#REF!</definedName>
    <definedName name="RFP003B" localSheetId="18">#REF!</definedName>
    <definedName name="RFP003B">#REF!</definedName>
    <definedName name="RFP003C" localSheetId="6">#REF!</definedName>
    <definedName name="RFP003C" localSheetId="52">#REF!</definedName>
    <definedName name="RFP003C" localSheetId="46">#REF!</definedName>
    <definedName name="RFP003C" localSheetId="34">#REF!</definedName>
    <definedName name="RFP003C" localSheetId="22">#REF!</definedName>
    <definedName name="RFP003C" localSheetId="25">#REF!</definedName>
    <definedName name="RFP003C" localSheetId="31">#REF!</definedName>
    <definedName name="RFP003C" localSheetId="27">#REF!</definedName>
    <definedName name="RFP003C" localSheetId="29">#REF!</definedName>
    <definedName name="RFP003C" localSheetId="43">#REF!</definedName>
    <definedName name="RFP003C" localSheetId="12">#REF!</definedName>
    <definedName name="RFP003C" localSheetId="23">#REF!</definedName>
    <definedName name="RFP003C" localSheetId="38">#REF!</definedName>
    <definedName name="RFP003C" localSheetId="40">#REF!</definedName>
    <definedName name="RFP003C" localSheetId="32">#REF!</definedName>
    <definedName name="RFP003C" localSheetId="16">#REF!</definedName>
    <definedName name="RFP003C" localSheetId="18">#REF!</definedName>
    <definedName name="RFP003C">#REF!</definedName>
    <definedName name="RFP003D" localSheetId="6">#REF!</definedName>
    <definedName name="RFP003D" localSheetId="52">#REF!</definedName>
    <definedName name="RFP003D" localSheetId="46">#REF!</definedName>
    <definedName name="RFP003D" localSheetId="34">#REF!</definedName>
    <definedName name="RFP003D" localSheetId="22">#REF!</definedName>
    <definedName name="RFP003D" localSheetId="25">#REF!</definedName>
    <definedName name="RFP003D" localSheetId="31">#REF!</definedName>
    <definedName name="RFP003D" localSheetId="27">#REF!</definedName>
    <definedName name="RFP003D" localSheetId="29">#REF!</definedName>
    <definedName name="RFP003D" localSheetId="43">#REF!</definedName>
    <definedName name="RFP003D" localSheetId="12">#REF!</definedName>
    <definedName name="RFP003D" localSheetId="23">#REF!</definedName>
    <definedName name="RFP003D" localSheetId="38">#REF!</definedName>
    <definedName name="RFP003D" localSheetId="40">#REF!</definedName>
    <definedName name="RFP003D" localSheetId="32">#REF!</definedName>
    <definedName name="RFP003D" localSheetId="16">#REF!</definedName>
    <definedName name="RFP003D" localSheetId="18">#REF!</definedName>
    <definedName name="RFP003D">#REF!</definedName>
    <definedName name="RFP003E" localSheetId="6">#REF!</definedName>
    <definedName name="RFP003E" localSheetId="52">#REF!</definedName>
    <definedName name="RFP003E" localSheetId="46">#REF!</definedName>
    <definedName name="RFP003E" localSheetId="34">#REF!</definedName>
    <definedName name="RFP003E" localSheetId="22">#REF!</definedName>
    <definedName name="RFP003E" localSheetId="25">#REF!</definedName>
    <definedName name="RFP003E" localSheetId="31">#REF!</definedName>
    <definedName name="RFP003E" localSheetId="27">#REF!</definedName>
    <definedName name="RFP003E" localSheetId="29">#REF!</definedName>
    <definedName name="RFP003E" localSheetId="43">#REF!</definedName>
    <definedName name="RFP003E" localSheetId="12">#REF!</definedName>
    <definedName name="RFP003E" localSheetId="23">#REF!</definedName>
    <definedName name="RFP003E" localSheetId="38">#REF!</definedName>
    <definedName name="RFP003E" localSheetId="40">#REF!</definedName>
    <definedName name="RFP003E" localSheetId="32">#REF!</definedName>
    <definedName name="RFP003E" localSheetId="16">#REF!</definedName>
    <definedName name="RFP003E" localSheetId="18">#REF!</definedName>
    <definedName name="RFP003E">#REF!</definedName>
    <definedName name="RFP003F" localSheetId="6">#REF!</definedName>
    <definedName name="RFP003F" localSheetId="52">#REF!</definedName>
    <definedName name="RFP003F" localSheetId="46">#REF!</definedName>
    <definedName name="RFP003F" localSheetId="34">#REF!</definedName>
    <definedName name="RFP003F" localSheetId="22">#REF!</definedName>
    <definedName name="RFP003F" localSheetId="25">#REF!</definedName>
    <definedName name="RFP003F" localSheetId="31">#REF!</definedName>
    <definedName name="RFP003F" localSheetId="27">#REF!</definedName>
    <definedName name="RFP003F" localSheetId="29">#REF!</definedName>
    <definedName name="RFP003F" localSheetId="43">#REF!</definedName>
    <definedName name="RFP003F" localSheetId="12">#REF!</definedName>
    <definedName name="RFP003F" localSheetId="23">#REF!</definedName>
    <definedName name="RFP003F" localSheetId="38">#REF!</definedName>
    <definedName name="RFP003F" localSheetId="40">#REF!</definedName>
    <definedName name="RFP003F" localSheetId="32">#REF!</definedName>
    <definedName name="RFP003F" localSheetId="16">#REF!</definedName>
    <definedName name="RFP003F" localSheetId="18">#REF!</definedName>
    <definedName name="RFP003F">#REF!</definedName>
    <definedName name="SCH" localSheetId="6">#REF!</definedName>
    <definedName name="SCH" localSheetId="52">#REF!</definedName>
    <definedName name="SCH" localSheetId="46">#REF!</definedName>
    <definedName name="SCH" localSheetId="34">#REF!</definedName>
    <definedName name="SCH" localSheetId="22">#REF!</definedName>
    <definedName name="SCH" localSheetId="25">#REF!</definedName>
    <definedName name="SCH" localSheetId="31">#REF!</definedName>
    <definedName name="SCH" localSheetId="27">#REF!</definedName>
    <definedName name="SCH" localSheetId="29">#REF!</definedName>
    <definedName name="SCH" localSheetId="43">#REF!</definedName>
    <definedName name="SCH" localSheetId="12">#REF!</definedName>
    <definedName name="SCH" localSheetId="23">#REF!</definedName>
    <definedName name="SCH" localSheetId="38">#REF!</definedName>
    <definedName name="SCH" localSheetId="40">#REF!</definedName>
    <definedName name="SCH" localSheetId="32">#REF!</definedName>
    <definedName name="SCH" localSheetId="16">#REF!</definedName>
    <definedName name="SCH" localSheetId="18">#REF!</definedName>
    <definedName name="SCH">#REF!</definedName>
    <definedName name="SIZE" localSheetId="6">#REF!</definedName>
    <definedName name="SIZE" localSheetId="52">#REF!</definedName>
    <definedName name="SIZE" localSheetId="46">#REF!</definedName>
    <definedName name="SIZE" localSheetId="34">#REF!</definedName>
    <definedName name="SIZE" localSheetId="22">#REF!</definedName>
    <definedName name="SIZE" localSheetId="25">#REF!</definedName>
    <definedName name="SIZE" localSheetId="31">#REF!</definedName>
    <definedName name="SIZE" localSheetId="27">#REF!</definedName>
    <definedName name="SIZE" localSheetId="29">#REF!</definedName>
    <definedName name="SIZE" localSheetId="43">#REF!</definedName>
    <definedName name="SIZE" localSheetId="12">#REF!</definedName>
    <definedName name="SIZE" localSheetId="23">#REF!</definedName>
    <definedName name="SIZE" localSheetId="38">#REF!</definedName>
    <definedName name="SIZE" localSheetId="40">#REF!</definedName>
    <definedName name="SIZE" localSheetId="32">#REF!</definedName>
    <definedName name="SIZE" localSheetId="16">#REF!</definedName>
    <definedName name="SIZE" localSheetId="18">#REF!</definedName>
    <definedName name="SIZE">#REF!</definedName>
    <definedName name="SORT" localSheetId="6">#REF!</definedName>
    <definedName name="SORT" localSheetId="52">#REF!</definedName>
    <definedName name="SORT" localSheetId="46">#REF!</definedName>
    <definedName name="SORT" localSheetId="34">#REF!</definedName>
    <definedName name="SORT" localSheetId="22">#REF!</definedName>
    <definedName name="SORT" localSheetId="25">#REF!</definedName>
    <definedName name="SORT" localSheetId="31">#REF!</definedName>
    <definedName name="SORT" localSheetId="27">#REF!</definedName>
    <definedName name="SORT" localSheetId="29">#REF!</definedName>
    <definedName name="SORT" localSheetId="43">#REF!</definedName>
    <definedName name="SORT" localSheetId="12">#REF!</definedName>
    <definedName name="SORT" localSheetId="23">#REF!</definedName>
    <definedName name="SORT" localSheetId="38">#REF!</definedName>
    <definedName name="SORT" localSheetId="40">#REF!</definedName>
    <definedName name="SORT" localSheetId="32">#REF!</definedName>
    <definedName name="SORT" localSheetId="16">#REF!</definedName>
    <definedName name="SORT" localSheetId="18">#REF!</definedName>
    <definedName name="SORT">#REF!</definedName>
    <definedName name="SPEC" localSheetId="6">#REF!</definedName>
    <definedName name="SPEC" localSheetId="52">#REF!</definedName>
    <definedName name="SPEC" localSheetId="46">#REF!</definedName>
    <definedName name="SPEC" localSheetId="34">#REF!</definedName>
    <definedName name="SPEC" localSheetId="22">#REF!</definedName>
    <definedName name="SPEC" localSheetId="25">#REF!</definedName>
    <definedName name="SPEC" localSheetId="31">#REF!</definedName>
    <definedName name="SPEC" localSheetId="27">#REF!</definedName>
    <definedName name="SPEC" localSheetId="29">#REF!</definedName>
    <definedName name="SPEC" localSheetId="43">#REF!</definedName>
    <definedName name="SPEC" localSheetId="12">#REF!</definedName>
    <definedName name="SPEC" localSheetId="23">#REF!</definedName>
    <definedName name="SPEC" localSheetId="38">#REF!</definedName>
    <definedName name="SPEC" localSheetId="40">#REF!</definedName>
    <definedName name="SPEC" localSheetId="32">#REF!</definedName>
    <definedName name="SPEC" localSheetId="16">#REF!</definedName>
    <definedName name="SPEC" localSheetId="18">#REF!</definedName>
    <definedName name="SPEC">#REF!</definedName>
    <definedName name="SPECSUMMARY" localSheetId="6">#REF!</definedName>
    <definedName name="SPECSUMMARY" localSheetId="52">#REF!</definedName>
    <definedName name="SPECSUMMARY" localSheetId="46">#REF!</definedName>
    <definedName name="SPECSUMMARY" localSheetId="34">#REF!</definedName>
    <definedName name="SPECSUMMARY" localSheetId="22">#REF!</definedName>
    <definedName name="SPECSUMMARY" localSheetId="25">#REF!</definedName>
    <definedName name="SPECSUMMARY" localSheetId="31">#REF!</definedName>
    <definedName name="SPECSUMMARY" localSheetId="27">#REF!</definedName>
    <definedName name="SPECSUMMARY" localSheetId="29">#REF!</definedName>
    <definedName name="SPECSUMMARY" localSheetId="43">#REF!</definedName>
    <definedName name="SPECSUMMARY" localSheetId="12">#REF!</definedName>
    <definedName name="SPECSUMMARY" localSheetId="23">#REF!</definedName>
    <definedName name="SPECSUMMARY" localSheetId="38">#REF!</definedName>
    <definedName name="SPECSUMMARY" localSheetId="40">#REF!</definedName>
    <definedName name="SPECSUMMARY" localSheetId="32">#REF!</definedName>
    <definedName name="SPECSUMMARY" localSheetId="16">#REF!</definedName>
    <definedName name="SPECSUMMARY" localSheetId="18">#REF!</definedName>
    <definedName name="SPECSUMMARY">#REF!</definedName>
    <definedName name="Start_1" localSheetId="6">#REF!</definedName>
    <definedName name="Start_1" localSheetId="52">#REF!</definedName>
    <definedName name="Start_1" localSheetId="46">#REF!</definedName>
    <definedName name="Start_1" localSheetId="34">#REF!</definedName>
    <definedName name="Start_1" localSheetId="22">#REF!</definedName>
    <definedName name="Start_1" localSheetId="25">#REF!</definedName>
    <definedName name="Start_1" localSheetId="31">#REF!</definedName>
    <definedName name="Start_1" localSheetId="27">#REF!</definedName>
    <definedName name="Start_1" localSheetId="29">#REF!</definedName>
    <definedName name="Start_1" localSheetId="43">#REF!</definedName>
    <definedName name="Start_1" localSheetId="12">#REF!</definedName>
    <definedName name="Start_1" localSheetId="23">#REF!</definedName>
    <definedName name="Start_1" localSheetId="38">#REF!</definedName>
    <definedName name="Start_1" localSheetId="40">#REF!</definedName>
    <definedName name="Start_1" localSheetId="32">#REF!</definedName>
    <definedName name="Start_1" localSheetId="16">#REF!</definedName>
    <definedName name="Start_1" localSheetId="18">#REF!</definedName>
    <definedName name="Start_1">#REF!</definedName>
    <definedName name="Start_10" localSheetId="6">#REF!</definedName>
    <definedName name="Start_10" localSheetId="52">#REF!</definedName>
    <definedName name="Start_10" localSheetId="46">#REF!</definedName>
    <definedName name="Start_10" localSheetId="34">#REF!</definedName>
    <definedName name="Start_10" localSheetId="22">#REF!</definedName>
    <definedName name="Start_10" localSheetId="25">#REF!</definedName>
    <definedName name="Start_10" localSheetId="31">#REF!</definedName>
    <definedName name="Start_10" localSheetId="27">#REF!</definedName>
    <definedName name="Start_10" localSheetId="29">#REF!</definedName>
    <definedName name="Start_10" localSheetId="43">#REF!</definedName>
    <definedName name="Start_10" localSheetId="12">#REF!</definedName>
    <definedName name="Start_10" localSheetId="23">#REF!</definedName>
    <definedName name="Start_10" localSheetId="38">#REF!</definedName>
    <definedName name="Start_10" localSheetId="40">#REF!</definedName>
    <definedName name="Start_10" localSheetId="32">#REF!</definedName>
    <definedName name="Start_10" localSheetId="16">#REF!</definedName>
    <definedName name="Start_10" localSheetId="18">#REF!</definedName>
    <definedName name="Start_10">#REF!</definedName>
    <definedName name="Start_11" localSheetId="6">#REF!</definedName>
    <definedName name="Start_11" localSheetId="52">#REF!</definedName>
    <definedName name="Start_11" localSheetId="46">#REF!</definedName>
    <definedName name="Start_11" localSheetId="34">#REF!</definedName>
    <definedName name="Start_11" localSheetId="22">#REF!</definedName>
    <definedName name="Start_11" localSheetId="25">#REF!</definedName>
    <definedName name="Start_11" localSheetId="31">#REF!</definedName>
    <definedName name="Start_11" localSheetId="27">#REF!</definedName>
    <definedName name="Start_11" localSheetId="29">#REF!</definedName>
    <definedName name="Start_11" localSheetId="43">#REF!</definedName>
    <definedName name="Start_11" localSheetId="12">#REF!</definedName>
    <definedName name="Start_11" localSheetId="23">#REF!</definedName>
    <definedName name="Start_11" localSheetId="38">#REF!</definedName>
    <definedName name="Start_11" localSheetId="40">#REF!</definedName>
    <definedName name="Start_11" localSheetId="32">#REF!</definedName>
    <definedName name="Start_11" localSheetId="16">#REF!</definedName>
    <definedName name="Start_11" localSheetId="18">#REF!</definedName>
    <definedName name="Start_11">#REF!</definedName>
    <definedName name="Start_12" localSheetId="6">#REF!</definedName>
    <definedName name="Start_12" localSheetId="52">#REF!</definedName>
    <definedName name="Start_12" localSheetId="46">#REF!</definedName>
    <definedName name="Start_12" localSheetId="34">#REF!</definedName>
    <definedName name="Start_12" localSheetId="22">#REF!</definedName>
    <definedName name="Start_12" localSheetId="25">#REF!</definedName>
    <definedName name="Start_12" localSheetId="31">#REF!</definedName>
    <definedName name="Start_12" localSheetId="27">#REF!</definedName>
    <definedName name="Start_12" localSheetId="29">#REF!</definedName>
    <definedName name="Start_12" localSheetId="43">#REF!</definedName>
    <definedName name="Start_12" localSheetId="12">#REF!</definedName>
    <definedName name="Start_12" localSheetId="23">#REF!</definedName>
    <definedName name="Start_12" localSheetId="38">#REF!</definedName>
    <definedName name="Start_12" localSheetId="40">#REF!</definedName>
    <definedName name="Start_12" localSheetId="32">#REF!</definedName>
    <definedName name="Start_12" localSheetId="16">#REF!</definedName>
    <definedName name="Start_12" localSheetId="18">#REF!</definedName>
    <definedName name="Start_12">#REF!</definedName>
    <definedName name="Start_13" localSheetId="6">#REF!</definedName>
    <definedName name="Start_13" localSheetId="52">#REF!</definedName>
    <definedName name="Start_13" localSheetId="46">#REF!</definedName>
    <definedName name="Start_13" localSheetId="34">#REF!</definedName>
    <definedName name="Start_13" localSheetId="22">#REF!</definedName>
    <definedName name="Start_13" localSheetId="25">#REF!</definedName>
    <definedName name="Start_13" localSheetId="31">#REF!</definedName>
    <definedName name="Start_13" localSheetId="27">#REF!</definedName>
    <definedName name="Start_13" localSheetId="29">#REF!</definedName>
    <definedName name="Start_13" localSheetId="43">#REF!</definedName>
    <definedName name="Start_13" localSheetId="12">#REF!</definedName>
    <definedName name="Start_13" localSheetId="23">#REF!</definedName>
    <definedName name="Start_13" localSheetId="38">#REF!</definedName>
    <definedName name="Start_13" localSheetId="40">#REF!</definedName>
    <definedName name="Start_13" localSheetId="32">#REF!</definedName>
    <definedName name="Start_13" localSheetId="16">#REF!</definedName>
    <definedName name="Start_13" localSheetId="18">#REF!</definedName>
    <definedName name="Start_13">#REF!</definedName>
    <definedName name="Start_2" localSheetId="6">#REF!</definedName>
    <definedName name="Start_2" localSheetId="52">#REF!</definedName>
    <definedName name="Start_2" localSheetId="46">#REF!</definedName>
    <definedName name="Start_2" localSheetId="34">#REF!</definedName>
    <definedName name="Start_2" localSheetId="22">#REF!</definedName>
    <definedName name="Start_2" localSheetId="25">#REF!</definedName>
    <definedName name="Start_2" localSheetId="31">#REF!</definedName>
    <definedName name="Start_2" localSheetId="27">#REF!</definedName>
    <definedName name="Start_2" localSheetId="29">#REF!</definedName>
    <definedName name="Start_2" localSheetId="43">#REF!</definedName>
    <definedName name="Start_2" localSheetId="12">#REF!</definedName>
    <definedName name="Start_2" localSheetId="23">#REF!</definedName>
    <definedName name="Start_2" localSheetId="38">#REF!</definedName>
    <definedName name="Start_2" localSheetId="40">#REF!</definedName>
    <definedName name="Start_2" localSheetId="32">#REF!</definedName>
    <definedName name="Start_2" localSheetId="16">#REF!</definedName>
    <definedName name="Start_2" localSheetId="18">#REF!</definedName>
    <definedName name="Start_2">#REF!</definedName>
    <definedName name="Start_3" localSheetId="6">#REF!</definedName>
    <definedName name="Start_3" localSheetId="52">#REF!</definedName>
    <definedName name="Start_3" localSheetId="46">#REF!</definedName>
    <definedName name="Start_3" localSheetId="34">#REF!</definedName>
    <definedName name="Start_3" localSheetId="22">#REF!</definedName>
    <definedName name="Start_3" localSheetId="25">#REF!</definedName>
    <definedName name="Start_3" localSheetId="31">#REF!</definedName>
    <definedName name="Start_3" localSheetId="27">#REF!</definedName>
    <definedName name="Start_3" localSheetId="29">#REF!</definedName>
    <definedName name="Start_3" localSheetId="43">#REF!</definedName>
    <definedName name="Start_3" localSheetId="12">#REF!</definedName>
    <definedName name="Start_3" localSheetId="23">#REF!</definedName>
    <definedName name="Start_3" localSheetId="38">#REF!</definedName>
    <definedName name="Start_3" localSheetId="40">#REF!</definedName>
    <definedName name="Start_3" localSheetId="32">#REF!</definedName>
    <definedName name="Start_3" localSheetId="16">#REF!</definedName>
    <definedName name="Start_3" localSheetId="18">#REF!</definedName>
    <definedName name="Start_3">#REF!</definedName>
    <definedName name="Start_4" localSheetId="6">#REF!</definedName>
    <definedName name="Start_4" localSheetId="52">#REF!</definedName>
    <definedName name="Start_4" localSheetId="46">#REF!</definedName>
    <definedName name="Start_4" localSheetId="34">#REF!</definedName>
    <definedName name="Start_4" localSheetId="22">#REF!</definedName>
    <definedName name="Start_4" localSheetId="25">#REF!</definedName>
    <definedName name="Start_4" localSheetId="31">#REF!</definedName>
    <definedName name="Start_4" localSheetId="27">#REF!</definedName>
    <definedName name="Start_4" localSheetId="29">#REF!</definedName>
    <definedName name="Start_4" localSheetId="43">#REF!</definedName>
    <definedName name="Start_4" localSheetId="12">#REF!</definedName>
    <definedName name="Start_4" localSheetId="23">#REF!</definedName>
    <definedName name="Start_4" localSheetId="38">#REF!</definedName>
    <definedName name="Start_4" localSheetId="40">#REF!</definedName>
    <definedName name="Start_4" localSheetId="32">#REF!</definedName>
    <definedName name="Start_4" localSheetId="16">#REF!</definedName>
    <definedName name="Start_4" localSheetId="18">#REF!</definedName>
    <definedName name="Start_4">#REF!</definedName>
    <definedName name="Start_5" localSheetId="6">#REF!</definedName>
    <definedName name="Start_5" localSheetId="52">#REF!</definedName>
    <definedName name="Start_5" localSheetId="46">#REF!</definedName>
    <definedName name="Start_5" localSheetId="34">#REF!</definedName>
    <definedName name="Start_5" localSheetId="22">#REF!</definedName>
    <definedName name="Start_5" localSheetId="25">#REF!</definedName>
    <definedName name="Start_5" localSheetId="31">#REF!</definedName>
    <definedName name="Start_5" localSheetId="27">#REF!</definedName>
    <definedName name="Start_5" localSheetId="29">#REF!</definedName>
    <definedName name="Start_5" localSheetId="43">#REF!</definedName>
    <definedName name="Start_5" localSheetId="12">#REF!</definedName>
    <definedName name="Start_5" localSheetId="23">#REF!</definedName>
    <definedName name="Start_5" localSheetId="38">#REF!</definedName>
    <definedName name="Start_5" localSheetId="40">#REF!</definedName>
    <definedName name="Start_5" localSheetId="32">#REF!</definedName>
    <definedName name="Start_5" localSheetId="16">#REF!</definedName>
    <definedName name="Start_5" localSheetId="18">#REF!</definedName>
    <definedName name="Start_5">#REF!</definedName>
    <definedName name="Start_6" localSheetId="6">#REF!</definedName>
    <definedName name="Start_6" localSheetId="52">#REF!</definedName>
    <definedName name="Start_6" localSheetId="46">#REF!</definedName>
    <definedName name="Start_6" localSheetId="34">#REF!</definedName>
    <definedName name="Start_6" localSheetId="22">#REF!</definedName>
    <definedName name="Start_6" localSheetId="25">#REF!</definedName>
    <definedName name="Start_6" localSheetId="31">#REF!</definedName>
    <definedName name="Start_6" localSheetId="27">#REF!</definedName>
    <definedName name="Start_6" localSheetId="29">#REF!</definedName>
    <definedName name="Start_6" localSheetId="43">#REF!</definedName>
    <definedName name="Start_6" localSheetId="12">#REF!</definedName>
    <definedName name="Start_6" localSheetId="23">#REF!</definedName>
    <definedName name="Start_6" localSheetId="38">#REF!</definedName>
    <definedName name="Start_6" localSheetId="40">#REF!</definedName>
    <definedName name="Start_6" localSheetId="32">#REF!</definedName>
    <definedName name="Start_6" localSheetId="16">#REF!</definedName>
    <definedName name="Start_6" localSheetId="18">#REF!</definedName>
    <definedName name="Start_6">#REF!</definedName>
    <definedName name="Start_7" localSheetId="6">#REF!</definedName>
    <definedName name="Start_7" localSheetId="52">#REF!</definedName>
    <definedName name="Start_7" localSheetId="46">#REF!</definedName>
    <definedName name="Start_7" localSheetId="34">#REF!</definedName>
    <definedName name="Start_7" localSheetId="22">#REF!</definedName>
    <definedName name="Start_7" localSheetId="25">#REF!</definedName>
    <definedName name="Start_7" localSheetId="31">#REF!</definedName>
    <definedName name="Start_7" localSheetId="27">#REF!</definedName>
    <definedName name="Start_7" localSheetId="29">#REF!</definedName>
    <definedName name="Start_7" localSheetId="43">#REF!</definedName>
    <definedName name="Start_7" localSheetId="12">#REF!</definedName>
    <definedName name="Start_7" localSheetId="23">#REF!</definedName>
    <definedName name="Start_7" localSheetId="38">#REF!</definedName>
    <definedName name="Start_7" localSheetId="40">#REF!</definedName>
    <definedName name="Start_7" localSheetId="32">#REF!</definedName>
    <definedName name="Start_7" localSheetId="16">#REF!</definedName>
    <definedName name="Start_7" localSheetId="18">#REF!</definedName>
    <definedName name="Start_7">#REF!</definedName>
    <definedName name="Start_8" localSheetId="6">#REF!</definedName>
    <definedName name="Start_8" localSheetId="52">#REF!</definedName>
    <definedName name="Start_8" localSheetId="46">#REF!</definedName>
    <definedName name="Start_8" localSheetId="34">#REF!</definedName>
    <definedName name="Start_8" localSheetId="22">#REF!</definedName>
    <definedName name="Start_8" localSheetId="25">#REF!</definedName>
    <definedName name="Start_8" localSheetId="31">#REF!</definedName>
    <definedName name="Start_8" localSheetId="27">#REF!</definedName>
    <definedName name="Start_8" localSheetId="29">#REF!</definedName>
    <definedName name="Start_8" localSheetId="43">#REF!</definedName>
    <definedName name="Start_8" localSheetId="12">#REF!</definedName>
    <definedName name="Start_8" localSheetId="23">#REF!</definedName>
    <definedName name="Start_8" localSheetId="38">#REF!</definedName>
    <definedName name="Start_8" localSheetId="40">#REF!</definedName>
    <definedName name="Start_8" localSheetId="32">#REF!</definedName>
    <definedName name="Start_8" localSheetId="16">#REF!</definedName>
    <definedName name="Start_8" localSheetId="18">#REF!</definedName>
    <definedName name="Start_8">#REF!</definedName>
    <definedName name="Start_9" localSheetId="6">#REF!</definedName>
    <definedName name="Start_9" localSheetId="52">#REF!</definedName>
    <definedName name="Start_9" localSheetId="46">#REF!</definedName>
    <definedName name="Start_9" localSheetId="34">#REF!</definedName>
    <definedName name="Start_9" localSheetId="22">#REF!</definedName>
    <definedName name="Start_9" localSheetId="25">#REF!</definedName>
    <definedName name="Start_9" localSheetId="31">#REF!</definedName>
    <definedName name="Start_9" localSheetId="27">#REF!</definedName>
    <definedName name="Start_9" localSheetId="29">#REF!</definedName>
    <definedName name="Start_9" localSheetId="43">#REF!</definedName>
    <definedName name="Start_9" localSheetId="12">#REF!</definedName>
    <definedName name="Start_9" localSheetId="23">#REF!</definedName>
    <definedName name="Start_9" localSheetId="38">#REF!</definedName>
    <definedName name="Start_9" localSheetId="40">#REF!</definedName>
    <definedName name="Start_9" localSheetId="32">#REF!</definedName>
    <definedName name="Start_9" localSheetId="16">#REF!</definedName>
    <definedName name="Start_9" localSheetId="18">#REF!</definedName>
    <definedName name="Start_9">#REF!</definedName>
    <definedName name="SUMMARY" localSheetId="6">#REF!</definedName>
    <definedName name="SUMMARY" localSheetId="52">#REF!</definedName>
    <definedName name="SUMMARY" localSheetId="46">#REF!</definedName>
    <definedName name="SUMMARY" localSheetId="34">#REF!</definedName>
    <definedName name="SUMMARY" localSheetId="22">#REF!</definedName>
    <definedName name="SUMMARY" localSheetId="25">#REF!</definedName>
    <definedName name="SUMMARY" localSheetId="31">#REF!</definedName>
    <definedName name="SUMMARY" localSheetId="27">#REF!</definedName>
    <definedName name="SUMMARY" localSheetId="29">#REF!</definedName>
    <definedName name="SUMMARY" localSheetId="43">#REF!</definedName>
    <definedName name="SUMMARY" localSheetId="12">#REF!</definedName>
    <definedName name="SUMMARY" localSheetId="23">#REF!</definedName>
    <definedName name="SUMMARY" localSheetId="38">#REF!</definedName>
    <definedName name="SUMMARY" localSheetId="40">#REF!</definedName>
    <definedName name="SUMMARY" localSheetId="32">#REF!</definedName>
    <definedName name="SUMMARY" localSheetId="16">#REF!</definedName>
    <definedName name="SUMMARY" localSheetId="18">#REF!</definedName>
    <definedName name="SUMMARY">#REF!</definedName>
    <definedName name="THI" localSheetId="6">#REF!</definedName>
    <definedName name="THI" localSheetId="52">#REF!</definedName>
    <definedName name="THI" localSheetId="46">#REF!</definedName>
    <definedName name="THI" localSheetId="34">#REF!</definedName>
    <definedName name="THI" localSheetId="22">#REF!</definedName>
    <definedName name="THI" localSheetId="25">#REF!</definedName>
    <definedName name="THI" localSheetId="31">#REF!</definedName>
    <definedName name="THI" localSheetId="27">#REF!</definedName>
    <definedName name="THI" localSheetId="29">#REF!</definedName>
    <definedName name="THI" localSheetId="43">#REF!</definedName>
    <definedName name="THI" localSheetId="12">#REF!</definedName>
    <definedName name="THI" localSheetId="23">#REF!</definedName>
    <definedName name="THI" localSheetId="38">#REF!</definedName>
    <definedName name="THI" localSheetId="40">#REF!</definedName>
    <definedName name="THI" localSheetId="32">#REF!</definedName>
    <definedName name="THI" localSheetId="16">#REF!</definedName>
    <definedName name="THI" localSheetId="18">#REF!</definedName>
    <definedName name="THI">#REF!</definedName>
    <definedName name="ThisYearNT" localSheetId="6">#REF!</definedName>
    <definedName name="ThisYearNT" localSheetId="52">#REF!</definedName>
    <definedName name="ThisYearNT" localSheetId="46">#REF!</definedName>
    <definedName name="ThisYearNT" localSheetId="34">#REF!</definedName>
    <definedName name="ThisYearNT" localSheetId="22">#REF!</definedName>
    <definedName name="ThisYearNT" localSheetId="25">#REF!</definedName>
    <definedName name="ThisYearNT" localSheetId="31">#REF!</definedName>
    <definedName name="ThisYearNT" localSheetId="27">#REF!</definedName>
    <definedName name="ThisYearNT" localSheetId="29">#REF!</definedName>
    <definedName name="ThisYearNT" localSheetId="43">#REF!</definedName>
    <definedName name="ThisYearNT" localSheetId="12">#REF!</definedName>
    <definedName name="ThisYearNT" localSheetId="23">#REF!</definedName>
    <definedName name="ThisYearNT" localSheetId="38">#REF!</definedName>
    <definedName name="ThisYearNT" localSheetId="40">#REF!</definedName>
    <definedName name="ThisYearNT" localSheetId="32">#REF!</definedName>
    <definedName name="ThisYearNT" localSheetId="16">#REF!</definedName>
    <definedName name="ThisYearNT" localSheetId="18">#REF!</definedName>
    <definedName name="ThisYearNT">#REF!</definedName>
    <definedName name="ThisYearPNT" localSheetId="6">#REF!</definedName>
    <definedName name="ThisYearPNT" localSheetId="52">#REF!</definedName>
    <definedName name="ThisYearPNT" localSheetId="46">#REF!</definedName>
    <definedName name="ThisYearPNT" localSheetId="34">#REF!</definedName>
    <definedName name="ThisYearPNT" localSheetId="22">#REF!</definedName>
    <definedName name="ThisYearPNT" localSheetId="25">#REF!</definedName>
    <definedName name="ThisYearPNT" localSheetId="31">#REF!</definedName>
    <definedName name="ThisYearPNT" localSheetId="27">#REF!</definedName>
    <definedName name="ThisYearPNT" localSheetId="29">#REF!</definedName>
    <definedName name="ThisYearPNT" localSheetId="43">#REF!</definedName>
    <definedName name="ThisYearPNT" localSheetId="12">#REF!</definedName>
    <definedName name="ThisYearPNT" localSheetId="23">#REF!</definedName>
    <definedName name="ThisYearPNT" localSheetId="38">#REF!</definedName>
    <definedName name="ThisYearPNT" localSheetId="40">#REF!</definedName>
    <definedName name="ThisYearPNT" localSheetId="32">#REF!</definedName>
    <definedName name="ThisYearPNT" localSheetId="16">#REF!</definedName>
    <definedName name="ThisYearPNT" localSheetId="18">#REF!</definedName>
    <definedName name="ThisYearPNT">#REF!</definedName>
    <definedName name="ThisYearWSNT" localSheetId="6">#REF!</definedName>
    <definedName name="ThisYearWSNT" localSheetId="52">#REF!</definedName>
    <definedName name="ThisYearWSNT" localSheetId="46">#REF!</definedName>
    <definedName name="ThisYearWSNT" localSheetId="34">#REF!</definedName>
    <definedName name="ThisYearWSNT" localSheetId="22">#REF!</definedName>
    <definedName name="ThisYearWSNT" localSheetId="25">#REF!</definedName>
    <definedName name="ThisYearWSNT" localSheetId="31">#REF!</definedName>
    <definedName name="ThisYearWSNT" localSheetId="27">#REF!</definedName>
    <definedName name="ThisYearWSNT" localSheetId="29">#REF!</definedName>
    <definedName name="ThisYearWSNT" localSheetId="43">#REF!</definedName>
    <definedName name="ThisYearWSNT" localSheetId="12">#REF!</definedName>
    <definedName name="ThisYearWSNT" localSheetId="23">#REF!</definedName>
    <definedName name="ThisYearWSNT" localSheetId="38">#REF!</definedName>
    <definedName name="ThisYearWSNT" localSheetId="40">#REF!</definedName>
    <definedName name="ThisYearWSNT" localSheetId="32">#REF!</definedName>
    <definedName name="ThisYearWSNT" localSheetId="16">#REF!</definedName>
    <definedName name="ThisYearWSNT" localSheetId="18">#REF!</definedName>
    <definedName name="ThisYearWSNT">#REF!</definedName>
    <definedName name="ThisYearWSNTdzo" localSheetId="6">#REF!</definedName>
    <definedName name="ThisYearWSNTdzo" localSheetId="52">#REF!</definedName>
    <definedName name="ThisYearWSNTdzo" localSheetId="46">#REF!</definedName>
    <definedName name="ThisYearWSNTdzo" localSheetId="34">#REF!</definedName>
    <definedName name="ThisYearWSNTdzo" localSheetId="22">#REF!</definedName>
    <definedName name="ThisYearWSNTdzo" localSheetId="25">#REF!</definedName>
    <definedName name="ThisYearWSNTdzo" localSheetId="31">#REF!</definedName>
    <definedName name="ThisYearWSNTdzo" localSheetId="27">#REF!</definedName>
    <definedName name="ThisYearWSNTdzo" localSheetId="29">#REF!</definedName>
    <definedName name="ThisYearWSNTdzo" localSheetId="43">#REF!</definedName>
    <definedName name="ThisYearWSNTdzo" localSheetId="12">#REF!</definedName>
    <definedName name="ThisYearWSNTdzo" localSheetId="23">#REF!</definedName>
    <definedName name="ThisYearWSNTdzo" localSheetId="38">#REF!</definedName>
    <definedName name="ThisYearWSNTdzo" localSheetId="40">#REF!</definedName>
    <definedName name="ThisYearWSNTdzo" localSheetId="32">#REF!</definedName>
    <definedName name="ThisYearWSNTdzo" localSheetId="16">#REF!</definedName>
    <definedName name="ThisYearWSNTdzo" localSheetId="18">#REF!</definedName>
    <definedName name="ThisYearWSNTdzo">#REF!</definedName>
    <definedName name="TITAN" localSheetId="6">#REF!</definedName>
    <definedName name="TITAN" localSheetId="52">#REF!</definedName>
    <definedName name="TITAN" localSheetId="46">#REF!</definedName>
    <definedName name="TITAN" localSheetId="34">#REF!</definedName>
    <definedName name="TITAN" localSheetId="22">#REF!</definedName>
    <definedName name="TITAN" localSheetId="25">#REF!</definedName>
    <definedName name="TITAN" localSheetId="31">#REF!</definedName>
    <definedName name="TITAN" localSheetId="27">#REF!</definedName>
    <definedName name="TITAN" localSheetId="29">#REF!</definedName>
    <definedName name="TITAN" localSheetId="43">#REF!</definedName>
    <definedName name="TITAN" localSheetId="12">#REF!</definedName>
    <definedName name="TITAN" localSheetId="23">#REF!</definedName>
    <definedName name="TITAN" localSheetId="38">#REF!</definedName>
    <definedName name="TITAN" localSheetId="40">#REF!</definedName>
    <definedName name="TITAN" localSheetId="32">#REF!</definedName>
    <definedName name="TITAN" localSheetId="16">#REF!</definedName>
    <definedName name="TITAN" localSheetId="18">#REF!</definedName>
    <definedName name="TITAN">#REF!</definedName>
    <definedName name="TPLRP" localSheetId="6">#REF!</definedName>
    <definedName name="TPLRP" localSheetId="52">#REF!</definedName>
    <definedName name="TPLRP" localSheetId="46">#REF!</definedName>
    <definedName name="TPLRP" localSheetId="34">#REF!</definedName>
    <definedName name="TPLRP" localSheetId="22">#REF!</definedName>
    <definedName name="TPLRP" localSheetId="25">#REF!</definedName>
    <definedName name="TPLRP" localSheetId="31">#REF!</definedName>
    <definedName name="TPLRP" localSheetId="27">#REF!</definedName>
    <definedName name="TPLRP" localSheetId="29">#REF!</definedName>
    <definedName name="TPLRP" localSheetId="43">#REF!</definedName>
    <definedName name="TPLRP" localSheetId="12">#REF!</definedName>
    <definedName name="TPLRP" localSheetId="23">#REF!</definedName>
    <definedName name="TPLRP" localSheetId="38">#REF!</definedName>
    <definedName name="TPLRP" localSheetId="40">#REF!</definedName>
    <definedName name="TPLRP" localSheetId="32">#REF!</definedName>
    <definedName name="TPLRP" localSheetId="16">#REF!</definedName>
    <definedName name="TPLRP" localSheetId="18">#REF!</definedName>
    <definedName name="TPLRP">#REF!</definedName>
    <definedName name="TRADE2" localSheetId="6">#REF!</definedName>
    <definedName name="TRADE2" localSheetId="52">#REF!</definedName>
    <definedName name="TRADE2" localSheetId="46">#REF!</definedName>
    <definedName name="TRADE2" localSheetId="34">#REF!</definedName>
    <definedName name="TRADE2" localSheetId="22">#REF!</definedName>
    <definedName name="TRADE2" localSheetId="25">#REF!</definedName>
    <definedName name="TRADE2" localSheetId="31">#REF!</definedName>
    <definedName name="TRADE2" localSheetId="27">#REF!</definedName>
    <definedName name="TRADE2" localSheetId="29">#REF!</definedName>
    <definedName name="TRADE2" localSheetId="43">#REF!</definedName>
    <definedName name="TRADE2" localSheetId="12">#REF!</definedName>
    <definedName name="TRADE2" localSheetId="23">#REF!</definedName>
    <definedName name="TRADE2" localSheetId="38">#REF!</definedName>
    <definedName name="TRADE2" localSheetId="40">#REF!</definedName>
    <definedName name="TRADE2" localSheetId="32">#REF!</definedName>
    <definedName name="TRADE2" localSheetId="16">#REF!</definedName>
    <definedName name="TRADE2" localSheetId="18">#REF!</definedName>
    <definedName name="TRADE2">#REF!</definedName>
    <definedName name="ttbt" localSheetId="6">#REF!</definedName>
    <definedName name="ttbt" localSheetId="52">#REF!</definedName>
    <definedName name="ttbt" localSheetId="46">#REF!</definedName>
    <definedName name="ttbt" localSheetId="34">#REF!</definedName>
    <definedName name="ttbt" localSheetId="22">#REF!</definedName>
    <definedName name="ttbt" localSheetId="25">#REF!</definedName>
    <definedName name="ttbt" localSheetId="31">#REF!</definedName>
    <definedName name="ttbt" localSheetId="27">#REF!</definedName>
    <definedName name="ttbt" localSheetId="29">#REF!</definedName>
    <definedName name="ttbt" localSheetId="43">#REF!</definedName>
    <definedName name="ttbt" localSheetId="12">#REF!</definedName>
    <definedName name="ttbt" localSheetId="23">#REF!</definedName>
    <definedName name="ttbt" localSheetId="38">#REF!</definedName>
    <definedName name="ttbt" localSheetId="40">#REF!</definedName>
    <definedName name="ttbt" localSheetId="32">#REF!</definedName>
    <definedName name="ttbt" localSheetId="16">#REF!</definedName>
    <definedName name="ttbt" localSheetId="18">#REF!</definedName>
    <definedName name="ttbt">#REF!</definedName>
    <definedName name="VARIINST" localSheetId="6">#REF!</definedName>
    <definedName name="VARIINST" localSheetId="52">#REF!</definedName>
    <definedName name="VARIINST" localSheetId="46">#REF!</definedName>
    <definedName name="VARIINST" localSheetId="34">#REF!</definedName>
    <definedName name="VARIINST" localSheetId="22">#REF!</definedName>
    <definedName name="VARIINST" localSheetId="25">#REF!</definedName>
    <definedName name="VARIINST" localSheetId="31">#REF!</definedName>
    <definedName name="VARIINST" localSheetId="27">#REF!</definedName>
    <definedName name="VARIINST" localSheetId="29">#REF!</definedName>
    <definedName name="VARIINST" localSheetId="43">#REF!</definedName>
    <definedName name="VARIINST" localSheetId="12">#REF!</definedName>
    <definedName name="VARIINST" localSheetId="23">#REF!</definedName>
    <definedName name="VARIINST" localSheetId="38">#REF!</definedName>
    <definedName name="VARIINST" localSheetId="40">#REF!</definedName>
    <definedName name="VARIINST" localSheetId="32">#REF!</definedName>
    <definedName name="VARIINST" localSheetId="16">#REF!</definedName>
    <definedName name="VARIINST" localSheetId="18">#REF!</definedName>
    <definedName name="VARIINST">#REF!</definedName>
    <definedName name="VARIPURC" localSheetId="6">#REF!</definedName>
    <definedName name="VARIPURC" localSheetId="52">#REF!</definedName>
    <definedName name="VARIPURC" localSheetId="46">#REF!</definedName>
    <definedName name="VARIPURC" localSheetId="34">#REF!</definedName>
    <definedName name="VARIPURC" localSheetId="22">#REF!</definedName>
    <definedName name="VARIPURC" localSheetId="25">#REF!</definedName>
    <definedName name="VARIPURC" localSheetId="31">#REF!</definedName>
    <definedName name="VARIPURC" localSheetId="27">#REF!</definedName>
    <definedName name="VARIPURC" localSheetId="29">#REF!</definedName>
    <definedName name="VARIPURC" localSheetId="43">#REF!</definedName>
    <definedName name="VARIPURC" localSheetId="12">#REF!</definedName>
    <definedName name="VARIPURC" localSheetId="23">#REF!</definedName>
    <definedName name="VARIPURC" localSheetId="38">#REF!</definedName>
    <definedName name="VARIPURC" localSheetId="40">#REF!</definedName>
    <definedName name="VARIPURC" localSheetId="32">#REF!</definedName>
    <definedName name="VARIPURC" localSheetId="16">#REF!</definedName>
    <definedName name="VARIPURC" localSheetId="18">#REF!</definedName>
    <definedName name="VARIPURC">#REF!</definedName>
    <definedName name="vccot" localSheetId="6">#REF!</definedName>
    <definedName name="vccot" localSheetId="52">#REF!</definedName>
    <definedName name="vccot" localSheetId="46">#REF!</definedName>
    <definedName name="vccot" localSheetId="34">#REF!</definedName>
    <definedName name="vccot" localSheetId="22">#REF!</definedName>
    <definedName name="vccot" localSheetId="25">#REF!</definedName>
    <definedName name="vccot" localSheetId="31">#REF!</definedName>
    <definedName name="vccot" localSheetId="27">#REF!</definedName>
    <definedName name="vccot" localSheetId="29">#REF!</definedName>
    <definedName name="vccot" localSheetId="43">#REF!</definedName>
    <definedName name="vccot" localSheetId="12">#REF!</definedName>
    <definedName name="vccot" localSheetId="23">#REF!</definedName>
    <definedName name="vccot" localSheetId="38">#REF!</definedName>
    <definedName name="vccot" localSheetId="40">#REF!</definedName>
    <definedName name="vccot" localSheetId="32">#REF!</definedName>
    <definedName name="vccot" localSheetId="16">#REF!</definedName>
    <definedName name="vccot" localSheetId="18">#REF!</definedName>
    <definedName name="vccot">#REF!</definedName>
    <definedName name="vctb" localSheetId="6">#REF!</definedName>
    <definedName name="vctb" localSheetId="52">#REF!</definedName>
    <definedName name="vctb" localSheetId="46">#REF!</definedName>
    <definedName name="vctb" localSheetId="34">#REF!</definedName>
    <definedName name="vctb" localSheetId="22">#REF!</definedName>
    <definedName name="vctb" localSheetId="25">#REF!</definedName>
    <definedName name="vctb" localSheetId="31">#REF!</definedName>
    <definedName name="vctb" localSheetId="27">#REF!</definedName>
    <definedName name="vctb" localSheetId="29">#REF!</definedName>
    <definedName name="vctb" localSheetId="43">#REF!</definedName>
    <definedName name="vctb" localSheetId="12">#REF!</definedName>
    <definedName name="vctb" localSheetId="23">#REF!</definedName>
    <definedName name="vctb" localSheetId="38">#REF!</definedName>
    <definedName name="vctb" localSheetId="40">#REF!</definedName>
    <definedName name="vctb" localSheetId="32">#REF!</definedName>
    <definedName name="vctb" localSheetId="16">#REF!</definedName>
    <definedName name="vctb" localSheetId="18">#REF!</definedName>
    <definedName name="vctb">#REF!</definedName>
    <definedName name="Vlcap0.7" localSheetId="6">#REF!</definedName>
    <definedName name="Vlcap0.7" localSheetId="52">#REF!</definedName>
    <definedName name="Vlcap0.7" localSheetId="46">#REF!</definedName>
    <definedName name="Vlcap0.7" localSheetId="34">#REF!</definedName>
    <definedName name="Vlcap0.7" localSheetId="22">#REF!</definedName>
    <definedName name="Vlcap0.7" localSheetId="25">#REF!</definedName>
    <definedName name="Vlcap0.7" localSheetId="31">#REF!</definedName>
    <definedName name="Vlcap0.7" localSheetId="27">#REF!</definedName>
    <definedName name="Vlcap0.7" localSheetId="29">#REF!</definedName>
    <definedName name="Vlcap0.7" localSheetId="43">#REF!</definedName>
    <definedName name="Vlcap0.7" localSheetId="12">#REF!</definedName>
    <definedName name="Vlcap0.7" localSheetId="23">#REF!</definedName>
    <definedName name="Vlcap0.7" localSheetId="38">#REF!</definedName>
    <definedName name="Vlcap0.7" localSheetId="40">#REF!</definedName>
    <definedName name="Vlcap0.7" localSheetId="32">#REF!</definedName>
    <definedName name="Vlcap0.7" localSheetId="16">#REF!</definedName>
    <definedName name="Vlcap0.7" localSheetId="18">#REF!</definedName>
    <definedName name="Vlcap0.7">#REF!</definedName>
    <definedName name="VLcap1" localSheetId="6">#REF!</definedName>
    <definedName name="VLcap1" localSheetId="52">#REF!</definedName>
    <definedName name="VLcap1" localSheetId="46">#REF!</definedName>
    <definedName name="VLcap1" localSheetId="34">#REF!</definedName>
    <definedName name="VLcap1" localSheetId="22">#REF!</definedName>
    <definedName name="VLcap1" localSheetId="25">#REF!</definedName>
    <definedName name="VLcap1" localSheetId="31">#REF!</definedName>
    <definedName name="VLcap1" localSheetId="27">#REF!</definedName>
    <definedName name="VLcap1" localSheetId="29">#REF!</definedName>
    <definedName name="VLcap1" localSheetId="43">#REF!</definedName>
    <definedName name="VLcap1" localSheetId="12">#REF!</definedName>
    <definedName name="VLcap1" localSheetId="23">#REF!</definedName>
    <definedName name="VLcap1" localSheetId="38">#REF!</definedName>
    <definedName name="VLcap1" localSheetId="40">#REF!</definedName>
    <definedName name="VLcap1" localSheetId="32">#REF!</definedName>
    <definedName name="VLcap1" localSheetId="16">#REF!</definedName>
    <definedName name="VLcap1" localSheetId="18">#REF!</definedName>
    <definedName name="VLcap1">#REF!</definedName>
    <definedName name="VungTL" localSheetId="6">#REF!</definedName>
    <definedName name="VungTL" localSheetId="52">#REF!</definedName>
    <definedName name="VungTL" localSheetId="46">#REF!</definedName>
    <definedName name="VungTL" localSheetId="34">#REF!</definedName>
    <definedName name="VungTL" localSheetId="22">#REF!</definedName>
    <definedName name="VungTL" localSheetId="25">#REF!</definedName>
    <definedName name="VungTL" localSheetId="31">#REF!</definedName>
    <definedName name="VungTL" localSheetId="27">#REF!</definedName>
    <definedName name="VungTL" localSheetId="29">#REF!</definedName>
    <definedName name="VungTL" localSheetId="43">#REF!</definedName>
    <definedName name="VungTL" localSheetId="12">#REF!</definedName>
    <definedName name="VungTL" localSheetId="23">#REF!</definedName>
    <definedName name="VungTL" localSheetId="38">#REF!</definedName>
    <definedName name="VungTL" localSheetId="40">#REF!</definedName>
    <definedName name="VungTL" localSheetId="32">#REF!</definedName>
    <definedName name="VungTL" localSheetId="16">#REF!</definedName>
    <definedName name="VungTL" localSheetId="18">#REF!</definedName>
    <definedName name="VungTL">#REF!</definedName>
    <definedName name="W" localSheetId="6">#REF!</definedName>
    <definedName name="W" localSheetId="52">#REF!</definedName>
    <definedName name="W" localSheetId="46">#REF!</definedName>
    <definedName name="W" localSheetId="34">#REF!</definedName>
    <definedName name="W" localSheetId="22">#REF!</definedName>
    <definedName name="W" localSheetId="25">#REF!</definedName>
    <definedName name="W" localSheetId="31">#REF!</definedName>
    <definedName name="W" localSheetId="27">#REF!</definedName>
    <definedName name="W" localSheetId="29">#REF!</definedName>
    <definedName name="W" localSheetId="43">#REF!</definedName>
    <definedName name="W" localSheetId="12">#REF!</definedName>
    <definedName name="W" localSheetId="23">#REF!</definedName>
    <definedName name="W" localSheetId="38">#REF!</definedName>
    <definedName name="W" localSheetId="40">#REF!</definedName>
    <definedName name="W" localSheetId="32">#REF!</definedName>
    <definedName name="W" localSheetId="16">#REF!</definedName>
    <definedName name="W" localSheetId="18">#REF!</definedName>
    <definedName name="W">#REF!</definedName>
    <definedName name="X" localSheetId="6">#REF!</definedName>
    <definedName name="X" localSheetId="52">#REF!</definedName>
    <definedName name="X" localSheetId="46">#REF!</definedName>
    <definedName name="X" localSheetId="34">#REF!</definedName>
    <definedName name="X" localSheetId="22">#REF!</definedName>
    <definedName name="X" localSheetId="25">#REF!</definedName>
    <definedName name="X" localSheetId="31">#REF!</definedName>
    <definedName name="X" localSheetId="27">#REF!</definedName>
    <definedName name="X" localSheetId="29">#REF!</definedName>
    <definedName name="X" localSheetId="43">#REF!</definedName>
    <definedName name="X" localSheetId="12">#REF!</definedName>
    <definedName name="X" localSheetId="23">#REF!</definedName>
    <definedName name="X" localSheetId="38">#REF!</definedName>
    <definedName name="X" localSheetId="40">#REF!</definedName>
    <definedName name="X" localSheetId="32">#REF!</definedName>
    <definedName name="X" localSheetId="16">#REF!</definedName>
    <definedName name="X" localSheetId="18">#REF!</definedName>
    <definedName name="X">#REF!</definedName>
    <definedName name="ZYX" localSheetId="6">#REF!</definedName>
    <definedName name="ZYX" localSheetId="52">#REF!</definedName>
    <definedName name="ZYX" localSheetId="46">#REF!</definedName>
    <definedName name="ZYX" localSheetId="34">#REF!</definedName>
    <definedName name="ZYX" localSheetId="22">#REF!</definedName>
    <definedName name="ZYX" localSheetId="25">#REF!</definedName>
    <definedName name="ZYX" localSheetId="31">#REF!</definedName>
    <definedName name="ZYX" localSheetId="27">#REF!</definedName>
    <definedName name="ZYX" localSheetId="29">#REF!</definedName>
    <definedName name="ZYX" localSheetId="43">#REF!</definedName>
    <definedName name="ZYX" localSheetId="12">#REF!</definedName>
    <definedName name="ZYX" localSheetId="23">#REF!</definedName>
    <definedName name="ZYX" localSheetId="38">#REF!</definedName>
    <definedName name="ZYX" localSheetId="40">#REF!</definedName>
    <definedName name="ZYX" localSheetId="32">#REF!</definedName>
    <definedName name="ZYX" localSheetId="16">#REF!</definedName>
    <definedName name="ZYX" localSheetId="18">#REF!</definedName>
    <definedName name="ZYX">#REF!</definedName>
    <definedName name="ZZZ" localSheetId="6">#REF!</definedName>
    <definedName name="ZZZ" localSheetId="52">#REF!</definedName>
    <definedName name="ZZZ" localSheetId="46">#REF!</definedName>
    <definedName name="ZZZ" localSheetId="34">#REF!</definedName>
    <definedName name="ZZZ" localSheetId="22">#REF!</definedName>
    <definedName name="ZZZ" localSheetId="25">#REF!</definedName>
    <definedName name="ZZZ" localSheetId="31">#REF!</definedName>
    <definedName name="ZZZ" localSheetId="27">#REF!</definedName>
    <definedName name="ZZZ" localSheetId="29">#REF!</definedName>
    <definedName name="ZZZ" localSheetId="43">#REF!</definedName>
    <definedName name="ZZZ" localSheetId="12">#REF!</definedName>
    <definedName name="ZZZ" localSheetId="23">#REF!</definedName>
    <definedName name="ZZZ" localSheetId="38">#REF!</definedName>
    <definedName name="ZZZ" localSheetId="40">#REF!</definedName>
    <definedName name="ZZZ" localSheetId="32">#REF!</definedName>
    <definedName name="ZZZ" localSheetId="16">#REF!</definedName>
    <definedName name="ZZZ" localSheetId="18">#REF!</definedName>
    <definedName name="ZZZ">#REF!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75" l="1"/>
  <c r="C17" i="75" s="1"/>
  <c r="C40" i="66"/>
  <c r="L40" i="66"/>
  <c r="J40" i="66" s="1"/>
  <c r="S40" i="66"/>
  <c r="T40" i="66"/>
  <c r="R40" i="66" s="1"/>
  <c r="AB40" i="66"/>
  <c r="B18" i="75"/>
  <c r="F18" i="75"/>
  <c r="C18" i="75" s="1"/>
  <c r="B15" i="75"/>
  <c r="B13" i="75"/>
  <c r="B12" i="75"/>
  <c r="A4" i="75"/>
  <c r="B17" i="75"/>
  <c r="B16" i="75"/>
  <c r="B14" i="75"/>
  <c r="AN40" i="66" l="1"/>
  <c r="AR40" i="66"/>
  <c r="AM40" i="66"/>
  <c r="AO40" i="66"/>
  <c r="AP40" i="66"/>
  <c r="AQ40" i="66" s="1"/>
  <c r="K40" i="66"/>
  <c r="B39" i="66" l="1"/>
  <c r="K15" i="53"/>
  <c r="C25" i="66"/>
  <c r="E45" i="66"/>
  <c r="D45" i="66"/>
  <c r="A4" i="54"/>
  <c r="AE39" i="66"/>
  <c r="F19" i="66"/>
  <c r="AE19" i="66"/>
  <c r="AB19" i="66" s="1"/>
  <c r="U19" i="66"/>
  <c r="T19" i="66" s="1"/>
  <c r="R19" i="66" s="1"/>
  <c r="S19" i="66"/>
  <c r="G34" i="74"/>
  <c r="C34" i="55" s="1"/>
  <c r="G33" i="74"/>
  <c r="C33" i="55" s="1"/>
  <c r="G31" i="74"/>
  <c r="C31" i="55" s="1"/>
  <c r="G24" i="74"/>
  <c r="C24" i="55" s="1"/>
  <c r="F24" i="55" s="1"/>
  <c r="G23" i="74"/>
  <c r="C23" i="55" s="1"/>
  <c r="F23" i="55" s="1"/>
  <c r="G21" i="74"/>
  <c r="C21" i="55" s="1"/>
  <c r="F21" i="55" s="1"/>
  <c r="G20" i="74"/>
  <c r="C20" i="55" s="1"/>
  <c r="G19" i="74"/>
  <c r="C19" i="55" s="1"/>
  <c r="F19" i="55" s="1"/>
  <c r="C19" i="66" l="1"/>
  <c r="AN19" i="66"/>
  <c r="AO19" i="66"/>
  <c r="AM19" i="66"/>
  <c r="G22" i="74" l="1"/>
  <c r="G18" i="74"/>
  <c r="D41" i="74"/>
  <c r="I41" i="74" s="1"/>
  <c r="C40" i="74"/>
  <c r="C39" i="74"/>
  <c r="D39" i="74" s="1"/>
  <c r="I39" i="74" s="1"/>
  <c r="C38" i="74"/>
  <c r="D38" i="74" s="1"/>
  <c r="C37" i="74"/>
  <c r="D37" i="74" s="1"/>
  <c r="I37" i="74" s="1"/>
  <c r="C36" i="74"/>
  <c r="C35" i="74"/>
  <c r="D35" i="74" s="1"/>
  <c r="B35" i="74"/>
  <c r="C34" i="74"/>
  <c r="D34" i="74" s="1"/>
  <c r="I34" i="74" s="1"/>
  <c r="C33" i="74"/>
  <c r="D33" i="74" s="1"/>
  <c r="C32" i="74"/>
  <c r="D32" i="74" s="1"/>
  <c r="F32" i="74" s="1"/>
  <c r="C31" i="74"/>
  <c r="C30" i="74"/>
  <c r="C29" i="74"/>
  <c r="C28" i="74"/>
  <c r="D28" i="74" s="1"/>
  <c r="C27" i="74"/>
  <c r="C26" i="74"/>
  <c r="F26" i="74" s="1"/>
  <c r="C25" i="74"/>
  <c r="F25" i="74" s="1"/>
  <c r="C24" i="74"/>
  <c r="C23" i="74"/>
  <c r="I23" i="74" s="1"/>
  <c r="C21" i="74"/>
  <c r="D21" i="74" s="1"/>
  <c r="B21" i="74"/>
  <c r="C20" i="74"/>
  <c r="B20" i="74"/>
  <c r="C19" i="74"/>
  <c r="C18" i="74" s="1"/>
  <c r="C13" i="74"/>
  <c r="F12" i="74"/>
  <c r="E12" i="74"/>
  <c r="E11" i="74"/>
  <c r="C11" i="74"/>
  <c r="A4" i="74"/>
  <c r="E20" i="66"/>
  <c r="C20" i="66" s="1"/>
  <c r="F20" i="66"/>
  <c r="S20" i="66"/>
  <c r="U20" i="66"/>
  <c r="T20" i="66" s="1"/>
  <c r="R20" i="66" s="1"/>
  <c r="AE20" i="66"/>
  <c r="AB20" i="66" s="1"/>
  <c r="G22" i="73"/>
  <c r="C23" i="56" s="1"/>
  <c r="G20" i="73"/>
  <c r="C20" i="56" s="1"/>
  <c r="G19" i="73"/>
  <c r="G18" i="73"/>
  <c r="C18" i="56" s="1"/>
  <c r="G21" i="73" l="1"/>
  <c r="G17" i="73"/>
  <c r="C19" i="56"/>
  <c r="AD27" i="66"/>
  <c r="G17" i="74"/>
  <c r="G16" i="74" s="1"/>
  <c r="F19" i="74"/>
  <c r="F40" i="74"/>
  <c r="I19" i="74"/>
  <c r="J19" i="74" s="1"/>
  <c r="F23" i="74"/>
  <c r="J23" i="74" s="1"/>
  <c r="D40" i="74"/>
  <c r="C22" i="74"/>
  <c r="I25" i="74"/>
  <c r="D29" i="74"/>
  <c r="F29" i="74" s="1"/>
  <c r="F33" i="74"/>
  <c r="I33" i="74"/>
  <c r="J25" i="74"/>
  <c r="I38" i="74"/>
  <c r="F38" i="74"/>
  <c r="I21" i="74"/>
  <c r="D18" i="74"/>
  <c r="F21" i="74"/>
  <c r="C17" i="74"/>
  <c r="I28" i="74"/>
  <c r="J41" i="74"/>
  <c r="F28" i="74"/>
  <c r="F34" i="74"/>
  <c r="J34" i="74" s="1"/>
  <c r="F35" i="74"/>
  <c r="F39" i="74"/>
  <c r="J39" i="74" s="1"/>
  <c r="I40" i="74"/>
  <c r="J40" i="74" s="1"/>
  <c r="F24" i="74"/>
  <c r="D31" i="74"/>
  <c r="I31" i="74" s="1"/>
  <c r="D36" i="74"/>
  <c r="I36" i="74" s="1"/>
  <c r="F37" i="74"/>
  <c r="J37" i="74" s="1"/>
  <c r="I24" i="74"/>
  <c r="D30" i="74"/>
  <c r="I30" i="74" s="1"/>
  <c r="I32" i="74"/>
  <c r="J32" i="74" s="1"/>
  <c r="F41" i="74"/>
  <c r="AN20" i="66"/>
  <c r="AM20" i="66"/>
  <c r="AO20" i="66"/>
  <c r="G16" i="73"/>
  <c r="G15" i="73" s="1"/>
  <c r="I15" i="73" l="1"/>
  <c r="O20" i="66"/>
  <c r="L16" i="74"/>
  <c r="O19" i="66"/>
  <c r="I29" i="74"/>
  <c r="J29" i="74" s="1"/>
  <c r="J33" i="74"/>
  <c r="D27" i="74"/>
  <c r="F27" i="74"/>
  <c r="F31" i="74"/>
  <c r="J31" i="74" s="1"/>
  <c r="F36" i="74"/>
  <c r="J36" i="74" s="1"/>
  <c r="C16" i="74"/>
  <c r="F30" i="74"/>
  <c r="J24" i="74"/>
  <c r="D22" i="74"/>
  <c r="I22" i="74" s="1"/>
  <c r="I27" i="74"/>
  <c r="J27" i="74" s="1"/>
  <c r="J21" i="74"/>
  <c r="J28" i="74"/>
  <c r="J38" i="74"/>
  <c r="L19" i="66" l="1"/>
  <c r="AE33" i="66"/>
  <c r="L20" i="66"/>
  <c r="AE27" i="66"/>
  <c r="F22" i="74"/>
  <c r="J22" i="74" s="1"/>
  <c r="J30" i="74"/>
  <c r="D17" i="74"/>
  <c r="D16" i="74" s="1"/>
  <c r="E20" i="74" s="1"/>
  <c r="J20" i="66" l="1"/>
  <c r="AR20" i="66" s="1"/>
  <c r="K20" i="66"/>
  <c r="AP20" i="66"/>
  <c r="AQ20" i="66" s="1"/>
  <c r="K19" i="66"/>
  <c r="J19" i="66"/>
  <c r="AR19" i="66" s="1"/>
  <c r="AP19" i="66"/>
  <c r="AQ19" i="66" s="1"/>
  <c r="E18" i="74"/>
  <c r="F20" i="74"/>
  <c r="F18" i="74" s="1"/>
  <c r="F17" i="74" s="1"/>
  <c r="F16" i="74" s="1"/>
  <c r="I20" i="74"/>
  <c r="J20" i="74" s="1"/>
  <c r="I18" i="74" l="1"/>
  <c r="J18" i="74" s="1"/>
  <c r="E17" i="74"/>
  <c r="E16" i="74" l="1"/>
  <c r="I16" i="74" s="1"/>
  <c r="J16" i="74" s="1"/>
  <c r="I17" i="74"/>
  <c r="J17" i="74" s="1"/>
  <c r="C32" i="73" l="1"/>
  <c r="D32" i="73" s="1"/>
  <c r="F32" i="73" s="1"/>
  <c r="B32" i="73"/>
  <c r="C31" i="73"/>
  <c r="C30" i="73"/>
  <c r="B30" i="73"/>
  <c r="C29" i="73"/>
  <c r="D29" i="73" s="1"/>
  <c r="F29" i="73" s="1"/>
  <c r="B29" i="73"/>
  <c r="D28" i="73"/>
  <c r="F28" i="73" s="1"/>
  <c r="B28" i="73"/>
  <c r="C27" i="73"/>
  <c r="D27" i="73" s="1"/>
  <c r="F27" i="73" s="1"/>
  <c r="B27" i="73"/>
  <c r="C26" i="73"/>
  <c r="F26" i="73" s="1"/>
  <c r="B26" i="73"/>
  <c r="C25" i="73"/>
  <c r="C24" i="73"/>
  <c r="C23" i="73"/>
  <c r="F23" i="73" s="1"/>
  <c r="C22" i="73"/>
  <c r="B21" i="73"/>
  <c r="C20" i="73"/>
  <c r="C19" i="73"/>
  <c r="B19" i="73"/>
  <c r="C18" i="73"/>
  <c r="C17" i="73" s="1"/>
  <c r="D14" i="73"/>
  <c r="F14" i="73" s="1"/>
  <c r="C12" i="73"/>
  <c r="F11" i="73"/>
  <c r="E11" i="73"/>
  <c r="E10" i="73"/>
  <c r="C10" i="73"/>
  <c r="A4" i="73"/>
  <c r="AF36" i="66"/>
  <c r="AE36" i="66"/>
  <c r="AF23" i="66"/>
  <c r="AE23" i="66"/>
  <c r="AC23" i="66"/>
  <c r="G49" i="58"/>
  <c r="G32" i="58"/>
  <c r="G28" i="58"/>
  <c r="G26" i="58"/>
  <c r="G18" i="58"/>
  <c r="C21" i="73" l="1"/>
  <c r="C16" i="73"/>
  <c r="C15" i="73" s="1"/>
  <c r="F30" i="73"/>
  <c r="F31" i="73"/>
  <c r="D31" i="73"/>
  <c r="F18" i="73"/>
  <c r="D20" i="73"/>
  <c r="D17" i="73" s="1"/>
  <c r="D24" i="73"/>
  <c r="F22" i="73"/>
  <c r="D25" i="73"/>
  <c r="F25" i="73" s="1"/>
  <c r="D30" i="73"/>
  <c r="F20" i="73" l="1"/>
  <c r="D21" i="73"/>
  <c r="D16" i="73"/>
  <c r="D15" i="73" s="1"/>
  <c r="E19" i="73" s="1"/>
  <c r="F24" i="73"/>
  <c r="F21" i="73" s="1"/>
  <c r="E17" i="73" l="1"/>
  <c r="E16" i="73" s="1"/>
  <c r="E15" i="73" s="1"/>
  <c r="F19" i="73"/>
  <c r="F17" i="73" s="1"/>
  <c r="F16" i="73" s="1"/>
  <c r="F15" i="73" s="1"/>
  <c r="D55" i="66" l="1"/>
  <c r="C55" i="66"/>
  <c r="B67" i="66" s="1"/>
  <c r="E55" i="66" l="1"/>
  <c r="T15" i="72"/>
  <c r="R15" i="72"/>
  <c r="AO44" i="72"/>
  <c r="S44" i="72"/>
  <c r="L44" i="72"/>
  <c r="J44" i="72"/>
  <c r="AB43" i="72"/>
  <c r="AO43" i="72" s="1"/>
  <c r="T43" i="72"/>
  <c r="S43" i="72"/>
  <c r="L43" i="72"/>
  <c r="C43" i="72"/>
  <c r="AP42" i="72"/>
  <c r="AC42" i="72"/>
  <c r="AB42" i="72"/>
  <c r="T42" i="72"/>
  <c r="S42" i="72"/>
  <c r="L42" i="72"/>
  <c r="D42" i="72"/>
  <c r="C42" i="72" s="1"/>
  <c r="AN42" i="72" s="1"/>
  <c r="AO41" i="72"/>
  <c r="AN41" i="72"/>
  <c r="AM41" i="72"/>
  <c r="AE41" i="72"/>
  <c r="AB41" i="72"/>
  <c r="T41" i="72"/>
  <c r="S41" i="72"/>
  <c r="R41" i="72"/>
  <c r="L41" i="72"/>
  <c r="K41" i="72" s="1"/>
  <c r="C41" i="72"/>
  <c r="B41" i="72"/>
  <c r="AQ40" i="72"/>
  <c r="AE40" i="72"/>
  <c r="AB40" i="72"/>
  <c r="T40" i="72"/>
  <c r="S40" i="72"/>
  <c r="L40" i="72"/>
  <c r="F40" i="72"/>
  <c r="C40" i="72" s="1"/>
  <c r="AN40" i="72" s="1"/>
  <c r="AQ39" i="72"/>
  <c r="T39" i="72"/>
  <c r="R39" i="72" s="1"/>
  <c r="S39" i="72"/>
  <c r="L39" i="72"/>
  <c r="J39" i="72"/>
  <c r="F39" i="72"/>
  <c r="C39" i="72" s="1"/>
  <c r="AF38" i="72"/>
  <c r="AF37" i="72" s="1"/>
  <c r="AE38" i="72"/>
  <c r="AC38" i="72"/>
  <c r="S38" i="72"/>
  <c r="R38" i="72"/>
  <c r="AH37" i="72"/>
  <c r="AG37" i="72"/>
  <c r="AD37" i="72"/>
  <c r="T37" i="72"/>
  <c r="S37" i="72"/>
  <c r="R37" i="72"/>
  <c r="P37" i="72"/>
  <c r="O37" i="72"/>
  <c r="N37" i="72"/>
  <c r="G37" i="72"/>
  <c r="E37" i="72"/>
  <c r="AE36" i="72"/>
  <c r="AD36" i="72"/>
  <c r="S36" i="72"/>
  <c r="R36" i="72"/>
  <c r="S35" i="72"/>
  <c r="R35" i="72"/>
  <c r="AC34" i="72"/>
  <c r="T34" i="72"/>
  <c r="S34" i="72"/>
  <c r="L34" i="72"/>
  <c r="F34" i="72"/>
  <c r="AF33" i="72"/>
  <c r="AE33" i="72"/>
  <c r="T33" i="72"/>
  <c r="R33" i="72" s="1"/>
  <c r="S33" i="72"/>
  <c r="G33" i="72"/>
  <c r="G15" i="72" s="1"/>
  <c r="F33" i="72"/>
  <c r="D33" i="72"/>
  <c r="D15" i="72" s="1"/>
  <c r="AE32" i="72"/>
  <c r="AB32" i="72" s="1"/>
  <c r="Y32" i="72"/>
  <c r="W32" i="72"/>
  <c r="T32" i="72"/>
  <c r="S32" i="72"/>
  <c r="R32" i="72"/>
  <c r="O32" i="72"/>
  <c r="L32" i="72" s="1"/>
  <c r="N32" i="72"/>
  <c r="F32" i="72"/>
  <c r="C32" i="72" s="1"/>
  <c r="AF31" i="72"/>
  <c r="AF28" i="72" s="1"/>
  <c r="AE31" i="72"/>
  <c r="S31" i="72"/>
  <c r="R31" i="72"/>
  <c r="AE30" i="72"/>
  <c r="AD30" i="72"/>
  <c r="S30" i="72"/>
  <c r="R30" i="72"/>
  <c r="S29" i="72"/>
  <c r="R29" i="72"/>
  <c r="AL28" i="72"/>
  <c r="AK28" i="72"/>
  <c r="AJ28" i="72"/>
  <c r="AI28" i="72"/>
  <c r="AH28" i="72"/>
  <c r="AG28" i="72"/>
  <c r="AC28" i="72"/>
  <c r="T28" i="72"/>
  <c r="S28" i="72"/>
  <c r="R28" i="72"/>
  <c r="L28" i="72"/>
  <c r="E28" i="72"/>
  <c r="AD29" i="72" s="1"/>
  <c r="S27" i="72"/>
  <c r="R27" i="72"/>
  <c r="AE26" i="72"/>
  <c r="AD26" i="72"/>
  <c r="S26" i="72"/>
  <c r="R26" i="72"/>
  <c r="T25" i="72"/>
  <c r="S25" i="72"/>
  <c r="R25" i="72"/>
  <c r="L25" i="72"/>
  <c r="E25" i="72"/>
  <c r="AE24" i="72"/>
  <c r="AB24" i="72" s="1"/>
  <c r="U24" i="72"/>
  <c r="T24" i="72"/>
  <c r="S24" i="72"/>
  <c r="R24" i="72"/>
  <c r="F24" i="72"/>
  <c r="C24" i="72" s="1"/>
  <c r="AE23" i="72"/>
  <c r="AB23" i="72" s="1"/>
  <c r="AM23" i="72" s="1"/>
  <c r="S23" i="72"/>
  <c r="R23" i="72"/>
  <c r="AF22" i="72"/>
  <c r="AE22" i="72"/>
  <c r="AB22" i="72" s="1"/>
  <c r="S22" i="72"/>
  <c r="R22" i="72"/>
  <c r="AD21" i="72"/>
  <c r="S21" i="72"/>
  <c r="AF20" i="72"/>
  <c r="AC20" i="72"/>
  <c r="T20" i="72"/>
  <c r="R20" i="72" s="1"/>
  <c r="S20" i="72"/>
  <c r="L20" i="72"/>
  <c r="J20" i="72"/>
  <c r="F20" i="72"/>
  <c r="C20" i="72" s="1"/>
  <c r="AE19" i="72"/>
  <c r="AB19" i="72" s="1"/>
  <c r="T19" i="72"/>
  <c r="S19" i="72"/>
  <c r="R19" i="72"/>
  <c r="O19" i="72"/>
  <c r="L19" i="72" s="1"/>
  <c r="F19" i="72"/>
  <c r="C19" i="72" s="1"/>
  <c r="AE18" i="72"/>
  <c r="AB18" i="72" s="1"/>
  <c r="T18" i="72"/>
  <c r="S18" i="72"/>
  <c r="R18" i="72"/>
  <c r="O18" i="72"/>
  <c r="L18" i="72"/>
  <c r="F18" i="72"/>
  <c r="C18" i="72" s="1"/>
  <c r="AE17" i="72"/>
  <c r="AB17" i="72"/>
  <c r="AP17" i="72" s="1"/>
  <c r="T17" i="72"/>
  <c r="J17" i="72" s="1"/>
  <c r="S17" i="72"/>
  <c r="L17" i="72"/>
  <c r="F17" i="72"/>
  <c r="C17" i="72" s="1"/>
  <c r="AE16" i="72"/>
  <c r="AD16" i="72"/>
  <c r="T16" i="72"/>
  <c r="S16" i="72"/>
  <c r="L16" i="72"/>
  <c r="J16" i="72" s="1"/>
  <c r="E16" i="72"/>
  <c r="F16" i="72" s="1"/>
  <c r="C16" i="72" s="1"/>
  <c r="AH15" i="72"/>
  <c r="AG15" i="72"/>
  <c r="Z15" i="72"/>
  <c r="S15" i="72" s="1"/>
  <c r="Y15" i="72"/>
  <c r="X15" i="72"/>
  <c r="W15" i="72"/>
  <c r="V15" i="72"/>
  <c r="U15" i="72"/>
  <c r="Q15" i="72"/>
  <c r="N15" i="72"/>
  <c r="M15" i="72"/>
  <c r="H15" i="72"/>
  <c r="AB14" i="72"/>
  <c r="L14" i="72"/>
  <c r="C14" i="72"/>
  <c r="AE13" i="72"/>
  <c r="AD13" i="72"/>
  <c r="AB13" i="72"/>
  <c r="O13" i="72"/>
  <c r="N13" i="72"/>
  <c r="L13" i="72"/>
  <c r="F13" i="72"/>
  <c r="E13" i="72"/>
  <c r="C13" i="72"/>
  <c r="AF12" i="72"/>
  <c r="AE12" i="72"/>
  <c r="AD12" i="72"/>
  <c r="AD11" i="72" s="1"/>
  <c r="P12" i="72"/>
  <c r="O12" i="72"/>
  <c r="N12" i="72"/>
  <c r="L12" i="72" s="1"/>
  <c r="L11" i="72" s="1"/>
  <c r="G12" i="72"/>
  <c r="F12" i="72"/>
  <c r="E12" i="72"/>
  <c r="AH11" i="72"/>
  <c r="AF11" i="72"/>
  <c r="P11" i="72"/>
  <c r="O11" i="72"/>
  <c r="N11" i="72"/>
  <c r="F11" i="72"/>
  <c r="E11" i="72"/>
  <c r="AT9" i="72"/>
  <c r="S21" i="66"/>
  <c r="S22" i="66"/>
  <c r="S23" i="66"/>
  <c r="S24" i="66"/>
  <c r="S18" i="66"/>
  <c r="E47" i="66" s="1"/>
  <c r="S25" i="66"/>
  <c r="S26" i="66"/>
  <c r="S27" i="66"/>
  <c r="S28" i="66"/>
  <c r="S29" i="66"/>
  <c r="S30" i="66"/>
  <c r="S31" i="66"/>
  <c r="S16" i="66"/>
  <c r="E46" i="66" s="1"/>
  <c r="S17" i="66"/>
  <c r="S32" i="66"/>
  <c r="S33" i="66"/>
  <c r="S34" i="66"/>
  <c r="S35" i="66"/>
  <c r="S36" i="66"/>
  <c r="S37" i="66"/>
  <c r="S38" i="66"/>
  <c r="S39" i="66"/>
  <c r="S41" i="66"/>
  <c r="S42" i="66"/>
  <c r="R23" i="66"/>
  <c r="R24" i="66"/>
  <c r="R26" i="66"/>
  <c r="R27" i="66"/>
  <c r="R29" i="66"/>
  <c r="R30" i="66"/>
  <c r="R31" i="66"/>
  <c r="R33" i="66"/>
  <c r="R34" i="66"/>
  <c r="R36" i="66"/>
  <c r="H15" i="66"/>
  <c r="AD35" i="66"/>
  <c r="AC36" i="66"/>
  <c r="AF35" i="66"/>
  <c r="AG28" i="66"/>
  <c r="AH28" i="66"/>
  <c r="AI28" i="66"/>
  <c r="AJ28" i="66"/>
  <c r="AK28" i="66"/>
  <c r="AL28" i="66"/>
  <c r="AE31" i="66"/>
  <c r="AF31" i="66"/>
  <c r="AF28" i="66" s="1"/>
  <c r="AD30" i="66"/>
  <c r="AE30" i="66"/>
  <c r="AE34" i="66"/>
  <c r="AD34" i="66"/>
  <c r="AE26" i="66"/>
  <c r="AD26" i="66"/>
  <c r="AC21" i="66"/>
  <c r="AD22" i="66"/>
  <c r="AD21" i="66" s="1"/>
  <c r="AE24" i="66"/>
  <c r="AB24" i="66" s="1"/>
  <c r="K24" i="66" s="1"/>
  <c r="AF21" i="66"/>
  <c r="AN24" i="72" l="1"/>
  <c r="AB30" i="72"/>
  <c r="AN30" i="72" s="1"/>
  <c r="AB33" i="72"/>
  <c r="E15" i="72"/>
  <c r="AB31" i="72"/>
  <c r="AN31" i="72" s="1"/>
  <c r="C33" i="72"/>
  <c r="AM33" i="72" s="1"/>
  <c r="AB38" i="72"/>
  <c r="AN38" i="72" s="1"/>
  <c r="AM18" i="72"/>
  <c r="AN18" i="72"/>
  <c r="AE39" i="72"/>
  <c r="AB39" i="72" s="1"/>
  <c r="AR16" i="72"/>
  <c r="F37" i="72"/>
  <c r="C37" i="72" s="1"/>
  <c r="AN23" i="72"/>
  <c r="K23" i="72"/>
  <c r="AF15" i="72"/>
  <c r="AM19" i="72"/>
  <c r="AN19" i="72"/>
  <c r="AT8" i="72"/>
  <c r="AO19" i="72"/>
  <c r="AN17" i="72"/>
  <c r="AM17" i="72"/>
  <c r="AO17" i="72"/>
  <c r="AQ17" i="72" s="1"/>
  <c r="K18" i="72"/>
  <c r="J18" i="72"/>
  <c r="AN22" i="72"/>
  <c r="AM22" i="72"/>
  <c r="K22" i="72"/>
  <c r="K31" i="72"/>
  <c r="R34" i="72"/>
  <c r="J34" i="72"/>
  <c r="AT7" i="72"/>
  <c r="AD28" i="72"/>
  <c r="AB36" i="72"/>
  <c r="AD34" i="72"/>
  <c r="AP18" i="72"/>
  <c r="AO18" i="72"/>
  <c r="K19" i="72"/>
  <c r="AP19" i="72"/>
  <c r="J19" i="72"/>
  <c r="AR19" i="72" s="1"/>
  <c r="AM24" i="72"/>
  <c r="AO24" i="72"/>
  <c r="AB26" i="72"/>
  <c r="K32" i="72"/>
  <c r="J32" i="72"/>
  <c r="AR32" i="72" s="1"/>
  <c r="AP32" i="72"/>
  <c r="AM32" i="72"/>
  <c r="AO32" i="72"/>
  <c r="K38" i="72"/>
  <c r="R40" i="72"/>
  <c r="J40" i="72"/>
  <c r="AR40" i="72" s="1"/>
  <c r="AP43" i="72"/>
  <c r="AQ43" i="72" s="1"/>
  <c r="K43" i="72"/>
  <c r="J43" i="72"/>
  <c r="AR43" i="72" s="1"/>
  <c r="G11" i="72"/>
  <c r="C12" i="72"/>
  <c r="C11" i="72" s="1"/>
  <c r="AB12" i="72"/>
  <c r="AB11" i="72" s="1"/>
  <c r="AN16" i="72"/>
  <c r="AB16" i="72"/>
  <c r="AR17" i="72"/>
  <c r="AR20" i="72"/>
  <c r="AD20" i="72"/>
  <c r="J25" i="72"/>
  <c r="K30" i="72"/>
  <c r="AM40" i="72"/>
  <c r="R42" i="72"/>
  <c r="J42" i="72"/>
  <c r="AR42" i="72" s="1"/>
  <c r="AE11" i="72"/>
  <c r="AE21" i="72"/>
  <c r="AE20" i="72" s="1"/>
  <c r="AN32" i="72"/>
  <c r="AE35" i="72"/>
  <c r="C34" i="72"/>
  <c r="L37" i="72"/>
  <c r="AC37" i="72"/>
  <c r="AC15" i="72" s="1"/>
  <c r="AO42" i="72"/>
  <c r="AQ42" i="72" s="1"/>
  <c r="AD27" i="72"/>
  <c r="AD25" i="72" s="1"/>
  <c r="F28" i="72"/>
  <c r="K40" i="72"/>
  <c r="AP41" i="72"/>
  <c r="AQ41" i="72" s="1"/>
  <c r="AS7" i="72"/>
  <c r="K17" i="72"/>
  <c r="F25" i="72"/>
  <c r="J28" i="72"/>
  <c r="J41" i="72"/>
  <c r="AR41" i="72" s="1"/>
  <c r="AM42" i="72"/>
  <c r="K42" i="72"/>
  <c r="AN24" i="66"/>
  <c r="AM24" i="66"/>
  <c r="AB30" i="66"/>
  <c r="AB36" i="66"/>
  <c r="AC35" i="66"/>
  <c r="AB34" i="66"/>
  <c r="AN34" i="66" s="1"/>
  <c r="AB31" i="66"/>
  <c r="AN31" i="66" s="1"/>
  <c r="AD32" i="66"/>
  <c r="AB23" i="66"/>
  <c r="AB26" i="66"/>
  <c r="AN26" i="66" s="1"/>
  <c r="AO33" i="72" l="1"/>
  <c r="AM31" i="72"/>
  <c r="AM30" i="72"/>
  <c r="AN36" i="66"/>
  <c r="F15" i="75"/>
  <c r="AN30" i="66"/>
  <c r="F16" i="75"/>
  <c r="AB37" i="72"/>
  <c r="AN23" i="66"/>
  <c r="F14" i="75"/>
  <c r="AT6" i="72"/>
  <c r="AN33" i="72"/>
  <c r="K39" i="72"/>
  <c r="AE37" i="72"/>
  <c r="AM39" i="72"/>
  <c r="AN39" i="72"/>
  <c r="AQ32" i="72"/>
  <c r="F15" i="72"/>
  <c r="AI16" i="72" s="1"/>
  <c r="AR15" i="72"/>
  <c r="AB21" i="72"/>
  <c r="AN21" i="72" s="1"/>
  <c r="AN37" i="72"/>
  <c r="AB20" i="72"/>
  <c r="AN20" i="72" s="1"/>
  <c r="AB35" i="72"/>
  <c r="AE34" i="72"/>
  <c r="AB34" i="72" s="1"/>
  <c r="AQ18" i="72"/>
  <c r="AP37" i="72"/>
  <c r="AO37" i="72"/>
  <c r="AM37" i="72"/>
  <c r="AE27" i="72"/>
  <c r="AE25" i="72" s="1"/>
  <c r="AB25" i="72" s="1"/>
  <c r="C25" i="72"/>
  <c r="AR25" i="72" s="1"/>
  <c r="AM16" i="72"/>
  <c r="AS8" i="72"/>
  <c r="AS6" i="72" s="1"/>
  <c r="AO16" i="72"/>
  <c r="K16" i="72"/>
  <c r="AP16" i="72"/>
  <c r="AQ19" i="72"/>
  <c r="AM36" i="72"/>
  <c r="AN36" i="72"/>
  <c r="K36" i="72"/>
  <c r="AR34" i="72"/>
  <c r="AE29" i="72"/>
  <c r="C28" i="72"/>
  <c r="K37" i="72"/>
  <c r="J37" i="72"/>
  <c r="AR37" i="72" s="1"/>
  <c r="AD15" i="72"/>
  <c r="AS15" i="72" s="1"/>
  <c r="AT15" i="72" s="1"/>
  <c r="AM26" i="72"/>
  <c r="AN26" i="72"/>
  <c r="K26" i="72"/>
  <c r="K26" i="66"/>
  <c r="AM26" i="66"/>
  <c r="K36" i="66"/>
  <c r="K23" i="66"/>
  <c r="AM23" i="66"/>
  <c r="K30" i="66"/>
  <c r="AM30" i="66"/>
  <c r="K31" i="66"/>
  <c r="AM31" i="66"/>
  <c r="K34" i="66"/>
  <c r="AM34" i="66"/>
  <c r="F11" i="75" l="1"/>
  <c r="F10" i="75" s="1"/>
  <c r="AU9" i="72"/>
  <c r="K21" i="72"/>
  <c r="AI15" i="72"/>
  <c r="AM21" i="72"/>
  <c r="K20" i="72"/>
  <c r="AM20" i="72"/>
  <c r="AB27" i="72"/>
  <c r="AN27" i="72" s="1"/>
  <c r="AQ16" i="72"/>
  <c r="AQ37" i="72"/>
  <c r="AO20" i="72"/>
  <c r="AP20" i="72"/>
  <c r="AP25" i="72"/>
  <c r="AM25" i="72"/>
  <c r="AO25" i="72"/>
  <c r="K25" i="72"/>
  <c r="AM34" i="72"/>
  <c r="AO34" i="72"/>
  <c r="AP34" i="72"/>
  <c r="K34" i="72"/>
  <c r="AN34" i="72"/>
  <c r="AN35" i="72"/>
  <c r="K35" i="72"/>
  <c r="AM35" i="72"/>
  <c r="AE28" i="72"/>
  <c r="AE15" i="72" s="1"/>
  <c r="AB29" i="72"/>
  <c r="AR28" i="72"/>
  <c r="AN25" i="72"/>
  <c r="C15" i="72"/>
  <c r="AQ34" i="72" l="1"/>
  <c r="K27" i="72"/>
  <c r="AM27" i="72"/>
  <c r="AQ20" i="72"/>
  <c r="AQ25" i="72"/>
  <c r="AM29" i="72"/>
  <c r="K29" i="72"/>
  <c r="AB28" i="72"/>
  <c r="AN29" i="72"/>
  <c r="AP28" i="72" l="1"/>
  <c r="AO28" i="72"/>
  <c r="AM28" i="72"/>
  <c r="K28" i="72"/>
  <c r="AB15" i="72"/>
  <c r="AN28" i="72"/>
  <c r="AQ28" i="72" l="1"/>
  <c r="AQ37" i="66" l="1"/>
  <c r="AQ38" i="66"/>
  <c r="AO42" i="66"/>
  <c r="M15" i="66"/>
  <c r="L39" i="66"/>
  <c r="U18" i="66"/>
  <c r="T18" i="66" s="1"/>
  <c r="R18" i="66" s="1"/>
  <c r="Q15" i="66"/>
  <c r="Y16" i="66"/>
  <c r="Y15" i="66" s="1"/>
  <c r="W16" i="66"/>
  <c r="L21" i="66"/>
  <c r="L25" i="66"/>
  <c r="L28" i="66"/>
  <c r="L37" i="66"/>
  <c r="L41" i="66"/>
  <c r="C39" i="66"/>
  <c r="T21" i="66"/>
  <c r="R21" i="66" s="1"/>
  <c r="T25" i="66"/>
  <c r="R25" i="66" s="1"/>
  <c r="T28" i="66"/>
  <c r="R28" i="66" s="1"/>
  <c r="T17" i="66"/>
  <c r="R17" i="66" s="1"/>
  <c r="T32" i="66"/>
  <c r="R32" i="66" s="1"/>
  <c r="T35" i="66"/>
  <c r="R35" i="66" s="1"/>
  <c r="T37" i="66"/>
  <c r="R37" i="66" s="1"/>
  <c r="T38" i="66"/>
  <c r="R38" i="66" s="1"/>
  <c r="T39" i="66"/>
  <c r="R39" i="66" s="1"/>
  <c r="T41" i="66"/>
  <c r="V15" i="66"/>
  <c r="X15" i="66"/>
  <c r="L42" i="66"/>
  <c r="J42" i="66" s="1"/>
  <c r="AB41" i="66"/>
  <c r="C41" i="66"/>
  <c r="AC15" i="66"/>
  <c r="AB39" i="66"/>
  <c r="AE38" i="66"/>
  <c r="AB38" i="66" s="1"/>
  <c r="F38" i="66"/>
  <c r="L38" i="66" s="1"/>
  <c r="F37" i="66"/>
  <c r="AH35" i="66"/>
  <c r="AH15" i="66" s="1"/>
  <c r="AG35" i="66"/>
  <c r="AG15" i="66" s="1"/>
  <c r="E35" i="66"/>
  <c r="AF17" i="66"/>
  <c r="AF15" i="66" s="1"/>
  <c r="AE17" i="66"/>
  <c r="G17" i="66"/>
  <c r="F17" i="66"/>
  <c r="D17" i="66"/>
  <c r="AE16" i="66"/>
  <c r="AB16" i="66" s="1"/>
  <c r="O16" i="66"/>
  <c r="N16" i="66"/>
  <c r="F16" i="66"/>
  <c r="C16" i="66" s="1"/>
  <c r="E28" i="66"/>
  <c r="AE18" i="66"/>
  <c r="AB18" i="66" s="1"/>
  <c r="F18" i="66"/>
  <c r="C18" i="66" s="1"/>
  <c r="C47" i="66" s="1"/>
  <c r="F21" i="66"/>
  <c r="Z15" i="66"/>
  <c r="S15" i="66" s="1"/>
  <c r="AB14" i="66"/>
  <c r="L14" i="66"/>
  <c r="C14" i="66"/>
  <c r="AE13" i="66"/>
  <c r="AD13" i="66"/>
  <c r="O13" i="66"/>
  <c r="N13" i="66"/>
  <c r="F13" i="66"/>
  <c r="E13" i="66"/>
  <c r="AF12" i="66"/>
  <c r="AE12" i="66"/>
  <c r="AD12" i="66"/>
  <c r="P12" i="66"/>
  <c r="P11" i="66" s="1"/>
  <c r="O12" i="66"/>
  <c r="N12" i="66"/>
  <c r="G12" i="66"/>
  <c r="G11" i="66" s="1"/>
  <c r="F12" i="66"/>
  <c r="E12" i="66"/>
  <c r="AH11" i="66"/>
  <c r="AT9" i="66"/>
  <c r="O15" i="65"/>
  <c r="S30" i="65"/>
  <c r="I29" i="65"/>
  <c r="I31" i="65"/>
  <c r="I32" i="65"/>
  <c r="I16" i="65"/>
  <c r="C30" i="65"/>
  <c r="AB35" i="65"/>
  <c r="AA38" i="65"/>
  <c r="C46" i="66" l="1"/>
  <c r="T16" i="66"/>
  <c r="R16" i="66" s="1"/>
  <c r="AM16" i="66"/>
  <c r="AM39" i="66"/>
  <c r="AM18" i="66"/>
  <c r="AN39" i="66"/>
  <c r="AN18" i="66"/>
  <c r="AN16" i="66"/>
  <c r="N11" i="66"/>
  <c r="L13" i="66"/>
  <c r="E50" i="66"/>
  <c r="AB12" i="66"/>
  <c r="AE11" i="66"/>
  <c r="J25" i="66"/>
  <c r="O11" i="66"/>
  <c r="K38" i="66"/>
  <c r="E11" i="66"/>
  <c r="AF11" i="66"/>
  <c r="W15" i="66"/>
  <c r="AD25" i="66"/>
  <c r="AD11" i="66"/>
  <c r="U15" i="66"/>
  <c r="AO39" i="66"/>
  <c r="AP39" i="66"/>
  <c r="K39" i="66"/>
  <c r="K41" i="66"/>
  <c r="C37" i="66"/>
  <c r="AE37" i="66"/>
  <c r="F28" i="66"/>
  <c r="AE29" i="66" s="1"/>
  <c r="AE28" i="66" s="1"/>
  <c r="AD29" i="66"/>
  <c r="AO41" i="66"/>
  <c r="J21" i="66"/>
  <c r="AP41" i="66"/>
  <c r="C32" i="66"/>
  <c r="C21" i="66"/>
  <c r="AE22" i="66"/>
  <c r="AO16" i="66"/>
  <c r="AB17" i="66"/>
  <c r="AO18" i="66"/>
  <c r="C17" i="66"/>
  <c r="B64" i="66" s="1"/>
  <c r="L16" i="66"/>
  <c r="D46" i="66" s="1"/>
  <c r="F46" i="66" s="1"/>
  <c r="J28" i="66"/>
  <c r="L32" i="66"/>
  <c r="C38" i="66"/>
  <c r="J41" i="66"/>
  <c r="AR41" i="66" s="1"/>
  <c r="J39" i="66"/>
  <c r="AR39" i="66" s="1"/>
  <c r="L35" i="66"/>
  <c r="N15" i="66"/>
  <c r="J38" i="66"/>
  <c r="J37" i="66"/>
  <c r="AT8" i="66"/>
  <c r="AT7" i="66"/>
  <c r="D15" i="66"/>
  <c r="F11" i="66"/>
  <c r="G15" i="66"/>
  <c r="L12" i="66"/>
  <c r="C13" i="66"/>
  <c r="E15" i="66"/>
  <c r="F35" i="66"/>
  <c r="AS7" i="66"/>
  <c r="C12" i="66"/>
  <c r="C11" i="66" s="1"/>
  <c r="AB13" i="66"/>
  <c r="L11" i="66" l="1"/>
  <c r="K16" i="66"/>
  <c r="T15" i="66"/>
  <c r="R15" i="66" s="1"/>
  <c r="AB11" i="66"/>
  <c r="AN17" i="66"/>
  <c r="C45" i="66"/>
  <c r="AM38" i="66"/>
  <c r="AN38" i="66"/>
  <c r="J16" i="66"/>
  <c r="AR16" i="66" s="1"/>
  <c r="AM17" i="66"/>
  <c r="AB27" i="66"/>
  <c r="AN27" i="66" s="1"/>
  <c r="AQ39" i="66"/>
  <c r="C28" i="66"/>
  <c r="J35" i="66"/>
  <c r="J32" i="66"/>
  <c r="AR32" i="66" s="1"/>
  <c r="AB37" i="66"/>
  <c r="AE35" i="66"/>
  <c r="AD28" i="66"/>
  <c r="AD15" i="66" s="1"/>
  <c r="AB29" i="66"/>
  <c r="D16" i="75" s="1"/>
  <c r="C16" i="75" s="1"/>
  <c r="AQ41" i="66"/>
  <c r="AE32" i="66"/>
  <c r="AB32" i="66" s="1"/>
  <c r="E12" i="75" s="1"/>
  <c r="AB33" i="66"/>
  <c r="AN33" i="66" s="1"/>
  <c r="AE21" i="66"/>
  <c r="AB22" i="66"/>
  <c r="AO17" i="66"/>
  <c r="AP16" i="66"/>
  <c r="AQ16" i="66" s="1"/>
  <c r="AR38" i="66"/>
  <c r="C35" i="66"/>
  <c r="AS8" i="66"/>
  <c r="AS6" i="66" s="1"/>
  <c r="AT6" i="66"/>
  <c r="AR25" i="66"/>
  <c r="F15" i="66"/>
  <c r="AI15" i="66" s="1"/>
  <c r="AM37" i="66" l="1"/>
  <c r="D15" i="75"/>
  <c r="C15" i="75" s="1"/>
  <c r="AN22" i="66"/>
  <c r="D14" i="75"/>
  <c r="C12" i="75"/>
  <c r="AN32" i="66"/>
  <c r="C50" i="66"/>
  <c r="F45" i="66"/>
  <c r="C5" i="66"/>
  <c r="C15" i="66"/>
  <c r="AR15" i="66"/>
  <c r="AR28" i="66"/>
  <c r="AN37" i="66"/>
  <c r="AM29" i="66"/>
  <c r="AN29" i="66"/>
  <c r="K22" i="66"/>
  <c r="AM22" i="66"/>
  <c r="K33" i="66"/>
  <c r="AM33" i="66"/>
  <c r="K27" i="66"/>
  <c r="AM27" i="66"/>
  <c r="K32" i="66"/>
  <c r="AM32" i="66"/>
  <c r="AS15" i="66"/>
  <c r="AT15" i="66" s="1"/>
  <c r="AE25" i="66"/>
  <c r="AB25" i="66" s="1"/>
  <c r="E13" i="75" s="1"/>
  <c r="C13" i="75" s="1"/>
  <c r="AB35" i="66"/>
  <c r="K37" i="66"/>
  <c r="AB28" i="66"/>
  <c r="K29" i="66"/>
  <c r="AP32" i="66"/>
  <c r="AO32" i="66"/>
  <c r="AB21" i="66"/>
  <c r="AU9" i="66"/>
  <c r="AR21" i="66"/>
  <c r="C14" i="75" l="1"/>
  <c r="C11" i="75" s="1"/>
  <c r="C10" i="75" s="1"/>
  <c r="D11" i="75"/>
  <c r="E11" i="75"/>
  <c r="E10" i="75" s="1"/>
  <c r="AN35" i="66"/>
  <c r="AM28" i="66"/>
  <c r="AB15" i="66"/>
  <c r="AE15" i="66"/>
  <c r="AN25" i="66"/>
  <c r="AM21" i="66"/>
  <c r="AN21" i="66"/>
  <c r="AN28" i="66"/>
  <c r="K35" i="66"/>
  <c r="AM35" i="66"/>
  <c r="K25" i="66"/>
  <c r="AM25" i="66"/>
  <c r="AP35" i="66"/>
  <c r="AO25" i="66"/>
  <c r="AP25" i="66"/>
  <c r="AP28" i="66"/>
  <c r="K28" i="66"/>
  <c r="K21" i="66"/>
  <c r="AO28" i="66"/>
  <c r="AQ32" i="66"/>
  <c r="AP21" i="66"/>
  <c r="AO21" i="66"/>
  <c r="AO35" i="66"/>
  <c r="D10" i="75" l="1"/>
  <c r="G11" i="75"/>
  <c r="AQ25" i="66"/>
  <c r="AQ28" i="66"/>
  <c r="AQ21" i="66"/>
  <c r="AQ35" i="66"/>
  <c r="AR35" i="66"/>
  <c r="AA35" i="65" l="1"/>
  <c r="AA37" i="65"/>
  <c r="J20" i="65"/>
  <c r="J22" i="65"/>
  <c r="J23" i="65"/>
  <c r="J26" i="65"/>
  <c r="J28" i="65"/>
  <c r="J29" i="65"/>
  <c r="J30" i="65"/>
  <c r="J31" i="65"/>
  <c r="J32" i="65"/>
  <c r="J16" i="65"/>
  <c r="P30" i="65" l="1"/>
  <c r="I30" i="65" s="1"/>
  <c r="J33" i="65" l="1"/>
  <c r="L15" i="62"/>
  <c r="AC9" i="65"/>
  <c r="S16" i="65"/>
  <c r="I22" i="57"/>
  <c r="M19" i="60"/>
  <c r="V11" i="65"/>
  <c r="U27" i="65"/>
  <c r="U15" i="65" s="1"/>
  <c r="V27" i="65"/>
  <c r="V15" i="65" s="1"/>
  <c r="D21" i="59"/>
  <c r="E21" i="59"/>
  <c r="S29" i="65"/>
  <c r="P29" i="65" s="1"/>
  <c r="R32" i="65"/>
  <c r="P32" i="65" s="1"/>
  <c r="R22" i="65"/>
  <c r="M27" i="65"/>
  <c r="L27" i="65"/>
  <c r="L24" i="65"/>
  <c r="E22" i="55"/>
  <c r="R20" i="65"/>
  <c r="S17" i="65"/>
  <c r="P17" i="65" s="1"/>
  <c r="R16" i="65"/>
  <c r="M19" i="65"/>
  <c r="J19" i="65" s="1"/>
  <c r="M18" i="65"/>
  <c r="J18" i="65" s="1"/>
  <c r="J24" i="65" l="1"/>
  <c r="P16" i="65"/>
  <c r="L15" i="65"/>
  <c r="D15" i="56"/>
  <c r="D16" i="56"/>
  <c r="D21" i="56"/>
  <c r="E21" i="56"/>
  <c r="D22" i="56"/>
  <c r="E22" i="56"/>
  <c r="D33" i="56"/>
  <c r="E33" i="56"/>
  <c r="F33" i="56"/>
  <c r="C33" i="56"/>
  <c r="B35" i="56"/>
  <c r="C35" i="56"/>
  <c r="D35" i="56" s="1"/>
  <c r="F35" i="56" s="1"/>
  <c r="M24" i="65"/>
  <c r="K15" i="65"/>
  <c r="P14" i="65"/>
  <c r="J14" i="65"/>
  <c r="D31" i="65"/>
  <c r="C31" i="65" s="1"/>
  <c r="D25" i="65"/>
  <c r="D15" i="65" l="1"/>
  <c r="T25" i="65" l="1"/>
  <c r="S25" i="65"/>
  <c r="S24" i="65"/>
  <c r="P24" i="65" s="1"/>
  <c r="I24" i="65" s="1"/>
  <c r="S21" i="65"/>
  <c r="P21" i="65" s="1"/>
  <c r="S19" i="65"/>
  <c r="P19" i="65" s="1"/>
  <c r="S18" i="65"/>
  <c r="S13" i="65"/>
  <c r="R13" i="65"/>
  <c r="T12" i="65"/>
  <c r="T11" i="65" s="1"/>
  <c r="S12" i="65"/>
  <c r="R12" i="65"/>
  <c r="N27" i="65"/>
  <c r="J27" i="65" s="1"/>
  <c r="M17" i="65"/>
  <c r="M13" i="65"/>
  <c r="L13" i="65"/>
  <c r="N12" i="65"/>
  <c r="N11" i="65" s="1"/>
  <c r="M12" i="65"/>
  <c r="L12" i="65"/>
  <c r="E12" i="65"/>
  <c r="E13" i="65"/>
  <c r="E16" i="65"/>
  <c r="E22" i="65"/>
  <c r="E23" i="65"/>
  <c r="E27" i="65"/>
  <c r="E32" i="65"/>
  <c r="C32" i="65" s="1"/>
  <c r="AA30" i="65"/>
  <c r="B30" i="65"/>
  <c r="F29" i="65"/>
  <c r="C29" i="65" s="1"/>
  <c r="AA29" i="65" s="1"/>
  <c r="F28" i="65"/>
  <c r="C28" i="65" s="1"/>
  <c r="G27" i="65"/>
  <c r="F26" i="65"/>
  <c r="C26" i="65" s="1"/>
  <c r="G25" i="65"/>
  <c r="F25" i="65"/>
  <c r="F24" i="65"/>
  <c r="C24" i="65" s="1"/>
  <c r="F21" i="65"/>
  <c r="C21" i="65" s="1"/>
  <c r="F20" i="65"/>
  <c r="F19" i="65"/>
  <c r="C19" i="65" s="1"/>
  <c r="AC8" i="65" s="1"/>
  <c r="F18" i="65"/>
  <c r="C18" i="65" s="1"/>
  <c r="AC7" i="65" s="1"/>
  <c r="F17" i="65"/>
  <c r="C17" i="65" s="1"/>
  <c r="AB7" i="65" s="1"/>
  <c r="C14" i="65"/>
  <c r="F13" i="65"/>
  <c r="G12" i="65"/>
  <c r="G11" i="65" s="1"/>
  <c r="F12" i="65"/>
  <c r="C20" i="65" l="1"/>
  <c r="I19" i="65"/>
  <c r="AA19" i="65" s="1"/>
  <c r="AA32" i="65"/>
  <c r="C34" i="65"/>
  <c r="C35" i="65" s="1"/>
  <c r="AA24" i="65"/>
  <c r="J17" i="65"/>
  <c r="C27" i="65"/>
  <c r="AC6" i="65"/>
  <c r="P18" i="65"/>
  <c r="P25" i="65"/>
  <c r="C25" i="65"/>
  <c r="J13" i="65"/>
  <c r="P12" i="65"/>
  <c r="G15" i="65"/>
  <c r="P13" i="65"/>
  <c r="E15" i="65"/>
  <c r="F22" i="65"/>
  <c r="C22" i="65" s="1"/>
  <c r="J12" i="65"/>
  <c r="F16" i="65"/>
  <c r="C16" i="65" s="1"/>
  <c r="F23" i="65"/>
  <c r="R11" i="65"/>
  <c r="M11" i="65"/>
  <c r="L11" i="65"/>
  <c r="S11" i="65"/>
  <c r="C13" i="65"/>
  <c r="F11" i="65"/>
  <c r="E11" i="65"/>
  <c r="C12" i="65"/>
  <c r="F27" i="65"/>
  <c r="O36" i="65" s="1"/>
  <c r="I17" i="65" l="1"/>
  <c r="C23" i="65"/>
  <c r="I18" i="65"/>
  <c r="AA18" i="65" s="1"/>
  <c r="AB8" i="65"/>
  <c r="AB6" i="65" s="1"/>
  <c r="AD9" i="65" s="1"/>
  <c r="AA16" i="65"/>
  <c r="J11" i="65"/>
  <c r="F15" i="65"/>
  <c r="F34" i="65" s="1"/>
  <c r="P11" i="65"/>
  <c r="C11" i="65"/>
  <c r="C15" i="65" l="1"/>
  <c r="C37" i="65" s="1"/>
  <c r="AA17" i="65"/>
  <c r="AA15" i="65" s="1"/>
  <c r="W16" i="65"/>
  <c r="W15" i="65"/>
  <c r="H15" i="64"/>
  <c r="H21" i="64"/>
  <c r="F21" i="64"/>
  <c r="D21" i="64"/>
  <c r="E21" i="64"/>
  <c r="C21" i="64"/>
  <c r="C29" i="64"/>
  <c r="B29" i="64"/>
  <c r="C28" i="64"/>
  <c r="D28" i="64" s="1"/>
  <c r="C27" i="64"/>
  <c r="D27" i="64" s="1"/>
  <c r="F27" i="64" s="1"/>
  <c r="C26" i="64"/>
  <c r="C25" i="64"/>
  <c r="D25" i="64" s="1"/>
  <c r="C24" i="64"/>
  <c r="C23" i="64"/>
  <c r="D23" i="64" s="1"/>
  <c r="B23" i="64"/>
  <c r="E22" i="64"/>
  <c r="C22" i="64"/>
  <c r="B21" i="64"/>
  <c r="A21" i="64"/>
  <c r="C20" i="64"/>
  <c r="D20" i="64" s="1"/>
  <c r="D17" i="64" s="1"/>
  <c r="C19" i="64"/>
  <c r="C17" i="64" s="1"/>
  <c r="B19" i="64"/>
  <c r="C18" i="64"/>
  <c r="F18" i="64" s="1"/>
  <c r="D14" i="64"/>
  <c r="F14" i="64" s="1"/>
  <c r="F11" i="64"/>
  <c r="E11" i="64"/>
  <c r="E10" i="64"/>
  <c r="C10" i="64"/>
  <c r="A4" i="62"/>
  <c r="A3" i="24"/>
  <c r="A4" i="24"/>
  <c r="M15" i="63"/>
  <c r="H30" i="63"/>
  <c r="I30" i="63" s="1"/>
  <c r="F30" i="63"/>
  <c r="D30" i="63"/>
  <c r="C29" i="63"/>
  <c r="C28" i="63"/>
  <c r="D28" i="63" s="1"/>
  <c r="C27" i="63"/>
  <c r="B27" i="63"/>
  <c r="C26" i="63"/>
  <c r="B26" i="63"/>
  <c r="C25" i="63"/>
  <c r="H24" i="63"/>
  <c r="I24" i="63" s="1"/>
  <c r="F24" i="63"/>
  <c r="C24" i="63"/>
  <c r="F23" i="63"/>
  <c r="B23" i="63"/>
  <c r="H22" i="63"/>
  <c r="F22" i="63"/>
  <c r="I22" i="63" s="1"/>
  <c r="B21" i="63"/>
  <c r="A21" i="63"/>
  <c r="C20" i="63"/>
  <c r="D20" i="63" s="1"/>
  <c r="C19" i="63"/>
  <c r="B19" i="63"/>
  <c r="H18" i="63"/>
  <c r="I18" i="63" s="1"/>
  <c r="F18" i="63"/>
  <c r="C18" i="63"/>
  <c r="C17" i="63"/>
  <c r="F11" i="63"/>
  <c r="E11" i="63"/>
  <c r="E10" i="63"/>
  <c r="C10" i="63"/>
  <c r="C19" i="62"/>
  <c r="C18" i="62"/>
  <c r="F26" i="62"/>
  <c r="F27" i="62"/>
  <c r="B26" i="62"/>
  <c r="J18" i="62"/>
  <c r="L16" i="62"/>
  <c r="C20" i="62"/>
  <c r="D39" i="62"/>
  <c r="J39" i="62" s="1"/>
  <c r="C38" i="62"/>
  <c r="D37" i="62"/>
  <c r="F37" i="62" s="1"/>
  <c r="C36" i="62"/>
  <c r="J36" i="62" s="1"/>
  <c r="C35" i="62"/>
  <c r="C34" i="62"/>
  <c r="C33" i="62"/>
  <c r="C32" i="62"/>
  <c r="D32" i="62" s="1"/>
  <c r="B32" i="62"/>
  <c r="C31" i="62"/>
  <c r="D31" i="62" s="1"/>
  <c r="C30" i="62"/>
  <c r="J30" i="62" s="1"/>
  <c r="C29" i="62"/>
  <c r="B29" i="62"/>
  <c r="C28" i="62"/>
  <c r="C25" i="62"/>
  <c r="C24" i="62"/>
  <c r="C23" i="62"/>
  <c r="F23" i="62" s="1"/>
  <c r="C22" i="62"/>
  <c r="J22" i="62" s="1"/>
  <c r="E21" i="62"/>
  <c r="B21" i="62"/>
  <c r="B19" i="62"/>
  <c r="F14" i="62"/>
  <c r="F11" i="62"/>
  <c r="E11" i="62"/>
  <c r="E10" i="62"/>
  <c r="C10" i="62"/>
  <c r="E17" i="61"/>
  <c r="C18" i="61"/>
  <c r="A4" i="61"/>
  <c r="F28" i="64" l="1"/>
  <c r="F20" i="64"/>
  <c r="C16" i="64"/>
  <c r="C15" i="64" s="1"/>
  <c r="F26" i="64"/>
  <c r="F23" i="64"/>
  <c r="F25" i="64"/>
  <c r="D24" i="64"/>
  <c r="F24" i="64" s="1"/>
  <c r="D26" i="64"/>
  <c r="D22" i="64" s="1"/>
  <c r="D29" i="64"/>
  <c r="F29" i="64" s="1"/>
  <c r="F26" i="63"/>
  <c r="F20" i="63"/>
  <c r="H20" i="63"/>
  <c r="I20" i="63" s="1"/>
  <c r="D17" i="63"/>
  <c r="D29" i="63"/>
  <c r="H29" i="63" s="1"/>
  <c r="D25" i="63"/>
  <c r="D26" i="63"/>
  <c r="H26" i="63" s="1"/>
  <c r="D27" i="63"/>
  <c r="H27" i="63" s="1"/>
  <c r="F28" i="63"/>
  <c r="C21" i="63"/>
  <c r="H28" i="63"/>
  <c r="I28" i="63" s="1"/>
  <c r="J23" i="62"/>
  <c r="J37" i="62"/>
  <c r="K23" i="62"/>
  <c r="J31" i="62"/>
  <c r="F31" i="62"/>
  <c r="J32" i="62"/>
  <c r="F32" i="62"/>
  <c r="K37" i="62"/>
  <c r="C21" i="62"/>
  <c r="F30" i="62"/>
  <c r="K30" i="62" s="1"/>
  <c r="F36" i="62"/>
  <c r="K36" i="62" s="1"/>
  <c r="D20" i="62"/>
  <c r="D17" i="62" s="1"/>
  <c r="F22" i="62"/>
  <c r="D28" i="62"/>
  <c r="J28" i="62" s="1"/>
  <c r="D29" i="62"/>
  <c r="J29" i="62" s="1"/>
  <c r="D35" i="62"/>
  <c r="F35" i="62" s="1"/>
  <c r="F39" i="62"/>
  <c r="K39" i="62" s="1"/>
  <c r="C17" i="62"/>
  <c r="F20" i="62"/>
  <c r="D25" i="62"/>
  <c r="J25" i="62" s="1"/>
  <c r="D34" i="62"/>
  <c r="F34" i="62" s="1"/>
  <c r="D38" i="62"/>
  <c r="J38" i="62" s="1"/>
  <c r="F18" i="62"/>
  <c r="D24" i="62"/>
  <c r="F25" i="62"/>
  <c r="D33" i="62"/>
  <c r="J33" i="62" s="1"/>
  <c r="D63" i="61"/>
  <c r="J63" i="61" s="1"/>
  <c r="C63" i="61"/>
  <c r="C62" i="61"/>
  <c r="F61" i="61"/>
  <c r="C60" i="61"/>
  <c r="D59" i="61"/>
  <c r="C59" i="61"/>
  <c r="F59" i="61" s="1"/>
  <c r="C57" i="61"/>
  <c r="D57" i="61" s="1"/>
  <c r="C56" i="61"/>
  <c r="C55" i="61"/>
  <c r="D55" i="61" s="1"/>
  <c r="D53" i="61"/>
  <c r="J53" i="61" s="1"/>
  <c r="C53" i="61"/>
  <c r="C52" i="61"/>
  <c r="J52" i="61" s="1"/>
  <c r="D51" i="61"/>
  <c r="C51" i="61"/>
  <c r="F51" i="61" s="1"/>
  <c r="C50" i="61"/>
  <c r="D50" i="61" s="1"/>
  <c r="C49" i="61"/>
  <c r="D49" i="61" s="1"/>
  <c r="J47" i="61"/>
  <c r="D47" i="61"/>
  <c r="C47" i="61"/>
  <c r="F47" i="61" s="1"/>
  <c r="C46" i="61"/>
  <c r="D46" i="61" s="1"/>
  <c r="D45" i="61"/>
  <c r="J45" i="61" s="1"/>
  <c r="C45" i="61"/>
  <c r="C44" i="61"/>
  <c r="J44" i="61" s="1"/>
  <c r="J43" i="61"/>
  <c r="C43" i="61"/>
  <c r="F43" i="61" s="1"/>
  <c r="B43" i="61"/>
  <c r="C42" i="61"/>
  <c r="J42" i="61" s="1"/>
  <c r="B42" i="61"/>
  <c r="C41" i="61"/>
  <c r="J41" i="61" s="1"/>
  <c r="C40" i="61"/>
  <c r="D40" i="61" s="1"/>
  <c r="C39" i="61"/>
  <c r="J38" i="61"/>
  <c r="K38" i="61" s="1"/>
  <c r="F38" i="61"/>
  <c r="C38" i="61"/>
  <c r="C37" i="61"/>
  <c r="J37" i="61" s="1"/>
  <c r="C36" i="61"/>
  <c r="J36" i="61" s="1"/>
  <c r="J35" i="61"/>
  <c r="K35" i="61" s="1"/>
  <c r="F35" i="61"/>
  <c r="C35" i="61"/>
  <c r="C34" i="61"/>
  <c r="B34" i="61"/>
  <c r="C33" i="61"/>
  <c r="B33" i="61"/>
  <c r="C30" i="61"/>
  <c r="F30" i="61" s="1"/>
  <c r="J29" i="61"/>
  <c r="K29" i="61" s="1"/>
  <c r="F29" i="61"/>
  <c r="C29" i="61"/>
  <c r="C28" i="61"/>
  <c r="J28" i="61" s="1"/>
  <c r="C27" i="61"/>
  <c r="F27" i="61" s="1"/>
  <c r="J26" i="61"/>
  <c r="K26" i="61" s="1"/>
  <c r="F26" i="61"/>
  <c r="C26" i="61"/>
  <c r="C25" i="61"/>
  <c r="J25" i="61" s="1"/>
  <c r="C24" i="61"/>
  <c r="F24" i="61" s="1"/>
  <c r="J23" i="61"/>
  <c r="K23" i="61" s="1"/>
  <c r="F23" i="61"/>
  <c r="C23" i="61"/>
  <c r="K21" i="61"/>
  <c r="J21" i="61"/>
  <c r="F21" i="61"/>
  <c r="J20" i="61"/>
  <c r="K20" i="61" s="1"/>
  <c r="F20" i="61"/>
  <c r="F19" i="61" s="1"/>
  <c r="C20" i="61"/>
  <c r="C19" i="61"/>
  <c r="J19" i="61" s="1"/>
  <c r="K19" i="61" s="1"/>
  <c r="D18" i="61"/>
  <c r="D15" i="61" s="1"/>
  <c r="D14" i="61" s="1"/>
  <c r="C17" i="61"/>
  <c r="B17" i="61"/>
  <c r="J16" i="61"/>
  <c r="K16" i="61" s="1"/>
  <c r="F16" i="61"/>
  <c r="C16" i="61"/>
  <c r="F11" i="61"/>
  <c r="E11" i="61"/>
  <c r="E10" i="61"/>
  <c r="C10" i="61"/>
  <c r="D34" i="60"/>
  <c r="E34" i="60"/>
  <c r="D28" i="60"/>
  <c r="F78" i="60"/>
  <c r="F77" i="60" s="1"/>
  <c r="D77" i="60"/>
  <c r="E77" i="60"/>
  <c r="C77" i="60"/>
  <c r="C78" i="60"/>
  <c r="C44" i="60"/>
  <c r="F44" i="60" s="1"/>
  <c r="F39" i="60"/>
  <c r="F40" i="60"/>
  <c r="F41" i="60"/>
  <c r="F42" i="60"/>
  <c r="F43" i="60"/>
  <c r="C40" i="60"/>
  <c r="C41" i="60"/>
  <c r="C42" i="60"/>
  <c r="C43" i="60"/>
  <c r="C39" i="60"/>
  <c r="C58" i="60"/>
  <c r="F58" i="60" s="1"/>
  <c r="C32" i="60"/>
  <c r="C31" i="60"/>
  <c r="C30" i="60"/>
  <c r="H30" i="60" s="1"/>
  <c r="M31" i="60"/>
  <c r="C76" i="60"/>
  <c r="C75" i="60" s="1"/>
  <c r="Q20" i="65" s="1"/>
  <c r="D75" i="60"/>
  <c r="E75" i="60"/>
  <c r="B75" i="60"/>
  <c r="B76" i="60"/>
  <c r="C74" i="60"/>
  <c r="F74" i="60" s="1"/>
  <c r="C72" i="60"/>
  <c r="C38" i="60"/>
  <c r="E35" i="60"/>
  <c r="E64" i="60"/>
  <c r="C64" i="60"/>
  <c r="D66" i="60"/>
  <c r="E66" i="60"/>
  <c r="C57" i="60"/>
  <c r="F57" i="60" s="1"/>
  <c r="C37" i="60"/>
  <c r="F37" i="60" s="1"/>
  <c r="C36" i="60"/>
  <c r="F36" i="60" s="1"/>
  <c r="B38" i="60"/>
  <c r="B37" i="60"/>
  <c r="B36" i="60"/>
  <c r="B69" i="60"/>
  <c r="B73" i="60"/>
  <c r="B62" i="60"/>
  <c r="D32" i="60"/>
  <c r="C63" i="60"/>
  <c r="D63" i="60" s="1"/>
  <c r="H63" i="60" s="1"/>
  <c r="C61" i="60"/>
  <c r="C60" i="60"/>
  <c r="C59" i="60"/>
  <c r="D59" i="60" s="1"/>
  <c r="F59" i="60" s="1"/>
  <c r="B58" i="60"/>
  <c r="B57" i="60"/>
  <c r="C56" i="60"/>
  <c r="D56" i="60" s="1"/>
  <c r="F56" i="60" s="1"/>
  <c r="B56" i="60"/>
  <c r="C55" i="60"/>
  <c r="B55" i="60"/>
  <c r="C54" i="60"/>
  <c r="C53" i="60"/>
  <c r="H53" i="60" s="1"/>
  <c r="C52" i="60"/>
  <c r="D52" i="60" s="1"/>
  <c r="C51" i="60"/>
  <c r="D51" i="60" s="1"/>
  <c r="H51" i="60" s="1"/>
  <c r="C50" i="60"/>
  <c r="C49" i="60"/>
  <c r="B49" i="60"/>
  <c r="C48" i="60"/>
  <c r="C47" i="60"/>
  <c r="D47" i="60" s="1"/>
  <c r="F47" i="60" s="1"/>
  <c r="C46" i="60"/>
  <c r="D46" i="60" s="1"/>
  <c r="C45" i="60"/>
  <c r="D45" i="60" s="1"/>
  <c r="C33" i="60"/>
  <c r="H33" i="60" s="1"/>
  <c r="G28" i="60"/>
  <c r="C27" i="60"/>
  <c r="D27" i="60" s="1"/>
  <c r="F27" i="60" s="1"/>
  <c r="C26" i="60"/>
  <c r="F26" i="60" s="1"/>
  <c r="C25" i="60"/>
  <c r="D25" i="60" s="1"/>
  <c r="H25" i="60" s="1"/>
  <c r="C24" i="60"/>
  <c r="H24" i="60" s="1"/>
  <c r="C23" i="60"/>
  <c r="D23" i="60" s="1"/>
  <c r="F23" i="60" s="1"/>
  <c r="C22" i="60"/>
  <c r="D22" i="60" s="1"/>
  <c r="C20" i="60"/>
  <c r="D20" i="60" s="1"/>
  <c r="C19" i="60"/>
  <c r="B19" i="60"/>
  <c r="B31" i="60" s="1"/>
  <c r="C18" i="60"/>
  <c r="H18" i="60" s="1"/>
  <c r="F12" i="60"/>
  <c r="E12" i="60"/>
  <c r="E11" i="60"/>
  <c r="C11" i="60"/>
  <c r="A4" i="60"/>
  <c r="D38" i="59"/>
  <c r="D37" i="59" s="1"/>
  <c r="C20" i="59"/>
  <c r="C19" i="59"/>
  <c r="C18" i="59"/>
  <c r="D41" i="59"/>
  <c r="E41" i="59"/>
  <c r="E38" i="59" s="1"/>
  <c r="E37" i="59" s="1"/>
  <c r="C48" i="59"/>
  <c r="F48" i="59" s="1"/>
  <c r="C47" i="59"/>
  <c r="F47" i="59" s="1"/>
  <c r="C46" i="59"/>
  <c r="F46" i="59" s="1"/>
  <c r="C45" i="59"/>
  <c r="F45" i="59" s="1"/>
  <c r="C44" i="59"/>
  <c r="F44" i="59" s="1"/>
  <c r="C43" i="59"/>
  <c r="F43" i="59" s="1"/>
  <c r="C42" i="59"/>
  <c r="C41" i="59" l="1"/>
  <c r="F42" i="59"/>
  <c r="F41" i="59" s="1"/>
  <c r="D16" i="64"/>
  <c r="D15" i="64" s="1"/>
  <c r="E19" i="64" s="1"/>
  <c r="F19" i="64" s="1"/>
  <c r="F17" i="64" s="1"/>
  <c r="F22" i="64"/>
  <c r="I29" i="63"/>
  <c r="H25" i="63"/>
  <c r="I25" i="63" s="1"/>
  <c r="D21" i="63"/>
  <c r="D16" i="63" s="1"/>
  <c r="D15" i="63" s="1"/>
  <c r="E19" i="63" s="1"/>
  <c r="F29" i="63"/>
  <c r="F25" i="63"/>
  <c r="F21" i="63" s="1"/>
  <c r="I27" i="63"/>
  <c r="C16" i="63"/>
  <c r="I26" i="63"/>
  <c r="F27" i="63"/>
  <c r="F28" i="62"/>
  <c r="K28" i="62" s="1"/>
  <c r="F38" i="62"/>
  <c r="K38" i="62" s="1"/>
  <c r="F29" i="62"/>
  <c r="K29" i="62"/>
  <c r="K25" i="62"/>
  <c r="D21" i="62"/>
  <c r="J21" i="62" s="1"/>
  <c r="J24" i="62"/>
  <c r="J34" i="62"/>
  <c r="K34" i="62" s="1"/>
  <c r="K32" i="62"/>
  <c r="J35" i="62"/>
  <c r="K35" i="62" s="1"/>
  <c r="K31" i="62"/>
  <c r="K22" i="62"/>
  <c r="F24" i="62"/>
  <c r="C16" i="62"/>
  <c r="J20" i="62"/>
  <c r="K20" i="62" s="1"/>
  <c r="F33" i="62"/>
  <c r="K33" i="62" s="1"/>
  <c r="K18" i="62"/>
  <c r="J55" i="61"/>
  <c r="F55" i="61"/>
  <c r="J34" i="61"/>
  <c r="K34" i="61" s="1"/>
  <c r="K45" i="61"/>
  <c r="J46" i="61"/>
  <c r="K46" i="61" s="1"/>
  <c r="F46" i="61"/>
  <c r="J60" i="61"/>
  <c r="J33" i="61"/>
  <c r="K33" i="61" s="1"/>
  <c r="F56" i="61"/>
  <c r="J62" i="61"/>
  <c r="K47" i="61"/>
  <c r="C22" i="61"/>
  <c r="J22" i="61" s="1"/>
  <c r="C15" i="61"/>
  <c r="F18" i="61"/>
  <c r="J24" i="61"/>
  <c r="K24" i="61" s="1"/>
  <c r="J27" i="61"/>
  <c r="K27" i="61" s="1"/>
  <c r="J30" i="61"/>
  <c r="K30" i="61" s="1"/>
  <c r="F36" i="61"/>
  <c r="K36" i="61" s="1"/>
  <c r="D39" i="61"/>
  <c r="J39" i="61" s="1"/>
  <c r="F40" i="61"/>
  <c r="F49" i="61"/>
  <c r="F50" i="61"/>
  <c r="J51" i="61"/>
  <c r="K51" i="61" s="1"/>
  <c r="D56" i="61"/>
  <c r="J56" i="61" s="1"/>
  <c r="F57" i="61"/>
  <c r="J59" i="61"/>
  <c r="K59" i="61" s="1"/>
  <c r="C31" i="61"/>
  <c r="J18" i="61"/>
  <c r="J40" i="61"/>
  <c r="J49" i="61"/>
  <c r="J50" i="61"/>
  <c r="J57" i="61"/>
  <c r="F25" i="61"/>
  <c r="F22" i="61" s="1"/>
  <c r="F28" i="61"/>
  <c r="K28" i="61" s="1"/>
  <c r="D33" i="61"/>
  <c r="D34" i="61"/>
  <c r="F42" i="61"/>
  <c r="F45" i="61"/>
  <c r="F52" i="61"/>
  <c r="K52" i="61" s="1"/>
  <c r="F53" i="61"/>
  <c r="K53" i="61" s="1"/>
  <c r="D60" i="61"/>
  <c r="D62" i="61"/>
  <c r="F62" i="61" s="1"/>
  <c r="F63" i="61"/>
  <c r="K63" i="61" s="1"/>
  <c r="F33" i="61"/>
  <c r="F34" i="61"/>
  <c r="F37" i="61"/>
  <c r="K37" i="61" s="1"/>
  <c r="F41" i="61"/>
  <c r="K41" i="61" s="1"/>
  <c r="F44" i="61"/>
  <c r="K44" i="61" s="1"/>
  <c r="F60" i="61"/>
  <c r="F76" i="60"/>
  <c r="F75" i="60" s="1"/>
  <c r="F72" i="60"/>
  <c r="C35" i="60"/>
  <c r="F38" i="60"/>
  <c r="F62" i="60"/>
  <c r="D65" i="60"/>
  <c r="D21" i="60"/>
  <c r="C21" i="60"/>
  <c r="H20" i="60"/>
  <c r="H26" i="60"/>
  <c r="I26" i="60" s="1"/>
  <c r="F46" i="60"/>
  <c r="H46" i="60"/>
  <c r="F22" i="60"/>
  <c r="H22" i="60"/>
  <c r="F53" i="60"/>
  <c r="I53" i="60" s="1"/>
  <c r="C29" i="60"/>
  <c r="F30" i="60"/>
  <c r="I30" i="60" s="1"/>
  <c r="H52" i="60"/>
  <c r="F52" i="60"/>
  <c r="H45" i="60"/>
  <c r="F45" i="60"/>
  <c r="C17" i="60"/>
  <c r="F20" i="60"/>
  <c r="F25" i="60"/>
  <c r="I25" i="60" s="1"/>
  <c r="H23" i="60"/>
  <c r="I23" i="60" s="1"/>
  <c r="H27" i="60"/>
  <c r="I27" i="60" s="1"/>
  <c r="H47" i="60"/>
  <c r="I47" i="60" s="1"/>
  <c r="H59" i="60"/>
  <c r="I59" i="60" s="1"/>
  <c r="F33" i="60"/>
  <c r="I33" i="60" s="1"/>
  <c r="D50" i="60"/>
  <c r="H50" i="60" s="1"/>
  <c r="F51" i="60"/>
  <c r="I51" i="60" s="1"/>
  <c r="D61" i="60"/>
  <c r="H61" i="60" s="1"/>
  <c r="F63" i="60"/>
  <c r="I63" i="60" s="1"/>
  <c r="D17" i="60"/>
  <c r="F18" i="60"/>
  <c r="I18" i="60" s="1"/>
  <c r="F24" i="60"/>
  <c r="I24" i="60" s="1"/>
  <c r="D29" i="60"/>
  <c r="D48" i="60"/>
  <c r="D49" i="60"/>
  <c r="F49" i="60" s="1"/>
  <c r="D54" i="60"/>
  <c r="F54" i="60" s="1"/>
  <c r="D55" i="60"/>
  <c r="F55" i="60" s="1"/>
  <c r="D60" i="60"/>
  <c r="F60" i="60" s="1"/>
  <c r="S20" i="65" l="1"/>
  <c r="R38" i="65" s="1"/>
  <c r="M22" i="60"/>
  <c r="E17" i="64"/>
  <c r="E16" i="64" s="1"/>
  <c r="E15" i="64" s="1"/>
  <c r="F16" i="64"/>
  <c r="F15" i="64" s="1"/>
  <c r="H21" i="63"/>
  <c r="I21" i="63" s="1"/>
  <c r="F19" i="63"/>
  <c r="F17" i="63" s="1"/>
  <c r="F16" i="63" s="1"/>
  <c r="F15" i="63" s="1"/>
  <c r="H19" i="63"/>
  <c r="E17" i="63"/>
  <c r="C15" i="63"/>
  <c r="K24" i="62"/>
  <c r="F21" i="62"/>
  <c r="K21" i="62" s="1"/>
  <c r="D16" i="62"/>
  <c r="D15" i="62" s="1"/>
  <c r="E19" i="62" s="1"/>
  <c r="F19" i="62" s="1"/>
  <c r="F17" i="62" s="1"/>
  <c r="F16" i="62" s="1"/>
  <c r="F15" i="62" s="1"/>
  <c r="E17" i="62"/>
  <c r="C15" i="62"/>
  <c r="K18" i="61"/>
  <c r="K50" i="61"/>
  <c r="K39" i="61"/>
  <c r="C14" i="61"/>
  <c r="F39" i="61"/>
  <c r="K49" i="61"/>
  <c r="K56" i="61"/>
  <c r="K22" i="61"/>
  <c r="K25" i="61"/>
  <c r="D31" i="61"/>
  <c r="D13" i="61" s="1"/>
  <c r="K40" i="61"/>
  <c r="K62" i="61"/>
  <c r="K60" i="61"/>
  <c r="F31" i="61"/>
  <c r="K57" i="61"/>
  <c r="K55" i="61"/>
  <c r="F65" i="60"/>
  <c r="F64" i="60" s="1"/>
  <c r="D64" i="60"/>
  <c r="F61" i="60"/>
  <c r="I61" i="60" s="1"/>
  <c r="D35" i="60"/>
  <c r="I22" i="60"/>
  <c r="H21" i="60"/>
  <c r="H48" i="60"/>
  <c r="F21" i="60"/>
  <c r="I20" i="60"/>
  <c r="F50" i="60"/>
  <c r="I50" i="60" s="1"/>
  <c r="H49" i="60"/>
  <c r="I49" i="60" s="1"/>
  <c r="I46" i="60"/>
  <c r="I45" i="60"/>
  <c r="H62" i="60"/>
  <c r="I62" i="60" s="1"/>
  <c r="H60" i="60"/>
  <c r="I60" i="60" s="1"/>
  <c r="H54" i="60"/>
  <c r="I54" i="60" s="1"/>
  <c r="I52" i="60"/>
  <c r="F48" i="60"/>
  <c r="C16" i="60"/>
  <c r="J16" i="60"/>
  <c r="D16" i="60"/>
  <c r="E19" i="60" s="1"/>
  <c r="H32" i="60"/>
  <c r="F32" i="60"/>
  <c r="I19" i="63" l="1"/>
  <c r="E16" i="63"/>
  <c r="H17" i="63"/>
  <c r="I17" i="63" s="1"/>
  <c r="J19" i="62"/>
  <c r="K19" i="62" s="1"/>
  <c r="E16" i="62"/>
  <c r="J17" i="62"/>
  <c r="K17" i="62" s="1"/>
  <c r="C13" i="61"/>
  <c r="J31" i="61"/>
  <c r="K31" i="61" s="1"/>
  <c r="D12" i="61"/>
  <c r="F35" i="60"/>
  <c r="I21" i="60"/>
  <c r="E31" i="60"/>
  <c r="F31" i="60" s="1"/>
  <c r="F29" i="60" s="1"/>
  <c r="M21" i="60" s="1"/>
  <c r="M24" i="60" s="1"/>
  <c r="E17" i="60"/>
  <c r="F19" i="60"/>
  <c r="F17" i="60" s="1"/>
  <c r="H19" i="60"/>
  <c r="I48" i="60"/>
  <c r="I32" i="60"/>
  <c r="E15" i="63" l="1"/>
  <c r="H15" i="63" s="1"/>
  <c r="I15" i="63" s="1"/>
  <c r="H16" i="63"/>
  <c r="I16" i="63" s="1"/>
  <c r="E15" i="62"/>
  <c r="J15" i="62" s="1"/>
  <c r="K15" i="62" s="1"/>
  <c r="J16" i="62"/>
  <c r="K16" i="62" s="1"/>
  <c r="J17" i="61"/>
  <c r="E15" i="61"/>
  <c r="F17" i="61"/>
  <c r="F15" i="61" s="1"/>
  <c r="F14" i="61" s="1"/>
  <c r="F13" i="61" s="1"/>
  <c r="F12" i="61" s="1"/>
  <c r="H12" i="61" s="1"/>
  <c r="H14" i="61" s="1"/>
  <c r="C12" i="61"/>
  <c r="I19" i="60"/>
  <c r="D15" i="60"/>
  <c r="D14" i="60" s="1"/>
  <c r="E29" i="60"/>
  <c r="H31" i="60"/>
  <c r="I31" i="60" s="1"/>
  <c r="E16" i="60"/>
  <c r="H16" i="60" s="1"/>
  <c r="H17" i="60"/>
  <c r="I17" i="60" s="1"/>
  <c r="F16" i="60"/>
  <c r="H13" i="60" s="1"/>
  <c r="E14" i="61" l="1"/>
  <c r="J15" i="61"/>
  <c r="K15" i="61" s="1"/>
  <c r="K17" i="61"/>
  <c r="E28" i="60"/>
  <c r="H29" i="60"/>
  <c r="I29" i="60" s="1"/>
  <c r="I16" i="60"/>
  <c r="E15" i="60"/>
  <c r="E13" i="61" l="1"/>
  <c r="J14" i="61"/>
  <c r="K14" i="61" s="1"/>
  <c r="E14" i="60"/>
  <c r="C51" i="59"/>
  <c r="Q28" i="65" s="1"/>
  <c r="B51" i="59"/>
  <c r="D50" i="59"/>
  <c r="E50" i="59"/>
  <c r="C40" i="59"/>
  <c r="F40" i="59" s="1"/>
  <c r="B40" i="59"/>
  <c r="B39" i="59"/>
  <c r="B37" i="59"/>
  <c r="C23" i="59"/>
  <c r="C22" i="59"/>
  <c r="C31" i="59"/>
  <c r="B31" i="59"/>
  <c r="D35" i="59"/>
  <c r="E35" i="59"/>
  <c r="D36" i="59"/>
  <c r="F36" i="59" s="1"/>
  <c r="C21" i="59" l="1"/>
  <c r="Q27" i="65"/>
  <c r="E12" i="61"/>
  <c r="J12" i="61" s="1"/>
  <c r="K12" i="61" s="1"/>
  <c r="J13" i="61"/>
  <c r="K13" i="61" s="1"/>
  <c r="F51" i="59"/>
  <c r="C39" i="59"/>
  <c r="I40" i="59"/>
  <c r="F39" i="59" l="1"/>
  <c r="F38" i="59" s="1"/>
  <c r="F37" i="59" s="1"/>
  <c r="C38" i="59"/>
  <c r="J40" i="59"/>
  <c r="C37" i="59" l="1"/>
  <c r="I38" i="59"/>
  <c r="J38" i="59" s="1"/>
  <c r="T28" i="65" l="1"/>
  <c r="I37" i="59"/>
  <c r="J37" i="59" s="1"/>
  <c r="D20" i="59"/>
  <c r="C52" i="59"/>
  <c r="Q31" i="65" s="1"/>
  <c r="P31" i="65" s="1"/>
  <c r="AA31" i="65" s="1"/>
  <c r="B52" i="59"/>
  <c r="D49" i="59"/>
  <c r="C33" i="59"/>
  <c r="D34" i="59"/>
  <c r="C32" i="59"/>
  <c r="D32" i="59" s="1"/>
  <c r="C30" i="59"/>
  <c r="D30" i="59" s="1"/>
  <c r="F30" i="59" s="1"/>
  <c r="B30" i="59"/>
  <c r="C29" i="59"/>
  <c r="D29" i="59" s="1"/>
  <c r="F29" i="59" s="1"/>
  <c r="B29" i="59"/>
  <c r="C28" i="59"/>
  <c r="B28" i="59"/>
  <c r="C27" i="59"/>
  <c r="D27" i="59" s="1"/>
  <c r="F27" i="59" s="1"/>
  <c r="C26" i="59"/>
  <c r="B26" i="59"/>
  <c r="C25" i="59"/>
  <c r="D25" i="59" s="1"/>
  <c r="B25" i="59"/>
  <c r="C24" i="59"/>
  <c r="F23" i="59"/>
  <c r="B23" i="59"/>
  <c r="B27" i="62" s="1"/>
  <c r="F22" i="59"/>
  <c r="B21" i="59"/>
  <c r="B19" i="59"/>
  <c r="F18" i="59"/>
  <c r="F11" i="59"/>
  <c r="E11" i="59"/>
  <c r="E10" i="59"/>
  <c r="C10" i="59"/>
  <c r="B10" i="59"/>
  <c r="A4" i="59"/>
  <c r="E22" i="57"/>
  <c r="D35" i="57"/>
  <c r="E35" i="57"/>
  <c r="D34" i="57"/>
  <c r="E34" i="57"/>
  <c r="B35" i="57"/>
  <c r="C37" i="57"/>
  <c r="C36" i="57"/>
  <c r="F36" i="57" s="1"/>
  <c r="B37" i="57"/>
  <c r="B36" i="57"/>
  <c r="B34" i="57"/>
  <c r="C32" i="57"/>
  <c r="F32" i="57" s="1"/>
  <c r="B32" i="57"/>
  <c r="C25" i="57"/>
  <c r="C26" i="57"/>
  <c r="C21" i="57"/>
  <c r="C20" i="57"/>
  <c r="C19" i="57"/>
  <c r="C34" i="57" l="1"/>
  <c r="C35" i="57"/>
  <c r="F37" i="57"/>
  <c r="F34" i="57" s="1"/>
  <c r="T23" i="65" s="1"/>
  <c r="T27" i="65"/>
  <c r="Q15" i="65"/>
  <c r="F24" i="59"/>
  <c r="F52" i="59"/>
  <c r="C50" i="59"/>
  <c r="I50" i="59" s="1"/>
  <c r="F33" i="59"/>
  <c r="C35" i="59"/>
  <c r="I35" i="59" s="1"/>
  <c r="I33" i="59"/>
  <c r="I52" i="59"/>
  <c r="I18" i="59"/>
  <c r="J18" i="59" s="1"/>
  <c r="F25" i="59"/>
  <c r="D17" i="59"/>
  <c r="D26" i="59"/>
  <c r="F32" i="59"/>
  <c r="C17" i="59"/>
  <c r="L20" i="59" s="1"/>
  <c r="D28" i="59"/>
  <c r="F28" i="59" s="1"/>
  <c r="F31" i="59"/>
  <c r="F21" i="59" s="1"/>
  <c r="A5" i="53"/>
  <c r="K15" i="58"/>
  <c r="H52" i="58"/>
  <c r="H51" i="58" s="1"/>
  <c r="H50" i="58" s="1"/>
  <c r="H47" i="58"/>
  <c r="I47" i="58" s="1"/>
  <c r="H48" i="58"/>
  <c r="H41" i="58"/>
  <c r="I41" i="58" s="1"/>
  <c r="H39" i="58"/>
  <c r="I39" i="58" s="1"/>
  <c r="H27" i="58"/>
  <c r="I27" i="58" s="1"/>
  <c r="H26" i="58"/>
  <c r="H24" i="58"/>
  <c r="H23" i="58"/>
  <c r="H20" i="58"/>
  <c r="H19" i="58"/>
  <c r="H18" i="58"/>
  <c r="H49" i="58"/>
  <c r="G46" i="58"/>
  <c r="H46" i="58" s="1"/>
  <c r="G45" i="58"/>
  <c r="H45" i="58" s="1"/>
  <c r="I45" i="58" s="1"/>
  <c r="G44" i="58"/>
  <c r="H44" i="58" s="1"/>
  <c r="I44" i="58" s="1"/>
  <c r="G43" i="58"/>
  <c r="G40" i="58"/>
  <c r="G38" i="58"/>
  <c r="H38" i="58" s="1"/>
  <c r="G37" i="58"/>
  <c r="H37" i="58" s="1"/>
  <c r="C71" i="60" s="1"/>
  <c r="F71" i="60" s="1"/>
  <c r="G36" i="58"/>
  <c r="H36" i="58" s="1"/>
  <c r="C70" i="60" s="1"/>
  <c r="F70" i="60" s="1"/>
  <c r="G35" i="58"/>
  <c r="H35" i="58" s="1"/>
  <c r="C69" i="60" s="1"/>
  <c r="F69" i="60" s="1"/>
  <c r="G34" i="58"/>
  <c r="H34" i="58" s="1"/>
  <c r="I34" i="58" s="1"/>
  <c r="G33" i="58"/>
  <c r="H33" i="58" s="1"/>
  <c r="C68" i="60" s="1"/>
  <c r="F68" i="60" s="1"/>
  <c r="H32" i="58"/>
  <c r="C67" i="60" s="1"/>
  <c r="H28" i="58"/>
  <c r="I48" i="58"/>
  <c r="I24" i="58"/>
  <c r="I25" i="58"/>
  <c r="I26" i="58"/>
  <c r="G22" i="58"/>
  <c r="G20" i="58"/>
  <c r="I20" i="58" s="1"/>
  <c r="G19" i="58"/>
  <c r="G50" i="58"/>
  <c r="G51" i="58"/>
  <c r="F52" i="58"/>
  <c r="F51" i="58" s="1"/>
  <c r="C51" i="58"/>
  <c r="C50" i="58" s="1"/>
  <c r="F50" i="58" s="1"/>
  <c r="C49" i="58"/>
  <c r="F49" i="58" s="1"/>
  <c r="C48" i="58"/>
  <c r="F48" i="58" s="1"/>
  <c r="C47" i="58"/>
  <c r="F47" i="58" s="1"/>
  <c r="C46" i="58"/>
  <c r="C45" i="58"/>
  <c r="F45" i="58" s="1"/>
  <c r="B45" i="58"/>
  <c r="C44" i="58"/>
  <c r="F44" i="58" s="1"/>
  <c r="C43" i="58"/>
  <c r="F43" i="58" s="1"/>
  <c r="C41" i="58"/>
  <c r="F41" i="58" s="1"/>
  <c r="C40" i="58"/>
  <c r="F40" i="58" s="1"/>
  <c r="B40" i="58"/>
  <c r="C39" i="58"/>
  <c r="F39" i="58" s="1"/>
  <c r="C38" i="58"/>
  <c r="F38" i="58" s="1"/>
  <c r="C37" i="58"/>
  <c r="F37" i="58" s="1"/>
  <c r="C36" i="58"/>
  <c r="F36" i="58" s="1"/>
  <c r="C35" i="58"/>
  <c r="B35" i="58"/>
  <c r="C34" i="58"/>
  <c r="F34" i="58" s="1"/>
  <c r="C33" i="58"/>
  <c r="F33" i="58" s="1"/>
  <c r="C32" i="58"/>
  <c r="F32" i="58" s="1"/>
  <c r="K28" i="58"/>
  <c r="C28" i="58"/>
  <c r="D28" i="58" s="1"/>
  <c r="F28" i="58" s="1"/>
  <c r="C27" i="58"/>
  <c r="D27" i="58" s="1"/>
  <c r="F27" i="58" s="1"/>
  <c r="B27" i="58"/>
  <c r="K26" i="58"/>
  <c r="C26" i="58"/>
  <c r="F26" i="58" s="1"/>
  <c r="B26" i="58"/>
  <c r="C25" i="58"/>
  <c r="D25" i="58" s="1"/>
  <c r="F25" i="58" s="1"/>
  <c r="C24" i="58"/>
  <c r="B24" i="58"/>
  <c r="C23" i="58"/>
  <c r="F23" i="58" s="1"/>
  <c r="C22" i="58"/>
  <c r="F22" i="58" s="1"/>
  <c r="E21" i="58"/>
  <c r="B21" i="58"/>
  <c r="C20" i="58"/>
  <c r="D20" i="58" s="1"/>
  <c r="D17" i="58" s="1"/>
  <c r="C19" i="58"/>
  <c r="B19" i="58"/>
  <c r="C18" i="58"/>
  <c r="F18" i="58" s="1"/>
  <c r="F11" i="58"/>
  <c r="E11" i="58"/>
  <c r="E10" i="58"/>
  <c r="C10" i="58"/>
  <c r="A4" i="58"/>
  <c r="F35" i="57" l="1"/>
  <c r="G21" i="58"/>
  <c r="F67" i="60"/>
  <c r="I38" i="58"/>
  <c r="I18" i="58"/>
  <c r="I17" i="58" s="1"/>
  <c r="H40" i="58"/>
  <c r="C73" i="60" s="1"/>
  <c r="F73" i="60" s="1"/>
  <c r="H43" i="58"/>
  <c r="I43" i="58" s="1"/>
  <c r="I22" i="58"/>
  <c r="I49" i="58"/>
  <c r="I19" i="58"/>
  <c r="I46" i="58"/>
  <c r="R27" i="65"/>
  <c r="J52" i="59"/>
  <c r="C34" i="59"/>
  <c r="I34" i="59" s="1"/>
  <c r="F50" i="59"/>
  <c r="J50" i="59" s="1"/>
  <c r="C49" i="59"/>
  <c r="I49" i="59" s="1"/>
  <c r="D16" i="59"/>
  <c r="D15" i="59" s="1"/>
  <c r="J33" i="59"/>
  <c r="F35" i="59"/>
  <c r="F34" i="59" s="1"/>
  <c r="C16" i="59"/>
  <c r="F26" i="59"/>
  <c r="I20" i="59"/>
  <c r="F20" i="59"/>
  <c r="I52" i="58"/>
  <c r="I51" i="58" s="1"/>
  <c r="I50" i="58" s="1"/>
  <c r="I37" i="58"/>
  <c r="I35" i="58"/>
  <c r="I36" i="58"/>
  <c r="I32" i="58"/>
  <c r="H21" i="58"/>
  <c r="I28" i="58"/>
  <c r="I23" i="58"/>
  <c r="H17" i="58"/>
  <c r="G42" i="58"/>
  <c r="G31" i="58"/>
  <c r="I33" i="58"/>
  <c r="G17" i="58"/>
  <c r="G16" i="58" s="1"/>
  <c r="C17" i="58"/>
  <c r="C21" i="58"/>
  <c r="C16" i="58" s="1"/>
  <c r="C42" i="58"/>
  <c r="C31" i="58"/>
  <c r="C30" i="58" s="1"/>
  <c r="C29" i="58" s="1"/>
  <c r="F20" i="58"/>
  <c r="D16" i="58"/>
  <c r="D15" i="58" s="1"/>
  <c r="E19" i="58" s="1"/>
  <c r="F24" i="58"/>
  <c r="F21" i="58" s="1"/>
  <c r="F35" i="58"/>
  <c r="F31" i="58" s="1"/>
  <c r="F46" i="58"/>
  <c r="F42" i="58" s="1"/>
  <c r="D21" i="58"/>
  <c r="O33" i="72" l="1"/>
  <c r="O17" i="66"/>
  <c r="J34" i="59"/>
  <c r="I42" i="58"/>
  <c r="H42" i="58"/>
  <c r="I21" i="58"/>
  <c r="I16" i="58" s="1"/>
  <c r="C15" i="59"/>
  <c r="L14" i="59" s="1"/>
  <c r="M25" i="65"/>
  <c r="I40" i="58"/>
  <c r="I31" i="58" s="1"/>
  <c r="H31" i="58"/>
  <c r="C66" i="60"/>
  <c r="F66" i="60"/>
  <c r="F34" i="60" s="1"/>
  <c r="F28" i="60" s="1"/>
  <c r="J35" i="59"/>
  <c r="F49" i="59"/>
  <c r="J49" i="59" s="1"/>
  <c r="E19" i="59"/>
  <c r="I21" i="59"/>
  <c r="J21" i="59" s="1"/>
  <c r="J20" i="59"/>
  <c r="H16" i="58"/>
  <c r="G30" i="58"/>
  <c r="C15" i="58"/>
  <c r="F30" i="58"/>
  <c r="F29" i="58" s="1"/>
  <c r="F19" i="58"/>
  <c r="F17" i="58" s="1"/>
  <c r="F16" i="58" s="1"/>
  <c r="F15" i="58" s="1"/>
  <c r="E17" i="58"/>
  <c r="E16" i="58" s="1"/>
  <c r="E15" i="58" s="1"/>
  <c r="P33" i="72" l="1"/>
  <c r="P15" i="72" s="1"/>
  <c r="AS17" i="72" s="1"/>
  <c r="P17" i="66"/>
  <c r="P15" i="66" s="1"/>
  <c r="L17" i="66"/>
  <c r="I30" i="58"/>
  <c r="I29" i="58" s="1"/>
  <c r="I15" i="58" s="1"/>
  <c r="H30" i="58"/>
  <c r="H29" i="58" s="1"/>
  <c r="H15" i="58" s="1"/>
  <c r="T20" i="65"/>
  <c r="C34" i="60"/>
  <c r="M28" i="60"/>
  <c r="M32" i="60" s="1"/>
  <c r="F15" i="60"/>
  <c r="F14" i="60" s="1"/>
  <c r="M11" i="60" s="1"/>
  <c r="G29" i="58"/>
  <c r="G15" i="58" s="1"/>
  <c r="K16" i="58" s="1"/>
  <c r="N25" i="65"/>
  <c r="N15" i="65" s="1"/>
  <c r="E17" i="59"/>
  <c r="I19" i="59"/>
  <c r="F19" i="59"/>
  <c r="F17" i="59" s="1"/>
  <c r="E16" i="59"/>
  <c r="E15" i="59" s="1"/>
  <c r="I17" i="59"/>
  <c r="L15" i="58"/>
  <c r="S28" i="65" l="1"/>
  <c r="S27" i="65" s="1"/>
  <c r="P36" i="65" s="1"/>
  <c r="P38" i="65" s="1"/>
  <c r="L21" i="59"/>
  <c r="L22" i="59" s="1"/>
  <c r="L33" i="72"/>
  <c r="AB20" i="65"/>
  <c r="AS20" i="72"/>
  <c r="AT20" i="72" s="1"/>
  <c r="AS21" i="66"/>
  <c r="AT21" i="66" s="1"/>
  <c r="AP17" i="66"/>
  <c r="AQ17" i="66" s="1"/>
  <c r="J17" i="66"/>
  <c r="K17" i="66"/>
  <c r="J25" i="65"/>
  <c r="I25" i="65" s="1"/>
  <c r="C28" i="60"/>
  <c r="J28" i="60"/>
  <c r="H34" i="60"/>
  <c r="I34" i="60" s="1"/>
  <c r="M14" i="60"/>
  <c r="M13" i="60" s="1"/>
  <c r="P20" i="65"/>
  <c r="I20" i="65" s="1"/>
  <c r="T15" i="65"/>
  <c r="AB17" i="65" s="1"/>
  <c r="F16" i="59"/>
  <c r="F15" i="59"/>
  <c r="J19" i="59"/>
  <c r="J17" i="59"/>
  <c r="I15" i="59"/>
  <c r="I16" i="59"/>
  <c r="O37" i="65" l="1"/>
  <c r="L12" i="59"/>
  <c r="AS37" i="72"/>
  <c r="AT37" i="72" s="1"/>
  <c r="AS35" i="66"/>
  <c r="AT35" i="66" s="1"/>
  <c r="P28" i="65"/>
  <c r="I28" i="65" s="1"/>
  <c r="AP33" i="72"/>
  <c r="AQ33" i="72" s="1"/>
  <c r="K33" i="72"/>
  <c r="AA33" i="72" s="1"/>
  <c r="J33" i="72"/>
  <c r="AR33" i="72" s="1"/>
  <c r="AA17" i="66"/>
  <c r="AR17" i="66"/>
  <c r="AA25" i="65"/>
  <c r="AC20" i="65"/>
  <c r="L19" i="59"/>
  <c r="AB27" i="65"/>
  <c r="J16" i="59"/>
  <c r="C15" i="60"/>
  <c r="J15" i="60"/>
  <c r="H28" i="60"/>
  <c r="I28" i="60" s="1"/>
  <c r="L16" i="59"/>
  <c r="L15" i="46"/>
  <c r="P27" i="65"/>
  <c r="J15" i="59"/>
  <c r="I14" i="59"/>
  <c r="I27" i="65" l="1"/>
  <c r="AA27" i="65" s="1"/>
  <c r="L15" i="59"/>
  <c r="AA20" i="65"/>
  <c r="C14" i="60"/>
  <c r="H15" i="60"/>
  <c r="I15" i="60" s="1"/>
  <c r="L17" i="59"/>
  <c r="AC27" i="65"/>
  <c r="C34" i="56"/>
  <c r="F34" i="56" s="1"/>
  <c r="B34" i="56"/>
  <c r="C40" i="57"/>
  <c r="F40" i="57" s="1"/>
  <c r="B40" i="57"/>
  <c r="B39" i="57"/>
  <c r="C39" i="57"/>
  <c r="F39" i="57" s="1"/>
  <c r="F30" i="57"/>
  <c r="F31" i="57"/>
  <c r="D21" i="57"/>
  <c r="C47" i="57"/>
  <c r="F47" i="57" s="1"/>
  <c r="B47" i="57"/>
  <c r="E38" i="57"/>
  <c r="B31" i="57"/>
  <c r="B30" i="57"/>
  <c r="F19" i="57"/>
  <c r="C14" i="57"/>
  <c r="C13" i="57" s="1"/>
  <c r="C13" i="56"/>
  <c r="C12" i="56" s="1"/>
  <c r="C46" i="57"/>
  <c r="D46" i="57" s="1"/>
  <c r="F46" i="57" s="1"/>
  <c r="B46" i="57"/>
  <c r="C45" i="57"/>
  <c r="B45" i="57"/>
  <c r="C44" i="57"/>
  <c r="D44" i="57" s="1"/>
  <c r="F44" i="57" s="1"/>
  <c r="B44" i="57"/>
  <c r="C43" i="57"/>
  <c r="D43" i="57" s="1"/>
  <c r="F43" i="57" s="1"/>
  <c r="C42" i="57"/>
  <c r="D42" i="57" s="1"/>
  <c r="B42" i="57"/>
  <c r="C41" i="57"/>
  <c r="B41" i="57"/>
  <c r="F33" i="57"/>
  <c r="D33" i="57"/>
  <c r="C29" i="57"/>
  <c r="D29" i="57" s="1"/>
  <c r="F29" i="57" s="1"/>
  <c r="C28" i="57"/>
  <c r="D28" i="57" s="1"/>
  <c r="F28" i="57" s="1"/>
  <c r="B28" i="57"/>
  <c r="C27" i="57"/>
  <c r="D27" i="57" s="1"/>
  <c r="B27" i="57"/>
  <c r="B26" i="57"/>
  <c r="F25" i="57"/>
  <c r="C24" i="57"/>
  <c r="E23" i="57"/>
  <c r="B22" i="57"/>
  <c r="B20" i="57"/>
  <c r="F12" i="57"/>
  <c r="E12" i="57"/>
  <c r="E11" i="57"/>
  <c r="C11" i="57"/>
  <c r="A5" i="57"/>
  <c r="C24" i="56"/>
  <c r="F31" i="56"/>
  <c r="C30" i="56"/>
  <c r="F30" i="56" s="1"/>
  <c r="B31" i="56"/>
  <c r="F18" i="56"/>
  <c r="D20" i="56"/>
  <c r="C32" i="56"/>
  <c r="D32" i="56" s="1"/>
  <c r="F32" i="56" s="1"/>
  <c r="B32" i="56"/>
  <c r="C29" i="56"/>
  <c r="C37" i="56"/>
  <c r="B37" i="56"/>
  <c r="C36" i="56"/>
  <c r="B36" i="56"/>
  <c r="D28" i="56"/>
  <c r="F28" i="56" s="1"/>
  <c r="B28" i="56"/>
  <c r="C27" i="56"/>
  <c r="F27" i="56" s="1"/>
  <c r="B27" i="56"/>
  <c r="C26" i="56"/>
  <c r="C25" i="56"/>
  <c r="B21" i="56"/>
  <c r="B19" i="56"/>
  <c r="D14" i="56"/>
  <c r="F14" i="56" s="1"/>
  <c r="F11" i="56"/>
  <c r="E11" i="56"/>
  <c r="E10" i="56"/>
  <c r="C10" i="56"/>
  <c r="A4" i="56"/>
  <c r="K17" i="55"/>
  <c r="C40" i="55"/>
  <c r="F40" i="55" s="1"/>
  <c r="B40" i="55"/>
  <c r="C44" i="55"/>
  <c r="F44" i="55" s="1"/>
  <c r="B44" i="55"/>
  <c r="C26" i="55"/>
  <c r="D21" i="55"/>
  <c r="H19" i="55"/>
  <c r="D42" i="55"/>
  <c r="H42" i="55" s="1"/>
  <c r="C41" i="55"/>
  <c r="D41" i="55" s="1"/>
  <c r="F41" i="55" s="1"/>
  <c r="C39" i="55"/>
  <c r="C38" i="55"/>
  <c r="C37" i="55"/>
  <c r="D37" i="55" s="1"/>
  <c r="C36" i="55"/>
  <c r="C35" i="55"/>
  <c r="D35" i="55" s="1"/>
  <c r="F35" i="55" s="1"/>
  <c r="B35" i="55"/>
  <c r="D34" i="55"/>
  <c r="F34" i="55" s="1"/>
  <c r="C32" i="55"/>
  <c r="D32" i="55" s="1"/>
  <c r="D31" i="55"/>
  <c r="C30" i="55"/>
  <c r="C29" i="55"/>
  <c r="D29" i="55" s="1"/>
  <c r="F29" i="55" s="1"/>
  <c r="C28" i="55"/>
  <c r="D28" i="55" s="1"/>
  <c r="F28" i="55" s="1"/>
  <c r="C27" i="55"/>
  <c r="C25" i="55"/>
  <c r="H25" i="55" s="1"/>
  <c r="H24" i="55"/>
  <c r="B21" i="55"/>
  <c r="B20" i="55"/>
  <c r="C13" i="55"/>
  <c r="F12" i="55"/>
  <c r="E12" i="55"/>
  <c r="E11" i="55"/>
  <c r="C11" i="55"/>
  <c r="A4" i="55"/>
  <c r="H31" i="54"/>
  <c r="H24" i="54"/>
  <c r="H25" i="54"/>
  <c r="H26" i="54"/>
  <c r="H27" i="54"/>
  <c r="H28" i="54"/>
  <c r="H29" i="54"/>
  <c r="H23" i="54"/>
  <c r="H22" i="54"/>
  <c r="H19" i="54"/>
  <c r="H18" i="54"/>
  <c r="H17" i="54"/>
  <c r="G19" i="54"/>
  <c r="G18" i="54"/>
  <c r="G17" i="54"/>
  <c r="K31" i="54"/>
  <c r="L31" i="54" s="1"/>
  <c r="F31" i="54"/>
  <c r="D31" i="54"/>
  <c r="H30" i="54"/>
  <c r="G30" i="54"/>
  <c r="D30" i="54"/>
  <c r="C30" i="54"/>
  <c r="K30" i="54" s="1"/>
  <c r="C29" i="54"/>
  <c r="C28" i="54"/>
  <c r="C27" i="54"/>
  <c r="C26" i="54"/>
  <c r="C25" i="54"/>
  <c r="C24" i="54"/>
  <c r="M23" i="54"/>
  <c r="M24" i="54" s="1"/>
  <c r="C23" i="54"/>
  <c r="C22" i="54"/>
  <c r="F22" i="54" s="1"/>
  <c r="B22" i="54"/>
  <c r="K21" i="54"/>
  <c r="C21" i="54"/>
  <c r="F21" i="54" s="1"/>
  <c r="G20" i="54"/>
  <c r="C19" i="54"/>
  <c r="K18" i="54"/>
  <c r="E18" i="54"/>
  <c r="C18" i="54"/>
  <c r="F18" i="54" s="1"/>
  <c r="B18" i="54"/>
  <c r="C17" i="54"/>
  <c r="K17" i="54" s="1"/>
  <c r="E16" i="54"/>
  <c r="E15" i="54" s="1"/>
  <c r="E14" i="54" s="1"/>
  <c r="F12" i="54"/>
  <c r="E12" i="54"/>
  <c r="E11" i="54"/>
  <c r="C11" i="54"/>
  <c r="I31" i="9"/>
  <c r="I22" i="9"/>
  <c r="I23" i="9"/>
  <c r="I24" i="9"/>
  <c r="I25" i="9"/>
  <c r="I26" i="9"/>
  <c r="I27" i="9"/>
  <c r="I28" i="9"/>
  <c r="I29" i="9"/>
  <c r="I21" i="9"/>
  <c r="I20" i="9" s="1"/>
  <c r="I18" i="9"/>
  <c r="I16" i="9" s="1"/>
  <c r="I19" i="9"/>
  <c r="I17" i="9"/>
  <c r="G30" i="9"/>
  <c r="H30" i="9"/>
  <c r="I30" i="9"/>
  <c r="G20" i="9"/>
  <c r="H20" i="9"/>
  <c r="G16" i="9"/>
  <c r="H16" i="9"/>
  <c r="G15" i="9"/>
  <c r="G14" i="9" s="1"/>
  <c r="G17" i="53"/>
  <c r="H21" i="53"/>
  <c r="H20" i="53"/>
  <c r="I20" i="53" s="1"/>
  <c r="H26" i="53"/>
  <c r="H37" i="53"/>
  <c r="H38" i="53"/>
  <c r="H39" i="53"/>
  <c r="H40" i="53"/>
  <c r="H41" i="53"/>
  <c r="H36" i="53"/>
  <c r="H27" i="53"/>
  <c r="H28" i="53"/>
  <c r="H29" i="53"/>
  <c r="H30" i="53"/>
  <c r="H31" i="53"/>
  <c r="H32" i="53"/>
  <c r="H22" i="53"/>
  <c r="H31" i="55" l="1"/>
  <c r="F31" i="55"/>
  <c r="F24" i="57"/>
  <c r="C23" i="57"/>
  <c r="AT28" i="72"/>
  <c r="AC23" i="65"/>
  <c r="AT28" i="66"/>
  <c r="M15" i="60"/>
  <c r="H14" i="60"/>
  <c r="I14" i="60" s="1"/>
  <c r="F26" i="55"/>
  <c r="C22" i="55"/>
  <c r="F24" i="56"/>
  <c r="C22" i="56"/>
  <c r="C21" i="56" s="1"/>
  <c r="F27" i="55"/>
  <c r="D36" i="56"/>
  <c r="F36" i="56" s="1"/>
  <c r="H34" i="56"/>
  <c r="C38" i="57"/>
  <c r="F42" i="57"/>
  <c r="F21" i="57"/>
  <c r="C18" i="57"/>
  <c r="D23" i="57"/>
  <c r="F27" i="57"/>
  <c r="D45" i="57"/>
  <c r="F45" i="57" s="1"/>
  <c r="F26" i="57"/>
  <c r="D41" i="57"/>
  <c r="D18" i="57"/>
  <c r="C17" i="56"/>
  <c r="F23" i="56"/>
  <c r="D17" i="56"/>
  <c r="F20" i="56"/>
  <c r="D29" i="56"/>
  <c r="F29" i="56" s="1"/>
  <c r="D25" i="56"/>
  <c r="D37" i="56"/>
  <c r="F37" i="56" s="1"/>
  <c r="D26" i="56"/>
  <c r="F26" i="56" s="1"/>
  <c r="I24" i="55"/>
  <c r="H23" i="55"/>
  <c r="I23" i="55" s="1"/>
  <c r="H34" i="55"/>
  <c r="I34" i="55" s="1"/>
  <c r="D36" i="55"/>
  <c r="F36" i="55" s="1"/>
  <c r="H28" i="55"/>
  <c r="I28" i="55" s="1"/>
  <c r="D39" i="55"/>
  <c r="F39" i="55" s="1"/>
  <c r="I19" i="55"/>
  <c r="H32" i="55"/>
  <c r="F32" i="55"/>
  <c r="H37" i="55"/>
  <c r="F37" i="55"/>
  <c r="C18" i="55"/>
  <c r="D18" i="55"/>
  <c r="F25" i="55"/>
  <c r="H41" i="55"/>
  <c r="I41" i="55" s="1"/>
  <c r="D27" i="55"/>
  <c r="H29" i="55"/>
  <c r="I29" i="55" s="1"/>
  <c r="D33" i="55"/>
  <c r="D22" i="55" s="1"/>
  <c r="D38" i="55"/>
  <c r="F38" i="55" s="1"/>
  <c r="D30" i="55"/>
  <c r="H30" i="55" s="1"/>
  <c r="F42" i="55"/>
  <c r="I42" i="55" s="1"/>
  <c r="I31" i="55"/>
  <c r="I31" i="54"/>
  <c r="I30" i="54" s="1"/>
  <c r="H20" i="54"/>
  <c r="I22" i="54"/>
  <c r="H16" i="54"/>
  <c r="H15" i="54" s="1"/>
  <c r="H14" i="54" s="1"/>
  <c r="G16" i="54"/>
  <c r="G15" i="54" s="1"/>
  <c r="I18" i="54"/>
  <c r="I21" i="54"/>
  <c r="L21" i="54"/>
  <c r="L18" i="54"/>
  <c r="F26" i="54"/>
  <c r="I26" i="54" s="1"/>
  <c r="L17" i="54"/>
  <c r="K23" i="54"/>
  <c r="F28" i="54"/>
  <c r="I28" i="54" s="1"/>
  <c r="C20" i="54"/>
  <c r="D23" i="54"/>
  <c r="F17" i="54"/>
  <c r="D19" i="54"/>
  <c r="F23" i="54"/>
  <c r="I23" i="54" s="1"/>
  <c r="D24" i="54"/>
  <c r="K24" i="54" s="1"/>
  <c r="D25" i="54"/>
  <c r="K25" i="54" s="1"/>
  <c r="D26" i="54"/>
  <c r="K26" i="54" s="1"/>
  <c r="D27" i="54"/>
  <c r="K27" i="54" s="1"/>
  <c r="D28" i="54"/>
  <c r="K28" i="54" s="1"/>
  <c r="D29" i="54"/>
  <c r="K29" i="54" s="1"/>
  <c r="C16" i="54"/>
  <c r="F30" i="54"/>
  <c r="L30" i="54" s="1"/>
  <c r="I15" i="9"/>
  <c r="I14" i="9" s="1"/>
  <c r="H15" i="9"/>
  <c r="H14" i="9" s="1"/>
  <c r="I21" i="53"/>
  <c r="G35" i="53"/>
  <c r="H35" i="53"/>
  <c r="H34" i="53" s="1"/>
  <c r="H33" i="53" s="1"/>
  <c r="G34" i="53"/>
  <c r="G33" i="53" s="1"/>
  <c r="I36" i="53"/>
  <c r="I37" i="53"/>
  <c r="I38" i="53"/>
  <c r="I39" i="53"/>
  <c r="I40" i="53"/>
  <c r="I41" i="53"/>
  <c r="I25" i="53"/>
  <c r="I26" i="53"/>
  <c r="I27" i="53"/>
  <c r="I28" i="53"/>
  <c r="I29" i="53"/>
  <c r="I30" i="53"/>
  <c r="I31" i="53"/>
  <c r="I32" i="53"/>
  <c r="I24" i="53"/>
  <c r="I22" i="53"/>
  <c r="G22" i="53"/>
  <c r="H23" i="53"/>
  <c r="H19" i="53"/>
  <c r="G23" i="53"/>
  <c r="G19" i="53"/>
  <c r="L41" i="53"/>
  <c r="K41" i="53"/>
  <c r="F41" i="53"/>
  <c r="L40" i="53"/>
  <c r="K40" i="53"/>
  <c r="F40" i="53"/>
  <c r="D39" i="53"/>
  <c r="K39" i="53" s="1"/>
  <c r="F38" i="53"/>
  <c r="D38" i="53"/>
  <c r="K38" i="53" s="1"/>
  <c r="L38" i="53" s="1"/>
  <c r="K37" i="53"/>
  <c r="L37" i="53" s="1"/>
  <c r="F37" i="53"/>
  <c r="D37" i="53"/>
  <c r="D36" i="53"/>
  <c r="K36" i="53" s="1"/>
  <c r="E35" i="53"/>
  <c r="D35" i="53"/>
  <c r="D34" i="53" s="1"/>
  <c r="D33" i="53" s="1"/>
  <c r="C35" i="53"/>
  <c r="C34" i="53" s="1"/>
  <c r="E33" i="53"/>
  <c r="C32" i="53"/>
  <c r="D32" i="53" s="1"/>
  <c r="C31" i="53"/>
  <c r="C30" i="53"/>
  <c r="B30" i="53"/>
  <c r="C29" i="53"/>
  <c r="C28" i="53"/>
  <c r="C27" i="53"/>
  <c r="C26" i="53"/>
  <c r="F26" i="53" s="1"/>
  <c r="B26" i="53"/>
  <c r="C25" i="53"/>
  <c r="K25" i="53" s="1"/>
  <c r="C24" i="53"/>
  <c r="F24" i="53" s="1"/>
  <c r="E23" i="53"/>
  <c r="C22" i="53"/>
  <c r="C21" i="53"/>
  <c r="B21" i="53"/>
  <c r="C20" i="53"/>
  <c r="K20" i="53" s="1"/>
  <c r="C14" i="53"/>
  <c r="F13" i="53"/>
  <c r="E13" i="53"/>
  <c r="E12" i="53"/>
  <c r="C12" i="53"/>
  <c r="O24" i="72" l="1"/>
  <c r="O18" i="66"/>
  <c r="I25" i="57"/>
  <c r="F22" i="56"/>
  <c r="F21" i="56" s="1"/>
  <c r="H33" i="55"/>
  <c r="F33" i="55"/>
  <c r="F22" i="55" s="1"/>
  <c r="C17" i="55"/>
  <c r="C16" i="56"/>
  <c r="S22" i="65" s="1"/>
  <c r="H19" i="56"/>
  <c r="G14" i="54"/>
  <c r="M14" i="54" s="1"/>
  <c r="B66" i="66" s="1"/>
  <c r="B68" i="66" s="1"/>
  <c r="M21" i="65"/>
  <c r="J21" i="65" s="1"/>
  <c r="I21" i="65" s="1"/>
  <c r="S23" i="65"/>
  <c r="Q36" i="65" s="1"/>
  <c r="C22" i="57"/>
  <c r="R23" i="65"/>
  <c r="D38" i="57"/>
  <c r="F41" i="57"/>
  <c r="F38" i="57" s="1"/>
  <c r="F23" i="57"/>
  <c r="E19" i="56"/>
  <c r="F25" i="56"/>
  <c r="I37" i="55"/>
  <c r="F30" i="55"/>
  <c r="H39" i="55"/>
  <c r="I39" i="55" s="1"/>
  <c r="H36" i="55"/>
  <c r="I36" i="55" s="1"/>
  <c r="H38" i="55"/>
  <c r="I38" i="55" s="1"/>
  <c r="I25" i="55"/>
  <c r="I32" i="55"/>
  <c r="H21" i="55"/>
  <c r="D17" i="55"/>
  <c r="D16" i="55" s="1"/>
  <c r="E20" i="55" s="1"/>
  <c r="F20" i="55" s="1"/>
  <c r="H27" i="55"/>
  <c r="I27" i="55" s="1"/>
  <c r="K20" i="54"/>
  <c r="C15" i="54"/>
  <c r="L29" i="54"/>
  <c r="L23" i="54"/>
  <c r="F25" i="54"/>
  <c r="I25" i="54" s="1"/>
  <c r="F29" i="54"/>
  <c r="I29" i="54" s="1"/>
  <c r="L28" i="54"/>
  <c r="K19" i="54"/>
  <c r="D16" i="54"/>
  <c r="L27" i="54"/>
  <c r="I17" i="54"/>
  <c r="F27" i="54"/>
  <c r="I27" i="54" s="1"/>
  <c r="L26" i="54"/>
  <c r="D20" i="54"/>
  <c r="F19" i="54"/>
  <c r="I19" i="54" s="1"/>
  <c r="F24" i="54"/>
  <c r="I35" i="53"/>
  <c r="I34" i="53" s="1"/>
  <c r="I33" i="53" s="1"/>
  <c r="I23" i="53"/>
  <c r="I19" i="53"/>
  <c r="I18" i="53" s="1"/>
  <c r="I17" i="53" s="1"/>
  <c r="H18" i="53"/>
  <c r="H17" i="53" s="1"/>
  <c r="G18" i="53"/>
  <c r="C19" i="53"/>
  <c r="F20" i="53"/>
  <c r="L20" i="53" s="1"/>
  <c r="C33" i="53"/>
  <c r="K33" i="53" s="1"/>
  <c r="K34" i="53"/>
  <c r="K30" i="53"/>
  <c r="F25" i="53"/>
  <c r="L25" i="53" s="1"/>
  <c r="C23" i="53"/>
  <c r="D22" i="53"/>
  <c r="K24" i="53"/>
  <c r="L24" i="53" s="1"/>
  <c r="D31" i="53"/>
  <c r="K31" i="53" s="1"/>
  <c r="F32" i="53"/>
  <c r="K35" i="53"/>
  <c r="D29" i="53"/>
  <c r="K29" i="53" s="1"/>
  <c r="D30" i="53"/>
  <c r="F30" i="53" s="1"/>
  <c r="K32" i="53"/>
  <c r="D28" i="53"/>
  <c r="K28" i="53" s="1"/>
  <c r="D27" i="53"/>
  <c r="F27" i="53" s="1"/>
  <c r="F36" i="53"/>
  <c r="F39" i="53"/>
  <c r="L39" i="53" s="1"/>
  <c r="L18" i="66" l="1"/>
  <c r="O15" i="66"/>
  <c r="AB5" i="66" s="1"/>
  <c r="L24" i="72"/>
  <c r="O15" i="72"/>
  <c r="AS16" i="72" s="1"/>
  <c r="AT16" i="72" s="1"/>
  <c r="AT17" i="72" s="1"/>
  <c r="AT18" i="72" s="1"/>
  <c r="C15" i="56"/>
  <c r="I33" i="55"/>
  <c r="D22" i="57"/>
  <c r="H22" i="57" s="1"/>
  <c r="P22" i="65"/>
  <c r="I22" i="65" s="1"/>
  <c r="AA22" i="65" s="1"/>
  <c r="AA39" i="65" s="1"/>
  <c r="M15" i="65"/>
  <c r="F22" i="57"/>
  <c r="P23" i="65"/>
  <c r="I23" i="65" s="1"/>
  <c r="R15" i="65"/>
  <c r="AB15" i="65" s="1"/>
  <c r="AC15" i="65" s="1"/>
  <c r="C17" i="57"/>
  <c r="C16" i="57" s="1"/>
  <c r="K22" i="55"/>
  <c r="H22" i="55"/>
  <c r="I22" i="55" s="1"/>
  <c r="H38" i="57"/>
  <c r="E17" i="56"/>
  <c r="F19" i="56"/>
  <c r="F17" i="56" s="1"/>
  <c r="I30" i="55"/>
  <c r="E18" i="55"/>
  <c r="H20" i="55"/>
  <c r="F18" i="55"/>
  <c r="F17" i="55" s="1"/>
  <c r="F16" i="55" s="1"/>
  <c r="C16" i="55"/>
  <c r="S26" i="65" s="1"/>
  <c r="S15" i="65" s="1"/>
  <c r="I21" i="55"/>
  <c r="I16" i="54"/>
  <c r="I24" i="54"/>
  <c r="I20" i="54" s="1"/>
  <c r="F20" i="54"/>
  <c r="L20" i="54" s="1"/>
  <c r="C14" i="54"/>
  <c r="D15" i="54"/>
  <c r="D14" i="54" s="1"/>
  <c r="L25" i="54"/>
  <c r="L19" i="54"/>
  <c r="L24" i="54"/>
  <c r="F16" i="54"/>
  <c r="K16" i="54"/>
  <c r="L16" i="54" s="1"/>
  <c r="K27" i="53"/>
  <c r="L27" i="53" s="1"/>
  <c r="F31" i="53"/>
  <c r="L31" i="53" s="1"/>
  <c r="K22" i="53"/>
  <c r="D19" i="53"/>
  <c r="F22" i="53"/>
  <c r="F29" i="53"/>
  <c r="L29" i="53" s="1"/>
  <c r="L30" i="53"/>
  <c r="F35" i="53"/>
  <c r="F34" i="53" s="1"/>
  <c r="F33" i="53" s="1"/>
  <c r="L32" i="53"/>
  <c r="L35" i="53"/>
  <c r="C18" i="53"/>
  <c r="F28" i="53"/>
  <c r="L36" i="53"/>
  <c r="L34" i="53"/>
  <c r="D23" i="53"/>
  <c r="K23" i="53" s="1"/>
  <c r="L33" i="53"/>
  <c r="K24" i="72" l="1"/>
  <c r="K15" i="72" s="1"/>
  <c r="AP24" i="72"/>
  <c r="AQ24" i="72" s="1"/>
  <c r="J24" i="72"/>
  <c r="L15" i="72"/>
  <c r="K18" i="66"/>
  <c r="J18" i="66"/>
  <c r="AP18" i="66"/>
  <c r="AQ18" i="66" s="1"/>
  <c r="D47" i="66"/>
  <c r="L15" i="66"/>
  <c r="AS34" i="72"/>
  <c r="AT34" i="72" s="1"/>
  <c r="AS32" i="66"/>
  <c r="AT32" i="66" s="1"/>
  <c r="D17" i="57"/>
  <c r="D16" i="57" s="1"/>
  <c r="E20" i="57" s="1"/>
  <c r="AA23" i="65"/>
  <c r="J15" i="65"/>
  <c r="F16" i="56"/>
  <c r="F15" i="56" s="1"/>
  <c r="H20" i="56"/>
  <c r="H21" i="56" s="1"/>
  <c r="AB16" i="65"/>
  <c r="S34" i="65"/>
  <c r="F35" i="65" s="1"/>
  <c r="AB26" i="65"/>
  <c r="K20" i="55"/>
  <c r="P26" i="65"/>
  <c r="I26" i="65" s="1"/>
  <c r="AA26" i="65" s="1"/>
  <c r="AA41" i="65" s="1"/>
  <c r="K16" i="55"/>
  <c r="K18" i="55"/>
  <c r="E16" i="56"/>
  <c r="E15" i="56" s="1"/>
  <c r="I20" i="55"/>
  <c r="E17" i="55"/>
  <c r="H18" i="55"/>
  <c r="I18" i="55" s="1"/>
  <c r="I15" i="54"/>
  <c r="I14" i="54" s="1"/>
  <c r="F15" i="54"/>
  <c r="F14" i="54" s="1"/>
  <c r="K15" i="54"/>
  <c r="L15" i="54" s="1"/>
  <c r="K14" i="54"/>
  <c r="L14" i="54" s="1"/>
  <c r="C17" i="53"/>
  <c r="L22" i="53"/>
  <c r="D18" i="53"/>
  <c r="D17" i="53" s="1"/>
  <c r="E21" i="53" s="1"/>
  <c r="F23" i="53"/>
  <c r="L23" i="53" s="1"/>
  <c r="L28" i="53"/>
  <c r="AR18" i="66" l="1"/>
  <c r="J15" i="66"/>
  <c r="AR9" i="66" s="1"/>
  <c r="AR8" i="66" s="1"/>
  <c r="AU15" i="72"/>
  <c r="AU16" i="72" s="1"/>
  <c r="AS10" i="72"/>
  <c r="AS9" i="72" s="1"/>
  <c r="AM15" i="72"/>
  <c r="AU15" i="66"/>
  <c r="AS10" i="66"/>
  <c r="AS9" i="66" s="1"/>
  <c r="AM15" i="66"/>
  <c r="AR24" i="72"/>
  <c r="J15" i="72"/>
  <c r="K15" i="66"/>
  <c r="K43" i="66" s="1"/>
  <c r="L44" i="66"/>
  <c r="B63" i="66"/>
  <c r="B65" i="66" s="1"/>
  <c r="K5" i="66"/>
  <c r="F47" i="66"/>
  <c r="F50" i="66" s="1"/>
  <c r="D50" i="66"/>
  <c r="H15" i="56"/>
  <c r="AS25" i="72"/>
  <c r="AS25" i="66"/>
  <c r="AC26" i="65"/>
  <c r="AB36" i="65" s="1"/>
  <c r="I15" i="65"/>
  <c r="AA9" i="65" s="1"/>
  <c r="AA8" i="65" s="1"/>
  <c r="E18" i="57"/>
  <c r="E17" i="57" s="1"/>
  <c r="E16" i="57" s="1"/>
  <c r="F20" i="57"/>
  <c r="F18" i="57" s="1"/>
  <c r="AA21" i="65"/>
  <c r="C39" i="65"/>
  <c r="H18" i="56"/>
  <c r="AB22" i="65"/>
  <c r="AC16" i="65"/>
  <c r="AC17" i="65" s="1"/>
  <c r="AC18" i="65" s="1"/>
  <c r="P15" i="65"/>
  <c r="AB10" i="65" s="1"/>
  <c r="E16" i="55"/>
  <c r="H16" i="55" s="1"/>
  <c r="I16" i="55" s="1"/>
  <c r="H17" i="55"/>
  <c r="I17" i="55" s="1"/>
  <c r="F21" i="53"/>
  <c r="F19" i="53" s="1"/>
  <c r="F18" i="53" s="1"/>
  <c r="F17" i="53" s="1"/>
  <c r="K21" i="53"/>
  <c r="E19" i="53"/>
  <c r="AR9" i="72" l="1"/>
  <c r="AR8" i="72" s="1"/>
  <c r="AI17" i="72"/>
  <c r="I26" i="57"/>
  <c r="I27" i="57" s="1"/>
  <c r="I18" i="57"/>
  <c r="F17" i="57"/>
  <c r="F16" i="57" s="1"/>
  <c r="H14" i="57" s="1"/>
  <c r="M41" i="65"/>
  <c r="M40" i="65" s="1"/>
  <c r="AB9" i="65"/>
  <c r="W17" i="65"/>
  <c r="AD15" i="65"/>
  <c r="AD16" i="65" s="1"/>
  <c r="E18" i="53"/>
  <c r="K19" i="53"/>
  <c r="L19" i="53" s="1"/>
  <c r="L21" i="53"/>
  <c r="AS28" i="72" l="1"/>
  <c r="AU28" i="72" s="1"/>
  <c r="AS28" i="66"/>
  <c r="AU28" i="66" s="1"/>
  <c r="H19" i="57"/>
  <c r="H16" i="57"/>
  <c r="H18" i="57" s="1"/>
  <c r="I16" i="57"/>
  <c r="AB23" i="65"/>
  <c r="AD23" i="65" s="1"/>
  <c r="I23" i="57"/>
  <c r="E17" i="53"/>
  <c r="K17" i="53" s="1"/>
  <c r="L17" i="53" s="1"/>
  <c r="K18" i="53"/>
  <c r="L18" i="53" s="1"/>
  <c r="H28" i="17" l="1"/>
  <c r="M24" i="9"/>
  <c r="H26" i="17"/>
  <c r="M23" i="9"/>
  <c r="E15" i="13" l="1"/>
  <c r="E17" i="13"/>
  <c r="D17" i="13"/>
  <c r="E16" i="13"/>
  <c r="B27" i="19" l="1"/>
  <c r="B30" i="20" l="1"/>
  <c r="B57" i="7"/>
  <c r="B34" i="30" l="1"/>
  <c r="B21" i="7"/>
  <c r="B28" i="1" l="1"/>
  <c r="C42" i="27" l="1"/>
  <c r="D36" i="27"/>
  <c r="E36" i="27" s="1"/>
  <c r="D43" i="27"/>
  <c r="E43" i="27" s="1"/>
  <c r="C39" i="26"/>
  <c r="D38" i="26"/>
  <c r="E38" i="26"/>
  <c r="G9" i="26" l="1"/>
  <c r="G6" i="26" s="1"/>
  <c r="D35" i="26"/>
  <c r="E35" i="26" s="1"/>
  <c r="D36" i="26"/>
  <c r="E36" i="26" s="1"/>
  <c r="G26" i="26"/>
  <c r="G29" i="26" s="1"/>
  <c r="G12" i="26"/>
  <c r="G16" i="26" l="1"/>
  <c r="G4" i="26"/>
  <c r="C57" i="30"/>
  <c r="D57" i="30"/>
  <c r="F57" i="30" s="1"/>
  <c r="J57" i="30"/>
  <c r="K57" i="30" s="1"/>
  <c r="B31" i="46"/>
  <c r="B29" i="12"/>
  <c r="B52" i="8" s="1"/>
  <c r="C33" i="13"/>
  <c r="E30" i="13"/>
  <c r="E22" i="13"/>
  <c r="E21" i="13" s="1"/>
  <c r="C12" i="12"/>
  <c r="C25" i="7"/>
  <c r="D25" i="7"/>
  <c r="F25" i="7" s="1"/>
  <c r="D33" i="13" l="1"/>
  <c r="F33" i="13" s="1"/>
  <c r="H25" i="7"/>
  <c r="I25" i="7" s="1"/>
  <c r="C28" i="5" l="1"/>
  <c r="E28" i="5" s="1"/>
  <c r="C27" i="5"/>
  <c r="E27" i="5" s="1"/>
  <c r="C26" i="5"/>
  <c r="C25" i="5"/>
  <c r="E25" i="5" s="1"/>
  <c r="C24" i="5"/>
  <c r="C23" i="5"/>
  <c r="C22" i="5"/>
  <c r="C21" i="5"/>
  <c r="E26" i="5"/>
  <c r="C29" i="5"/>
  <c r="C17" i="48" l="1"/>
  <c r="C18" i="48"/>
  <c r="C16" i="48"/>
  <c r="N104" i="34" l="1"/>
  <c r="N98" i="34"/>
  <c r="L110" i="34"/>
  <c r="S81" i="51" l="1"/>
  <c r="B83" i="51"/>
  <c r="B82" i="51"/>
  <c r="B81" i="51"/>
  <c r="AF83" i="51"/>
  <c r="AF82" i="51"/>
  <c r="AF81" i="51"/>
  <c r="AF80" i="51"/>
  <c r="V80" i="51"/>
  <c r="AH79" i="51"/>
  <c r="AF79" i="51"/>
  <c r="Y79" i="51"/>
  <c r="Z79" i="51" s="1"/>
  <c r="W79" i="51"/>
  <c r="N79" i="51"/>
  <c r="H79" i="51"/>
  <c r="E79" i="51"/>
  <c r="AH78" i="51"/>
  <c r="AF78" i="51"/>
  <c r="Y78" i="51"/>
  <c r="AA78" i="51" s="1"/>
  <c r="AB78" i="51" s="1"/>
  <c r="AC78" i="51" s="1"/>
  <c r="W78" i="51"/>
  <c r="N78" i="51"/>
  <c r="H78" i="51"/>
  <c r="E78" i="51"/>
  <c r="AH77" i="51"/>
  <c r="AF77" i="51"/>
  <c r="Y77" i="51"/>
  <c r="W77" i="51"/>
  <c r="N77" i="51"/>
  <c r="H77" i="51"/>
  <c r="I77" i="51" s="1"/>
  <c r="J77" i="51" s="1"/>
  <c r="E77" i="51"/>
  <c r="AH76" i="51"/>
  <c r="AF76" i="51"/>
  <c r="Y76" i="51"/>
  <c r="Z76" i="51" s="1"/>
  <c r="W76" i="51"/>
  <c r="N76" i="51"/>
  <c r="H76" i="51"/>
  <c r="E76" i="51"/>
  <c r="AH75" i="51"/>
  <c r="AF75" i="51"/>
  <c r="AA75" i="51"/>
  <c r="AB75" i="51" s="1"/>
  <c r="Y75" i="51"/>
  <c r="Z75" i="51" s="1"/>
  <c r="W75" i="51"/>
  <c r="N75" i="51"/>
  <c r="H75" i="51"/>
  <c r="E75" i="51"/>
  <c r="AG74" i="51"/>
  <c r="AD74" i="51"/>
  <c r="X74" i="51"/>
  <c r="W74" i="51"/>
  <c r="V74" i="51"/>
  <c r="T74" i="51"/>
  <c r="R74" i="51"/>
  <c r="Q74" i="51"/>
  <c r="P74" i="51"/>
  <c r="O74" i="51"/>
  <c r="F74" i="51"/>
  <c r="D74" i="51"/>
  <c r="C74" i="51"/>
  <c r="AH73" i="51"/>
  <c r="AF73" i="51"/>
  <c r="Y73" i="51"/>
  <c r="Z73" i="51" s="1"/>
  <c r="W73" i="51"/>
  <c r="N73" i="51"/>
  <c r="H73" i="51"/>
  <c r="E73" i="51"/>
  <c r="AH72" i="51"/>
  <c r="AF72" i="51"/>
  <c r="Y72" i="51"/>
  <c r="Z72" i="51" s="1"/>
  <c r="W72" i="51"/>
  <c r="N72" i="51"/>
  <c r="H72" i="51"/>
  <c r="E72" i="51"/>
  <c r="AH71" i="51"/>
  <c r="AF71" i="51"/>
  <c r="Y71" i="51"/>
  <c r="W71" i="51"/>
  <c r="N71" i="51"/>
  <c r="H71" i="51"/>
  <c r="I71" i="51" s="1"/>
  <c r="J71" i="51" s="1"/>
  <c r="E71" i="51"/>
  <c r="AH70" i="51"/>
  <c r="AF70" i="51"/>
  <c r="Y70" i="51"/>
  <c r="Z70" i="51" s="1"/>
  <c r="W70" i="51"/>
  <c r="N70" i="51"/>
  <c r="H70" i="51"/>
  <c r="E70" i="51"/>
  <c r="AH69" i="51"/>
  <c r="AF69" i="51"/>
  <c r="Y69" i="51"/>
  <c r="Z69" i="51" s="1"/>
  <c r="W69" i="51"/>
  <c r="N69" i="51"/>
  <c r="H69" i="51"/>
  <c r="E69" i="51"/>
  <c r="AH68" i="51"/>
  <c r="AF68" i="51"/>
  <c r="Y68" i="51"/>
  <c r="W68" i="51"/>
  <c r="N68" i="51"/>
  <c r="H68" i="51"/>
  <c r="I68" i="51" s="1"/>
  <c r="J68" i="51" s="1"/>
  <c r="E68" i="51"/>
  <c r="AH67" i="51"/>
  <c r="AF67" i="51"/>
  <c r="Y67" i="51"/>
  <c r="Z67" i="51" s="1"/>
  <c r="W67" i="51"/>
  <c r="N67" i="51"/>
  <c r="H67" i="51"/>
  <c r="E67" i="51"/>
  <c r="AH66" i="51"/>
  <c r="AF66" i="51"/>
  <c r="Y66" i="51"/>
  <c r="Z66" i="51" s="1"/>
  <c r="W66" i="51"/>
  <c r="N66" i="51"/>
  <c r="H66" i="51"/>
  <c r="E66" i="51"/>
  <c r="AH65" i="51"/>
  <c r="AF65" i="51"/>
  <c r="Y65" i="51"/>
  <c r="W65" i="51"/>
  <c r="N65" i="51"/>
  <c r="H65" i="51"/>
  <c r="I65" i="51" s="1"/>
  <c r="J65" i="51" s="1"/>
  <c r="E65" i="51"/>
  <c r="AH64" i="51"/>
  <c r="AF64" i="51"/>
  <c r="Y64" i="51"/>
  <c r="Z64" i="51" s="1"/>
  <c r="W64" i="51"/>
  <c r="N64" i="51"/>
  <c r="H64" i="51"/>
  <c r="E64" i="51"/>
  <c r="AH63" i="51"/>
  <c r="AF63" i="51"/>
  <c r="Y63" i="51"/>
  <c r="Z63" i="51" s="1"/>
  <c r="W63" i="51"/>
  <c r="N63" i="51"/>
  <c r="H63" i="51"/>
  <c r="E63" i="51"/>
  <c r="AH62" i="51"/>
  <c r="AF62" i="51"/>
  <c r="Y62" i="51"/>
  <c r="W62" i="51"/>
  <c r="N62" i="51"/>
  <c r="H62" i="51"/>
  <c r="I62" i="51" s="1"/>
  <c r="J62" i="51" s="1"/>
  <c r="E62" i="51"/>
  <c r="AH61" i="51"/>
  <c r="AF61" i="51"/>
  <c r="Y61" i="51"/>
  <c r="Z61" i="51" s="1"/>
  <c r="W61" i="51"/>
  <c r="N61" i="51"/>
  <c r="H61" i="51"/>
  <c r="E61" i="51"/>
  <c r="AH60" i="51"/>
  <c r="AF60" i="51"/>
  <c r="Y60" i="51"/>
  <c r="Z60" i="51" s="1"/>
  <c r="W60" i="51"/>
  <c r="N60" i="51"/>
  <c r="H60" i="51"/>
  <c r="E60" i="51"/>
  <c r="AH59" i="51"/>
  <c r="AF59" i="51"/>
  <c r="Y59" i="51"/>
  <c r="W59" i="51"/>
  <c r="N59" i="51"/>
  <c r="H59" i="51"/>
  <c r="I59" i="51" s="1"/>
  <c r="J59" i="51" s="1"/>
  <c r="E59" i="51"/>
  <c r="AH58" i="51"/>
  <c r="AF58" i="51"/>
  <c r="Y58" i="51"/>
  <c r="Z58" i="51" s="1"/>
  <c r="W58" i="51"/>
  <c r="N58" i="51"/>
  <c r="H58" i="51"/>
  <c r="E58" i="51"/>
  <c r="AH57" i="51"/>
  <c r="AF57" i="51"/>
  <c r="Y57" i="51"/>
  <c r="Z57" i="51" s="1"/>
  <c r="W57" i="51"/>
  <c r="N57" i="51"/>
  <c r="H57" i="51"/>
  <c r="E57" i="51"/>
  <c r="AH56" i="51"/>
  <c r="AF56" i="51"/>
  <c r="Y56" i="51"/>
  <c r="W56" i="51"/>
  <c r="N56" i="51"/>
  <c r="H56" i="51"/>
  <c r="E56" i="51"/>
  <c r="AO55" i="51"/>
  <c r="AN55" i="51"/>
  <c r="AM55" i="51"/>
  <c r="AL55" i="51"/>
  <c r="AK55" i="51"/>
  <c r="AJ55" i="51"/>
  <c r="AI55" i="51"/>
  <c r="AG55" i="51"/>
  <c r="AD55" i="51"/>
  <c r="X55" i="51"/>
  <c r="W55" i="51"/>
  <c r="V55" i="51"/>
  <c r="T55" i="51"/>
  <c r="R55" i="51"/>
  <c r="Q55" i="51"/>
  <c r="P55" i="51"/>
  <c r="O55" i="51"/>
  <c r="F55" i="51"/>
  <c r="D55" i="51"/>
  <c r="C55" i="51"/>
  <c r="AH54" i="51"/>
  <c r="Y54" i="51"/>
  <c r="Z54" i="51" s="1"/>
  <c r="W54" i="51"/>
  <c r="N54" i="51"/>
  <c r="H54" i="51"/>
  <c r="E54" i="51"/>
  <c r="AH53" i="51"/>
  <c r="Y53" i="51"/>
  <c r="AA53" i="51" s="1"/>
  <c r="W53" i="51"/>
  <c r="N53" i="51"/>
  <c r="H53" i="51"/>
  <c r="I53" i="51" s="1"/>
  <c r="E53" i="51"/>
  <c r="AH52" i="51"/>
  <c r="Y52" i="51"/>
  <c r="Z52" i="51" s="1"/>
  <c r="W52" i="51"/>
  <c r="N52" i="51"/>
  <c r="H52" i="51"/>
  <c r="E52" i="51"/>
  <c r="AH51" i="51"/>
  <c r="Y51" i="51"/>
  <c r="Z51" i="51" s="1"/>
  <c r="W51" i="51"/>
  <c r="N51" i="51"/>
  <c r="H51" i="51"/>
  <c r="I51" i="51" s="1"/>
  <c r="E51" i="51"/>
  <c r="AH50" i="51"/>
  <c r="Y50" i="51"/>
  <c r="W50" i="51"/>
  <c r="N50" i="51"/>
  <c r="H50" i="51"/>
  <c r="E50" i="51"/>
  <c r="AH49" i="51"/>
  <c r="Y49" i="51"/>
  <c r="AA49" i="51" s="1"/>
  <c r="W49" i="51"/>
  <c r="N49" i="51"/>
  <c r="H49" i="51"/>
  <c r="I49" i="51" s="1"/>
  <c r="E49" i="51"/>
  <c r="AH48" i="51"/>
  <c r="Y48" i="51"/>
  <c r="Z48" i="51" s="1"/>
  <c r="W48" i="51"/>
  <c r="N48" i="51"/>
  <c r="H48" i="51"/>
  <c r="E48" i="51"/>
  <c r="AH47" i="51"/>
  <c r="Y47" i="51"/>
  <c r="AA47" i="51" s="1"/>
  <c r="AB47" i="51" s="1"/>
  <c r="W47" i="51"/>
  <c r="N47" i="51"/>
  <c r="H47" i="51"/>
  <c r="I47" i="51" s="1"/>
  <c r="L47" i="51" s="1"/>
  <c r="E47" i="51"/>
  <c r="AH46" i="51"/>
  <c r="Y46" i="51"/>
  <c r="Z46" i="51" s="1"/>
  <c r="W46" i="51"/>
  <c r="N46" i="51"/>
  <c r="H46" i="51"/>
  <c r="I46" i="51" s="1"/>
  <c r="E46" i="51"/>
  <c r="AH45" i="51"/>
  <c r="Y45" i="51"/>
  <c r="W45" i="51"/>
  <c r="N45" i="51"/>
  <c r="H45" i="51"/>
  <c r="I45" i="51" s="1"/>
  <c r="J45" i="51" s="1"/>
  <c r="G45" i="51" s="1"/>
  <c r="E45" i="51"/>
  <c r="AH44" i="51"/>
  <c r="Y44" i="51"/>
  <c r="Z44" i="51" s="1"/>
  <c r="W44" i="51"/>
  <c r="N44" i="51"/>
  <c r="H44" i="51"/>
  <c r="I44" i="51" s="1"/>
  <c r="E44" i="51"/>
  <c r="AH43" i="51"/>
  <c r="Y43" i="51"/>
  <c r="Z43" i="51" s="1"/>
  <c r="W43" i="51"/>
  <c r="N43" i="51"/>
  <c r="H43" i="51"/>
  <c r="E43" i="51"/>
  <c r="AH42" i="51"/>
  <c r="Y42" i="51"/>
  <c r="AA42" i="51" s="1"/>
  <c r="W42" i="51"/>
  <c r="N42" i="51"/>
  <c r="H42" i="51"/>
  <c r="I42" i="51" s="1"/>
  <c r="E42" i="51"/>
  <c r="AH41" i="51"/>
  <c r="Z41" i="51"/>
  <c r="Y41" i="51"/>
  <c r="AA41" i="51" s="1"/>
  <c r="AB41" i="51" s="1"/>
  <c r="W41" i="51"/>
  <c r="N41" i="51"/>
  <c r="H41" i="51"/>
  <c r="I41" i="51" s="1"/>
  <c r="E41" i="51"/>
  <c r="AH40" i="51"/>
  <c r="Y40" i="51"/>
  <c r="Z40" i="51" s="1"/>
  <c r="W40" i="51"/>
  <c r="N40" i="51"/>
  <c r="H40" i="51"/>
  <c r="I40" i="51" s="1"/>
  <c r="E40" i="51"/>
  <c r="AH39" i="51"/>
  <c r="Y39" i="51"/>
  <c r="W39" i="51"/>
  <c r="N39" i="51"/>
  <c r="H39" i="51"/>
  <c r="I39" i="51" s="1"/>
  <c r="J39" i="51" s="1"/>
  <c r="G39" i="51" s="1"/>
  <c r="E39" i="51"/>
  <c r="AH38" i="51"/>
  <c r="Y38" i="51"/>
  <c r="Z38" i="51" s="1"/>
  <c r="W38" i="51"/>
  <c r="N38" i="51"/>
  <c r="H38" i="51"/>
  <c r="I38" i="51" s="1"/>
  <c r="E38" i="51"/>
  <c r="AH37" i="51"/>
  <c r="Y37" i="51"/>
  <c r="AA37" i="51" s="1"/>
  <c r="W37" i="51"/>
  <c r="N37" i="51"/>
  <c r="H37" i="51"/>
  <c r="E37" i="51"/>
  <c r="AH36" i="51"/>
  <c r="Y36" i="51"/>
  <c r="W36" i="51"/>
  <c r="N36" i="51"/>
  <c r="H36" i="51"/>
  <c r="I36" i="51" s="1"/>
  <c r="J36" i="51" s="1"/>
  <c r="E36" i="51"/>
  <c r="AH35" i="51"/>
  <c r="Y35" i="51"/>
  <c r="AA35" i="51" s="1"/>
  <c r="AB35" i="51" s="1"/>
  <c r="W35" i="51"/>
  <c r="N35" i="51"/>
  <c r="H35" i="51"/>
  <c r="I35" i="51" s="1"/>
  <c r="E35" i="51"/>
  <c r="AH34" i="51"/>
  <c r="Y34" i="51"/>
  <c r="Z34" i="51" s="1"/>
  <c r="W34" i="51"/>
  <c r="N34" i="51"/>
  <c r="H34" i="51"/>
  <c r="E34" i="51"/>
  <c r="AO33" i="51"/>
  <c r="AN33" i="51"/>
  <c r="AM33" i="51"/>
  <c r="AL33" i="51"/>
  <c r="AK33" i="51"/>
  <c r="AJ33" i="51"/>
  <c r="AI33" i="51"/>
  <c r="AG33" i="51"/>
  <c r="AF33" i="51"/>
  <c r="AD33" i="51"/>
  <c r="X33" i="51"/>
  <c r="W33" i="51"/>
  <c r="V33" i="51"/>
  <c r="T33" i="51"/>
  <c r="R33" i="51"/>
  <c r="Q33" i="51"/>
  <c r="P33" i="51"/>
  <c r="O33" i="51"/>
  <c r="F33" i="51"/>
  <c r="D33" i="51"/>
  <c r="C33" i="51"/>
  <c r="AF32" i="51"/>
  <c r="Y32" i="51"/>
  <c r="W32" i="51"/>
  <c r="N32" i="51"/>
  <c r="H32" i="51"/>
  <c r="I32" i="51" s="1"/>
  <c r="E32" i="51"/>
  <c r="AF31" i="51"/>
  <c r="Y31" i="51"/>
  <c r="AA31" i="51" s="1"/>
  <c r="AB31" i="51" s="1"/>
  <c r="W31" i="51"/>
  <c r="N31" i="51"/>
  <c r="H31" i="51"/>
  <c r="I31" i="51" s="1"/>
  <c r="E31" i="51"/>
  <c r="AF30" i="51"/>
  <c r="Y30" i="51"/>
  <c r="Z30" i="51" s="1"/>
  <c r="W30" i="51"/>
  <c r="N30" i="51"/>
  <c r="H30" i="51"/>
  <c r="E30" i="51"/>
  <c r="AF29" i="51"/>
  <c r="Y29" i="51"/>
  <c r="W29" i="51"/>
  <c r="N29" i="51"/>
  <c r="H29" i="51"/>
  <c r="I29" i="51" s="1"/>
  <c r="J29" i="51" s="1"/>
  <c r="G29" i="51" s="1"/>
  <c r="E29" i="51"/>
  <c r="AF28" i="51"/>
  <c r="Y28" i="51"/>
  <c r="AA28" i="51" s="1"/>
  <c r="W28" i="51"/>
  <c r="N28" i="51"/>
  <c r="H28" i="51"/>
  <c r="I28" i="51" s="1"/>
  <c r="L28" i="51" s="1"/>
  <c r="E28" i="51"/>
  <c r="AF27" i="51"/>
  <c r="Y27" i="51"/>
  <c r="AA27" i="51" s="1"/>
  <c r="W27" i="51"/>
  <c r="N27" i="51"/>
  <c r="H27" i="51"/>
  <c r="I27" i="51" s="1"/>
  <c r="E27" i="51"/>
  <c r="AF26" i="51"/>
  <c r="Y26" i="51"/>
  <c r="W26" i="51"/>
  <c r="N26" i="51"/>
  <c r="H26" i="51"/>
  <c r="I26" i="51" s="1"/>
  <c r="L26" i="51" s="1"/>
  <c r="E26" i="51"/>
  <c r="AF25" i="51"/>
  <c r="Y25" i="51"/>
  <c r="AA25" i="51" s="1"/>
  <c r="AB25" i="51" s="1"/>
  <c r="W25" i="51"/>
  <c r="N25" i="51"/>
  <c r="H25" i="51"/>
  <c r="I25" i="51" s="1"/>
  <c r="E25" i="51"/>
  <c r="AF24" i="51"/>
  <c r="Y24" i="51"/>
  <c r="Z24" i="51" s="1"/>
  <c r="W24" i="51"/>
  <c r="N24" i="51"/>
  <c r="H24" i="51"/>
  <c r="E24" i="51"/>
  <c r="AF23" i="51"/>
  <c r="Y23" i="51"/>
  <c r="AA23" i="51" s="1"/>
  <c r="AB23" i="51" s="1"/>
  <c r="W23" i="51"/>
  <c r="N23" i="51"/>
  <c r="H23" i="51"/>
  <c r="I23" i="51" s="1"/>
  <c r="E23" i="51"/>
  <c r="AF22" i="51"/>
  <c r="Y22" i="51"/>
  <c r="AA22" i="51" s="1"/>
  <c r="W22" i="51"/>
  <c r="N22" i="51"/>
  <c r="H22" i="51"/>
  <c r="I22" i="51" s="1"/>
  <c r="E22" i="51"/>
  <c r="AF21" i="51"/>
  <c r="Y21" i="51"/>
  <c r="AA21" i="51" s="1"/>
  <c r="W21" i="51"/>
  <c r="N21" i="51"/>
  <c r="H21" i="51"/>
  <c r="I21" i="51" s="1"/>
  <c r="E21" i="51"/>
  <c r="AF20" i="51"/>
  <c r="Y20" i="51"/>
  <c r="Z20" i="51" s="1"/>
  <c r="W20" i="51"/>
  <c r="N20" i="51"/>
  <c r="H20" i="51"/>
  <c r="I20" i="51" s="1"/>
  <c r="J20" i="51" s="1"/>
  <c r="E20" i="51"/>
  <c r="AF19" i="51"/>
  <c r="Y19" i="51"/>
  <c r="AA19" i="51" s="1"/>
  <c r="W19" i="51"/>
  <c r="N19" i="51"/>
  <c r="H19" i="51"/>
  <c r="I19" i="51" s="1"/>
  <c r="E19" i="51"/>
  <c r="AF18" i="51"/>
  <c r="Y18" i="51"/>
  <c r="AA18" i="51" s="1"/>
  <c r="W18" i="51"/>
  <c r="N18" i="51"/>
  <c r="H18" i="51"/>
  <c r="I18" i="51" s="1"/>
  <c r="E18" i="51"/>
  <c r="AF17" i="51"/>
  <c r="Y17" i="51"/>
  <c r="AA17" i="51" s="1"/>
  <c r="W17" i="51"/>
  <c r="N17" i="51"/>
  <c r="H17" i="51"/>
  <c r="I17" i="51" s="1"/>
  <c r="E17" i="51"/>
  <c r="AF16" i="51"/>
  <c r="Y16" i="51"/>
  <c r="Z16" i="51" s="1"/>
  <c r="W16" i="51"/>
  <c r="N16" i="51"/>
  <c r="H16" i="51"/>
  <c r="I16" i="51" s="1"/>
  <c r="E16" i="51"/>
  <c r="AF15" i="51"/>
  <c r="Y15" i="51"/>
  <c r="AA15" i="51" s="1"/>
  <c r="W15" i="51"/>
  <c r="N15" i="51"/>
  <c r="H15" i="51"/>
  <c r="I15" i="51" s="1"/>
  <c r="L15" i="51" s="1"/>
  <c r="E15" i="51"/>
  <c r="AF14" i="51"/>
  <c r="Y14" i="51"/>
  <c r="AA14" i="51" s="1"/>
  <c r="W14" i="51"/>
  <c r="N14" i="51"/>
  <c r="H14" i="51"/>
  <c r="I14" i="51" s="1"/>
  <c r="L14" i="51" s="1"/>
  <c r="E14" i="51"/>
  <c r="AF13" i="51"/>
  <c r="Y13" i="51"/>
  <c r="AA13" i="51" s="1"/>
  <c r="W13" i="51"/>
  <c r="N13" i="51"/>
  <c r="H13" i="51"/>
  <c r="I13" i="51" s="1"/>
  <c r="E13" i="51"/>
  <c r="AF12" i="51"/>
  <c r="Y12" i="51"/>
  <c r="AA12" i="51" s="1"/>
  <c r="W12" i="51"/>
  <c r="N12" i="51"/>
  <c r="H12" i="51"/>
  <c r="I12" i="51" s="1"/>
  <c r="E12" i="51"/>
  <c r="AF11" i="51"/>
  <c r="Y11" i="51"/>
  <c r="W11" i="51"/>
  <c r="N11" i="51"/>
  <c r="H11" i="51"/>
  <c r="I11" i="51" s="1"/>
  <c r="E11" i="51"/>
  <c r="AF10" i="51"/>
  <c r="Y10" i="51"/>
  <c r="Z10" i="51" s="1"/>
  <c r="W10" i="51"/>
  <c r="N10" i="51"/>
  <c r="H10" i="51"/>
  <c r="I10" i="51" s="1"/>
  <c r="E10" i="51"/>
  <c r="AF9" i="51"/>
  <c r="Y9" i="51"/>
  <c r="AA9" i="51" s="1"/>
  <c r="W9" i="51"/>
  <c r="N9" i="51"/>
  <c r="H9" i="51"/>
  <c r="I9" i="51" s="1"/>
  <c r="L9" i="51" s="1"/>
  <c r="E9" i="51"/>
  <c r="AO8" i="51"/>
  <c r="AN8" i="51"/>
  <c r="AM8" i="51"/>
  <c r="AL8" i="51"/>
  <c r="AK8" i="51"/>
  <c r="AJ8" i="51"/>
  <c r="AI8" i="51"/>
  <c r="AH8" i="51"/>
  <c r="AG8" i="51"/>
  <c r="AD8" i="51"/>
  <c r="X8" i="51"/>
  <c r="V8" i="51"/>
  <c r="V7" i="51" s="1"/>
  <c r="T8" i="51"/>
  <c r="R8" i="51"/>
  <c r="R7" i="51" s="1"/>
  <c r="Q8" i="51"/>
  <c r="Q7" i="51" s="1"/>
  <c r="P8" i="51"/>
  <c r="P7" i="51" s="1"/>
  <c r="O8" i="51"/>
  <c r="F8" i="51"/>
  <c r="D8" i="51"/>
  <c r="C8" i="51"/>
  <c r="AA70" i="51" l="1"/>
  <c r="AA44" i="51"/>
  <c r="AB44" i="51" s="1"/>
  <c r="AC44" i="51" s="1"/>
  <c r="AA10" i="51"/>
  <c r="Z53" i="51"/>
  <c r="AH33" i="51"/>
  <c r="AA16" i="51"/>
  <c r="AB16" i="51" s="1"/>
  <c r="AC16" i="51" s="1"/>
  <c r="AA52" i="51"/>
  <c r="AB52" i="51" s="1"/>
  <c r="AH55" i="51"/>
  <c r="Z23" i="51"/>
  <c r="AE23" i="51" s="1"/>
  <c r="AE44" i="51"/>
  <c r="AA67" i="51"/>
  <c r="AB67" i="51" s="1"/>
  <c r="AE67" i="51" s="1"/>
  <c r="C7" i="51"/>
  <c r="Z9" i="51"/>
  <c r="Z28" i="51"/>
  <c r="Y8" i="51"/>
  <c r="AA30" i="51"/>
  <c r="AB30" i="51" s="1"/>
  <c r="AE30" i="51" s="1"/>
  <c r="AC47" i="51"/>
  <c r="Z27" i="51"/>
  <c r="F7" i="51"/>
  <c r="Z15" i="51"/>
  <c r="AA51" i="51"/>
  <c r="AA73" i="51"/>
  <c r="AB73" i="51" s="1"/>
  <c r="AE73" i="51" s="1"/>
  <c r="J31" i="51"/>
  <c r="G31" i="51" s="1"/>
  <c r="L31" i="51"/>
  <c r="M31" i="51" s="1"/>
  <c r="K31" i="51" s="1"/>
  <c r="L62" i="51"/>
  <c r="M62" i="51" s="1"/>
  <c r="L59" i="51"/>
  <c r="M59" i="51" s="1"/>
  <c r="K59" i="51" s="1"/>
  <c r="M15" i="51"/>
  <c r="K15" i="51" s="1"/>
  <c r="J32" i="51"/>
  <c r="G32" i="51" s="1"/>
  <c r="L32" i="51"/>
  <c r="M32" i="51" s="1"/>
  <c r="K32" i="51" s="1"/>
  <c r="L13" i="51"/>
  <c r="M13" i="51" s="1"/>
  <c r="K13" i="51" s="1"/>
  <c r="J13" i="51"/>
  <c r="G13" i="51" s="1"/>
  <c r="L25" i="51"/>
  <c r="M25" i="51" s="1"/>
  <c r="K25" i="51" s="1"/>
  <c r="J25" i="51"/>
  <c r="G25" i="51" s="1"/>
  <c r="AB28" i="51"/>
  <c r="AE28" i="51" s="1"/>
  <c r="AC28" i="51"/>
  <c r="L19" i="51"/>
  <c r="M19" i="51" s="1"/>
  <c r="K19" i="51" s="1"/>
  <c r="J19" i="51"/>
  <c r="G19" i="51" s="1"/>
  <c r="AB15" i="51"/>
  <c r="AC15" i="51" s="1"/>
  <c r="L35" i="51"/>
  <c r="M35" i="51" s="1"/>
  <c r="J35" i="51"/>
  <c r="G35" i="51" s="1"/>
  <c r="AB9" i="51"/>
  <c r="AC9" i="51" s="1"/>
  <c r="L41" i="51"/>
  <c r="M41" i="51" s="1"/>
  <c r="K41" i="51" s="1"/>
  <c r="J41" i="51"/>
  <c r="G41" i="51" s="1"/>
  <c r="E8" i="51"/>
  <c r="AA38" i="51"/>
  <c r="AB38" i="51" s="1"/>
  <c r="AC38" i="51" s="1"/>
  <c r="AA43" i="51"/>
  <c r="AB43" i="51" s="1"/>
  <c r="L20" i="51"/>
  <c r="M20" i="51" s="1"/>
  <c r="Z22" i="51"/>
  <c r="Z31" i="51"/>
  <c r="AE31" i="51" s="1"/>
  <c r="AA34" i="51"/>
  <c r="L45" i="51"/>
  <c r="M45" i="51" s="1"/>
  <c r="K45" i="51" s="1"/>
  <c r="S45" i="51" s="1"/>
  <c r="U45" i="51" s="1"/>
  <c r="Z47" i="51"/>
  <c r="AE47" i="51" s="1"/>
  <c r="N55" i="51"/>
  <c r="AA58" i="51"/>
  <c r="AA61" i="51"/>
  <c r="AB61" i="51" s="1"/>
  <c r="AE61" i="51" s="1"/>
  <c r="AA64" i="51"/>
  <c r="E33" i="51"/>
  <c r="N33" i="51"/>
  <c r="H33" i="51"/>
  <c r="D7" i="51"/>
  <c r="T7" i="51"/>
  <c r="Z11" i="51"/>
  <c r="Z17" i="51"/>
  <c r="Z25" i="51"/>
  <c r="AE25" i="51" s="1"/>
  <c r="J26" i="51"/>
  <c r="G26" i="51" s="1"/>
  <c r="Z37" i="51"/>
  <c r="AA40" i="51"/>
  <c r="AB40" i="51" s="1"/>
  <c r="AC40" i="51" s="1"/>
  <c r="AC41" i="51"/>
  <c r="J47" i="51"/>
  <c r="G47" i="51" s="1"/>
  <c r="AA48" i="51"/>
  <c r="AB51" i="51"/>
  <c r="AC51" i="51" s="1"/>
  <c r="E74" i="51"/>
  <c r="Z78" i="51"/>
  <c r="AE78" i="51" s="1"/>
  <c r="AF55" i="51"/>
  <c r="AE9" i="51"/>
  <c r="AF8" i="51"/>
  <c r="AC25" i="51"/>
  <c r="O7" i="51"/>
  <c r="J14" i="51"/>
  <c r="G14" i="51" s="1"/>
  <c r="Z21" i="51"/>
  <c r="Z35" i="51"/>
  <c r="AE35" i="51" s="1"/>
  <c r="L36" i="51"/>
  <c r="M36" i="51" s="1"/>
  <c r="K36" i="51" s="1"/>
  <c r="L39" i="51"/>
  <c r="M39" i="51" s="1"/>
  <c r="K39" i="51" s="1"/>
  <c r="S39" i="51" s="1"/>
  <c r="U39" i="51" s="1"/>
  <c r="AA46" i="51"/>
  <c r="Z49" i="51"/>
  <c r="AA57" i="51"/>
  <c r="AB57" i="51" s="1"/>
  <c r="AE57" i="51" s="1"/>
  <c r="AA60" i="51"/>
  <c r="AB60" i="51" s="1"/>
  <c r="AC60" i="51" s="1"/>
  <c r="AA63" i="51"/>
  <c r="AB63" i="51" s="1"/>
  <c r="AC63" i="51" s="1"/>
  <c r="AA66" i="51"/>
  <c r="AB66" i="51" s="1"/>
  <c r="AC66" i="51" s="1"/>
  <c r="AA69" i="51"/>
  <c r="AB69" i="51" s="1"/>
  <c r="AC69" i="51" s="1"/>
  <c r="AA72" i="51"/>
  <c r="AB72" i="51" s="1"/>
  <c r="AC72" i="51" s="1"/>
  <c r="W8" i="51"/>
  <c r="W7" i="51" s="1"/>
  <c r="N8" i="51"/>
  <c r="AC35" i="51"/>
  <c r="L65" i="51"/>
  <c r="M65" i="51" s="1"/>
  <c r="K65" i="51" s="1"/>
  <c r="L68" i="51"/>
  <c r="L71" i="51"/>
  <c r="M71" i="51" s="1"/>
  <c r="K71" i="51" s="1"/>
  <c r="AH74" i="51"/>
  <c r="AA76" i="51"/>
  <c r="AB76" i="51" s="1"/>
  <c r="AE76" i="51" s="1"/>
  <c r="AA79" i="51"/>
  <c r="AB79" i="51" s="1"/>
  <c r="AC79" i="51" s="1"/>
  <c r="L10" i="51"/>
  <c r="J10" i="51"/>
  <c r="G10" i="51" s="1"/>
  <c r="AB12" i="51"/>
  <c r="AC12" i="51" s="1"/>
  <c r="L16" i="51"/>
  <c r="J16" i="51"/>
  <c r="G16" i="51" s="1"/>
  <c r="AB18" i="51"/>
  <c r="AC18" i="51" s="1"/>
  <c r="J22" i="51"/>
  <c r="G22" i="51" s="1"/>
  <c r="L22" i="51"/>
  <c r="AB14" i="51"/>
  <c r="AC14" i="51" s="1"/>
  <c r="J23" i="51"/>
  <c r="G23" i="51" s="1"/>
  <c r="L23" i="51"/>
  <c r="J11" i="51"/>
  <c r="G11" i="51" s="1"/>
  <c r="L11" i="51"/>
  <c r="J17" i="51"/>
  <c r="G17" i="51" s="1"/>
  <c r="L17" i="51"/>
  <c r="M9" i="51"/>
  <c r="K9" i="51" s="1"/>
  <c r="AB13" i="51"/>
  <c r="AC13" i="51" s="1"/>
  <c r="J18" i="51"/>
  <c r="G18" i="51" s="1"/>
  <c r="L18" i="51"/>
  <c r="M18" i="51" s="1"/>
  <c r="AB19" i="51"/>
  <c r="AC19" i="51"/>
  <c r="AB22" i="51"/>
  <c r="AC22" i="51" s="1"/>
  <c r="AB17" i="51"/>
  <c r="AE17" i="51" s="1"/>
  <c r="J12" i="51"/>
  <c r="G12" i="51" s="1"/>
  <c r="L12" i="51"/>
  <c r="M12" i="51" s="1"/>
  <c r="AE10" i="51"/>
  <c r="M14" i="51"/>
  <c r="K14" i="51" s="1"/>
  <c r="L21" i="51"/>
  <c r="J21" i="51"/>
  <c r="G21" i="51" s="1"/>
  <c r="AA26" i="51"/>
  <c r="Z26" i="51"/>
  <c r="H8" i="51"/>
  <c r="AC23" i="51"/>
  <c r="M26" i="51"/>
  <c r="K26" i="51" s="1"/>
  <c r="I30" i="51"/>
  <c r="I34" i="51"/>
  <c r="L38" i="51"/>
  <c r="J38" i="51"/>
  <c r="G38" i="51" s="1"/>
  <c r="I43" i="51"/>
  <c r="L49" i="51"/>
  <c r="J49" i="51"/>
  <c r="G49" i="51" s="1"/>
  <c r="AA59" i="51"/>
  <c r="Z59" i="51"/>
  <c r="I64" i="51"/>
  <c r="AA65" i="51"/>
  <c r="Z65" i="51"/>
  <c r="I70" i="51"/>
  <c r="AA71" i="51"/>
  <c r="Z71" i="51"/>
  <c r="I79" i="51"/>
  <c r="J9" i="51"/>
  <c r="AB10" i="51"/>
  <c r="AA11" i="51"/>
  <c r="Z12" i="51"/>
  <c r="J15" i="51"/>
  <c r="G15" i="51" s="1"/>
  <c r="Z18" i="51"/>
  <c r="AE18" i="51" s="1"/>
  <c r="AA20" i="51"/>
  <c r="AA29" i="51"/>
  <c r="Z29" i="51"/>
  <c r="AC31" i="51"/>
  <c r="I37" i="51"/>
  <c r="AB37" i="51"/>
  <c r="AA39" i="51"/>
  <c r="Z39" i="51"/>
  <c r="J46" i="51"/>
  <c r="G46" i="51" s="1"/>
  <c r="L46" i="51"/>
  <c r="M46" i="51" s="1"/>
  <c r="I56" i="51"/>
  <c r="H55" i="51"/>
  <c r="I50" i="51"/>
  <c r="Z13" i="51"/>
  <c r="Z19" i="51"/>
  <c r="AE19" i="51" s="1"/>
  <c r="AB21" i="51"/>
  <c r="AC21" i="51" s="1"/>
  <c r="AB27" i="51"/>
  <c r="J28" i="51"/>
  <c r="G28" i="51" s="1"/>
  <c r="AB42" i="51"/>
  <c r="AC42" i="51" s="1"/>
  <c r="L44" i="51"/>
  <c r="J44" i="51"/>
  <c r="G44" i="51" s="1"/>
  <c r="AB49" i="51"/>
  <c r="AE49" i="51" s="1"/>
  <c r="I57" i="51"/>
  <c r="Z14" i="51"/>
  <c r="G20" i="51"/>
  <c r="I24" i="51"/>
  <c r="AA24" i="51"/>
  <c r="M28" i="51"/>
  <c r="K28" i="51" s="1"/>
  <c r="L29" i="51"/>
  <c r="G36" i="51"/>
  <c r="AA36" i="51"/>
  <c r="Z36" i="51"/>
  <c r="L42" i="51"/>
  <c r="J42" i="51"/>
  <c r="G42" i="51" s="1"/>
  <c r="Z50" i="51"/>
  <c r="AA50" i="51"/>
  <c r="L27" i="51"/>
  <c r="M27" i="51" s="1"/>
  <c r="J27" i="51"/>
  <c r="G27" i="51" s="1"/>
  <c r="AA32" i="51"/>
  <c r="Z32" i="51"/>
  <c r="J40" i="51"/>
  <c r="G40" i="51" s="1"/>
  <c r="L40" i="51"/>
  <c r="M40" i="51" s="1"/>
  <c r="AE41" i="51"/>
  <c r="AA45" i="51"/>
  <c r="Z45" i="51"/>
  <c r="M47" i="51"/>
  <c r="K47" i="51" s="1"/>
  <c r="Z56" i="51"/>
  <c r="Y55" i="51"/>
  <c r="AA56" i="51"/>
  <c r="J51" i="51"/>
  <c r="G51" i="51" s="1"/>
  <c r="L51" i="51"/>
  <c r="Y33" i="51"/>
  <c r="I52" i="51"/>
  <c r="AE52" i="51"/>
  <c r="AE75" i="51"/>
  <c r="I76" i="51"/>
  <c r="Y74" i="51"/>
  <c r="AA77" i="51"/>
  <c r="Z77" i="51"/>
  <c r="L53" i="51"/>
  <c r="J53" i="51"/>
  <c r="G53" i="51" s="1"/>
  <c r="I54" i="51"/>
  <c r="I61" i="51"/>
  <c r="AA62" i="51"/>
  <c r="Z62" i="51"/>
  <c r="I67" i="51"/>
  <c r="AA68" i="51"/>
  <c r="Z68" i="51"/>
  <c r="I73" i="51"/>
  <c r="Z42" i="51"/>
  <c r="AB46" i="51"/>
  <c r="AE46" i="51" s="1"/>
  <c r="I48" i="51"/>
  <c r="AC52" i="51"/>
  <c r="AA54" i="51"/>
  <c r="AB58" i="51"/>
  <c r="AE58" i="51" s="1"/>
  <c r="AB64" i="51"/>
  <c r="AE64" i="51" s="1"/>
  <c r="AC70" i="51"/>
  <c r="AB70" i="51"/>
  <c r="AE70" i="51" s="1"/>
  <c r="AC75" i="51"/>
  <c r="AB53" i="51"/>
  <c r="AE53" i="51" s="1"/>
  <c r="E55" i="51"/>
  <c r="I58" i="51"/>
  <c r="N74" i="51"/>
  <c r="AF74" i="51"/>
  <c r="L77" i="51"/>
  <c r="I60" i="51"/>
  <c r="I63" i="51"/>
  <c r="I66" i="51"/>
  <c r="I69" i="51"/>
  <c r="I72" i="51"/>
  <c r="H74" i="51"/>
  <c r="I75" i="51"/>
  <c r="I78" i="51"/>
  <c r="G59" i="51"/>
  <c r="G62" i="51"/>
  <c r="G65" i="51"/>
  <c r="G68" i="51"/>
  <c r="G71" i="51"/>
  <c r="G77" i="51"/>
  <c r="AE66" i="51" l="1"/>
  <c r="AC64" i="51"/>
  <c r="AC58" i="51"/>
  <c r="AE69" i="51"/>
  <c r="AE12" i="51"/>
  <c r="AE63" i="51"/>
  <c r="AE38" i="51"/>
  <c r="E7" i="51"/>
  <c r="AB48" i="51"/>
  <c r="AE48" i="51" s="1"/>
  <c r="AE72" i="51"/>
  <c r="AE27" i="51"/>
  <c r="AE21" i="51"/>
  <c r="S47" i="51"/>
  <c r="U47" i="51" s="1"/>
  <c r="K62" i="51"/>
  <c r="S62" i="51" s="1"/>
  <c r="U62" i="51" s="1"/>
  <c r="S31" i="51"/>
  <c r="U31" i="51" s="1"/>
  <c r="S15" i="51"/>
  <c r="U15" i="51" s="1"/>
  <c r="S41" i="51"/>
  <c r="U41" i="51" s="1"/>
  <c r="S25" i="51"/>
  <c r="U25" i="51" s="1"/>
  <c r="K35" i="51"/>
  <c r="S35" i="51" s="1"/>
  <c r="U35" i="51" s="1"/>
  <c r="I8" i="51"/>
  <c r="AE43" i="51"/>
  <c r="AC43" i="51"/>
  <c r="AE79" i="51"/>
  <c r="AC61" i="51"/>
  <c r="AC76" i="51"/>
  <c r="M68" i="51"/>
  <c r="K68" i="51" s="1"/>
  <c r="S68" i="51" s="1"/>
  <c r="U68" i="51" s="1"/>
  <c r="K20" i="51"/>
  <c r="S20" i="51" s="1"/>
  <c r="U20" i="51" s="1"/>
  <c r="S19" i="51"/>
  <c r="U19" i="51" s="1"/>
  <c r="S13" i="51"/>
  <c r="U13" i="51" s="1"/>
  <c r="AE13" i="51"/>
  <c r="S14" i="51"/>
  <c r="U14" i="51" s="1"/>
  <c r="AE51" i="51"/>
  <c r="AB34" i="51"/>
  <c r="AE34" i="51" s="1"/>
  <c r="AE14" i="51"/>
  <c r="AC57" i="51"/>
  <c r="AE37" i="51"/>
  <c r="AE60" i="51"/>
  <c r="AC73" i="51"/>
  <c r="N7" i="51"/>
  <c r="AE42" i="51"/>
  <c r="AC67" i="51"/>
  <c r="AC30" i="51"/>
  <c r="AE22" i="51"/>
  <c r="Z33" i="51"/>
  <c r="AC49" i="51"/>
  <c r="AE15" i="51"/>
  <c r="L75" i="51"/>
  <c r="J75" i="51"/>
  <c r="I74" i="51"/>
  <c r="L79" i="51"/>
  <c r="J79" i="51"/>
  <c r="G79" i="51" s="1"/>
  <c r="L78" i="51"/>
  <c r="J78" i="51"/>
  <c r="G78" i="51" s="1"/>
  <c r="L63" i="51"/>
  <c r="J63" i="51"/>
  <c r="G63" i="51" s="1"/>
  <c r="L67" i="51"/>
  <c r="J67" i="51"/>
  <c r="G67" i="51" s="1"/>
  <c r="L54" i="51"/>
  <c r="J54" i="51"/>
  <c r="G54" i="51" s="1"/>
  <c r="AB50" i="51"/>
  <c r="AC50" i="51" s="1"/>
  <c r="AC46" i="51"/>
  <c r="K46" i="51"/>
  <c r="S46" i="51" s="1"/>
  <c r="U46" i="51" s="1"/>
  <c r="AE65" i="51"/>
  <c r="M38" i="51"/>
  <c r="K38" i="51" s="1"/>
  <c r="S38" i="51" s="1"/>
  <c r="U38" i="51" s="1"/>
  <c r="H7" i="51"/>
  <c r="AE40" i="51"/>
  <c r="M23" i="51"/>
  <c r="K23" i="51" s="1"/>
  <c r="S23" i="51" s="1"/>
  <c r="U23" i="51" s="1"/>
  <c r="L52" i="51"/>
  <c r="J52" i="51"/>
  <c r="G52" i="51" s="1"/>
  <c r="AC65" i="51"/>
  <c r="AB65" i="51"/>
  <c r="M49" i="51"/>
  <c r="K49" i="51" s="1"/>
  <c r="S49" i="51" s="1"/>
  <c r="U49" i="51" s="1"/>
  <c r="M77" i="51"/>
  <c r="K77" i="51" s="1"/>
  <c r="S77" i="51" s="1"/>
  <c r="U77" i="51" s="1"/>
  <c r="J48" i="51"/>
  <c r="G48" i="51" s="1"/>
  <c r="L48" i="51"/>
  <c r="AC53" i="51"/>
  <c r="S26" i="51"/>
  <c r="U26" i="51" s="1"/>
  <c r="AB36" i="51"/>
  <c r="AC36" i="51" s="1"/>
  <c r="AB39" i="51"/>
  <c r="AC39" i="51" s="1"/>
  <c r="AB20" i="51"/>
  <c r="AE20" i="51" s="1"/>
  <c r="AB11" i="51"/>
  <c r="AE11" i="51" s="1"/>
  <c r="AA8" i="51"/>
  <c r="AC26" i="51"/>
  <c r="AB26" i="51"/>
  <c r="K12" i="51"/>
  <c r="AC17" i="51"/>
  <c r="M17" i="51"/>
  <c r="K17" i="51" s="1"/>
  <c r="S17" i="51" s="1"/>
  <c r="U17" i="51" s="1"/>
  <c r="S71" i="51"/>
  <c r="U71" i="51" s="1"/>
  <c r="AE50" i="51"/>
  <c r="AE26" i="51"/>
  <c r="S65" i="51"/>
  <c r="U65" i="51" s="1"/>
  <c r="L72" i="51"/>
  <c r="J72" i="51"/>
  <c r="G72" i="51" s="1"/>
  <c r="AB56" i="51"/>
  <c r="AC56" i="51" s="1"/>
  <c r="AA55" i="51"/>
  <c r="K40" i="51"/>
  <c r="S40" i="51" s="1"/>
  <c r="U40" i="51" s="1"/>
  <c r="AB32" i="51"/>
  <c r="AC32" i="51" s="1"/>
  <c r="S36" i="51"/>
  <c r="U36" i="51" s="1"/>
  <c r="J24" i="51"/>
  <c r="G24" i="51" s="1"/>
  <c r="L24" i="51"/>
  <c r="M44" i="51"/>
  <c r="K44" i="51" s="1"/>
  <c r="S44" i="51" s="1"/>
  <c r="U44" i="51" s="1"/>
  <c r="S28" i="51"/>
  <c r="U28" i="51" s="1"/>
  <c r="I55" i="51"/>
  <c r="L56" i="51"/>
  <c r="J56" i="51"/>
  <c r="AB29" i="51"/>
  <c r="AC29" i="51" s="1"/>
  <c r="AB71" i="51"/>
  <c r="AE71" i="51" s="1"/>
  <c r="L64" i="51"/>
  <c r="J64" i="51"/>
  <c r="G64" i="51" s="1"/>
  <c r="L43" i="51"/>
  <c r="J43" i="51"/>
  <c r="G43" i="51" s="1"/>
  <c r="J34" i="51"/>
  <c r="I33" i="51"/>
  <c r="L34" i="51"/>
  <c r="S12" i="51"/>
  <c r="U12" i="51" s="1"/>
  <c r="K18" i="51"/>
  <c r="S18" i="51" s="1"/>
  <c r="U18" i="51" s="1"/>
  <c r="AC10" i="51"/>
  <c r="M22" i="51"/>
  <c r="K22" i="51" s="1"/>
  <c r="S22" i="51" s="1"/>
  <c r="U22" i="51" s="1"/>
  <c r="M16" i="51"/>
  <c r="K16" i="51" s="1"/>
  <c r="S16" i="51" s="1"/>
  <c r="U16" i="51" s="1"/>
  <c r="AB77" i="51"/>
  <c r="AB74" i="51" s="1"/>
  <c r="AB24" i="51"/>
  <c r="AE24" i="51" s="1"/>
  <c r="L69" i="51"/>
  <c r="J69" i="51"/>
  <c r="G69" i="51" s="1"/>
  <c r="J58" i="51"/>
  <c r="G58" i="51" s="1"/>
  <c r="L58" i="51"/>
  <c r="AB68" i="51"/>
  <c r="AE68" i="51" s="1"/>
  <c r="L76" i="51"/>
  <c r="J76" i="51"/>
  <c r="G76" i="51" s="1"/>
  <c r="AA33" i="51"/>
  <c r="S32" i="51"/>
  <c r="U32" i="51" s="1"/>
  <c r="M53" i="51"/>
  <c r="K53" i="51" s="1"/>
  <c r="S53" i="51" s="1"/>
  <c r="U53" i="51" s="1"/>
  <c r="L57" i="51"/>
  <c r="J57" i="51"/>
  <c r="G57" i="51" s="1"/>
  <c r="AC37" i="51"/>
  <c r="M21" i="51"/>
  <c r="K21" i="51" s="1"/>
  <c r="S21" i="51" s="1"/>
  <c r="U21" i="51" s="1"/>
  <c r="M10" i="51"/>
  <c r="K10" i="51" s="1"/>
  <c r="L60" i="51"/>
  <c r="J60" i="51"/>
  <c r="G60" i="51" s="1"/>
  <c r="L61" i="51"/>
  <c r="J61" i="51"/>
  <c r="G61" i="51" s="1"/>
  <c r="AA74" i="51"/>
  <c r="S59" i="51"/>
  <c r="U59" i="51" s="1"/>
  <c r="L66" i="51"/>
  <c r="J66" i="51"/>
  <c r="G66" i="51" s="1"/>
  <c r="AB54" i="51"/>
  <c r="AE54" i="51" s="1"/>
  <c r="L73" i="51"/>
  <c r="J73" i="51"/>
  <c r="G73" i="51" s="1"/>
  <c r="AB62" i="51"/>
  <c r="AC62" i="51" s="1"/>
  <c r="Z74" i="51"/>
  <c r="Z55" i="51"/>
  <c r="AB45" i="51"/>
  <c r="AE45" i="51" s="1"/>
  <c r="AB33" i="51"/>
  <c r="K27" i="51"/>
  <c r="S27" i="51" s="1"/>
  <c r="U27" i="51" s="1"/>
  <c r="M51" i="51"/>
  <c r="K51" i="51" s="1"/>
  <c r="S51" i="51" s="1"/>
  <c r="U51" i="51" s="1"/>
  <c r="M29" i="51"/>
  <c r="K29" i="51" s="1"/>
  <c r="S29" i="51" s="1"/>
  <c r="U29" i="51" s="1"/>
  <c r="L50" i="51"/>
  <c r="J50" i="51"/>
  <c r="G50" i="51" s="1"/>
  <c r="L37" i="51"/>
  <c r="J37" i="51"/>
  <c r="G37" i="51" s="1"/>
  <c r="AC27" i="51"/>
  <c r="M42" i="51"/>
  <c r="K42" i="51" s="1"/>
  <c r="S42" i="51" s="1"/>
  <c r="U42" i="51" s="1"/>
  <c r="L70" i="51"/>
  <c r="J70" i="51"/>
  <c r="G70" i="51" s="1"/>
  <c r="AB59" i="51"/>
  <c r="AC59" i="51" s="1"/>
  <c r="J30" i="51"/>
  <c r="G30" i="51" s="1"/>
  <c r="L30" i="51"/>
  <c r="Z8" i="51"/>
  <c r="AA4" i="51" s="1"/>
  <c r="AE16" i="51"/>
  <c r="G9" i="51"/>
  <c r="M11" i="51"/>
  <c r="K11" i="51" s="1"/>
  <c r="S11" i="51" s="1"/>
  <c r="U11" i="51" s="1"/>
  <c r="AC34" i="51" l="1"/>
  <c r="AC20" i="51"/>
  <c r="AE39" i="51"/>
  <c r="AC48" i="51"/>
  <c r="L8" i="51"/>
  <c r="I7" i="51"/>
  <c r="AE29" i="51"/>
  <c r="AE36" i="51"/>
  <c r="AE33" i="51" s="1"/>
  <c r="AE77" i="51"/>
  <c r="AE74" i="51" s="1"/>
  <c r="AC45" i="51"/>
  <c r="J8" i="51"/>
  <c r="AC77" i="51"/>
  <c r="AC74" i="51" s="1"/>
  <c r="AB8" i="51"/>
  <c r="S10" i="51"/>
  <c r="U10" i="51" s="1"/>
  <c r="M70" i="51"/>
  <c r="K70" i="51" s="1"/>
  <c r="S70" i="51" s="1"/>
  <c r="U70" i="51" s="1"/>
  <c r="M72" i="51"/>
  <c r="K72" i="51" s="1"/>
  <c r="S72" i="51" s="1"/>
  <c r="U72" i="51" s="1"/>
  <c r="AE59" i="51"/>
  <c r="AE62" i="51"/>
  <c r="M69" i="51"/>
  <c r="K69" i="51" s="1"/>
  <c r="S69" i="51" s="1"/>
  <c r="U69" i="51" s="1"/>
  <c r="L33" i="51"/>
  <c r="M34" i="51"/>
  <c r="K34" i="51" s="1"/>
  <c r="M64" i="51"/>
  <c r="K64" i="51" s="1"/>
  <c r="S64" i="51" s="1"/>
  <c r="U64" i="51" s="1"/>
  <c r="M56" i="51"/>
  <c r="K56" i="51" s="1"/>
  <c r="L55" i="51"/>
  <c r="M50" i="51"/>
  <c r="K50" i="51" s="1"/>
  <c r="S50" i="51" s="1"/>
  <c r="U50" i="51" s="1"/>
  <c r="M66" i="51"/>
  <c r="K66" i="51" s="1"/>
  <c r="S66" i="51" s="1"/>
  <c r="U66" i="51" s="1"/>
  <c r="AC68" i="51"/>
  <c r="AC55" i="51" s="1"/>
  <c r="J33" i="51"/>
  <c r="G34" i="51"/>
  <c r="AC71" i="51"/>
  <c r="AB55" i="51"/>
  <c r="AE32" i="51"/>
  <c r="AE8" i="51" s="1"/>
  <c r="M63" i="51"/>
  <c r="K63" i="51" s="1"/>
  <c r="S63" i="51" s="1"/>
  <c r="U63" i="51" s="1"/>
  <c r="M79" i="51"/>
  <c r="K79" i="51" s="1"/>
  <c r="S79" i="51" s="1"/>
  <c r="U79" i="51" s="1"/>
  <c r="M61" i="51"/>
  <c r="K61" i="51" s="1"/>
  <c r="S61" i="51" s="1"/>
  <c r="U61" i="51" s="1"/>
  <c r="M60" i="51"/>
  <c r="K60" i="51" s="1"/>
  <c r="S60" i="51" s="1"/>
  <c r="U60" i="51" s="1"/>
  <c r="M58" i="51"/>
  <c r="K58" i="51" s="1"/>
  <c r="S58" i="51" s="1"/>
  <c r="U58" i="51" s="1"/>
  <c r="M52" i="51"/>
  <c r="K52" i="51" s="1"/>
  <c r="S52" i="51" s="1"/>
  <c r="U52" i="51" s="1"/>
  <c r="M54" i="51"/>
  <c r="K54" i="51" s="1"/>
  <c r="S54" i="51" s="1"/>
  <c r="U54" i="51" s="1"/>
  <c r="M30" i="51"/>
  <c r="K30" i="51" s="1"/>
  <c r="S30" i="51" s="1"/>
  <c r="U30" i="51" s="1"/>
  <c r="G8" i="51"/>
  <c r="S9" i="51"/>
  <c r="M73" i="51"/>
  <c r="K73" i="51" s="1"/>
  <c r="S73" i="51" s="1"/>
  <c r="U73" i="51" s="1"/>
  <c r="M57" i="51"/>
  <c r="K57" i="51" s="1"/>
  <c r="S57" i="51" s="1"/>
  <c r="U57" i="51" s="1"/>
  <c r="M76" i="51"/>
  <c r="K76" i="51" s="1"/>
  <c r="S76" i="51" s="1"/>
  <c r="U76" i="51" s="1"/>
  <c r="AC24" i="51"/>
  <c r="M43" i="51"/>
  <c r="K43" i="51" s="1"/>
  <c r="S43" i="51" s="1"/>
  <c r="U43" i="51" s="1"/>
  <c r="AC11" i="51"/>
  <c r="M78" i="51"/>
  <c r="K78" i="51" s="1"/>
  <c r="S78" i="51" s="1"/>
  <c r="U78" i="51" s="1"/>
  <c r="J74" i="51"/>
  <c r="G75" i="51"/>
  <c r="M37" i="51"/>
  <c r="K37" i="51" s="1"/>
  <c r="S37" i="51" s="1"/>
  <c r="U37" i="51" s="1"/>
  <c r="AE56" i="51"/>
  <c r="AC54" i="51"/>
  <c r="J55" i="51"/>
  <c r="G56" i="51"/>
  <c r="M24" i="51"/>
  <c r="M48" i="51"/>
  <c r="K48" i="51" s="1"/>
  <c r="S48" i="51" s="1"/>
  <c r="U48" i="51" s="1"/>
  <c r="M67" i="51"/>
  <c r="K67" i="51" s="1"/>
  <c r="S67" i="51" s="1"/>
  <c r="U67" i="51" s="1"/>
  <c r="M75" i="51"/>
  <c r="K75" i="51" s="1"/>
  <c r="L74" i="51"/>
  <c r="AC8" i="51" l="1"/>
  <c r="L7" i="51"/>
  <c r="J7" i="51"/>
  <c r="AE55" i="51"/>
  <c r="AC33" i="51"/>
  <c r="K55" i="51"/>
  <c r="S56" i="51"/>
  <c r="G55" i="51"/>
  <c r="M33" i="51"/>
  <c r="S34" i="51"/>
  <c r="G33" i="51"/>
  <c r="K33" i="51"/>
  <c r="K74" i="51"/>
  <c r="M8" i="51"/>
  <c r="U9" i="51"/>
  <c r="M55" i="51"/>
  <c r="M74" i="51"/>
  <c r="K24" i="51"/>
  <c r="G74" i="51"/>
  <c r="S75" i="51"/>
  <c r="G7" i="51" l="1"/>
  <c r="U34" i="51"/>
  <c r="U33" i="51" s="1"/>
  <c r="S33" i="51"/>
  <c r="S74" i="51"/>
  <c r="U75" i="51"/>
  <c r="U74" i="51" s="1"/>
  <c r="M7" i="51"/>
  <c r="K8" i="51"/>
  <c r="K7" i="51" s="1"/>
  <c r="S24" i="51"/>
  <c r="S55" i="51"/>
  <c r="U56" i="51"/>
  <c r="U55" i="51" s="1"/>
  <c r="U24" i="51" l="1"/>
  <c r="U8" i="51" s="1"/>
  <c r="U7" i="51" s="1"/>
  <c r="S8" i="51"/>
  <c r="S7" i="51" s="1"/>
  <c r="S80" i="51" s="1"/>
  <c r="S84" i="51" s="1"/>
  <c r="L401" i="34" s="1"/>
  <c r="B24" i="7" l="1"/>
  <c r="L305" i="34"/>
  <c r="C24" i="7" s="1"/>
  <c r="L106" i="34" l="1"/>
  <c r="O36" i="34"/>
  <c r="O3" i="34" l="1"/>
  <c r="B38" i="7" l="1"/>
  <c r="P59" i="52"/>
  <c r="O59" i="52"/>
  <c r="BG38" i="52"/>
  <c r="BD38" i="52"/>
  <c r="BB38" i="52" s="1"/>
  <c r="AY38" i="52"/>
  <c r="AW38" i="52" s="1"/>
  <c r="AU38" i="52"/>
  <c r="AR38" i="52"/>
  <c r="AL38" i="52"/>
  <c r="AJ38" i="52"/>
  <c r="AI38" i="52"/>
  <c r="AG38" i="52"/>
  <c r="AE38" i="52"/>
  <c r="AC38" i="52"/>
  <c r="AA38" i="52"/>
  <c r="X38" i="52"/>
  <c r="U38" i="52"/>
  <c r="S38" i="52"/>
  <c r="N38" i="52"/>
  <c r="K38" i="52"/>
  <c r="BG37" i="52"/>
  <c r="BD37" i="52"/>
  <c r="BB37" i="52"/>
  <c r="AY37" i="52"/>
  <c r="AW37" i="52" s="1"/>
  <c r="AU37" i="52"/>
  <c r="AR37" i="52"/>
  <c r="AP37" i="52" s="1"/>
  <c r="AL37" i="52"/>
  <c r="AJ37" i="52" s="1"/>
  <c r="AI37" i="52"/>
  <c r="AG37" i="52"/>
  <c r="AE37" i="52"/>
  <c r="AC37" i="52"/>
  <c r="AA37" i="52"/>
  <c r="X37" i="52"/>
  <c r="U37" i="52"/>
  <c r="H37" i="52" s="1"/>
  <c r="S37" i="52"/>
  <c r="N37" i="52"/>
  <c r="K37" i="52"/>
  <c r="BG36" i="52"/>
  <c r="BD36" i="52"/>
  <c r="BB36" i="52" s="1"/>
  <c r="AY36" i="52"/>
  <c r="AW36" i="52" s="1"/>
  <c r="AU36" i="52"/>
  <c r="AR36" i="52"/>
  <c r="AL36" i="52"/>
  <c r="AJ36" i="52"/>
  <c r="AI36" i="52"/>
  <c r="AG36" i="52"/>
  <c r="AE36" i="52"/>
  <c r="AC36" i="52"/>
  <c r="AA36" i="52"/>
  <c r="X36" i="52"/>
  <c r="U36" i="52"/>
  <c r="S36" i="52"/>
  <c r="N36" i="52"/>
  <c r="K36" i="52"/>
  <c r="H36" i="52" s="1"/>
  <c r="BG35" i="52"/>
  <c r="BD35" i="52"/>
  <c r="BB35" i="52"/>
  <c r="AY35" i="52"/>
  <c r="AW35" i="52" s="1"/>
  <c r="AU35" i="52"/>
  <c r="AR35" i="52"/>
  <c r="AP35" i="52" s="1"/>
  <c r="AL35" i="52"/>
  <c r="AJ35" i="52" s="1"/>
  <c r="AI35" i="52"/>
  <c r="AG35" i="52"/>
  <c r="AE35" i="52"/>
  <c r="AC35" i="52"/>
  <c r="AA35" i="52"/>
  <c r="X35" i="52"/>
  <c r="U35" i="52"/>
  <c r="H35" i="52" s="1"/>
  <c r="S35" i="52"/>
  <c r="N35" i="52"/>
  <c r="K35" i="52"/>
  <c r="BG34" i="52"/>
  <c r="BD34" i="52"/>
  <c r="BB34" i="52" s="1"/>
  <c r="AY34" i="52"/>
  <c r="AW34" i="52" s="1"/>
  <c r="AU34" i="52"/>
  <c r="AR34" i="52"/>
  <c r="AL34" i="52"/>
  <c r="AJ34" i="52"/>
  <c r="AI34" i="52"/>
  <c r="AE34" i="52"/>
  <c r="AC34" i="52"/>
  <c r="AA34" i="52"/>
  <c r="X34" i="52"/>
  <c r="U34" i="52"/>
  <c r="S34" i="52"/>
  <c r="N34" i="52"/>
  <c r="K34" i="52"/>
  <c r="BG33" i="52"/>
  <c r="BD33" i="52"/>
  <c r="BB33" i="52" s="1"/>
  <c r="AY33" i="52"/>
  <c r="AW33" i="52" s="1"/>
  <c r="AU33" i="52"/>
  <c r="AR33" i="52"/>
  <c r="AP33" i="52" s="1"/>
  <c r="AL33" i="52"/>
  <c r="AJ33" i="52"/>
  <c r="AI33" i="52"/>
  <c r="AG33" i="52"/>
  <c r="AE33" i="52"/>
  <c r="AC33" i="52"/>
  <c r="AA33" i="52"/>
  <c r="X33" i="52"/>
  <c r="U33" i="52"/>
  <c r="S33" i="52"/>
  <c r="N33" i="52"/>
  <c r="K33" i="52"/>
  <c r="BG32" i="52"/>
  <c r="BD32" i="52"/>
  <c r="BB32" i="52" s="1"/>
  <c r="AY32" i="52"/>
  <c r="AW32" i="52"/>
  <c r="AU32" i="52"/>
  <c r="AR32" i="52"/>
  <c r="AP32" i="52" s="1"/>
  <c r="AL32" i="52"/>
  <c r="AJ32" i="52" s="1"/>
  <c r="AI32" i="52"/>
  <c r="AG32" i="52"/>
  <c r="AE32" i="52"/>
  <c r="AC32" i="52"/>
  <c r="AA32" i="52"/>
  <c r="X32" i="52"/>
  <c r="U32" i="52"/>
  <c r="S32" i="52"/>
  <c r="N32" i="52"/>
  <c r="K32" i="52"/>
  <c r="BG31" i="52"/>
  <c r="BD31" i="52"/>
  <c r="BB31" i="52" s="1"/>
  <c r="AY31" i="52"/>
  <c r="AW31" i="52" s="1"/>
  <c r="AU31" i="52"/>
  <c r="AR31" i="52"/>
  <c r="AP31" i="52" s="1"/>
  <c r="AL31" i="52"/>
  <c r="AJ31" i="52"/>
  <c r="AI31" i="52"/>
  <c r="AG31" i="52"/>
  <c r="AE31" i="52"/>
  <c r="AC31" i="52"/>
  <c r="AA31" i="52"/>
  <c r="X31" i="52"/>
  <c r="U31" i="52"/>
  <c r="S31" i="52"/>
  <c r="N31" i="52"/>
  <c r="K31" i="52"/>
  <c r="BG30" i="52"/>
  <c r="BD30" i="52"/>
  <c r="BB30" i="52" s="1"/>
  <c r="AY30" i="52"/>
  <c r="AW30" i="52"/>
  <c r="AU30" i="52"/>
  <c r="AR30" i="52"/>
  <c r="AP30" i="52" s="1"/>
  <c r="AL30" i="52"/>
  <c r="AJ30" i="52" s="1"/>
  <c r="AI30" i="52"/>
  <c r="AE30" i="52"/>
  <c r="AC30" i="52"/>
  <c r="AA30" i="52"/>
  <c r="X30" i="52"/>
  <c r="U30" i="52"/>
  <c r="S30" i="52"/>
  <c r="N30" i="52"/>
  <c r="K30" i="52"/>
  <c r="H30" i="52" s="1"/>
  <c r="BG29" i="52"/>
  <c r="BD29" i="52"/>
  <c r="BB29" i="52"/>
  <c r="AY29" i="52"/>
  <c r="AW29" i="52"/>
  <c r="AU29" i="52"/>
  <c r="AR29" i="52"/>
  <c r="AL29" i="52"/>
  <c r="AJ29" i="52" s="1"/>
  <c r="AI29" i="52"/>
  <c r="AG29" i="52"/>
  <c r="AE29" i="52"/>
  <c r="AC29" i="52"/>
  <c r="AA29" i="52"/>
  <c r="X29" i="52"/>
  <c r="U29" i="52"/>
  <c r="S29" i="52"/>
  <c r="N29" i="52"/>
  <c r="BN29" i="52" s="1"/>
  <c r="K29" i="52"/>
  <c r="BG28" i="52"/>
  <c r="BD28" i="52"/>
  <c r="BB28" i="52" s="1"/>
  <c r="AY28" i="52"/>
  <c r="AW28" i="52" s="1"/>
  <c r="AU28" i="52"/>
  <c r="AR28" i="52"/>
  <c r="AP28" i="52"/>
  <c r="AL28" i="52"/>
  <c r="AJ28" i="52"/>
  <c r="AI28" i="52"/>
  <c r="AG28" i="52"/>
  <c r="AE28" i="52"/>
  <c r="AC28" i="52"/>
  <c r="AA28" i="52"/>
  <c r="X28" i="52"/>
  <c r="U28" i="52"/>
  <c r="S28" i="52"/>
  <c r="N28" i="52"/>
  <c r="BN28" i="52" s="1"/>
  <c r="K28" i="52"/>
  <c r="H28" i="52" s="1"/>
  <c r="BG27" i="52"/>
  <c r="BD27" i="52"/>
  <c r="BB27" i="52"/>
  <c r="AY27" i="52"/>
  <c r="AW27" i="52" s="1"/>
  <c r="AU27" i="52"/>
  <c r="AR27" i="52"/>
  <c r="AP27" i="52" s="1"/>
  <c r="AL27" i="52"/>
  <c r="AJ27" i="52" s="1"/>
  <c r="AI27" i="52"/>
  <c r="AG27" i="52"/>
  <c r="AE27" i="52"/>
  <c r="AC27" i="52"/>
  <c r="AA27" i="52"/>
  <c r="X27" i="52"/>
  <c r="U27" i="52"/>
  <c r="S27" i="52"/>
  <c r="N27" i="52"/>
  <c r="K27" i="52"/>
  <c r="BG26" i="52"/>
  <c r="BD26" i="52"/>
  <c r="BB26" i="52" s="1"/>
  <c r="AY26" i="52"/>
  <c r="AW26" i="52" s="1"/>
  <c r="AU26" i="52"/>
  <c r="AR26" i="52"/>
  <c r="AP26" i="52"/>
  <c r="AL26" i="52"/>
  <c r="AJ26" i="52"/>
  <c r="AI26" i="52"/>
  <c r="AG26" i="52"/>
  <c r="AE26" i="52"/>
  <c r="AC26" i="52"/>
  <c r="AA26" i="52"/>
  <c r="X26" i="52"/>
  <c r="U26" i="52"/>
  <c r="S26" i="52"/>
  <c r="N26" i="52"/>
  <c r="BN26" i="52" s="1"/>
  <c r="K26" i="52"/>
  <c r="BG25" i="52"/>
  <c r="BD25" i="52"/>
  <c r="BB25" i="52"/>
  <c r="AY25" i="52"/>
  <c r="AW25" i="52" s="1"/>
  <c r="AU25" i="52"/>
  <c r="AR25" i="52"/>
  <c r="AL25" i="52"/>
  <c r="AJ25" i="52" s="1"/>
  <c r="AI25" i="52"/>
  <c r="AG25" i="52"/>
  <c r="AE25" i="52"/>
  <c r="AC25" i="52"/>
  <c r="AA25" i="52"/>
  <c r="X25" i="52"/>
  <c r="U25" i="52"/>
  <c r="H25" i="52" s="1"/>
  <c r="S25" i="52"/>
  <c r="N25" i="52"/>
  <c r="K25" i="52"/>
  <c r="BG24" i="52"/>
  <c r="BD24" i="52"/>
  <c r="BB24" i="52" s="1"/>
  <c r="AY24" i="52"/>
  <c r="AW24" i="52" s="1"/>
  <c r="AU24" i="52"/>
  <c r="AR24" i="52"/>
  <c r="AP24" i="52"/>
  <c r="AL24" i="52"/>
  <c r="AJ24" i="52"/>
  <c r="AI24" i="52"/>
  <c r="AE24" i="52"/>
  <c r="AC24" i="52"/>
  <c r="AA24" i="52"/>
  <c r="X24" i="52"/>
  <c r="U24" i="52"/>
  <c r="S24" i="52"/>
  <c r="N24" i="52"/>
  <c r="K24" i="52"/>
  <c r="H24" i="52"/>
  <c r="BG23" i="52"/>
  <c r="BD23" i="52"/>
  <c r="BB23" i="52" s="1"/>
  <c r="AY23" i="52"/>
  <c r="AW23" i="52" s="1"/>
  <c r="AU23" i="52"/>
  <c r="AP23" i="52" s="1"/>
  <c r="AR23" i="52"/>
  <c r="AL23" i="52"/>
  <c r="AJ23" i="52"/>
  <c r="AI23" i="52"/>
  <c r="AE23" i="52"/>
  <c r="AC23" i="52"/>
  <c r="AA23" i="52"/>
  <c r="X23" i="52"/>
  <c r="U23" i="52"/>
  <c r="S23" i="52"/>
  <c r="N23" i="52"/>
  <c r="K23" i="52"/>
  <c r="BG22" i="52"/>
  <c r="BD22" i="52"/>
  <c r="BB22" i="52" s="1"/>
  <c r="AY22" i="52"/>
  <c r="AW22" i="52" s="1"/>
  <c r="AU22" i="52"/>
  <c r="AR22" i="52"/>
  <c r="AP22" i="52"/>
  <c r="AL22" i="52"/>
  <c r="AJ22" i="52"/>
  <c r="AI22" i="52"/>
  <c r="AE22" i="52"/>
  <c r="AC22" i="52"/>
  <c r="AA22" i="52"/>
  <c r="X22" i="52"/>
  <c r="U22" i="52"/>
  <c r="S22" i="52"/>
  <c r="N22" i="52"/>
  <c r="K22" i="52"/>
  <c r="BG21" i="52"/>
  <c r="BD21" i="52"/>
  <c r="BB21" i="52" s="1"/>
  <c r="AY21" i="52"/>
  <c r="AW21" i="52" s="1"/>
  <c r="AU21" i="52"/>
  <c r="AR21" i="52"/>
  <c r="AP21" i="52"/>
  <c r="AL21" i="52"/>
  <c r="AJ21" i="52"/>
  <c r="AI21" i="52"/>
  <c r="AE21" i="52"/>
  <c r="AC21" i="52"/>
  <c r="AA21" i="52"/>
  <c r="X21" i="52"/>
  <c r="U21" i="52"/>
  <c r="S21" i="52"/>
  <c r="N21" i="52"/>
  <c r="K21" i="52"/>
  <c r="H21" i="52"/>
  <c r="BG20" i="52"/>
  <c r="BD20" i="52"/>
  <c r="BB20" i="52" s="1"/>
  <c r="AY20" i="52"/>
  <c r="AW20" i="52" s="1"/>
  <c r="AU20" i="52"/>
  <c r="AP20" i="52" s="1"/>
  <c r="AR20" i="52"/>
  <c r="AL20" i="52"/>
  <c r="AJ20" i="52"/>
  <c r="AI20" i="52"/>
  <c r="AE20" i="52"/>
  <c r="AC20" i="52"/>
  <c r="AA20" i="52"/>
  <c r="X20" i="52"/>
  <c r="U20" i="52"/>
  <c r="S20" i="52"/>
  <c r="N20" i="52"/>
  <c r="K20" i="52"/>
  <c r="BG19" i="52"/>
  <c r="BD19" i="52"/>
  <c r="BB19" i="52" s="1"/>
  <c r="AY19" i="52"/>
  <c r="AW19" i="52" s="1"/>
  <c r="AU19" i="52"/>
  <c r="AR19" i="52"/>
  <c r="AP19" i="52"/>
  <c r="AL19" i="52"/>
  <c r="AJ19" i="52"/>
  <c r="AI19" i="52"/>
  <c r="AE19" i="52"/>
  <c r="AC19" i="52"/>
  <c r="AA19" i="52"/>
  <c r="X19" i="52"/>
  <c r="U19" i="52"/>
  <c r="S19" i="52"/>
  <c r="N19" i="52"/>
  <c r="K19" i="52"/>
  <c r="BG18" i="52"/>
  <c r="BD18" i="52"/>
  <c r="BB18" i="52" s="1"/>
  <c r="AY18" i="52"/>
  <c r="AW18" i="52" s="1"/>
  <c r="AU18" i="52"/>
  <c r="AR18" i="52"/>
  <c r="AP18" i="52"/>
  <c r="AL18" i="52"/>
  <c r="AJ18" i="52" s="1"/>
  <c r="AI18" i="52"/>
  <c r="AE18" i="52"/>
  <c r="AC18" i="52"/>
  <c r="AA18" i="52"/>
  <c r="X18" i="52"/>
  <c r="U18" i="52"/>
  <c r="S18" i="52"/>
  <c r="H18" i="52" s="1"/>
  <c r="N18" i="52"/>
  <c r="K18" i="52"/>
  <c r="BG17" i="52"/>
  <c r="BD17" i="52"/>
  <c r="BB17" i="52" s="1"/>
  <c r="AY17" i="52"/>
  <c r="AW17" i="52" s="1"/>
  <c r="AU17" i="52"/>
  <c r="AR17" i="52"/>
  <c r="AL17" i="52"/>
  <c r="AJ17" i="52"/>
  <c r="AI17" i="52"/>
  <c r="AE17" i="52"/>
  <c r="AC17" i="52"/>
  <c r="AA17" i="52"/>
  <c r="X17" i="52"/>
  <c r="U17" i="52"/>
  <c r="S17" i="52"/>
  <c r="N17" i="52"/>
  <c r="K17" i="52"/>
  <c r="BG16" i="52"/>
  <c r="BD16" i="52"/>
  <c r="AY16" i="52"/>
  <c r="AU16" i="52"/>
  <c r="AR16" i="52"/>
  <c r="AP16" i="52" s="1"/>
  <c r="AL16" i="52"/>
  <c r="AJ16" i="52"/>
  <c r="AI16" i="52"/>
  <c r="AE16" i="52"/>
  <c r="AC16" i="52"/>
  <c r="AA16" i="52"/>
  <c r="X16" i="52"/>
  <c r="U16" i="52"/>
  <c r="S16" i="52"/>
  <c r="N16" i="52"/>
  <c r="K16" i="52"/>
  <c r="BJ15" i="52"/>
  <c r="BJ9" i="52" s="1"/>
  <c r="BI15" i="52"/>
  <c r="BE15" i="52"/>
  <c r="BE9" i="52" s="1"/>
  <c r="BA15" i="52"/>
  <c r="AZ15" i="52"/>
  <c r="AV15" i="52"/>
  <c r="AV10" i="52" s="1"/>
  <c r="AV9" i="52" s="1"/>
  <c r="AT15" i="52"/>
  <c r="AS15" i="52"/>
  <c r="AO15" i="52"/>
  <c r="AO10" i="52" s="1"/>
  <c r="AO9" i="52" s="1"/>
  <c r="AN15" i="52"/>
  <c r="AN8" i="52" s="1"/>
  <c r="AM15" i="52"/>
  <c r="AM9" i="52" s="1"/>
  <c r="AL15" i="52"/>
  <c r="AF15" i="52"/>
  <c r="AF9" i="52" s="1"/>
  <c r="Z15" i="52"/>
  <c r="Y15" i="52"/>
  <c r="W15" i="52"/>
  <c r="V15" i="52"/>
  <c r="V9" i="52" s="1"/>
  <c r="R15" i="52"/>
  <c r="Q15" i="52"/>
  <c r="P15" i="52"/>
  <c r="O15" i="52"/>
  <c r="M15" i="52"/>
  <c r="L15" i="52"/>
  <c r="N15" i="52" s="1"/>
  <c r="I15" i="52"/>
  <c r="F15" i="52"/>
  <c r="F9" i="52" s="1"/>
  <c r="C15" i="52"/>
  <c r="BB10" i="52"/>
  <c r="BA10" i="52"/>
  <c r="BF9" i="52"/>
  <c r="BC9" i="52"/>
  <c r="BA9" i="52"/>
  <c r="AX9" i="52"/>
  <c r="AQ9" i="52"/>
  <c r="AK9" i="52"/>
  <c r="AH9" i="52"/>
  <c r="AD9" i="52"/>
  <c r="AB9" i="52"/>
  <c r="T9" i="52"/>
  <c r="BF8" i="52"/>
  <c r="BC8" i="52"/>
  <c r="AX8" i="52"/>
  <c r="AQ8" i="52"/>
  <c r="AK8" i="52"/>
  <c r="AH8" i="52"/>
  <c r="AB8" i="52"/>
  <c r="T8" i="52"/>
  <c r="AL7" i="52"/>
  <c r="AJ7" i="52"/>
  <c r="AE7" i="52"/>
  <c r="L1138" i="34"/>
  <c r="N44" i="34"/>
  <c r="H29" i="52" l="1"/>
  <c r="BN18" i="52"/>
  <c r="AA15" i="52"/>
  <c r="AA8" i="52" s="1"/>
  <c r="BN34" i="52"/>
  <c r="L8" i="52"/>
  <c r="BN21" i="52"/>
  <c r="AI15" i="52"/>
  <c r="BN30" i="52"/>
  <c r="BN36" i="52"/>
  <c r="BN38" i="52"/>
  <c r="AP36" i="52"/>
  <c r="BN24" i="52"/>
  <c r="AC15" i="52"/>
  <c r="AC9" i="52" s="1"/>
  <c r="AP29" i="52"/>
  <c r="BN35" i="52"/>
  <c r="BN37" i="52"/>
  <c r="H27" i="52"/>
  <c r="BN33" i="52"/>
  <c r="BD15" i="52"/>
  <c r="L9" i="52"/>
  <c r="AP34" i="52"/>
  <c r="AP38" i="52"/>
  <c r="AJ15" i="52"/>
  <c r="AJ9" i="52" s="1"/>
  <c r="AG15" i="52"/>
  <c r="AG9" i="52" s="1"/>
  <c r="AC8" i="52"/>
  <c r="AL8" i="52"/>
  <c r="AL10" i="52"/>
  <c r="AL9" i="52" s="1"/>
  <c r="U15" i="52"/>
  <c r="BN16" i="52"/>
  <c r="H16" i="52"/>
  <c r="BD9" i="52"/>
  <c r="BD8" i="52"/>
  <c r="BN22" i="52"/>
  <c r="H22" i="52"/>
  <c r="BH28" i="52"/>
  <c r="G28" i="52" s="1"/>
  <c r="BH21" i="52"/>
  <c r="G21" i="52" s="1"/>
  <c r="BN25" i="52"/>
  <c r="BH27" i="52"/>
  <c r="G27" i="52" s="1"/>
  <c r="BN20" i="52"/>
  <c r="H20" i="52"/>
  <c r="H26" i="52"/>
  <c r="K15" i="52"/>
  <c r="BN32" i="52"/>
  <c r="H32" i="52"/>
  <c r="BH36" i="52"/>
  <c r="G36" i="52" s="1"/>
  <c r="V8" i="52"/>
  <c r="BN19" i="52"/>
  <c r="H19" i="52"/>
  <c r="BN31" i="52"/>
  <c r="X15" i="52"/>
  <c r="H33" i="52"/>
  <c r="AE15" i="52"/>
  <c r="AP17" i="52"/>
  <c r="AU15" i="52"/>
  <c r="BH18" i="52"/>
  <c r="G18" i="52" s="1"/>
  <c r="G24" i="52"/>
  <c r="BH24" i="52"/>
  <c r="S15" i="52"/>
  <c r="BH30" i="52"/>
  <c r="G30" i="52" s="1"/>
  <c r="H38" i="52"/>
  <c r="AA9" i="52"/>
  <c r="AW16" i="52"/>
  <c r="AW15" i="52" s="1"/>
  <c r="AY15" i="52"/>
  <c r="BN17" i="52"/>
  <c r="H17" i="52"/>
  <c r="BN23" i="52"/>
  <c r="H23" i="52"/>
  <c r="AR15" i="52"/>
  <c r="BG15" i="52"/>
  <c r="BN27" i="52"/>
  <c r="BH29" i="52"/>
  <c r="G29" i="52" s="1"/>
  <c r="H31" i="52"/>
  <c r="BJ8" i="52"/>
  <c r="AN9" i="52"/>
  <c r="BB16" i="52"/>
  <c r="BB15" i="52" s="1"/>
  <c r="BE8" i="52"/>
  <c r="AP25" i="52"/>
  <c r="BH35" i="52"/>
  <c r="G35" i="52" s="1"/>
  <c r="BH37" i="52"/>
  <c r="G37" i="52" s="1"/>
  <c r="H34" i="52"/>
  <c r="AP15" i="52" l="1"/>
  <c r="AJ8" i="52"/>
  <c r="AI9" i="52"/>
  <c r="AI8" i="52"/>
  <c r="BH25" i="52"/>
  <c r="G25" i="52" s="1"/>
  <c r="BK37" i="52"/>
  <c r="BL37" i="52" s="1"/>
  <c r="BO37" i="52"/>
  <c r="BO36" i="52"/>
  <c r="BK36" i="52"/>
  <c r="BL36" i="52" s="1"/>
  <c r="E36" i="52" s="1"/>
  <c r="D36" i="52" s="1"/>
  <c r="BO27" i="52"/>
  <c r="BK27" i="52"/>
  <c r="BL27" i="52" s="1"/>
  <c r="BO29" i="52"/>
  <c r="BK29" i="52"/>
  <c r="BL29" i="52" s="1"/>
  <c r="E29" i="52" s="1"/>
  <c r="D29" i="52" s="1"/>
  <c r="AP8" i="52"/>
  <c r="AP9" i="52"/>
  <c r="BK21" i="52"/>
  <c r="BL21" i="52" s="1"/>
  <c r="BO21" i="52"/>
  <c r="BK35" i="52"/>
  <c r="BL35" i="52" s="1"/>
  <c r="BO35" i="52"/>
  <c r="BK30" i="52"/>
  <c r="BO30" i="52"/>
  <c r="BK28" i="52"/>
  <c r="BL28" i="52" s="1"/>
  <c r="E28" i="52" s="1"/>
  <c r="D28" i="52" s="1"/>
  <c r="BO28" i="52"/>
  <c r="BH34" i="52"/>
  <c r="G34" i="52" s="1"/>
  <c r="S8" i="52"/>
  <c r="S9" i="52"/>
  <c r="BH32" i="52"/>
  <c r="G32" i="52" s="1"/>
  <c r="U8" i="52"/>
  <c r="U10" i="52"/>
  <c r="D10" i="52" s="1"/>
  <c r="AR9" i="52"/>
  <c r="AR8" i="52"/>
  <c r="AW8" i="52"/>
  <c r="AW9" i="52"/>
  <c r="AE9" i="52"/>
  <c r="AE8" i="52"/>
  <c r="BH19" i="52"/>
  <c r="G19" i="52" s="1"/>
  <c r="BG9" i="52"/>
  <c r="BG8" i="52"/>
  <c r="BH31" i="52"/>
  <c r="G31" i="52"/>
  <c r="BH23" i="52"/>
  <c r="G23" i="52" s="1"/>
  <c r="BH33" i="52"/>
  <c r="G33" i="52" s="1"/>
  <c r="K8" i="52"/>
  <c r="K9" i="52"/>
  <c r="BH38" i="52"/>
  <c r="G38" i="52" s="1"/>
  <c r="BH26" i="52"/>
  <c r="G26" i="52" s="1"/>
  <c r="AY8" i="52"/>
  <c r="AY9" i="52"/>
  <c r="BH17" i="52"/>
  <c r="G17" i="52" s="1"/>
  <c r="BK18" i="52"/>
  <c r="BL18" i="52" s="1"/>
  <c r="BO18" i="52"/>
  <c r="BH20" i="52"/>
  <c r="G20" i="52" s="1"/>
  <c r="BH22" i="52"/>
  <c r="G22" i="52" s="1"/>
  <c r="BH16" i="52"/>
  <c r="G16" i="52"/>
  <c r="H15" i="52"/>
  <c r="H8" i="52" s="1"/>
  <c r="BK24" i="52"/>
  <c r="BL24" i="52" s="1"/>
  <c r="E24" i="52" s="1"/>
  <c r="D24" i="52" s="1"/>
  <c r="BO24" i="52"/>
  <c r="BB9" i="52"/>
  <c r="BB8" i="52"/>
  <c r="AU10" i="52"/>
  <c r="AU9" i="52" s="1"/>
  <c r="AU8" i="52"/>
  <c r="BN15" i="52"/>
  <c r="BL25" i="52" l="1"/>
  <c r="BO25" i="52"/>
  <c r="BK25" i="52"/>
  <c r="BH15" i="52"/>
  <c r="E35" i="52"/>
  <c r="D35" i="52" s="1"/>
  <c r="BK19" i="52"/>
  <c r="BO19" i="52"/>
  <c r="BL19" i="52"/>
  <c r="E19" i="52" s="1"/>
  <c r="D19" i="52" s="1"/>
  <c r="BO34" i="52"/>
  <c r="BK34" i="52"/>
  <c r="BL34" i="52" s="1"/>
  <c r="BK32" i="52"/>
  <c r="BL32" i="52" s="1"/>
  <c r="E32" i="52" s="1"/>
  <c r="D32" i="52" s="1"/>
  <c r="BO32" i="52"/>
  <c r="BK22" i="52"/>
  <c r="BO22" i="52"/>
  <c r="BL22" i="52"/>
  <c r="E22" i="52" s="1"/>
  <c r="D22" i="52" s="1"/>
  <c r="BK33" i="52"/>
  <c r="BO33" i="52"/>
  <c r="BP18" i="52"/>
  <c r="BM18" i="52" s="1"/>
  <c r="BO20" i="52"/>
  <c r="BK20" i="52"/>
  <c r="BL20" i="52" s="1"/>
  <c r="BO17" i="52"/>
  <c r="BL17" i="52"/>
  <c r="BK17" i="52"/>
  <c r="BO38" i="52"/>
  <c r="BK38" i="52"/>
  <c r="BL38" i="52" s="1"/>
  <c r="BO23" i="52"/>
  <c r="BK23" i="52"/>
  <c r="BL23" i="52" s="1"/>
  <c r="BP30" i="52"/>
  <c r="BM30" i="52" s="1"/>
  <c r="E27" i="52"/>
  <c r="D27" i="52" s="1"/>
  <c r="BK16" i="52"/>
  <c r="G15" i="52"/>
  <c r="G8" i="52" s="1"/>
  <c r="BO16" i="52"/>
  <c r="BL16" i="52"/>
  <c r="E16" i="52" s="1"/>
  <c r="BP28" i="52"/>
  <c r="BM28" i="52" s="1"/>
  <c r="BP37" i="52"/>
  <c r="BM37" i="52" s="1"/>
  <c r="E18" i="52"/>
  <c r="D18" i="52" s="1"/>
  <c r="BL30" i="52"/>
  <c r="E30" i="52" s="1"/>
  <c r="D30" i="52" s="1"/>
  <c r="BP27" i="52"/>
  <c r="BM27" i="52" s="1"/>
  <c r="BQ27" i="52"/>
  <c r="BR27" i="52" s="1"/>
  <c r="E37" i="52"/>
  <c r="D37" i="52" s="1"/>
  <c r="BP25" i="52"/>
  <c r="BM25" i="52" s="1"/>
  <c r="BQ25" i="52"/>
  <c r="BR25" i="52" s="1"/>
  <c r="BP36" i="52"/>
  <c r="BM36" i="52" s="1"/>
  <c r="BP24" i="52"/>
  <c r="BM24" i="52" s="1"/>
  <c r="BK26" i="52"/>
  <c r="BL26" i="52" s="1"/>
  <c r="BO26" i="52"/>
  <c r="BP35" i="52"/>
  <c r="BM35" i="52" s="1"/>
  <c r="E21" i="52"/>
  <c r="D21" i="52" s="1"/>
  <c r="BK31" i="52"/>
  <c r="BL31" i="52" s="1"/>
  <c r="BO31" i="52"/>
  <c r="BH9" i="52"/>
  <c r="BH8" i="52"/>
  <c r="U9" i="52"/>
  <c r="BP21" i="52"/>
  <c r="BM21" i="52" s="1"/>
  <c r="BP29" i="52"/>
  <c r="BM29" i="52" s="1"/>
  <c r="BQ30" i="52" l="1"/>
  <c r="BR30" i="52" s="1"/>
  <c r="E25" i="52"/>
  <c r="D25" i="52" s="1"/>
  <c r="BQ21" i="52"/>
  <c r="BR21" i="52" s="1"/>
  <c r="BQ36" i="52"/>
  <c r="BR36" i="52" s="1"/>
  <c r="BQ29" i="52"/>
  <c r="BR29" i="52" s="1"/>
  <c r="E17" i="52"/>
  <c r="D17" i="52" s="1"/>
  <c r="E34" i="52"/>
  <c r="D34" i="52" s="1"/>
  <c r="D16" i="52"/>
  <c r="BP34" i="52"/>
  <c r="BM34" i="52" s="1"/>
  <c r="E31" i="52"/>
  <c r="D31" i="52" s="1"/>
  <c r="E26" i="52"/>
  <c r="D26" i="52" s="1"/>
  <c r="E38" i="52"/>
  <c r="D38" i="52" s="1"/>
  <c r="BP32" i="52"/>
  <c r="BM32" i="52" s="1"/>
  <c r="BQ37" i="52"/>
  <c r="BR37" i="52" s="1"/>
  <c r="E23" i="52"/>
  <c r="D23" i="52" s="1"/>
  <c r="BP38" i="52"/>
  <c r="BM38" i="52" s="1"/>
  <c r="E20" i="52"/>
  <c r="D20" i="52" s="1"/>
  <c r="BL33" i="52"/>
  <c r="E33" i="52" s="1"/>
  <c r="D33" i="52" s="1"/>
  <c r="BP22" i="52"/>
  <c r="BM22" i="52" s="1"/>
  <c r="BP17" i="52"/>
  <c r="BM17" i="52" s="1"/>
  <c r="BQ18" i="52"/>
  <c r="BR18" i="52" s="1"/>
  <c r="BQ35" i="52"/>
  <c r="BR35" i="52" s="1"/>
  <c r="BQ24" i="52"/>
  <c r="BR24" i="52" s="1"/>
  <c r="BK15" i="52"/>
  <c r="BP33" i="52"/>
  <c r="BM33" i="52" s="1"/>
  <c r="BP19" i="52"/>
  <c r="BM19" i="52" s="1"/>
  <c r="BP16" i="52"/>
  <c r="BO15" i="52"/>
  <c r="BP31" i="52"/>
  <c r="BM31" i="52" s="1"/>
  <c r="BP26" i="52"/>
  <c r="BM26" i="52" s="1"/>
  <c r="BQ28" i="52"/>
  <c r="BR28" i="52" s="1"/>
  <c r="BP23" i="52"/>
  <c r="BM23" i="52" s="1"/>
  <c r="BQ20" i="52"/>
  <c r="BR20" i="52" s="1"/>
  <c r="BP20" i="52"/>
  <c r="BM20" i="52" s="1"/>
  <c r="BQ22" i="52" l="1"/>
  <c r="BR22" i="52" s="1"/>
  <c r="BQ34" i="52"/>
  <c r="BR34" i="52" s="1"/>
  <c r="BQ26" i="52"/>
  <c r="BR26" i="52" s="1"/>
  <c r="BQ31" i="52"/>
  <c r="BR31" i="52" s="1"/>
  <c r="BL15" i="52"/>
  <c r="BQ23" i="52"/>
  <c r="BR23" i="52" s="1"/>
  <c r="BQ19" i="52"/>
  <c r="BR19" i="52" s="1"/>
  <c r="BQ32" i="52"/>
  <c r="BR32" i="52" s="1"/>
  <c r="BP15" i="52"/>
  <c r="BM16" i="52"/>
  <c r="BM15" i="52" s="1"/>
  <c r="BM9" i="52" s="1"/>
  <c r="BQ33" i="52"/>
  <c r="BR33" i="52" s="1"/>
  <c r="BQ17" i="52"/>
  <c r="BR17" i="52" s="1"/>
  <c r="BQ38" i="52"/>
  <c r="BR38" i="52" s="1"/>
  <c r="E15" i="52"/>
  <c r="D15" i="52" s="1"/>
  <c r="BQ16" i="52"/>
  <c r="BK9" i="52"/>
  <c r="BK8" i="52"/>
  <c r="BQ15" i="52" l="1"/>
  <c r="BR16" i="52"/>
  <c r="BL9" i="52"/>
  <c r="BL8" i="52"/>
  <c r="D9" i="52"/>
  <c r="BR15" i="52" l="1"/>
  <c r="BR39" i="52"/>
  <c r="C30" i="47" l="1"/>
  <c r="B30" i="47"/>
  <c r="C35" i="18"/>
  <c r="D35" i="18" s="1"/>
  <c r="B35" i="18"/>
  <c r="C28" i="14"/>
  <c r="K686" i="34"/>
  <c r="L686" i="34"/>
  <c r="L679" i="34" s="1"/>
  <c r="B35" i="17"/>
  <c r="L387" i="34"/>
  <c r="D23" i="32"/>
  <c r="F23" i="32" s="1"/>
  <c r="B23" i="32"/>
  <c r="C24" i="6"/>
  <c r="B24" i="6"/>
  <c r="L131" i="34"/>
  <c r="F35" i="18" l="1"/>
  <c r="D24" i="6"/>
  <c r="F24" i="6" s="1"/>
  <c r="L47" i="34" l="1"/>
  <c r="L46" i="34"/>
  <c r="M35" i="34"/>
  <c r="M123" i="34"/>
  <c r="L1177" i="34"/>
  <c r="L38" i="34" l="1"/>
  <c r="C56" i="7" l="1"/>
  <c r="B56" i="7"/>
  <c r="C57" i="7"/>
  <c r="C54" i="7"/>
  <c r="C53" i="7"/>
  <c r="C52" i="7"/>
  <c r="C51" i="7"/>
  <c r="C50" i="7"/>
  <c r="E47" i="7"/>
  <c r="C46" i="7"/>
  <c r="C43" i="7"/>
  <c r="C42" i="7"/>
  <c r="D42" i="7" s="1"/>
  <c r="F42" i="7" s="1"/>
  <c r="B42" i="7"/>
  <c r="C41" i="7"/>
  <c r="B41" i="7"/>
  <c r="C40" i="7"/>
  <c r="B40" i="7"/>
  <c r="C39" i="7"/>
  <c r="B39" i="7"/>
  <c r="C38" i="7"/>
  <c r="E35" i="7"/>
  <c r="C34" i="7"/>
  <c r="C29" i="7"/>
  <c r="D29" i="7" s="1"/>
  <c r="F29" i="7" s="1"/>
  <c r="B29" i="7"/>
  <c r="C28" i="7"/>
  <c r="B28" i="7"/>
  <c r="C30" i="7"/>
  <c r="B30" i="7"/>
  <c r="C27" i="7"/>
  <c r="B27" i="7"/>
  <c r="C31" i="7"/>
  <c r="H31" i="7" s="1"/>
  <c r="B31" i="7"/>
  <c r="B26" i="7"/>
  <c r="C23" i="7"/>
  <c r="B22" i="7"/>
  <c r="C22" i="7"/>
  <c r="C21" i="7"/>
  <c r="C20" i="7"/>
  <c r="E17" i="7"/>
  <c r="C16" i="7"/>
  <c r="F16" i="7" s="1"/>
  <c r="D56" i="7" l="1"/>
  <c r="F56" i="7" s="1"/>
  <c r="D41" i="7"/>
  <c r="F41" i="7" s="1"/>
  <c r="D28" i="7"/>
  <c r="F28" i="7" s="1"/>
  <c r="D30" i="7"/>
  <c r="F30" i="7" s="1"/>
  <c r="D27" i="7"/>
  <c r="F27" i="7" s="1"/>
  <c r="L34" i="50"/>
  <c r="I34" i="50"/>
  <c r="K33" i="50"/>
  <c r="J32" i="50"/>
  <c r="H32" i="50"/>
  <c r="G32" i="50"/>
  <c r="F32" i="50"/>
  <c r="E32" i="50"/>
  <c r="C32" i="50"/>
  <c r="J31" i="50"/>
  <c r="H31" i="50"/>
  <c r="G31" i="50"/>
  <c r="F31" i="50"/>
  <c r="E31" i="50"/>
  <c r="C31" i="50"/>
  <c r="J30" i="50"/>
  <c r="H30" i="50"/>
  <c r="G30" i="50"/>
  <c r="F30" i="50"/>
  <c r="E30" i="50"/>
  <c r="C30" i="50"/>
  <c r="J29" i="50"/>
  <c r="H29" i="50"/>
  <c r="G29" i="50"/>
  <c r="F29" i="50"/>
  <c r="E29" i="50"/>
  <c r="C29" i="50"/>
  <c r="J28" i="50"/>
  <c r="H28" i="50"/>
  <c r="G28" i="50"/>
  <c r="F28" i="50"/>
  <c r="E28" i="50"/>
  <c r="C28" i="50"/>
  <c r="J27" i="50"/>
  <c r="H27" i="50"/>
  <c r="G27" i="50"/>
  <c r="F27" i="50"/>
  <c r="E27" i="50"/>
  <c r="C27" i="50"/>
  <c r="J26" i="50"/>
  <c r="H26" i="50"/>
  <c r="G26" i="50"/>
  <c r="F26" i="50"/>
  <c r="E26" i="50"/>
  <c r="C26" i="50"/>
  <c r="J25" i="50"/>
  <c r="H25" i="50"/>
  <c r="G25" i="50"/>
  <c r="F25" i="50"/>
  <c r="E25" i="50"/>
  <c r="C25" i="50"/>
  <c r="J24" i="50"/>
  <c r="H24" i="50"/>
  <c r="G24" i="50"/>
  <c r="F24" i="50"/>
  <c r="E24" i="50"/>
  <c r="C24" i="50"/>
  <c r="J23" i="50"/>
  <c r="H23" i="50"/>
  <c r="G23" i="50"/>
  <c r="F23" i="50"/>
  <c r="E23" i="50"/>
  <c r="C23" i="50"/>
  <c r="J22" i="50"/>
  <c r="H22" i="50"/>
  <c r="G22" i="50"/>
  <c r="F22" i="50"/>
  <c r="E22" i="50"/>
  <c r="C22" i="50"/>
  <c r="J21" i="50"/>
  <c r="H21" i="50"/>
  <c r="G21" i="50"/>
  <c r="F21" i="50"/>
  <c r="E21" i="50"/>
  <c r="C21" i="50"/>
  <c r="J20" i="50"/>
  <c r="H20" i="50"/>
  <c r="G20" i="50"/>
  <c r="F20" i="50"/>
  <c r="E20" i="50"/>
  <c r="C20" i="50"/>
  <c r="J19" i="50"/>
  <c r="H19" i="50"/>
  <c r="G19" i="50"/>
  <c r="F19" i="50"/>
  <c r="E19" i="50"/>
  <c r="C19" i="50"/>
  <c r="J18" i="50"/>
  <c r="H18" i="50"/>
  <c r="G18" i="50"/>
  <c r="F18" i="50"/>
  <c r="E18" i="50"/>
  <c r="C18" i="50"/>
  <c r="J17" i="50"/>
  <c r="H17" i="50"/>
  <c r="G17" i="50"/>
  <c r="F17" i="50"/>
  <c r="E17" i="50"/>
  <c r="C17" i="50"/>
  <c r="J16" i="50"/>
  <c r="H16" i="50"/>
  <c r="G16" i="50"/>
  <c r="F16" i="50"/>
  <c r="E16" i="50"/>
  <c r="C16" i="50"/>
  <c r="J15" i="50"/>
  <c r="H15" i="50"/>
  <c r="G15" i="50"/>
  <c r="F15" i="50"/>
  <c r="E15" i="50"/>
  <c r="C15" i="50"/>
  <c r="J14" i="50"/>
  <c r="H14" i="50"/>
  <c r="G14" i="50"/>
  <c r="F14" i="50"/>
  <c r="E14" i="50"/>
  <c r="C14" i="50"/>
  <c r="J13" i="50"/>
  <c r="H13" i="50"/>
  <c r="G13" i="50"/>
  <c r="F13" i="50"/>
  <c r="E13" i="50"/>
  <c r="C13" i="50"/>
  <c r="J12" i="50"/>
  <c r="H12" i="50"/>
  <c r="G12" i="50"/>
  <c r="F12" i="50"/>
  <c r="E12" i="50"/>
  <c r="C12" i="50"/>
  <c r="J11" i="50"/>
  <c r="H11" i="50"/>
  <c r="G11" i="50"/>
  <c r="F11" i="50"/>
  <c r="E11" i="50"/>
  <c r="C11" i="50"/>
  <c r="J10" i="50"/>
  <c r="J34" i="50" s="1"/>
  <c r="H10" i="50"/>
  <c r="G10" i="50"/>
  <c r="F10" i="50"/>
  <c r="E10" i="50"/>
  <c r="C10" i="50"/>
  <c r="I9" i="50"/>
  <c r="H38" i="49"/>
  <c r="O37" i="49"/>
  <c r="S37" i="49" s="1"/>
  <c r="K37" i="49"/>
  <c r="J37" i="49"/>
  <c r="I37" i="49"/>
  <c r="H37" i="49"/>
  <c r="G37" i="49"/>
  <c r="E37" i="49"/>
  <c r="D37" i="49"/>
  <c r="C37" i="49"/>
  <c r="O36" i="49"/>
  <c r="N36" i="49" s="1"/>
  <c r="K36" i="49"/>
  <c r="J36" i="49"/>
  <c r="I36" i="49"/>
  <c r="H36" i="49"/>
  <c r="G36" i="49"/>
  <c r="E36" i="49"/>
  <c r="D36" i="49"/>
  <c r="C36" i="49"/>
  <c r="O35" i="49"/>
  <c r="N35" i="49" s="1"/>
  <c r="K35" i="49"/>
  <c r="J35" i="49"/>
  <c r="I35" i="49"/>
  <c r="H35" i="49"/>
  <c r="G35" i="49"/>
  <c r="E35" i="49"/>
  <c r="D35" i="49"/>
  <c r="C35" i="49"/>
  <c r="O34" i="49"/>
  <c r="S34" i="49" s="1"/>
  <c r="K34" i="49"/>
  <c r="J34" i="49"/>
  <c r="I34" i="49"/>
  <c r="H34" i="49"/>
  <c r="G34" i="49"/>
  <c r="E34" i="49"/>
  <c r="D34" i="49"/>
  <c r="C34" i="49"/>
  <c r="O33" i="49"/>
  <c r="N33" i="49" s="1"/>
  <c r="K33" i="49"/>
  <c r="J33" i="49"/>
  <c r="I33" i="49"/>
  <c r="H33" i="49"/>
  <c r="G33" i="49"/>
  <c r="E33" i="49"/>
  <c r="D33" i="49"/>
  <c r="C33" i="49"/>
  <c r="O32" i="49"/>
  <c r="S32" i="49" s="1"/>
  <c r="K32" i="49"/>
  <c r="J32" i="49"/>
  <c r="I32" i="49"/>
  <c r="H32" i="49"/>
  <c r="G32" i="49"/>
  <c r="E32" i="49"/>
  <c r="D32" i="49"/>
  <c r="C32" i="49"/>
  <c r="O31" i="49"/>
  <c r="S31" i="49" s="1"/>
  <c r="K31" i="49"/>
  <c r="J31" i="49"/>
  <c r="I31" i="49"/>
  <c r="H31" i="49"/>
  <c r="G31" i="49"/>
  <c r="E31" i="49"/>
  <c r="D31" i="49"/>
  <c r="C31" i="49"/>
  <c r="O30" i="49"/>
  <c r="S30" i="49" s="1"/>
  <c r="K30" i="49"/>
  <c r="J30" i="49"/>
  <c r="I30" i="49"/>
  <c r="H30" i="49"/>
  <c r="G30" i="49"/>
  <c r="E30" i="49"/>
  <c r="D30" i="49"/>
  <c r="C30" i="49"/>
  <c r="O29" i="49"/>
  <c r="S29" i="49" s="1"/>
  <c r="K29" i="49"/>
  <c r="J29" i="49"/>
  <c r="I29" i="49"/>
  <c r="H29" i="49"/>
  <c r="G29" i="49"/>
  <c r="E29" i="49"/>
  <c r="D29" i="49"/>
  <c r="C29" i="49"/>
  <c r="O28" i="49"/>
  <c r="S28" i="49" s="1"/>
  <c r="K28" i="49"/>
  <c r="J28" i="49"/>
  <c r="I28" i="49"/>
  <c r="H28" i="49"/>
  <c r="G28" i="49"/>
  <c r="E28" i="49"/>
  <c r="D28" i="49"/>
  <c r="C28" i="49"/>
  <c r="O27" i="49"/>
  <c r="S27" i="49" s="1"/>
  <c r="K27" i="49"/>
  <c r="J27" i="49"/>
  <c r="I27" i="49"/>
  <c r="H27" i="49"/>
  <c r="G27" i="49"/>
  <c r="E27" i="49"/>
  <c r="D27" i="49"/>
  <c r="C27" i="49"/>
  <c r="O26" i="49"/>
  <c r="N26" i="49" s="1"/>
  <c r="K26" i="49"/>
  <c r="J26" i="49"/>
  <c r="I26" i="49"/>
  <c r="H26" i="49"/>
  <c r="G26" i="49"/>
  <c r="E26" i="49"/>
  <c r="D26" i="49"/>
  <c r="C26" i="49"/>
  <c r="O25" i="49"/>
  <c r="S25" i="49" s="1"/>
  <c r="K25" i="49"/>
  <c r="J25" i="49"/>
  <c r="I25" i="49"/>
  <c r="H25" i="49"/>
  <c r="G25" i="49"/>
  <c r="E25" i="49"/>
  <c r="D25" i="49"/>
  <c r="C25" i="49"/>
  <c r="O24" i="49"/>
  <c r="S24" i="49" s="1"/>
  <c r="K24" i="49"/>
  <c r="J24" i="49"/>
  <c r="I24" i="49"/>
  <c r="H24" i="49"/>
  <c r="G24" i="49"/>
  <c r="E24" i="49"/>
  <c r="D24" i="49"/>
  <c r="C24" i="49"/>
  <c r="O23" i="49"/>
  <c r="N23" i="49" s="1"/>
  <c r="K23" i="49"/>
  <c r="J23" i="49"/>
  <c r="I23" i="49"/>
  <c r="H23" i="49"/>
  <c r="G23" i="49"/>
  <c r="E23" i="49"/>
  <c r="D23" i="49"/>
  <c r="C23" i="49"/>
  <c r="O22" i="49"/>
  <c r="S22" i="49" s="1"/>
  <c r="K22" i="49"/>
  <c r="J22" i="49"/>
  <c r="I22" i="49"/>
  <c r="H22" i="49"/>
  <c r="G22" i="49"/>
  <c r="E22" i="49"/>
  <c r="D22" i="49"/>
  <c r="C22" i="49"/>
  <c r="O21" i="49"/>
  <c r="N21" i="49" s="1"/>
  <c r="K21" i="49"/>
  <c r="J21" i="49"/>
  <c r="I21" i="49"/>
  <c r="H21" i="49"/>
  <c r="G21" i="49"/>
  <c r="E21" i="49"/>
  <c r="D21" i="49"/>
  <c r="C21" i="49"/>
  <c r="O20" i="49"/>
  <c r="N20" i="49" s="1"/>
  <c r="K20" i="49"/>
  <c r="J20" i="49"/>
  <c r="I20" i="49"/>
  <c r="H20" i="49"/>
  <c r="G20" i="49"/>
  <c r="E20" i="49"/>
  <c r="D20" i="49"/>
  <c r="C20" i="49"/>
  <c r="O19" i="49"/>
  <c r="S19" i="49" s="1"/>
  <c r="K19" i="49"/>
  <c r="J19" i="49"/>
  <c r="I19" i="49"/>
  <c r="H19" i="49"/>
  <c r="G19" i="49"/>
  <c r="E19" i="49"/>
  <c r="D19" i="49"/>
  <c r="C19" i="49"/>
  <c r="O18" i="49"/>
  <c r="N18" i="49" s="1"/>
  <c r="K18" i="49"/>
  <c r="J18" i="49"/>
  <c r="I18" i="49"/>
  <c r="H18" i="49"/>
  <c r="G18" i="49"/>
  <c r="E18" i="49"/>
  <c r="D18" i="49"/>
  <c r="C18" i="49"/>
  <c r="O17" i="49"/>
  <c r="N17" i="49" s="1"/>
  <c r="K17" i="49"/>
  <c r="J17" i="49"/>
  <c r="I17" i="49"/>
  <c r="H17" i="49"/>
  <c r="G17" i="49"/>
  <c r="E17" i="49"/>
  <c r="D17" i="49"/>
  <c r="C17" i="49"/>
  <c r="O16" i="49"/>
  <c r="S16" i="49" s="1"/>
  <c r="K16" i="49"/>
  <c r="J16" i="49"/>
  <c r="I16" i="49"/>
  <c r="H16" i="49"/>
  <c r="G16" i="49"/>
  <c r="E16" i="49"/>
  <c r="D16" i="49"/>
  <c r="C16" i="49"/>
  <c r="O15" i="49"/>
  <c r="K15" i="49"/>
  <c r="J15" i="49"/>
  <c r="I15" i="49"/>
  <c r="H15" i="49"/>
  <c r="G15" i="49"/>
  <c r="E15" i="49"/>
  <c r="D15" i="49"/>
  <c r="C15" i="49"/>
  <c r="N30" i="49" l="1"/>
  <c r="F18" i="49"/>
  <c r="S18" i="49"/>
  <c r="N24" i="49"/>
  <c r="D11" i="50"/>
  <c r="K11" i="50" s="1"/>
  <c r="S26" i="49"/>
  <c r="F30" i="49"/>
  <c r="M30" i="49" s="1"/>
  <c r="L30" i="49" s="1"/>
  <c r="F24" i="49"/>
  <c r="M24" i="49" s="1"/>
  <c r="S33" i="49"/>
  <c r="N27" i="49"/>
  <c r="C9" i="50"/>
  <c r="D10" i="50"/>
  <c r="K10" i="50" s="1"/>
  <c r="O38" i="49"/>
  <c r="N38" i="49" s="1"/>
  <c r="N19" i="49"/>
  <c r="N34" i="49"/>
  <c r="I14" i="49"/>
  <c r="N16" i="49"/>
  <c r="D12" i="50"/>
  <c r="K12" i="50" s="1"/>
  <c r="D13" i="50"/>
  <c r="D14" i="50"/>
  <c r="D15" i="50"/>
  <c r="D24" i="50"/>
  <c r="K24" i="50" s="1"/>
  <c r="D27" i="50"/>
  <c r="K27" i="50" s="1"/>
  <c r="S21" i="49"/>
  <c r="H14" i="49"/>
  <c r="S17" i="49"/>
  <c r="S20" i="49"/>
  <c r="N29" i="49"/>
  <c r="N32" i="49"/>
  <c r="F36" i="49"/>
  <c r="M36" i="49" s="1"/>
  <c r="L36" i="49" s="1"/>
  <c r="F27" i="49"/>
  <c r="M27" i="49" s="1"/>
  <c r="L27" i="49" s="1"/>
  <c r="K15" i="50"/>
  <c r="D18" i="50"/>
  <c r="K18" i="50" s="1"/>
  <c r="D21" i="50"/>
  <c r="K21" i="50" s="1"/>
  <c r="D22" i="50"/>
  <c r="K22" i="50" s="1"/>
  <c r="D23" i="50"/>
  <c r="K23" i="50" s="1"/>
  <c r="G14" i="49"/>
  <c r="F21" i="49"/>
  <c r="M21" i="49" s="1"/>
  <c r="L21" i="49" s="1"/>
  <c r="N22" i="49"/>
  <c r="F33" i="49"/>
  <c r="M33" i="49" s="1"/>
  <c r="L33" i="49" s="1"/>
  <c r="F9" i="50"/>
  <c r="D25" i="50"/>
  <c r="K25" i="50" s="1"/>
  <c r="D26" i="50"/>
  <c r="K26" i="50" s="1"/>
  <c r="F16" i="49"/>
  <c r="M16" i="49" s="1"/>
  <c r="C14" i="49"/>
  <c r="C7" i="49" s="1"/>
  <c r="J38" i="49"/>
  <c r="D28" i="50"/>
  <c r="K28" i="50" s="1"/>
  <c r="D29" i="50"/>
  <c r="K29" i="50" s="1"/>
  <c r="D30" i="50"/>
  <c r="K30" i="50" s="1"/>
  <c r="D31" i="50"/>
  <c r="K31" i="50" s="1"/>
  <c r="D32" i="50"/>
  <c r="K32" i="50" s="1"/>
  <c r="Q18" i="49"/>
  <c r="R18" i="49" s="1"/>
  <c r="F32" i="49"/>
  <c r="M32" i="49" s="1"/>
  <c r="S36" i="49"/>
  <c r="C38" i="49"/>
  <c r="I38" i="49"/>
  <c r="E38" i="49"/>
  <c r="F19" i="49"/>
  <c r="S23" i="49"/>
  <c r="N28" i="49"/>
  <c r="E34" i="50"/>
  <c r="O14" i="49"/>
  <c r="D14" i="49"/>
  <c r="F26" i="49"/>
  <c r="Q26" i="49" s="1"/>
  <c r="R26" i="49" s="1"/>
  <c r="F31" i="49"/>
  <c r="S35" i="49"/>
  <c r="F20" i="49"/>
  <c r="Q20" i="49" s="1"/>
  <c r="R20" i="49" s="1"/>
  <c r="F34" i="49"/>
  <c r="M34" i="49" s="1"/>
  <c r="E9" i="50"/>
  <c r="F34" i="50"/>
  <c r="K13" i="50"/>
  <c r="K14" i="50"/>
  <c r="S15" i="49"/>
  <c r="F25" i="49"/>
  <c r="F22" i="49"/>
  <c r="M22" i="49" s="1"/>
  <c r="F28" i="49"/>
  <c r="M28" i="49" s="1"/>
  <c r="F29" i="49"/>
  <c r="M29" i="49" s="1"/>
  <c r="F35" i="49"/>
  <c r="Q35" i="49" s="1"/>
  <c r="R35" i="49" s="1"/>
  <c r="N37" i="49"/>
  <c r="G34" i="50"/>
  <c r="D16" i="50"/>
  <c r="K16" i="50" s="1"/>
  <c r="D17" i="50"/>
  <c r="K17" i="50" s="1"/>
  <c r="K38" i="49"/>
  <c r="F15" i="49"/>
  <c r="M15" i="49" s="1"/>
  <c r="N15" i="49"/>
  <c r="F23" i="49"/>
  <c r="Q23" i="49" s="1"/>
  <c r="R23" i="49" s="1"/>
  <c r="N25" i="49"/>
  <c r="N31" i="49"/>
  <c r="Q31" i="49" s="1"/>
  <c r="R31" i="49" s="1"/>
  <c r="F37" i="49"/>
  <c r="H9" i="50"/>
  <c r="O10" i="50" s="1"/>
  <c r="G9" i="50"/>
  <c r="D19" i="50"/>
  <c r="K19" i="50" s="1"/>
  <c r="D20" i="50"/>
  <c r="K20" i="50" s="1"/>
  <c r="C34" i="50"/>
  <c r="J9" i="50"/>
  <c r="H34" i="50"/>
  <c r="M31" i="49"/>
  <c r="D38" i="49"/>
  <c r="M18" i="49"/>
  <c r="L18" i="49" s="1"/>
  <c r="J14" i="49"/>
  <c r="F17" i="49"/>
  <c r="E14" i="49"/>
  <c r="K14" i="49"/>
  <c r="G38" i="49"/>
  <c r="Q24" i="49"/>
  <c r="R24" i="49" s="1"/>
  <c r="Q27" i="49"/>
  <c r="R27" i="49" s="1"/>
  <c r="Q25" i="49" l="1"/>
  <c r="R25" i="49" s="1"/>
  <c r="Q22" i="49"/>
  <c r="R22" i="49" s="1"/>
  <c r="Q16" i="49"/>
  <c r="R16" i="49" s="1"/>
  <c r="M25" i="49"/>
  <c r="Q30" i="49"/>
  <c r="R30" i="49" s="1"/>
  <c r="Q34" i="49"/>
  <c r="R34" i="49" s="1"/>
  <c r="Q32" i="49"/>
  <c r="R32" i="49" s="1"/>
  <c r="M23" i="49"/>
  <c r="L23" i="49" s="1"/>
  <c r="Q36" i="49"/>
  <c r="R36" i="49" s="1"/>
  <c r="L24" i="49"/>
  <c r="Q37" i="49"/>
  <c r="R37" i="49" s="1"/>
  <c r="Q19" i="49"/>
  <c r="R19" i="49" s="1"/>
  <c r="M26" i="49"/>
  <c r="L26" i="49" s="1"/>
  <c r="L29" i="49"/>
  <c r="S14" i="49"/>
  <c r="L16" i="49"/>
  <c r="L34" i="49"/>
  <c r="M37" i="49"/>
  <c r="L37" i="49" s="1"/>
  <c r="L28" i="49"/>
  <c r="Q21" i="49"/>
  <c r="R21" i="49" s="1"/>
  <c r="M35" i="49"/>
  <c r="L35" i="49" s="1"/>
  <c r="L32" i="49"/>
  <c r="L22" i="49"/>
  <c r="F38" i="49"/>
  <c r="F14" i="49"/>
  <c r="M14" i="49" s="1"/>
  <c r="Q33" i="49"/>
  <c r="R33" i="49" s="1"/>
  <c r="M19" i="49"/>
  <c r="L19" i="49" s="1"/>
  <c r="L1188" i="34"/>
  <c r="L25" i="49"/>
  <c r="Q28" i="49"/>
  <c r="R28" i="49" s="1"/>
  <c r="M20" i="49"/>
  <c r="L20" i="49" s="1"/>
  <c r="D9" i="50"/>
  <c r="Q29" i="49"/>
  <c r="R29" i="49" s="1"/>
  <c r="L31" i="49"/>
  <c r="Q15" i="49"/>
  <c r="R15" i="49" s="1"/>
  <c r="D34" i="50"/>
  <c r="N14" i="49"/>
  <c r="K34" i="50"/>
  <c r="K9" i="50"/>
  <c r="Q17" i="49"/>
  <c r="M17" i="49"/>
  <c r="L17" i="49" s="1"/>
  <c r="L15" i="49"/>
  <c r="N504" i="34"/>
  <c r="L370" i="34"/>
  <c r="C55" i="7" s="1"/>
  <c r="L351" i="34"/>
  <c r="M38" i="49" l="1"/>
  <c r="L38" i="49" s="1"/>
  <c r="L14" i="49"/>
  <c r="L293" i="34"/>
  <c r="C26" i="7"/>
  <c r="R17" i="49"/>
  <c r="R38" i="49" s="1"/>
  <c r="Q38" i="49"/>
  <c r="L355" i="34"/>
  <c r="C48" i="7" s="1"/>
  <c r="L291" i="34"/>
  <c r="L318" i="34" l="1"/>
  <c r="L281" i="34"/>
  <c r="C18" i="7"/>
  <c r="B26" i="46"/>
  <c r="N255" i="34" l="1"/>
  <c r="N16" i="34"/>
  <c r="L33" i="34"/>
  <c r="N9" i="34"/>
  <c r="L1099" i="34"/>
  <c r="N1097" i="34"/>
  <c r="L1094" i="34"/>
  <c r="C49" i="17" l="1"/>
  <c r="C48" i="17"/>
  <c r="C47" i="17"/>
  <c r="C46" i="17"/>
  <c r="C45" i="17"/>
  <c r="B45" i="17"/>
  <c r="C44" i="17"/>
  <c r="C43" i="17"/>
  <c r="C40" i="17"/>
  <c r="F40" i="17" s="1"/>
  <c r="B40" i="17"/>
  <c r="C39" i="17"/>
  <c r="B27" i="17" l="1"/>
  <c r="C38" i="17"/>
  <c r="C37" i="17"/>
  <c r="C36" i="17"/>
  <c r="C35" i="17"/>
  <c r="C34" i="17"/>
  <c r="C33" i="17"/>
  <c r="N478" i="34"/>
  <c r="D28" i="19"/>
  <c r="D26" i="19" s="1"/>
  <c r="L796" i="34"/>
  <c r="E26" i="19"/>
  <c r="C27" i="19"/>
  <c r="C26" i="19" s="1"/>
  <c r="L480" i="34"/>
  <c r="C41" i="17" s="1"/>
  <c r="L471" i="34"/>
  <c r="C32" i="17" s="1"/>
  <c r="F27" i="19" l="1"/>
  <c r="C28" i="17" l="1"/>
  <c r="D28" i="17" s="1"/>
  <c r="C27" i="17"/>
  <c r="D27" i="17" s="1"/>
  <c r="F27" i="17" s="1"/>
  <c r="B26" i="17"/>
  <c r="C26" i="17"/>
  <c r="C25" i="17"/>
  <c r="C24" i="17"/>
  <c r="F24" i="17" s="1"/>
  <c r="B24" i="17"/>
  <c r="C23" i="17"/>
  <c r="C22" i="17"/>
  <c r="L734" i="34" l="1"/>
  <c r="L733" i="34"/>
  <c r="C18" i="17" s="1"/>
  <c r="L1134" i="34" l="1"/>
  <c r="L1133" i="34" s="1"/>
  <c r="N1134" i="34" s="1"/>
  <c r="N1135" i="34" s="1"/>
  <c r="F61" i="30"/>
  <c r="C52" i="30"/>
  <c r="F52" i="30" s="1"/>
  <c r="C44" i="30"/>
  <c r="C47" i="30"/>
  <c r="C63" i="30"/>
  <c r="C62" i="30"/>
  <c r="C60" i="30"/>
  <c r="C59" i="30"/>
  <c r="C53" i="30"/>
  <c r="B53" i="30"/>
  <c r="C45" i="30"/>
  <c r="C46" i="30"/>
  <c r="C42" i="30"/>
  <c r="F42" i="30" s="1"/>
  <c r="B43" i="30"/>
  <c r="B42" i="30"/>
  <c r="C41" i="30"/>
  <c r="C56" i="30"/>
  <c r="C55" i="30"/>
  <c r="C51" i="30"/>
  <c r="C40" i="30"/>
  <c r="C39" i="30"/>
  <c r="C50" i="30"/>
  <c r="B50" i="30"/>
  <c r="C38" i="30"/>
  <c r="C37" i="30"/>
  <c r="C49" i="30"/>
  <c r="C36" i="30"/>
  <c r="C35" i="30"/>
  <c r="C34" i="30"/>
  <c r="C33" i="30"/>
  <c r="B33" i="30"/>
  <c r="C30" i="30"/>
  <c r="C29" i="30"/>
  <c r="C28" i="30"/>
  <c r="C27" i="30"/>
  <c r="C26" i="30"/>
  <c r="C25" i="30"/>
  <c r="C24" i="30"/>
  <c r="C23" i="30"/>
  <c r="C19" i="30"/>
  <c r="L853" i="34"/>
  <c r="L852" i="34"/>
  <c r="C16" i="30" s="1"/>
  <c r="C7" i="38"/>
  <c r="J42" i="30" l="1"/>
  <c r="L883" i="34"/>
  <c r="C43" i="30" s="1"/>
  <c r="F43" i="30" s="1"/>
  <c r="B30" i="14"/>
  <c r="L855" i="34"/>
  <c r="C18" i="30" s="1"/>
  <c r="C24" i="11"/>
  <c r="L605" i="34"/>
  <c r="L607" i="34"/>
  <c r="L628" i="34" s="1"/>
  <c r="B37" i="11"/>
  <c r="C36" i="11"/>
  <c r="B36" i="11"/>
  <c r="B32" i="11"/>
  <c r="L867" i="34" l="1"/>
  <c r="L897" i="34" s="1"/>
  <c r="C31" i="30"/>
  <c r="N867" i="34" s="1"/>
  <c r="J43" i="30"/>
  <c r="D36" i="11"/>
  <c r="F36" i="11" s="1"/>
  <c r="L701" i="34" l="1"/>
  <c r="C35" i="14"/>
  <c r="C34" i="14" s="1"/>
  <c r="C32" i="14"/>
  <c r="C31" i="14"/>
  <c r="C30" i="14"/>
  <c r="C29" i="14"/>
  <c r="C27" i="14"/>
  <c r="C26" i="14"/>
  <c r="F26" i="14" s="1"/>
  <c r="C25" i="14"/>
  <c r="C24" i="14"/>
  <c r="L700" i="34"/>
  <c r="C20" i="14" s="1"/>
  <c r="C32" i="4"/>
  <c r="C31" i="4"/>
  <c r="C29" i="4"/>
  <c r="B29" i="4"/>
  <c r="C28" i="4"/>
  <c r="B27" i="4"/>
  <c r="C27" i="4"/>
  <c r="C26" i="4"/>
  <c r="C25" i="4"/>
  <c r="C24" i="4"/>
  <c r="C23" i="4"/>
  <c r="F23" i="4" s="1"/>
  <c r="C22" i="4"/>
  <c r="B23" i="4"/>
  <c r="L184" i="34"/>
  <c r="L181" i="34"/>
  <c r="L180" i="34"/>
  <c r="L179" i="34" s="1"/>
  <c r="C17" i="4" l="1"/>
  <c r="L520" i="34"/>
  <c r="C48" i="8"/>
  <c r="F48" i="8" s="1"/>
  <c r="C47" i="8"/>
  <c r="F47" i="8" s="1"/>
  <c r="C46" i="8"/>
  <c r="C45" i="8"/>
  <c r="D45" i="8" s="1"/>
  <c r="F45" i="8" s="1"/>
  <c r="B48" i="8"/>
  <c r="B47" i="8"/>
  <c r="B46" i="8"/>
  <c r="B45" i="8"/>
  <c r="C53" i="8"/>
  <c r="D53" i="8" s="1"/>
  <c r="C52" i="8"/>
  <c r="D52" i="8" s="1"/>
  <c r="C51" i="8"/>
  <c r="D51" i="8" s="1"/>
  <c r="C50" i="8"/>
  <c r="D50" i="8" s="1"/>
  <c r="C49" i="8"/>
  <c r="D49" i="8" s="1"/>
  <c r="C44" i="8"/>
  <c r="D44" i="8" s="1"/>
  <c r="C43" i="8"/>
  <c r="C42" i="8"/>
  <c r="C41" i="8"/>
  <c r="D41" i="8" s="1"/>
  <c r="C40" i="8"/>
  <c r="D40" i="8" s="1"/>
  <c r="C39" i="8"/>
  <c r="D39" i="8" s="1"/>
  <c r="C38" i="8"/>
  <c r="D38" i="8" s="1"/>
  <c r="C37" i="8"/>
  <c r="D37" i="8" s="1"/>
  <c r="C36" i="8"/>
  <c r="D36" i="8" s="1"/>
  <c r="C35" i="8"/>
  <c r="L519" i="34"/>
  <c r="C32" i="8"/>
  <c r="C30" i="8"/>
  <c r="L497" i="34"/>
  <c r="C27" i="8"/>
  <c r="C26" i="8"/>
  <c r="C25" i="8"/>
  <c r="C24" i="8"/>
  <c r="C23" i="8"/>
  <c r="C22" i="8"/>
  <c r="C18" i="8"/>
  <c r="B39" i="8"/>
  <c r="D42" i="8" l="1"/>
  <c r="C34" i="8"/>
  <c r="N520" i="34" s="1"/>
  <c r="L542" i="34"/>
  <c r="D46" i="8"/>
  <c r="F46" i="8" s="1"/>
  <c r="D34" i="46"/>
  <c r="D33" i="46" s="1"/>
  <c r="C35" i="46"/>
  <c r="F35" i="46" s="1"/>
  <c r="F34" i="46" s="1"/>
  <c r="F33" i="46" s="1"/>
  <c r="D37" i="46"/>
  <c r="D36" i="46" s="1"/>
  <c r="C38" i="46"/>
  <c r="C37" i="46" s="1"/>
  <c r="C36" i="46" s="1"/>
  <c r="C31" i="46"/>
  <c r="D31" i="46" s="1"/>
  <c r="C30" i="46"/>
  <c r="D30" i="46" s="1"/>
  <c r="B30" i="46"/>
  <c r="C32" i="46"/>
  <c r="B38" i="46"/>
  <c r="C29" i="46"/>
  <c r="B29" i="46"/>
  <c r="C28" i="46"/>
  <c r="B28" i="46"/>
  <c r="C27" i="46"/>
  <c r="C26" i="46"/>
  <c r="C25" i="46"/>
  <c r="B25" i="46"/>
  <c r="C24" i="46"/>
  <c r="C23" i="46"/>
  <c r="F23" i="46" s="1"/>
  <c r="B23" i="46"/>
  <c r="C22" i="46"/>
  <c r="L829" i="34"/>
  <c r="L828" i="34"/>
  <c r="C18" i="46" s="1"/>
  <c r="C34" i="46" l="1"/>
  <c r="C33" i="46" s="1"/>
  <c r="F30" i="46"/>
  <c r="F31" i="46"/>
  <c r="I38" i="46"/>
  <c r="D29" i="46"/>
  <c r="F29" i="46" s="1"/>
  <c r="F38" i="46"/>
  <c r="F37" i="46" s="1"/>
  <c r="F36" i="46" s="1"/>
  <c r="I37" i="46"/>
  <c r="J38" i="46" l="1"/>
  <c r="J37" i="46"/>
  <c r="I36" i="46"/>
  <c r="J36" i="46" s="1"/>
  <c r="D29" i="13" l="1"/>
  <c r="C36" i="13"/>
  <c r="D36" i="13" s="1"/>
  <c r="C35" i="13"/>
  <c r="D35" i="13" s="1"/>
  <c r="C34" i="13"/>
  <c r="C32" i="13"/>
  <c r="C31" i="13"/>
  <c r="B36" i="13"/>
  <c r="B35" i="13"/>
  <c r="B34" i="13"/>
  <c r="B32" i="13"/>
  <c r="B31" i="13"/>
  <c r="C28" i="13"/>
  <c r="D28" i="13" s="1"/>
  <c r="C27" i="13"/>
  <c r="D27" i="13" s="1"/>
  <c r="B27" i="13"/>
  <c r="B26" i="13"/>
  <c r="C26" i="13"/>
  <c r="C25" i="13"/>
  <c r="F25" i="13" s="1"/>
  <c r="C24" i="13"/>
  <c r="C23" i="13"/>
  <c r="L664" i="34"/>
  <c r="B667" i="34"/>
  <c r="L660" i="34"/>
  <c r="L659" i="34"/>
  <c r="C28" i="1"/>
  <c r="D28" i="1" s="1"/>
  <c r="F28" i="1" s="1"/>
  <c r="L159" i="34"/>
  <c r="C27" i="1"/>
  <c r="D27" i="1" s="1"/>
  <c r="F27" i="1" s="1"/>
  <c r="B27" i="1"/>
  <c r="C24" i="1"/>
  <c r="B24" i="1"/>
  <c r="C26" i="1"/>
  <c r="B25" i="1"/>
  <c r="C25" i="1"/>
  <c r="C23" i="1"/>
  <c r="C22" i="1"/>
  <c r="C21" i="1"/>
  <c r="L156" i="34"/>
  <c r="L155" i="34"/>
  <c r="C17" i="1" s="1"/>
  <c r="F13" i="1"/>
  <c r="C15" i="48"/>
  <c r="D20" i="48"/>
  <c r="H20" i="48" s="1"/>
  <c r="D21" i="48"/>
  <c r="F22" i="48"/>
  <c r="H22" i="48"/>
  <c r="F23" i="48"/>
  <c r="D17" i="48"/>
  <c r="D16" i="48"/>
  <c r="H16" i="48" s="1"/>
  <c r="F11" i="48"/>
  <c r="E11" i="48"/>
  <c r="E10" i="48"/>
  <c r="C10" i="48"/>
  <c r="A8" i="48"/>
  <c r="C5" i="38"/>
  <c r="C5" i="35" s="1"/>
  <c r="C5" i="39" s="1"/>
  <c r="C5" i="40" s="1"/>
  <c r="C5" i="41" s="1"/>
  <c r="C5" i="42" s="1"/>
  <c r="C5" i="43" s="1"/>
  <c r="C5" i="44" s="1"/>
  <c r="A1" i="38"/>
  <c r="A1" i="35" s="1"/>
  <c r="A1" i="39" s="1"/>
  <c r="A1" i="40" s="1"/>
  <c r="A1" i="41" s="1"/>
  <c r="A1" i="42" s="1"/>
  <c r="A1" i="43" s="1"/>
  <c r="A1" i="44" s="1"/>
  <c r="C30" i="13" l="1"/>
  <c r="C22" i="13"/>
  <c r="C21" i="13" s="1"/>
  <c r="F20" i="48"/>
  <c r="D31" i="13"/>
  <c r="B25" i="13"/>
  <c r="B709" i="34"/>
  <c r="B26" i="14" s="1"/>
  <c r="L658" i="34"/>
  <c r="L154" i="34"/>
  <c r="C18" i="13"/>
  <c r="D34" i="13"/>
  <c r="F34" i="13" s="1"/>
  <c r="D32" i="13"/>
  <c r="F32" i="13" s="1"/>
  <c r="F35" i="13"/>
  <c r="F36" i="13"/>
  <c r="H23" i="48"/>
  <c r="D19" i="48"/>
  <c r="C19" i="48"/>
  <c r="H21" i="48"/>
  <c r="F21" i="48"/>
  <c r="F19" i="48" s="1"/>
  <c r="F16" i="48"/>
  <c r="D18" i="48"/>
  <c r="D15" i="48" s="1"/>
  <c r="C27" i="6"/>
  <c r="D27" i="6" s="1"/>
  <c r="F27" i="6" s="1"/>
  <c r="B27" i="6"/>
  <c r="B25" i="6"/>
  <c r="C25" i="6"/>
  <c r="C23" i="6"/>
  <c r="C22" i="6"/>
  <c r="C21" i="6"/>
  <c r="C20" i="6"/>
  <c r="F31" i="13" l="1"/>
  <c r="F30" i="13" s="1"/>
  <c r="D30" i="13"/>
  <c r="D14" i="48"/>
  <c r="H19" i="48"/>
  <c r="C14" i="48"/>
  <c r="C13" i="48" s="1"/>
  <c r="F18" i="48"/>
  <c r="H18" i="48"/>
  <c r="C24" i="32"/>
  <c r="C22" i="32"/>
  <c r="C21" i="32"/>
  <c r="C20" i="32"/>
  <c r="L383" i="34"/>
  <c r="L382" i="34"/>
  <c r="C16" i="32" s="1"/>
  <c r="K1094" i="34"/>
  <c r="D31" i="9"/>
  <c r="L551" i="34"/>
  <c r="C29" i="9"/>
  <c r="C28" i="9"/>
  <c r="C27" i="9"/>
  <c r="C26" i="9"/>
  <c r="C25" i="9"/>
  <c r="C24" i="9"/>
  <c r="B22" i="9"/>
  <c r="C22" i="9"/>
  <c r="F22" i="9" s="1"/>
  <c r="C23" i="9"/>
  <c r="C21" i="9"/>
  <c r="C17" i="9"/>
  <c r="L545" i="34"/>
  <c r="D13" i="48" l="1"/>
  <c r="C33" i="10"/>
  <c r="F33" i="10" s="1"/>
  <c r="L576" i="34"/>
  <c r="C36" i="10"/>
  <c r="C34" i="10"/>
  <c r="F34" i="10" s="1"/>
  <c r="B34" i="10"/>
  <c r="B589" i="34"/>
  <c r="C32" i="10"/>
  <c r="C31" i="10"/>
  <c r="C30" i="10"/>
  <c r="C29" i="10"/>
  <c r="C28" i="10"/>
  <c r="C27" i="10"/>
  <c r="C26" i="10"/>
  <c r="C25" i="10"/>
  <c r="C24" i="10"/>
  <c r="C23" i="10"/>
  <c r="B23" i="10"/>
  <c r="C31" i="11"/>
  <c r="C37" i="11"/>
  <c r="C35" i="11"/>
  <c r="C34" i="11"/>
  <c r="C33" i="11"/>
  <c r="C32" i="11"/>
  <c r="C30" i="11"/>
  <c r="F30" i="11" s="1"/>
  <c r="C29" i="11"/>
  <c r="C28" i="11"/>
  <c r="C27" i="11"/>
  <c r="C26" i="11"/>
  <c r="C25" i="11"/>
  <c r="B24" i="11"/>
  <c r="C38" i="11"/>
  <c r="F38" i="11" s="1"/>
  <c r="B38" i="11"/>
  <c r="C23" i="11"/>
  <c r="F23" i="11" s="1"/>
  <c r="C22" i="11"/>
  <c r="L634" i="34"/>
  <c r="F28" i="12"/>
  <c r="D28" i="12"/>
  <c r="C32" i="12"/>
  <c r="B32" i="12"/>
  <c r="C30" i="12"/>
  <c r="D30" i="12" s="1"/>
  <c r="F30" i="12" s="1"/>
  <c r="B30" i="12"/>
  <c r="C29" i="12"/>
  <c r="D29" i="12" s="1"/>
  <c r="B28" i="12"/>
  <c r="C27" i="12"/>
  <c r="D27" i="12" s="1"/>
  <c r="F27" i="12" s="1"/>
  <c r="B27" i="12"/>
  <c r="C25" i="12"/>
  <c r="C31" i="12"/>
  <c r="D31" i="12" s="1"/>
  <c r="C24" i="12"/>
  <c r="C26" i="12"/>
  <c r="F26" i="12" s="1"/>
  <c r="B26" i="12"/>
  <c r="C23" i="12"/>
  <c r="C22" i="12"/>
  <c r="L637" i="34"/>
  <c r="C29" i="24"/>
  <c r="C27" i="24"/>
  <c r="B27" i="24"/>
  <c r="C26" i="24"/>
  <c r="B26" i="24"/>
  <c r="C28" i="24"/>
  <c r="C25" i="24"/>
  <c r="C24" i="24"/>
  <c r="C23" i="24"/>
  <c r="F23" i="24" s="1"/>
  <c r="B23" i="24"/>
  <c r="C22" i="24"/>
  <c r="C18" i="24"/>
  <c r="D32" i="12" l="1"/>
  <c r="F32" i="12" s="1"/>
  <c r="F31" i="12"/>
  <c r="F29" i="12"/>
  <c r="C21" i="12"/>
  <c r="C25" i="23"/>
  <c r="D25" i="23" s="1"/>
  <c r="F25" i="23" s="1"/>
  <c r="B25" i="23"/>
  <c r="C30" i="23"/>
  <c r="D30" i="23" s="1"/>
  <c r="F30" i="23" s="1"/>
  <c r="B30" i="23"/>
  <c r="C31" i="23"/>
  <c r="D31" i="23" s="1"/>
  <c r="B31" i="23"/>
  <c r="C32" i="23"/>
  <c r="C29" i="23"/>
  <c r="C28" i="23"/>
  <c r="C27" i="23"/>
  <c r="C26" i="23"/>
  <c r="C24" i="23"/>
  <c r="B24" i="23"/>
  <c r="C23" i="23"/>
  <c r="C22" i="23"/>
  <c r="B22" i="23"/>
  <c r="C30" i="22"/>
  <c r="D30" i="22" s="1"/>
  <c r="F30" i="22" s="1"/>
  <c r="B30" i="22"/>
  <c r="C27" i="22"/>
  <c r="C31" i="22"/>
  <c r="C29" i="22"/>
  <c r="C28" i="22"/>
  <c r="C26" i="22"/>
  <c r="C25" i="22"/>
  <c r="C24" i="22"/>
  <c r="B23" i="22"/>
  <c r="C23" i="22"/>
  <c r="C34" i="21"/>
  <c r="C33" i="21"/>
  <c r="C32" i="21"/>
  <c r="C31" i="21"/>
  <c r="C30" i="21"/>
  <c r="B29" i="21"/>
  <c r="C29" i="21"/>
  <c r="C28" i="21"/>
  <c r="C27" i="21"/>
  <c r="B27" i="21"/>
  <c r="C26" i="21"/>
  <c r="C25" i="21"/>
  <c r="B24" i="21"/>
  <c r="C24" i="21"/>
  <c r="C23" i="21"/>
  <c r="C22" i="21"/>
  <c r="C18" i="21"/>
  <c r="C36" i="20"/>
  <c r="C34" i="20"/>
  <c r="C33" i="20"/>
  <c r="C32" i="20"/>
  <c r="C31" i="20"/>
  <c r="C30" i="20"/>
  <c r="C29" i="20"/>
  <c r="C28" i="20"/>
  <c r="C27" i="20"/>
  <c r="B27" i="20"/>
  <c r="C26" i="20"/>
  <c r="C25" i="20"/>
  <c r="C24" i="20"/>
  <c r="C23" i="20"/>
  <c r="C22" i="20"/>
  <c r="C18" i="20"/>
  <c r="C27" i="47"/>
  <c r="C26" i="47"/>
  <c r="C25" i="47"/>
  <c r="C24" i="47"/>
  <c r="C23" i="47"/>
  <c r="C22" i="47"/>
  <c r="C29" i="47"/>
  <c r="F29" i="47" s="1"/>
  <c r="C18" i="47"/>
  <c r="B822" i="34"/>
  <c r="B29" i="47" s="1"/>
  <c r="C26" i="18"/>
  <c r="F26" i="18" s="1"/>
  <c r="B763" i="34"/>
  <c r="C24" i="19"/>
  <c r="C23" i="19"/>
  <c r="B23" i="19"/>
  <c r="K1016" i="34"/>
  <c r="K941" i="34"/>
  <c r="L984" i="34"/>
  <c r="K754" i="34"/>
  <c r="F17" i="48" l="1"/>
  <c r="F15" i="48" s="1"/>
  <c r="F14" i="48" s="1"/>
  <c r="F13" i="48" s="1"/>
  <c r="H17" i="48"/>
  <c r="E15" i="48"/>
  <c r="F31" i="23"/>
  <c r="E14" i="48" l="1"/>
  <c r="H15" i="48"/>
  <c r="L603" i="34"/>
  <c r="L602" i="34"/>
  <c r="L573" i="34"/>
  <c r="L572" i="34"/>
  <c r="L941" i="34"/>
  <c r="L261" i="34"/>
  <c r="L260" i="34"/>
  <c r="K381" i="34"/>
  <c r="L1019" i="34"/>
  <c r="L1070" i="34"/>
  <c r="K545" i="34"/>
  <c r="L807" i="34"/>
  <c r="K632" i="34"/>
  <c r="K791" i="34"/>
  <c r="L792" i="34"/>
  <c r="L636" i="34"/>
  <c r="L654" i="34" s="1"/>
  <c r="L635" i="34" s="1"/>
  <c r="L633" i="34"/>
  <c r="L1022" i="34"/>
  <c r="L1020" i="34"/>
  <c r="C20" i="22" s="1"/>
  <c r="L1017" i="34"/>
  <c r="C18" i="22" s="1"/>
  <c r="L1043" i="34"/>
  <c r="L1042" i="34"/>
  <c r="C18" i="23" s="1"/>
  <c r="L1045" i="34"/>
  <c r="L601" i="34" l="1"/>
  <c r="C18" i="11"/>
  <c r="L571" i="34"/>
  <c r="C19" i="10"/>
  <c r="L1021" i="34"/>
  <c r="L1037" i="34" s="1"/>
  <c r="C22" i="22"/>
  <c r="C21" i="22" s="1"/>
  <c r="C20" i="23"/>
  <c r="E13" i="48"/>
  <c r="H13" i="48" s="1"/>
  <c r="H14" i="48"/>
  <c r="L259" i="34"/>
  <c r="L381" i="34"/>
  <c r="L1041" i="34"/>
  <c r="L632" i="34"/>
  <c r="L1016" i="34"/>
  <c r="M1017" i="34"/>
  <c r="I23" i="19" l="1"/>
  <c r="F23" i="19"/>
  <c r="L793" i="34"/>
  <c r="L791" i="34" s="1"/>
  <c r="C38" i="18"/>
  <c r="C40" i="18"/>
  <c r="C39" i="18"/>
  <c r="C37" i="18"/>
  <c r="C36" i="18"/>
  <c r="C34" i="18"/>
  <c r="C33" i="18"/>
  <c r="C32" i="18"/>
  <c r="C31" i="18"/>
  <c r="C30" i="18"/>
  <c r="C29" i="18"/>
  <c r="C28" i="18"/>
  <c r="C25" i="18"/>
  <c r="C23" i="18"/>
  <c r="C24" i="18"/>
  <c r="C11" i="18"/>
  <c r="A4" i="18"/>
  <c r="L756" i="34"/>
  <c r="N756" i="34"/>
  <c r="N755" i="34"/>
  <c r="L755" i="34"/>
  <c r="L764" i="34"/>
  <c r="L759" i="34" s="1"/>
  <c r="K1188" i="34"/>
  <c r="K1175" i="34"/>
  <c r="K1170" i="34"/>
  <c r="K1169" i="34" s="1"/>
  <c r="K1134" i="34"/>
  <c r="K1133" i="34" s="1"/>
  <c r="K1162" i="34" s="1"/>
  <c r="K1099" i="34"/>
  <c r="K1093" i="34"/>
  <c r="K1131" i="34" s="1"/>
  <c r="K1075" i="34"/>
  <c r="K1074" i="34"/>
  <c r="K1090" i="34" s="1"/>
  <c r="K1089" i="34" s="1"/>
  <c r="K1072" i="34"/>
  <c r="K1070" i="34" s="1"/>
  <c r="K1048" i="34"/>
  <c r="K1046" i="34" s="1"/>
  <c r="K1045" i="34"/>
  <c r="K1041" i="34"/>
  <c r="K1023" i="34"/>
  <c r="K1022" i="34" s="1"/>
  <c r="K1021" i="34" s="1"/>
  <c r="K1020" i="34"/>
  <c r="K984" i="34"/>
  <c r="K982" i="34"/>
  <c r="K979" i="34"/>
  <c r="K946" i="34"/>
  <c r="K944" i="34"/>
  <c r="K889" i="34"/>
  <c r="K867" i="34" s="1"/>
  <c r="K858" i="34"/>
  <c r="K855" i="34"/>
  <c r="K852" i="34"/>
  <c r="K846" i="34"/>
  <c r="K832" i="34" s="1"/>
  <c r="K831" i="34"/>
  <c r="K827" i="34"/>
  <c r="K812" i="34"/>
  <c r="K811" i="34"/>
  <c r="K809" i="34"/>
  <c r="K808" i="34"/>
  <c r="K796" i="34"/>
  <c r="M791" i="34" s="1"/>
  <c r="K795" i="34"/>
  <c r="K803" i="34" s="1"/>
  <c r="K802" i="34" s="1"/>
  <c r="K784" i="34"/>
  <c r="K764" i="34"/>
  <c r="K758" i="34"/>
  <c r="K753" i="34" s="1"/>
  <c r="K740" i="34"/>
  <c r="K737" i="34" s="1"/>
  <c r="K736" i="34"/>
  <c r="K733" i="34"/>
  <c r="K734" i="34" s="1"/>
  <c r="K720" i="34"/>
  <c r="K710" i="34"/>
  <c r="K706" i="34" s="1"/>
  <c r="K703" i="34"/>
  <c r="K698" i="34" s="1"/>
  <c r="K701" i="34"/>
  <c r="K699" i="34" s="1"/>
  <c r="K688" i="34"/>
  <c r="K679" i="34"/>
  <c r="K664" i="34"/>
  <c r="K662" i="34"/>
  <c r="K658" i="34"/>
  <c r="K644" i="34"/>
  <c r="K637" i="34" s="1"/>
  <c r="K636" i="34"/>
  <c r="K607" i="34"/>
  <c r="K605" i="34"/>
  <c r="K628" i="34" s="1"/>
  <c r="K627" i="34" s="1"/>
  <c r="K603" i="34"/>
  <c r="K601" i="34" s="1"/>
  <c r="K576" i="34"/>
  <c r="K575" i="34"/>
  <c r="K570" i="34" s="1"/>
  <c r="K569" i="34" s="1"/>
  <c r="K571" i="34"/>
  <c r="K551" i="34"/>
  <c r="K549" i="34"/>
  <c r="K544" i="34" s="1"/>
  <c r="K532" i="34"/>
  <c r="K520" i="34" s="1"/>
  <c r="K519" i="34"/>
  <c r="K514" i="34" s="1"/>
  <c r="K502" i="34"/>
  <c r="K501" i="34"/>
  <c r="K511" i="34" s="1"/>
  <c r="K510" i="34" s="1"/>
  <c r="K497" i="34"/>
  <c r="K481" i="34"/>
  <c r="K471" i="34"/>
  <c r="K470" i="34" s="1"/>
  <c r="K431" i="34"/>
  <c r="K421" i="34"/>
  <c r="K422" i="34" s="1"/>
  <c r="K420" i="34" s="1"/>
  <c r="K415" i="34"/>
  <c r="K416" i="34" s="1"/>
  <c r="K411" i="34" s="1"/>
  <c r="K404" i="34"/>
  <c r="K405" i="34" s="1"/>
  <c r="K387" i="34"/>
  <c r="K385" i="34"/>
  <c r="K400" i="34" s="1"/>
  <c r="K399" i="34" s="1"/>
  <c r="K365" i="34"/>
  <c r="K357" i="34" s="1"/>
  <c r="K355" i="34"/>
  <c r="K351" i="34"/>
  <c r="K339" i="34"/>
  <c r="K332" i="34" s="1"/>
  <c r="K330" i="34"/>
  <c r="K326" i="34"/>
  <c r="K314" i="34"/>
  <c r="K309" i="34"/>
  <c r="K295" i="34"/>
  <c r="K294" i="34"/>
  <c r="K291" i="34"/>
  <c r="K281" i="34" s="1"/>
  <c r="K287" i="34"/>
  <c r="K276" i="34"/>
  <c r="K274" i="34"/>
  <c r="K273" i="34"/>
  <c r="K269" i="34"/>
  <c r="K260" i="34"/>
  <c r="K259" i="34" s="1"/>
  <c r="K255" i="34"/>
  <c r="K253" i="34"/>
  <c r="K246" i="34"/>
  <c r="K240" i="34"/>
  <c r="K218" i="34"/>
  <c r="K238" i="34" s="1"/>
  <c r="K202" i="34"/>
  <c r="K184" i="34" s="1"/>
  <c r="K183" i="34"/>
  <c r="K181" i="34"/>
  <c r="K179" i="34" s="1"/>
  <c r="K171" i="34"/>
  <c r="K159" i="34"/>
  <c r="K157" i="34"/>
  <c r="K154" i="34"/>
  <c r="K146" i="34"/>
  <c r="K138" i="34" s="1"/>
  <c r="K135" i="34" s="1"/>
  <c r="K131" i="34"/>
  <c r="K123" i="34" s="1"/>
  <c r="K116" i="34"/>
  <c r="K121" i="34" s="1"/>
  <c r="K114" i="34"/>
  <c r="K112" i="34"/>
  <c r="K110" i="34"/>
  <c r="K106" i="34"/>
  <c r="K104" i="34" s="1"/>
  <c r="K99" i="34"/>
  <c r="K92" i="34" s="1"/>
  <c r="K58" i="34"/>
  <c r="K33" i="34"/>
  <c r="K7" i="34"/>
  <c r="K1012" i="34" l="1"/>
  <c r="K1011" i="34" s="1"/>
  <c r="K567" i="34"/>
  <c r="K566" i="34" s="1"/>
  <c r="K1073" i="34"/>
  <c r="K542" i="34"/>
  <c r="K541" i="34" s="1"/>
  <c r="K596" i="34"/>
  <c r="K595" i="34" s="1"/>
  <c r="K847" i="34"/>
  <c r="K830" i="34" s="1"/>
  <c r="K826" i="34" s="1"/>
  <c r="K825" i="34" s="1"/>
  <c r="K604" i="34"/>
  <c r="K599" i="34" s="1"/>
  <c r="K598" i="34" s="1"/>
  <c r="K597" i="34" s="1"/>
  <c r="K705" i="34"/>
  <c r="K697" i="34" s="1"/>
  <c r="K252" i="34"/>
  <c r="K249" i="34" s="1"/>
  <c r="N757" i="34"/>
  <c r="N758" i="34" s="1"/>
  <c r="K759" i="34"/>
  <c r="K752" i="34" s="1"/>
  <c r="K265" i="34"/>
  <c r="K278" i="34" s="1"/>
  <c r="K277" i="34" s="1"/>
  <c r="K262" i="34" s="1"/>
  <c r="K258" i="34" s="1"/>
  <c r="K257" i="34" s="1"/>
  <c r="K406" i="34"/>
  <c r="K407" i="34" s="1"/>
  <c r="K1037" i="34"/>
  <c r="K1036" i="34" s="1"/>
  <c r="K1018" i="34"/>
  <c r="K1015" i="34" s="1"/>
  <c r="K1014" i="34" s="1"/>
  <c r="K217" i="34"/>
  <c r="K216" i="34" s="1"/>
  <c r="K182" i="34" s="1"/>
  <c r="K176" i="34" s="1"/>
  <c r="K175" i="34" s="1"/>
  <c r="K377" i="34"/>
  <c r="K376" i="34" s="1"/>
  <c r="K543" i="34"/>
  <c r="K1066" i="34"/>
  <c r="K1065" i="34" s="1"/>
  <c r="K1044" i="34" s="1"/>
  <c r="K1040" i="34" s="1"/>
  <c r="K1039" i="34" s="1"/>
  <c r="C27" i="18"/>
  <c r="K174" i="34"/>
  <c r="K173" i="34" s="1"/>
  <c r="K158" i="34" s="1"/>
  <c r="K152" i="34" s="1"/>
  <c r="K151" i="34" s="1"/>
  <c r="K150" i="34" s="1"/>
  <c r="K343" i="34"/>
  <c r="K342" i="34" s="1"/>
  <c r="K469" i="34"/>
  <c r="K513" i="34"/>
  <c r="K512" i="34" s="1"/>
  <c r="K695" i="34"/>
  <c r="K694" i="34" s="1"/>
  <c r="K661" i="34" s="1"/>
  <c r="K657" i="34" s="1"/>
  <c r="K750" i="34"/>
  <c r="K735" i="34" s="1"/>
  <c r="K731" i="34" s="1"/>
  <c r="K730" i="34" s="1"/>
  <c r="K787" i="34"/>
  <c r="K786" i="34" s="1"/>
  <c r="K824" i="34"/>
  <c r="K810" i="34" s="1"/>
  <c r="K806" i="34" s="1"/>
  <c r="K805" i="34" s="1"/>
  <c r="K980" i="34"/>
  <c r="K976" i="34"/>
  <c r="K975" i="34" s="1"/>
  <c r="K978" i="34"/>
  <c r="K977" i="34" s="1"/>
  <c r="K663" i="34"/>
  <c r="K728" i="34"/>
  <c r="K727" i="34" s="1"/>
  <c r="K71" i="34"/>
  <c r="K293" i="34"/>
  <c r="K280" i="34" s="1"/>
  <c r="K379" i="34"/>
  <c r="K378" i="34" s="1"/>
  <c r="K464" i="34" s="1"/>
  <c r="K467" i="34" s="1"/>
  <c r="K466" i="34" s="1"/>
  <c r="K496" i="34"/>
  <c r="K495" i="34" s="1"/>
  <c r="K807" i="34"/>
  <c r="K6" i="34"/>
  <c r="K345" i="34"/>
  <c r="K344" i="34" s="1"/>
  <c r="K568" i="34"/>
  <c r="K794" i="34"/>
  <c r="K790" i="34" s="1"/>
  <c r="K789" i="34" s="1"/>
  <c r="K940" i="34"/>
  <c r="K939" i="34" s="1"/>
  <c r="K974" i="34"/>
  <c r="K973" i="34" s="1"/>
  <c r="K1069" i="34"/>
  <c r="K1068" i="34" s="1"/>
  <c r="C19" i="18"/>
  <c r="L754" i="34"/>
  <c r="K897" i="34"/>
  <c r="K896" i="34" s="1"/>
  <c r="K654" i="34"/>
  <c r="K653" i="34" s="1"/>
  <c r="K635" i="34" s="1"/>
  <c r="K630" i="34" s="1"/>
  <c r="K629" i="34" s="1"/>
  <c r="K732" i="34"/>
  <c r="K432" i="34"/>
  <c r="K427" i="34" s="1"/>
  <c r="K853" i="34"/>
  <c r="K320" i="34"/>
  <c r="K319" i="34" s="1"/>
  <c r="K403" i="34"/>
  <c r="K423" i="34"/>
  <c r="K424" i="34" s="1"/>
  <c r="C21" i="47"/>
  <c r="F28" i="47"/>
  <c r="D23" i="47"/>
  <c r="F23" i="47" s="1"/>
  <c r="D24" i="47"/>
  <c r="F24" i="47" s="1"/>
  <c r="D25" i="47"/>
  <c r="F25" i="47" s="1"/>
  <c r="D26" i="47"/>
  <c r="F26" i="47" s="1"/>
  <c r="D27" i="47"/>
  <c r="F27" i="47" s="1"/>
  <c r="D30" i="47"/>
  <c r="D22" i="47"/>
  <c r="F22" i="47" s="1"/>
  <c r="B10" i="47"/>
  <c r="B10" i="46"/>
  <c r="B21" i="47"/>
  <c r="B19" i="47"/>
  <c r="F11" i="47"/>
  <c r="E11" i="47"/>
  <c r="E10" i="47"/>
  <c r="C10" i="47"/>
  <c r="A8" i="47"/>
  <c r="A4" i="47"/>
  <c r="K318" i="34" l="1"/>
  <c r="K317" i="34" s="1"/>
  <c r="K35" i="34"/>
  <c r="F30" i="47"/>
  <c r="F21" i="47" s="1"/>
  <c r="D21" i="47"/>
  <c r="I21" i="47" s="1"/>
  <c r="K656" i="34"/>
  <c r="K938" i="34"/>
  <c r="K494" i="34"/>
  <c r="K854" i="34"/>
  <c r="K850" i="34" s="1"/>
  <c r="K849" i="34" s="1"/>
  <c r="K848" i="34" s="1"/>
  <c r="K402" i="34"/>
  <c r="K463" i="34"/>
  <c r="K419" i="34"/>
  <c r="K851" i="34"/>
  <c r="K493" i="34" l="1"/>
  <c r="K492" i="34"/>
  <c r="K1171" i="34" s="1"/>
  <c r="K1173" i="34" s="1"/>
  <c r="J21" i="47"/>
  <c r="K1092" i="34" l="1"/>
  <c r="K1180" i="34" s="1"/>
  <c r="K5" i="34" s="1"/>
  <c r="K4" i="34" s="1"/>
  <c r="E21" i="46"/>
  <c r="C21" i="46"/>
  <c r="F24" i="46"/>
  <c r="F22" i="46"/>
  <c r="D26" i="46"/>
  <c r="F26" i="46" s="1"/>
  <c r="D27" i="46"/>
  <c r="F27" i="46" s="1"/>
  <c r="D28" i="46"/>
  <c r="F28" i="46" s="1"/>
  <c r="D32" i="46"/>
  <c r="F32" i="46" s="1"/>
  <c r="D25" i="46"/>
  <c r="F25" i="46" s="1"/>
  <c r="I18" i="46"/>
  <c r="I35" i="46"/>
  <c r="B21" i="46"/>
  <c r="B19" i="46"/>
  <c r="F11" i="46"/>
  <c r="E11" i="46"/>
  <c r="E10" i="46"/>
  <c r="C10" i="46"/>
  <c r="A8" i="46"/>
  <c r="A4" i="46"/>
  <c r="F21" i="46" l="1"/>
  <c r="D21" i="46"/>
  <c r="I21" i="46" s="1"/>
  <c r="F18" i="46"/>
  <c r="D41" i="27"/>
  <c r="E41" i="27" s="1"/>
  <c r="J21" i="46" l="1"/>
  <c r="J35" i="46"/>
  <c r="J18" i="46"/>
  <c r="I34" i="46"/>
  <c r="J34" i="46" s="1"/>
  <c r="D45" i="27"/>
  <c r="E45" i="27" s="1"/>
  <c r="D33" i="27"/>
  <c r="D34" i="27"/>
  <c r="D35" i="27"/>
  <c r="D37" i="27"/>
  <c r="D38" i="27"/>
  <c r="D39" i="27"/>
  <c r="D40" i="27"/>
  <c r="D42" i="27"/>
  <c r="D44" i="27"/>
  <c r="C21" i="27"/>
  <c r="G33" i="27" s="1"/>
  <c r="I33" i="46" l="1"/>
  <c r="J33" i="46" s="1"/>
  <c r="D28" i="26"/>
  <c r="E28" i="26" s="1"/>
  <c r="D29" i="26"/>
  <c r="D30" i="26"/>
  <c r="E30" i="26" s="1"/>
  <c r="D31" i="26"/>
  <c r="E31" i="26" s="1"/>
  <c r="D32" i="26"/>
  <c r="E32" i="26" s="1"/>
  <c r="D33" i="26"/>
  <c r="E33" i="26" s="1"/>
  <c r="D34" i="26"/>
  <c r="E34" i="26" s="1"/>
  <c r="D37" i="26"/>
  <c r="E37" i="26" s="1"/>
  <c r="D39" i="26"/>
  <c r="E39" i="26" s="1"/>
  <c r="D24" i="26"/>
  <c r="E24" i="26" s="1"/>
  <c r="C26" i="26"/>
  <c r="G27" i="26" s="1"/>
  <c r="D17" i="26"/>
  <c r="E17" i="26" s="1"/>
  <c r="D18" i="26"/>
  <c r="E18" i="26" s="1"/>
  <c r="D19" i="26"/>
  <c r="E19" i="26" s="1"/>
  <c r="D20" i="26"/>
  <c r="E20" i="26" s="1"/>
  <c r="D21" i="26"/>
  <c r="E21" i="26" s="1"/>
  <c r="D22" i="26"/>
  <c r="E22" i="26" s="1"/>
  <c r="D23" i="26"/>
  <c r="E23" i="26" s="1"/>
  <c r="D25" i="26"/>
  <c r="E25" i="26" s="1"/>
  <c r="D15" i="26"/>
  <c r="E15" i="26" s="1"/>
  <c r="C7" i="36"/>
  <c r="C7" i="43"/>
  <c r="C7" i="44"/>
  <c r="C7" i="42"/>
  <c r="C7" i="41"/>
  <c r="C7" i="40"/>
  <c r="C7" i="39"/>
  <c r="B7" i="35"/>
  <c r="C7" i="35"/>
  <c r="E42" i="27"/>
  <c r="E44" i="27"/>
  <c r="E40" i="27"/>
  <c r="H21" i="27"/>
  <c r="E33" i="27"/>
  <c r="E34" i="27"/>
  <c r="E35" i="27"/>
  <c r="E37" i="27"/>
  <c r="E38" i="27"/>
  <c r="E39" i="27"/>
  <c r="D32" i="27"/>
  <c r="E32" i="27" s="1"/>
  <c r="E19" i="27"/>
  <c r="D15" i="27"/>
  <c r="E15" i="27" s="1"/>
  <c r="D16" i="27"/>
  <c r="E16" i="27" s="1"/>
  <c r="D17" i="27"/>
  <c r="E17" i="27" s="1"/>
  <c r="D18" i="27"/>
  <c r="E18" i="27" s="1"/>
  <c r="D20" i="27"/>
  <c r="E20" i="27" s="1"/>
  <c r="C14" i="27"/>
  <c r="G16" i="27" s="1"/>
  <c r="G14" i="27"/>
  <c r="D21" i="27" l="1"/>
  <c r="E29" i="26"/>
  <c r="E21" i="27"/>
  <c r="C14" i="26"/>
  <c r="G17" i="26" s="1"/>
  <c r="D16" i="26"/>
  <c r="A1" i="45"/>
  <c r="A3" i="45" s="1"/>
  <c r="D14" i="27"/>
  <c r="E14" i="27"/>
  <c r="C21" i="24"/>
  <c r="H22" i="24"/>
  <c r="H24" i="24"/>
  <c r="A21" i="22"/>
  <c r="A21" i="23" s="1"/>
  <c r="A21" i="24" s="1"/>
  <c r="C21" i="21"/>
  <c r="I34" i="21"/>
  <c r="C21" i="20"/>
  <c r="J22" i="20"/>
  <c r="J23" i="20"/>
  <c r="B21" i="20"/>
  <c r="B21" i="21" s="1"/>
  <c r="B21" i="22" s="1"/>
  <c r="B21" i="23" s="1"/>
  <c r="B21" i="24" s="1"/>
  <c r="C22" i="30"/>
  <c r="J22" i="30" s="1"/>
  <c r="J21" i="30"/>
  <c r="J23" i="30"/>
  <c r="J24" i="30"/>
  <c r="J25" i="30"/>
  <c r="J26" i="30"/>
  <c r="J27" i="30"/>
  <c r="J28" i="30"/>
  <c r="J29" i="30"/>
  <c r="J30" i="30"/>
  <c r="I24" i="19"/>
  <c r="B21" i="19"/>
  <c r="G15" i="26" l="1"/>
  <c r="E16" i="26"/>
  <c r="E14" i="26" s="1"/>
  <c r="D14" i="26"/>
  <c r="H23" i="18"/>
  <c r="H24" i="18"/>
  <c r="H25" i="18"/>
  <c r="B21" i="18"/>
  <c r="F49" i="17"/>
  <c r="B21" i="17" l="1"/>
  <c r="H24" i="14"/>
  <c r="H25" i="14"/>
  <c r="H40" i="14"/>
  <c r="H41" i="14"/>
  <c r="H23" i="11"/>
  <c r="B21" i="11"/>
  <c r="B21" i="12" s="1"/>
  <c r="B21" i="13" s="1"/>
  <c r="H33" i="10"/>
  <c r="I33" i="10" s="1"/>
  <c r="C22" i="10"/>
  <c r="E22" i="10"/>
  <c r="K21" i="9"/>
  <c r="C20" i="9"/>
  <c r="F37" i="8"/>
  <c r="H38" i="8"/>
  <c r="H39" i="8"/>
  <c r="F40" i="8"/>
  <c r="H41" i="8"/>
  <c r="F43" i="8"/>
  <c r="H44" i="8"/>
  <c r="H49" i="8"/>
  <c r="H50" i="8"/>
  <c r="H51" i="8"/>
  <c r="F53" i="8"/>
  <c r="D35" i="8"/>
  <c r="D34" i="8" s="1"/>
  <c r="F36" i="8"/>
  <c r="F42" i="8"/>
  <c r="F52" i="8"/>
  <c r="H24" i="8"/>
  <c r="H26" i="8"/>
  <c r="H36" i="8"/>
  <c r="H42" i="8"/>
  <c r="H52" i="8"/>
  <c r="C21" i="8"/>
  <c r="I58" i="7"/>
  <c r="H50" i="7"/>
  <c r="C20" i="5"/>
  <c r="E20" i="4"/>
  <c r="G20" i="4"/>
  <c r="C20" i="4"/>
  <c r="H22" i="32"/>
  <c r="H21" i="1"/>
  <c r="H22" i="1"/>
  <c r="H23" i="1"/>
  <c r="I36" i="8" l="1"/>
  <c r="I42" i="8"/>
  <c r="F41" i="8"/>
  <c r="I41" i="8" s="1"/>
  <c r="H53" i="8"/>
  <c r="I53" i="8" s="1"/>
  <c r="H43" i="8"/>
  <c r="I43" i="8" s="1"/>
  <c r="H37" i="8"/>
  <c r="I37" i="8" s="1"/>
  <c r="H15" i="10"/>
  <c r="N576" i="34"/>
  <c r="F51" i="8"/>
  <c r="I51" i="8" s="1"/>
  <c r="I52" i="8"/>
  <c r="H35" i="8"/>
  <c r="F50" i="8"/>
  <c r="I50" i="8" s="1"/>
  <c r="F49" i="8"/>
  <c r="I49" i="8" s="1"/>
  <c r="H40" i="8"/>
  <c r="I40" i="8" s="1"/>
  <c r="F44" i="8"/>
  <c r="I44" i="8" s="1"/>
  <c r="F38" i="8"/>
  <c r="I38" i="8" s="1"/>
  <c r="F39" i="8"/>
  <c r="I39" i="8" s="1"/>
  <c r="F20" i="25"/>
  <c r="F20" i="31"/>
  <c r="F26" i="27"/>
  <c r="C12" i="5"/>
  <c r="D7" i="25"/>
  <c r="F24" i="24"/>
  <c r="D26" i="24"/>
  <c r="H26" i="24" s="1"/>
  <c r="D27" i="24"/>
  <c r="H27" i="24" s="1"/>
  <c r="D28" i="24"/>
  <c r="H28" i="24" s="1"/>
  <c r="D29" i="24"/>
  <c r="H29" i="24" s="1"/>
  <c r="D30" i="24"/>
  <c r="H30" i="24" s="1"/>
  <c r="B19" i="24"/>
  <c r="F11" i="24"/>
  <c r="E11" i="24"/>
  <c r="E10" i="24"/>
  <c r="C10" i="24"/>
  <c r="C11" i="31" s="1"/>
  <c r="A4" i="23"/>
  <c r="C21" i="23"/>
  <c r="D23" i="23"/>
  <c r="F23" i="23" s="1"/>
  <c r="D24" i="23"/>
  <c r="F24" i="23" s="1"/>
  <c r="D26" i="23"/>
  <c r="F26" i="23" s="1"/>
  <c r="D27" i="23"/>
  <c r="F27" i="23" s="1"/>
  <c r="D28" i="23"/>
  <c r="F28" i="23" s="1"/>
  <c r="D29" i="23"/>
  <c r="F29" i="23" s="1"/>
  <c r="D32" i="23"/>
  <c r="F32" i="23" s="1"/>
  <c r="E21" i="23"/>
  <c r="F18" i="23"/>
  <c r="B19" i="23"/>
  <c r="F11" i="23"/>
  <c r="E11" i="23"/>
  <c r="E10" i="23"/>
  <c r="C10" i="23"/>
  <c r="E22" i="22"/>
  <c r="E21" i="22" s="1"/>
  <c r="D23" i="22"/>
  <c r="F23" i="22" s="1"/>
  <c r="D24" i="22"/>
  <c r="F24" i="22" s="1"/>
  <c r="D25" i="22"/>
  <c r="F25" i="22" s="1"/>
  <c r="D26" i="22"/>
  <c r="F26" i="22" s="1"/>
  <c r="F27" i="22"/>
  <c r="D28" i="22"/>
  <c r="F28" i="22" s="1"/>
  <c r="D29" i="22"/>
  <c r="F29" i="22" s="1"/>
  <c r="F31" i="22"/>
  <c r="F18" i="22"/>
  <c r="B19" i="22"/>
  <c r="F11" i="22"/>
  <c r="E11" i="22"/>
  <c r="E10" i="22"/>
  <c r="C10" i="22"/>
  <c r="A4" i="22"/>
  <c r="E21" i="21"/>
  <c r="F34" i="21"/>
  <c r="J34" i="21" s="1"/>
  <c r="D23" i="21"/>
  <c r="I23" i="21" s="1"/>
  <c r="D24" i="21"/>
  <c r="I24" i="21" s="1"/>
  <c r="D25" i="21"/>
  <c r="I25" i="21" s="1"/>
  <c r="D26" i="21"/>
  <c r="I26" i="21" s="1"/>
  <c r="D27" i="21"/>
  <c r="I27" i="21" s="1"/>
  <c r="D28" i="21"/>
  <c r="I28" i="21" s="1"/>
  <c r="D29" i="21"/>
  <c r="I29" i="21" s="1"/>
  <c r="D30" i="21"/>
  <c r="I30" i="21" s="1"/>
  <c r="D31" i="21"/>
  <c r="I31" i="21" s="1"/>
  <c r="D32" i="21"/>
  <c r="I32" i="21" s="1"/>
  <c r="D33" i="21"/>
  <c r="I33" i="21" s="1"/>
  <c r="B19" i="21"/>
  <c r="F11" i="21"/>
  <c r="E11" i="21"/>
  <c r="E10" i="21"/>
  <c r="C10" i="21"/>
  <c r="A4" i="21"/>
  <c r="E21" i="20"/>
  <c r="F23" i="20"/>
  <c r="K23" i="20" s="1"/>
  <c r="D25" i="20"/>
  <c r="J25" i="20" s="1"/>
  <c r="D26" i="20"/>
  <c r="J26" i="20" s="1"/>
  <c r="D27" i="20"/>
  <c r="J27" i="20" s="1"/>
  <c r="J28" i="20"/>
  <c r="D29" i="20"/>
  <c r="J29" i="20" s="1"/>
  <c r="D30" i="20"/>
  <c r="J30" i="20" s="1"/>
  <c r="D31" i="20"/>
  <c r="J31" i="20" s="1"/>
  <c r="D32" i="20"/>
  <c r="J32" i="20" s="1"/>
  <c r="D33" i="20"/>
  <c r="J33" i="20" s="1"/>
  <c r="J34" i="20"/>
  <c r="D35" i="20"/>
  <c r="J35" i="20" s="1"/>
  <c r="D36" i="20"/>
  <c r="J36" i="20" s="1"/>
  <c r="D37" i="20"/>
  <c r="J37" i="20" s="1"/>
  <c r="J18" i="20"/>
  <c r="B19" i="20"/>
  <c r="F11" i="20"/>
  <c r="E11" i="20"/>
  <c r="E10" i="20"/>
  <c r="C10" i="20"/>
  <c r="A4" i="20"/>
  <c r="D34" i="30"/>
  <c r="J34" i="30" s="1"/>
  <c r="J35" i="30"/>
  <c r="D49" i="30"/>
  <c r="J36" i="30"/>
  <c r="J38" i="30"/>
  <c r="D60" i="30"/>
  <c r="D50" i="30"/>
  <c r="D39" i="30"/>
  <c r="J39" i="30" s="1"/>
  <c r="D40" i="30"/>
  <c r="J40" i="30" s="1"/>
  <c r="D51" i="30"/>
  <c r="F51" i="30" s="1"/>
  <c r="D55" i="30"/>
  <c r="J41" i="30"/>
  <c r="D46" i="30"/>
  <c r="J46" i="30" s="1"/>
  <c r="D47" i="30"/>
  <c r="J52" i="30"/>
  <c r="D53" i="30"/>
  <c r="J44" i="30"/>
  <c r="D56" i="30"/>
  <c r="D59" i="30"/>
  <c r="D62" i="30"/>
  <c r="F62" i="30" s="1"/>
  <c r="D63" i="30"/>
  <c r="D45" i="30"/>
  <c r="J45" i="30" s="1"/>
  <c r="F36" i="30"/>
  <c r="D33" i="30"/>
  <c r="F33" i="30" s="1"/>
  <c r="F24" i="30"/>
  <c r="K24" i="30" s="1"/>
  <c r="F25" i="30"/>
  <c r="K25" i="30" s="1"/>
  <c r="F26" i="30"/>
  <c r="K26" i="30" s="1"/>
  <c r="F27" i="30"/>
  <c r="K27" i="30" s="1"/>
  <c r="F28" i="30"/>
  <c r="K28" i="30" s="1"/>
  <c r="F29" i="30"/>
  <c r="K29" i="30" s="1"/>
  <c r="F30" i="30"/>
  <c r="K30" i="30" s="1"/>
  <c r="C20" i="30"/>
  <c r="B17" i="30"/>
  <c r="F11" i="30"/>
  <c r="E11" i="30"/>
  <c r="E10" i="30"/>
  <c r="C10" i="30"/>
  <c r="A4" i="30"/>
  <c r="C22" i="19"/>
  <c r="I22" i="19" s="1"/>
  <c r="C18" i="19"/>
  <c r="F11" i="19"/>
  <c r="E11" i="19"/>
  <c r="E10" i="19"/>
  <c r="B19" i="19"/>
  <c r="C10" i="19"/>
  <c r="A4" i="19"/>
  <c r="C22" i="18"/>
  <c r="D36" i="18"/>
  <c r="H36" i="18" s="1"/>
  <c r="D37" i="18"/>
  <c r="H37" i="18" s="1"/>
  <c r="D38" i="18"/>
  <c r="H38" i="18" s="1"/>
  <c r="D39" i="18"/>
  <c r="H39" i="18" s="1"/>
  <c r="D40" i="18"/>
  <c r="H40" i="18" s="1"/>
  <c r="D41" i="18"/>
  <c r="H41" i="18" s="1"/>
  <c r="H19" i="18"/>
  <c r="B20" i="18"/>
  <c r="F12" i="18"/>
  <c r="E12" i="18"/>
  <c r="E11" i="18"/>
  <c r="C42" i="17"/>
  <c r="C31" i="17"/>
  <c r="E21" i="17"/>
  <c r="C21" i="17"/>
  <c r="F23" i="17"/>
  <c r="F26" i="17"/>
  <c r="F28" i="17"/>
  <c r="B19" i="17"/>
  <c r="F11" i="17"/>
  <c r="E11" i="17"/>
  <c r="E10" i="17"/>
  <c r="A4" i="17"/>
  <c r="C10" i="17"/>
  <c r="E33" i="14"/>
  <c r="D37" i="14"/>
  <c r="H37" i="14" s="1"/>
  <c r="D38" i="14"/>
  <c r="H38" i="14" s="1"/>
  <c r="D39" i="14"/>
  <c r="H39" i="14" s="1"/>
  <c r="E35" i="14"/>
  <c r="D36" i="14"/>
  <c r="H36" i="14" s="1"/>
  <c r="E23" i="14"/>
  <c r="D30" i="14"/>
  <c r="H30" i="14" s="1"/>
  <c r="D31" i="14"/>
  <c r="D32" i="14"/>
  <c r="C23" i="14"/>
  <c r="F13" i="14"/>
  <c r="E13" i="14"/>
  <c r="E12" i="14"/>
  <c r="C12" i="14"/>
  <c r="A5" i="14"/>
  <c r="F35" i="20" l="1"/>
  <c r="F39" i="30"/>
  <c r="K39" i="30" s="1"/>
  <c r="F34" i="30"/>
  <c r="K34" i="30" s="1"/>
  <c r="C30" i="17"/>
  <c r="C29" i="17" s="1"/>
  <c r="J59" i="30"/>
  <c r="F59" i="30"/>
  <c r="J56" i="30"/>
  <c r="F56" i="30"/>
  <c r="J50" i="30"/>
  <c r="F50" i="30"/>
  <c r="J60" i="30"/>
  <c r="F60" i="30"/>
  <c r="J55" i="30"/>
  <c r="F55" i="30"/>
  <c r="F47" i="30"/>
  <c r="J47" i="30"/>
  <c r="J63" i="30"/>
  <c r="F63" i="30"/>
  <c r="J53" i="30"/>
  <c r="K53" i="30" s="1"/>
  <c r="F53" i="30"/>
  <c r="J49" i="30"/>
  <c r="F49" i="30"/>
  <c r="K52" i="30"/>
  <c r="F40" i="30"/>
  <c r="K40" i="30" s="1"/>
  <c r="F44" i="30"/>
  <c r="K44" i="30" s="1"/>
  <c r="F38" i="30"/>
  <c r="K38" i="30" s="1"/>
  <c r="F45" i="30"/>
  <c r="K45" i="30" s="1"/>
  <c r="F41" i="30"/>
  <c r="K41" i="30" s="1"/>
  <c r="F35" i="30"/>
  <c r="K35" i="30" s="1"/>
  <c r="F39" i="14"/>
  <c r="I39" i="14" s="1"/>
  <c r="F38" i="14"/>
  <c r="I38" i="14" s="1"/>
  <c r="D35" i="14"/>
  <c r="D34" i="14" s="1"/>
  <c r="F37" i="14"/>
  <c r="I37" i="14" s="1"/>
  <c r="F30" i="14"/>
  <c r="I30" i="14" s="1"/>
  <c r="F29" i="20"/>
  <c r="K29" i="20" s="1"/>
  <c r="F32" i="20"/>
  <c r="K32" i="20" s="1"/>
  <c r="I24" i="24"/>
  <c r="F26" i="20"/>
  <c r="F19" i="18"/>
  <c r="I19" i="18" s="1"/>
  <c r="F41" i="18"/>
  <c r="I41" i="18" s="1"/>
  <c r="F33" i="21"/>
  <c r="J33" i="21" s="1"/>
  <c r="H18" i="24"/>
  <c r="F40" i="18"/>
  <c r="I40" i="18" s="1"/>
  <c r="F32" i="21"/>
  <c r="J32" i="21" s="1"/>
  <c r="H20" i="14"/>
  <c r="F20" i="14"/>
  <c r="F39" i="18"/>
  <c r="I39" i="18" s="1"/>
  <c r="F18" i="19"/>
  <c r="I18" i="19"/>
  <c r="J20" i="30"/>
  <c r="F20" i="30"/>
  <c r="K36" i="30"/>
  <c r="F18" i="20"/>
  <c r="K26" i="20"/>
  <c r="F33" i="20"/>
  <c r="K33" i="20" s="1"/>
  <c r="F27" i="20"/>
  <c r="K27" i="20" s="1"/>
  <c r="F31" i="21"/>
  <c r="J31" i="21" s="1"/>
  <c r="F25" i="21"/>
  <c r="J25" i="21" s="1"/>
  <c r="F32" i="14"/>
  <c r="H32" i="14"/>
  <c r="F22" i="22"/>
  <c r="F21" i="22" s="1"/>
  <c r="F26" i="24"/>
  <c r="I26" i="24" s="1"/>
  <c r="F38" i="18"/>
  <c r="I38" i="18" s="1"/>
  <c r="F30" i="21"/>
  <c r="J30" i="21" s="1"/>
  <c r="F24" i="21"/>
  <c r="J24" i="21" s="1"/>
  <c r="F30" i="24"/>
  <c r="I30" i="24" s="1"/>
  <c r="F27" i="21"/>
  <c r="J27" i="21" s="1"/>
  <c r="F27" i="24"/>
  <c r="I27" i="24" s="1"/>
  <c r="J51" i="30"/>
  <c r="F28" i="20"/>
  <c r="K28" i="20" s="1"/>
  <c r="F37" i="20"/>
  <c r="K37" i="20" s="1"/>
  <c r="F31" i="20"/>
  <c r="K31" i="20" s="1"/>
  <c r="F25" i="20"/>
  <c r="K25" i="20" s="1"/>
  <c r="F29" i="21"/>
  <c r="J29" i="21" s="1"/>
  <c r="F23" i="21"/>
  <c r="J23" i="21" s="1"/>
  <c r="F29" i="24"/>
  <c r="I29" i="24" s="1"/>
  <c r="F31" i="14"/>
  <c r="H31" i="14"/>
  <c r="D31" i="30"/>
  <c r="J31" i="30" s="1"/>
  <c r="J33" i="30"/>
  <c r="K33" i="30" s="1"/>
  <c r="J62" i="30"/>
  <c r="F37" i="30"/>
  <c r="J37" i="30"/>
  <c r="F34" i="20"/>
  <c r="K34" i="20" s="1"/>
  <c r="F26" i="21"/>
  <c r="J26" i="21" s="1"/>
  <c r="F46" i="30"/>
  <c r="K46" i="30" s="1"/>
  <c r="K35" i="20"/>
  <c r="F36" i="20"/>
  <c r="K36" i="20" s="1"/>
  <c r="F30" i="20"/>
  <c r="K30" i="20" s="1"/>
  <c r="F28" i="21"/>
  <c r="J28" i="21" s="1"/>
  <c r="F28" i="24"/>
  <c r="I28" i="24" s="1"/>
  <c r="F18" i="24"/>
  <c r="D22" i="22"/>
  <c r="D21" i="22" s="1"/>
  <c r="K49" i="30" l="1"/>
  <c r="K47" i="30"/>
  <c r="K59" i="30"/>
  <c r="K60" i="30"/>
  <c r="K63" i="30"/>
  <c r="K56" i="30"/>
  <c r="I31" i="14"/>
  <c r="K55" i="30"/>
  <c r="K50" i="30"/>
  <c r="K51" i="30"/>
  <c r="F31" i="30"/>
  <c r="K31" i="30" s="1"/>
  <c r="K62" i="30"/>
  <c r="J18" i="19"/>
  <c r="I32" i="14"/>
  <c r="K20" i="30"/>
  <c r="I18" i="24"/>
  <c r="I20" i="14"/>
  <c r="K18" i="20"/>
  <c r="K37" i="30"/>
  <c r="F29" i="13"/>
  <c r="F24" i="13"/>
  <c r="F27" i="13"/>
  <c r="F28" i="13"/>
  <c r="B19" i="13"/>
  <c r="B21" i="14" s="1"/>
  <c r="F11" i="13"/>
  <c r="E11" i="13"/>
  <c r="E10" i="13"/>
  <c r="C10" i="13"/>
  <c r="A4" i="13"/>
  <c r="C18" i="12"/>
  <c r="B19" i="12"/>
  <c r="F11" i="12"/>
  <c r="E11" i="12"/>
  <c r="E10" i="12"/>
  <c r="C10" i="12"/>
  <c r="A4" i="12"/>
  <c r="F18" i="13" l="1"/>
  <c r="F18" i="12"/>
  <c r="E21" i="11"/>
  <c r="D24" i="11"/>
  <c r="D25" i="11"/>
  <c r="D26" i="11"/>
  <c r="D27" i="11"/>
  <c r="D28" i="11"/>
  <c r="D29" i="11"/>
  <c r="H30" i="11"/>
  <c r="D31" i="11"/>
  <c r="D32" i="11"/>
  <c r="D33" i="11"/>
  <c r="D34" i="11"/>
  <c r="D35" i="11"/>
  <c r="D37" i="11"/>
  <c r="H38" i="11"/>
  <c r="C21" i="11"/>
  <c r="B19" i="11"/>
  <c r="F11" i="11"/>
  <c r="E11" i="11"/>
  <c r="E10" i="11"/>
  <c r="C10" i="11"/>
  <c r="A4" i="11"/>
  <c r="D24" i="10"/>
  <c r="F24" i="10" s="1"/>
  <c r="D25" i="10"/>
  <c r="F25" i="10" s="1"/>
  <c r="D26" i="10"/>
  <c r="F26" i="10" s="1"/>
  <c r="D27" i="10"/>
  <c r="F27" i="10" s="1"/>
  <c r="D28" i="10"/>
  <c r="F28" i="10" s="1"/>
  <c r="D29" i="10"/>
  <c r="F29" i="10" s="1"/>
  <c r="D30" i="10"/>
  <c r="F30" i="10" s="1"/>
  <c r="D31" i="10"/>
  <c r="F31" i="10" s="1"/>
  <c r="D32" i="10"/>
  <c r="F32" i="10" s="1"/>
  <c r="D35" i="10"/>
  <c r="F35" i="10" s="1"/>
  <c r="D36" i="10"/>
  <c r="F36" i="10" s="1"/>
  <c r="B20" i="10"/>
  <c r="F12" i="10"/>
  <c r="E12" i="10"/>
  <c r="E11" i="10"/>
  <c r="C11" i="10"/>
  <c r="A4" i="10"/>
  <c r="D24" i="9"/>
  <c r="K24" i="9" s="1"/>
  <c r="D25" i="9"/>
  <c r="K25" i="9" s="1"/>
  <c r="D26" i="9"/>
  <c r="K26" i="9" s="1"/>
  <c r="D27" i="9"/>
  <c r="K27" i="9" s="1"/>
  <c r="D28" i="9"/>
  <c r="K28" i="9" s="1"/>
  <c r="D29" i="9"/>
  <c r="K29" i="9" s="1"/>
  <c r="B18" i="9"/>
  <c r="F12" i="9"/>
  <c r="E12" i="9"/>
  <c r="E11" i="9"/>
  <c r="C11" i="9"/>
  <c r="A4" i="9"/>
  <c r="G28" i="8"/>
  <c r="E34" i="8"/>
  <c r="H34" i="8" s="1"/>
  <c r="C33" i="8"/>
  <c r="H33" i="8" s="1"/>
  <c r="H30" i="8"/>
  <c r="F35" i="8"/>
  <c r="F34" i="8" s="1"/>
  <c r="B19" i="8"/>
  <c r="B31" i="8" s="1"/>
  <c r="E12" i="8"/>
  <c r="E11" i="8"/>
  <c r="C11" i="8"/>
  <c r="A4" i="8"/>
  <c r="E49" i="7"/>
  <c r="G49" i="7"/>
  <c r="C49" i="7"/>
  <c r="E37" i="7"/>
  <c r="E19" i="7"/>
  <c r="C19" i="7"/>
  <c r="F12" i="7"/>
  <c r="F55" i="7"/>
  <c r="D52" i="7"/>
  <c r="H52" i="7" s="1"/>
  <c r="D53" i="7"/>
  <c r="H53" i="7" s="1"/>
  <c r="D54" i="7"/>
  <c r="H54" i="7" s="1"/>
  <c r="D55" i="7"/>
  <c r="H55" i="7" s="1"/>
  <c r="D57" i="7"/>
  <c r="H57" i="7" s="1"/>
  <c r="E45" i="7"/>
  <c r="E44" i="7" s="1"/>
  <c r="H46" i="7"/>
  <c r="D39" i="7"/>
  <c r="D40" i="7"/>
  <c r="D43" i="7"/>
  <c r="H43" i="7" s="1"/>
  <c r="D38" i="7"/>
  <c r="D21" i="7"/>
  <c r="D22" i="7"/>
  <c r="D23" i="7"/>
  <c r="D24" i="7"/>
  <c r="E15" i="7"/>
  <c r="H16" i="7"/>
  <c r="B17" i="7"/>
  <c r="B35" i="7" s="1"/>
  <c r="F11" i="7"/>
  <c r="E11" i="7"/>
  <c r="E10" i="7"/>
  <c r="C10" i="7"/>
  <c r="A4" i="7"/>
  <c r="F21" i="6"/>
  <c r="D22" i="6"/>
  <c r="F22" i="6" s="1"/>
  <c r="D23" i="6"/>
  <c r="F23" i="6" s="1"/>
  <c r="D25" i="6"/>
  <c r="F25" i="6" s="1"/>
  <c r="D28" i="6"/>
  <c r="F28" i="6" s="1"/>
  <c r="C18" i="6"/>
  <c r="B17" i="6"/>
  <c r="F11" i="6"/>
  <c r="E11" i="6"/>
  <c r="E10" i="6"/>
  <c r="C10" i="6"/>
  <c r="A4" i="6"/>
  <c r="E22" i="5"/>
  <c r="E23" i="5"/>
  <c r="E24" i="5"/>
  <c r="C10" i="5"/>
  <c r="A4" i="5"/>
  <c r="D25" i="4"/>
  <c r="F25" i="4" s="1"/>
  <c r="D26" i="4"/>
  <c r="F26" i="4" s="1"/>
  <c r="D27" i="4"/>
  <c r="F27" i="4" s="1"/>
  <c r="D28" i="4"/>
  <c r="F28" i="4" s="1"/>
  <c r="D29" i="4"/>
  <c r="F29" i="4" s="1"/>
  <c r="D30" i="4"/>
  <c r="F30" i="4" s="1"/>
  <c r="D31" i="4"/>
  <c r="F31" i="4" s="1"/>
  <c r="D32" i="4"/>
  <c r="F32" i="4" s="1"/>
  <c r="F17" i="4"/>
  <c r="B18" i="4"/>
  <c r="F12" i="4"/>
  <c r="E12" i="4"/>
  <c r="E11" i="4"/>
  <c r="A4" i="4"/>
  <c r="C11" i="4"/>
  <c r="C19" i="32"/>
  <c r="B17" i="32"/>
  <c r="F11" i="32"/>
  <c r="F12" i="8" s="1"/>
  <c r="E11" i="32"/>
  <c r="E10" i="32"/>
  <c r="C10" i="32"/>
  <c r="E20" i="1"/>
  <c r="B29" i="1"/>
  <c r="F21" i="1"/>
  <c r="D25" i="1"/>
  <c r="D26" i="1"/>
  <c r="B1235" i="34"/>
  <c r="B1236" i="34" s="1"/>
  <c r="F1221" i="34"/>
  <c r="M1207" i="34"/>
  <c r="R1200" i="34"/>
  <c r="K1198" i="34"/>
  <c r="K1199" i="34" s="1"/>
  <c r="F1196" i="34"/>
  <c r="F1195" i="34"/>
  <c r="F1193" i="34"/>
  <c r="M1190" i="34"/>
  <c r="M1189" i="34"/>
  <c r="F1189" i="34"/>
  <c r="F1188" i="34" s="1"/>
  <c r="J1188" i="34"/>
  <c r="I1188" i="34"/>
  <c r="H1188" i="34"/>
  <c r="G1188" i="34"/>
  <c r="T1182" i="34"/>
  <c r="R1178" i="34"/>
  <c r="G1175" i="34"/>
  <c r="L1170" i="34"/>
  <c r="L1169" i="34" s="1"/>
  <c r="J1170" i="34"/>
  <c r="J1169" i="34" s="1"/>
  <c r="I1170" i="34"/>
  <c r="I1169" i="34" s="1"/>
  <c r="H1170" i="34"/>
  <c r="H1169" i="34" s="1"/>
  <c r="G1170" i="34"/>
  <c r="G1169" i="34" s="1"/>
  <c r="F1165" i="34"/>
  <c r="F1170" i="34" s="1"/>
  <c r="F1169" i="34" s="1"/>
  <c r="J1158" i="34"/>
  <c r="J1133" i="34" s="1"/>
  <c r="F1136" i="34"/>
  <c r="F1135" i="34"/>
  <c r="L1162" i="34"/>
  <c r="R1133" i="34"/>
  <c r="F1096" i="34"/>
  <c r="F1095" i="34"/>
  <c r="S1093" i="34"/>
  <c r="J1093" i="34"/>
  <c r="J1132" i="34" s="1"/>
  <c r="J1131" i="34" s="1"/>
  <c r="I1093" i="34"/>
  <c r="I1132" i="34" s="1"/>
  <c r="I1131" i="34" s="1"/>
  <c r="H1093" i="34"/>
  <c r="H1132" i="34" s="1"/>
  <c r="H1131" i="34" s="1"/>
  <c r="G1093" i="34"/>
  <c r="G1132" i="34" s="1"/>
  <c r="G1131" i="34" s="1"/>
  <c r="F1090" i="34"/>
  <c r="F1089" i="34" s="1"/>
  <c r="J1089" i="34"/>
  <c r="I1089" i="34"/>
  <c r="H1089" i="34"/>
  <c r="G1089" i="34"/>
  <c r="L1075" i="34"/>
  <c r="J1075" i="34"/>
  <c r="I1075" i="34"/>
  <c r="H1075" i="34"/>
  <c r="G1075" i="34"/>
  <c r="F1075" i="34"/>
  <c r="L1074" i="34"/>
  <c r="C20" i="24" s="1"/>
  <c r="F1074" i="34"/>
  <c r="F1069" i="34" s="1"/>
  <c r="J1069" i="34"/>
  <c r="I1069" i="34"/>
  <c r="H1069" i="34"/>
  <c r="G1069" i="34"/>
  <c r="J1065" i="34"/>
  <c r="I1065" i="34"/>
  <c r="H1065" i="34"/>
  <c r="G1065" i="34"/>
  <c r="F1050" i="34"/>
  <c r="L1046" i="34"/>
  <c r="L1066" i="34" s="1"/>
  <c r="J1046" i="34"/>
  <c r="I1046" i="34"/>
  <c r="H1046" i="34"/>
  <c r="G1046" i="34"/>
  <c r="F1046" i="34"/>
  <c r="J1045" i="34"/>
  <c r="J1040" i="34" s="1"/>
  <c r="F1045" i="34"/>
  <c r="F1040" i="34" s="1"/>
  <c r="I1040" i="34"/>
  <c r="H1040" i="34"/>
  <c r="G1040" i="34"/>
  <c r="J1022" i="34"/>
  <c r="F1021" i="34"/>
  <c r="J1020" i="34"/>
  <c r="F1020" i="34"/>
  <c r="F1037" i="34" s="1"/>
  <c r="F1036" i="34" s="1"/>
  <c r="J984" i="34"/>
  <c r="F984" i="34"/>
  <c r="L982" i="34"/>
  <c r="C20" i="21" s="1"/>
  <c r="J982" i="34"/>
  <c r="J977" i="34" s="1"/>
  <c r="J976" i="34" s="1"/>
  <c r="F982" i="34"/>
  <c r="F977" i="34" s="1"/>
  <c r="F976" i="34" s="1"/>
  <c r="I973" i="34"/>
  <c r="H973" i="34"/>
  <c r="G973" i="34"/>
  <c r="J958" i="34"/>
  <c r="J946" i="34" s="1"/>
  <c r="F958" i="34"/>
  <c r="F946" i="34" s="1"/>
  <c r="R957" i="34"/>
  <c r="L946" i="34"/>
  <c r="L944" i="34"/>
  <c r="J944" i="34"/>
  <c r="F944" i="34"/>
  <c r="D938" i="34"/>
  <c r="C938" i="34"/>
  <c r="J937" i="34"/>
  <c r="J936" i="34" s="1"/>
  <c r="F937" i="34"/>
  <c r="F936" i="34" s="1"/>
  <c r="I936" i="34"/>
  <c r="H936" i="34"/>
  <c r="G936" i="34"/>
  <c r="J929" i="34"/>
  <c r="F929" i="34"/>
  <c r="J927" i="34"/>
  <c r="J928" i="34" s="1"/>
  <c r="J926" i="34" s="1"/>
  <c r="F927" i="34"/>
  <c r="F928" i="34" s="1"/>
  <c r="F926" i="34" s="1"/>
  <c r="J916" i="34"/>
  <c r="F916" i="34"/>
  <c r="J914" i="34"/>
  <c r="J913" i="34" s="1"/>
  <c r="I913" i="34"/>
  <c r="H913" i="34"/>
  <c r="G913" i="34"/>
  <c r="G909" i="34"/>
  <c r="F909" i="34" s="1"/>
  <c r="F899" i="34" s="1"/>
  <c r="J899" i="34"/>
  <c r="F895" i="34"/>
  <c r="F867" i="34" s="1"/>
  <c r="S890" i="34"/>
  <c r="G889" i="34"/>
  <c r="R885" i="34"/>
  <c r="R886" i="34" s="1"/>
  <c r="R887" i="34" s="1"/>
  <c r="R888" i="34" s="1"/>
  <c r="R867" i="34"/>
  <c r="J867" i="34"/>
  <c r="L858" i="34"/>
  <c r="J858" i="34"/>
  <c r="F858" i="34"/>
  <c r="J857" i="34"/>
  <c r="F857" i="34"/>
  <c r="J855" i="34"/>
  <c r="H855" i="34"/>
  <c r="F855" i="34"/>
  <c r="J851" i="34"/>
  <c r="D848" i="34"/>
  <c r="C848" i="34"/>
  <c r="L832" i="34"/>
  <c r="N833" i="34" s="1"/>
  <c r="J832" i="34"/>
  <c r="I832" i="34"/>
  <c r="H832" i="34"/>
  <c r="G832" i="34"/>
  <c r="F832" i="34"/>
  <c r="L831" i="34"/>
  <c r="L827" i="34"/>
  <c r="J826" i="34"/>
  <c r="I826" i="34"/>
  <c r="H826" i="34"/>
  <c r="G826" i="34"/>
  <c r="F826" i="34"/>
  <c r="J817" i="34"/>
  <c r="J816" i="34" s="1"/>
  <c r="F817" i="34"/>
  <c r="F816" i="34" s="1"/>
  <c r="L812" i="34"/>
  <c r="J812" i="34"/>
  <c r="I812" i="34"/>
  <c r="H812" i="34"/>
  <c r="G812" i="34"/>
  <c r="F812" i="34"/>
  <c r="L811" i="34"/>
  <c r="J806" i="34"/>
  <c r="I806" i="34"/>
  <c r="H806" i="34"/>
  <c r="G806" i="34"/>
  <c r="F806" i="34"/>
  <c r="J796" i="34"/>
  <c r="I796" i="34"/>
  <c r="H796" i="34"/>
  <c r="G796" i="34"/>
  <c r="F796" i="34"/>
  <c r="L795" i="34"/>
  <c r="J795" i="34"/>
  <c r="J790" i="34" s="1"/>
  <c r="F795" i="34"/>
  <c r="F803" i="34" s="1"/>
  <c r="F802" i="34" s="1"/>
  <c r="I790" i="34"/>
  <c r="H790" i="34"/>
  <c r="G790" i="34"/>
  <c r="J764" i="34"/>
  <c r="J787" i="34" s="1"/>
  <c r="J786" i="34" s="1"/>
  <c r="I759" i="34"/>
  <c r="H759" i="34"/>
  <c r="G759" i="34"/>
  <c r="F759" i="34"/>
  <c r="L758" i="34"/>
  <c r="L787" i="34" s="1"/>
  <c r="F758" i="34"/>
  <c r="F787" i="34" s="1"/>
  <c r="F786" i="34" s="1"/>
  <c r="J753" i="34"/>
  <c r="I753" i="34"/>
  <c r="H753" i="34"/>
  <c r="G753" i="34"/>
  <c r="F753" i="34"/>
  <c r="X751" i="34"/>
  <c r="X750" i="34"/>
  <c r="J746" i="34"/>
  <c r="J737" i="34" s="1"/>
  <c r="L737" i="34"/>
  <c r="I737" i="34"/>
  <c r="H737" i="34"/>
  <c r="H730" i="34" s="1"/>
  <c r="G737" i="34"/>
  <c r="F737" i="34"/>
  <c r="L736" i="34"/>
  <c r="C20" i="17" s="1"/>
  <c r="J736" i="34"/>
  <c r="F736" i="34"/>
  <c r="J732" i="34"/>
  <c r="F732" i="34"/>
  <c r="I731" i="34"/>
  <c r="G731" i="34"/>
  <c r="J728" i="34"/>
  <c r="J727" i="34" s="1"/>
  <c r="L720" i="34"/>
  <c r="L706" i="34"/>
  <c r="J706" i="34"/>
  <c r="I706" i="34"/>
  <c r="H706" i="34"/>
  <c r="G706" i="34"/>
  <c r="F706" i="34"/>
  <c r="J705" i="34"/>
  <c r="F705" i="34"/>
  <c r="L703" i="34"/>
  <c r="F703" i="34"/>
  <c r="F728" i="34" s="1"/>
  <c r="F727" i="34" s="1"/>
  <c r="J698" i="34"/>
  <c r="L688" i="34"/>
  <c r="L663" i="34" s="1"/>
  <c r="J679" i="34"/>
  <c r="I679" i="34"/>
  <c r="H679" i="34"/>
  <c r="G679" i="34"/>
  <c r="F679" i="34"/>
  <c r="G671" i="34"/>
  <c r="J663" i="34"/>
  <c r="F663" i="34"/>
  <c r="L662" i="34"/>
  <c r="J662" i="34"/>
  <c r="J657" i="34" s="1"/>
  <c r="F662" i="34"/>
  <c r="F658" i="34"/>
  <c r="J654" i="34"/>
  <c r="J653" i="34" s="1"/>
  <c r="J637" i="34"/>
  <c r="I637" i="34"/>
  <c r="H637" i="34"/>
  <c r="G637" i="34"/>
  <c r="F637" i="34"/>
  <c r="C20" i="12"/>
  <c r="D20" i="12" s="1"/>
  <c r="F636" i="34"/>
  <c r="F654" i="34" s="1"/>
  <c r="F653" i="34" s="1"/>
  <c r="J631" i="34"/>
  <c r="J630" i="34" s="1"/>
  <c r="I631" i="34"/>
  <c r="H631" i="34"/>
  <c r="G631" i="34"/>
  <c r="J628" i="34"/>
  <c r="J627" i="34" s="1"/>
  <c r="I628" i="34"/>
  <c r="I627" i="34" s="1"/>
  <c r="H628" i="34"/>
  <c r="H627" i="34" s="1"/>
  <c r="G628" i="34"/>
  <c r="G627" i="34" s="1"/>
  <c r="J607" i="34"/>
  <c r="I607" i="34"/>
  <c r="H607" i="34"/>
  <c r="G607" i="34"/>
  <c r="F607" i="34"/>
  <c r="F605" i="34"/>
  <c r="F628" i="34" s="1"/>
  <c r="F627" i="34" s="1"/>
  <c r="J600" i="34"/>
  <c r="J599" i="34" s="1"/>
  <c r="J598" i="34" s="1"/>
  <c r="I600" i="34"/>
  <c r="I599" i="34" s="1"/>
  <c r="I598" i="34" s="1"/>
  <c r="H600" i="34"/>
  <c r="H599" i="34" s="1"/>
  <c r="H598" i="34" s="1"/>
  <c r="G600" i="34"/>
  <c r="G599" i="34" s="1"/>
  <c r="G598" i="34" s="1"/>
  <c r="I595" i="34"/>
  <c r="H595" i="34"/>
  <c r="G595" i="34"/>
  <c r="J585" i="34"/>
  <c r="J577" i="34"/>
  <c r="F576" i="34"/>
  <c r="L575" i="34"/>
  <c r="J575" i="34"/>
  <c r="F575" i="34"/>
  <c r="F596" i="34" s="1"/>
  <c r="F595" i="34" s="1"/>
  <c r="J571" i="34"/>
  <c r="F571" i="34"/>
  <c r="J567" i="34"/>
  <c r="J566" i="34" s="1"/>
  <c r="I566" i="34"/>
  <c r="H566" i="34"/>
  <c r="G566" i="34"/>
  <c r="X554" i="34"/>
  <c r="J551" i="34"/>
  <c r="I551" i="34"/>
  <c r="H551" i="34"/>
  <c r="G551" i="34"/>
  <c r="F551" i="34"/>
  <c r="L549" i="34"/>
  <c r="F549" i="34"/>
  <c r="F567" i="34" s="1"/>
  <c r="F566" i="34" s="1"/>
  <c r="R546" i="34"/>
  <c r="J544" i="34"/>
  <c r="I544" i="34"/>
  <c r="H544" i="34"/>
  <c r="G544" i="34"/>
  <c r="L517" i="34"/>
  <c r="J511" i="34"/>
  <c r="J510" i="34" s="1"/>
  <c r="I510" i="34"/>
  <c r="H510" i="34"/>
  <c r="G510" i="34"/>
  <c r="L502" i="34"/>
  <c r="J502" i="34"/>
  <c r="I502" i="34"/>
  <c r="H502" i="34"/>
  <c r="G502" i="34"/>
  <c r="F502" i="34"/>
  <c r="L501" i="34"/>
  <c r="F501" i="34"/>
  <c r="F511" i="34" s="1"/>
  <c r="F510" i="34" s="1"/>
  <c r="J496" i="34"/>
  <c r="I496" i="34"/>
  <c r="H496" i="34"/>
  <c r="G496" i="34"/>
  <c r="D493" i="34"/>
  <c r="C493" i="34"/>
  <c r="X492" i="34"/>
  <c r="J485" i="34"/>
  <c r="J481" i="34" s="1"/>
  <c r="F484" i="34"/>
  <c r="F481" i="34" s="1"/>
  <c r="L481" i="34"/>
  <c r="I481" i="34"/>
  <c r="H481" i="34"/>
  <c r="G481" i="34"/>
  <c r="L470" i="34"/>
  <c r="J470" i="34"/>
  <c r="I470" i="34"/>
  <c r="H470" i="34"/>
  <c r="G470" i="34"/>
  <c r="F470" i="34"/>
  <c r="J467" i="34"/>
  <c r="J466" i="34" s="1"/>
  <c r="I466" i="34"/>
  <c r="H466" i="34"/>
  <c r="G466" i="34"/>
  <c r="J464" i="34"/>
  <c r="X462" i="34"/>
  <c r="I462" i="34"/>
  <c r="H462" i="34"/>
  <c r="G462" i="34"/>
  <c r="F461" i="34"/>
  <c r="J454" i="34"/>
  <c r="J452" i="34" s="1"/>
  <c r="M441" i="34"/>
  <c r="J441" i="34"/>
  <c r="I441" i="34"/>
  <c r="H441" i="34"/>
  <c r="G441" i="34"/>
  <c r="F441" i="34"/>
  <c r="F463" i="34" s="1"/>
  <c r="F462" i="34" s="1"/>
  <c r="R436" i="34"/>
  <c r="F436" i="34"/>
  <c r="L431" i="34"/>
  <c r="L432" i="34" s="1"/>
  <c r="J431" i="34"/>
  <c r="G431" i="34"/>
  <c r="R428" i="34"/>
  <c r="S428" i="34" s="1"/>
  <c r="J428" i="34"/>
  <c r="F428" i="34"/>
  <c r="F427" i="34" s="1"/>
  <c r="I427" i="34"/>
  <c r="H427" i="34"/>
  <c r="G427" i="34"/>
  <c r="J423" i="34"/>
  <c r="G423" i="34"/>
  <c r="G419" i="34" s="1"/>
  <c r="L421" i="34"/>
  <c r="L422" i="34" s="1"/>
  <c r="J420" i="34"/>
  <c r="F420" i="34"/>
  <c r="F419" i="34" s="1"/>
  <c r="I419" i="34"/>
  <c r="H419" i="34"/>
  <c r="L415" i="34"/>
  <c r="L416" i="34" s="1"/>
  <c r="J415" i="34"/>
  <c r="G415" i="34"/>
  <c r="G411" i="34" s="1"/>
  <c r="R412" i="34"/>
  <c r="S412" i="34" s="1"/>
  <c r="J412" i="34"/>
  <c r="F412" i="34"/>
  <c r="F411" i="34" s="1"/>
  <c r="I411" i="34"/>
  <c r="H411" i="34"/>
  <c r="J406" i="34"/>
  <c r="G406" i="34"/>
  <c r="L404" i="34"/>
  <c r="J403" i="34"/>
  <c r="F403" i="34"/>
  <c r="F402" i="34" s="1"/>
  <c r="I402" i="34"/>
  <c r="H402" i="34"/>
  <c r="G402" i="34"/>
  <c r="R401" i="34"/>
  <c r="D401" i="34"/>
  <c r="C401" i="34"/>
  <c r="T398" i="34"/>
  <c r="R398" i="34"/>
  <c r="G398" i="34"/>
  <c r="J389" i="34"/>
  <c r="J387" i="34" s="1"/>
  <c r="I387" i="34"/>
  <c r="H387" i="34"/>
  <c r="F387" i="34"/>
  <c r="L385" i="34"/>
  <c r="C18" i="32" s="1"/>
  <c r="F385" i="34"/>
  <c r="F400" i="34" s="1"/>
  <c r="F399" i="34" s="1"/>
  <c r="J380" i="34"/>
  <c r="J379" i="34" s="1"/>
  <c r="I380" i="34"/>
  <c r="I379" i="34" s="1"/>
  <c r="H380" i="34"/>
  <c r="H379" i="34" s="1"/>
  <c r="G380" i="34"/>
  <c r="G379" i="34" s="1"/>
  <c r="J377" i="34"/>
  <c r="J376" i="34" s="1"/>
  <c r="I376" i="34"/>
  <c r="H376" i="34"/>
  <c r="G376" i="34"/>
  <c r="F373" i="34"/>
  <c r="L357" i="34"/>
  <c r="L377" i="34" s="1"/>
  <c r="L345" i="34" s="1"/>
  <c r="L344" i="34" s="1"/>
  <c r="J357" i="34"/>
  <c r="I357" i="34"/>
  <c r="H357" i="34"/>
  <c r="G357" i="34"/>
  <c r="F357" i="34"/>
  <c r="F355" i="34"/>
  <c r="F350" i="34" s="1"/>
  <c r="F349" i="34" s="1"/>
  <c r="F346" i="34" s="1"/>
  <c r="F345" i="34" s="1"/>
  <c r="J350" i="34"/>
  <c r="J349" i="34" s="1"/>
  <c r="J346" i="34" s="1"/>
  <c r="J345" i="34" s="1"/>
  <c r="I350" i="34"/>
  <c r="I349" i="34" s="1"/>
  <c r="I346" i="34" s="1"/>
  <c r="I345" i="34" s="1"/>
  <c r="H350" i="34"/>
  <c r="H349" i="34" s="1"/>
  <c r="H346" i="34" s="1"/>
  <c r="H345" i="34" s="1"/>
  <c r="G350" i="34"/>
  <c r="G349" i="34" s="1"/>
  <c r="G346" i="34" s="1"/>
  <c r="G345" i="34" s="1"/>
  <c r="E349" i="34"/>
  <c r="J348" i="34"/>
  <c r="I348" i="34"/>
  <c r="H348" i="34"/>
  <c r="G348" i="34"/>
  <c r="F348" i="34"/>
  <c r="J343" i="34"/>
  <c r="J342" i="34" s="1"/>
  <c r="I342" i="34"/>
  <c r="H342" i="34"/>
  <c r="G342" i="34"/>
  <c r="L332" i="34"/>
  <c r="J332" i="34"/>
  <c r="I332" i="34"/>
  <c r="H332" i="34"/>
  <c r="G332" i="34"/>
  <c r="F332" i="34"/>
  <c r="L330" i="34"/>
  <c r="F330" i="34"/>
  <c r="L326" i="34"/>
  <c r="J325" i="34"/>
  <c r="J324" i="34" s="1"/>
  <c r="I325" i="34"/>
  <c r="I324" i="34" s="1"/>
  <c r="H325" i="34"/>
  <c r="H321" i="34" s="1"/>
  <c r="H320" i="34" s="1"/>
  <c r="G325" i="34"/>
  <c r="G321" i="34" s="1"/>
  <c r="G320" i="34" s="1"/>
  <c r="J318" i="34"/>
  <c r="J317" i="34" s="1"/>
  <c r="I317" i="34"/>
  <c r="H317" i="34"/>
  <c r="G317" i="34"/>
  <c r="F315" i="34"/>
  <c r="R296" i="34"/>
  <c r="J293" i="34"/>
  <c r="I293" i="34"/>
  <c r="H293" i="34"/>
  <c r="G293" i="34"/>
  <c r="F293" i="34"/>
  <c r="F291" i="34"/>
  <c r="F318" i="34" s="1"/>
  <c r="F317" i="34" s="1"/>
  <c r="L287" i="34"/>
  <c r="J286" i="34"/>
  <c r="I286" i="34"/>
  <c r="I285" i="34" s="1"/>
  <c r="H286" i="34"/>
  <c r="H285" i="34" s="1"/>
  <c r="G286" i="34"/>
  <c r="G285" i="34" s="1"/>
  <c r="R283" i="34"/>
  <c r="J278" i="34"/>
  <c r="J277" i="34" s="1"/>
  <c r="I278" i="34"/>
  <c r="I277" i="34" s="1"/>
  <c r="H278" i="34"/>
  <c r="H277" i="34" s="1"/>
  <c r="G278" i="34"/>
  <c r="G277" i="34" s="1"/>
  <c r="L274" i="34"/>
  <c r="C26" i="6" s="1"/>
  <c r="C19" i="6" s="1"/>
  <c r="L273" i="34"/>
  <c r="J265" i="34"/>
  <c r="I265" i="34"/>
  <c r="H265" i="34"/>
  <c r="G265" i="34"/>
  <c r="F265" i="34"/>
  <c r="F263" i="34"/>
  <c r="F278" i="34" s="1"/>
  <c r="F277" i="34" s="1"/>
  <c r="T93" i="34"/>
  <c r="J258" i="34"/>
  <c r="I258" i="34"/>
  <c r="H258" i="34"/>
  <c r="G258" i="34"/>
  <c r="D256" i="34"/>
  <c r="C256" i="34"/>
  <c r="L253" i="34"/>
  <c r="L249" i="34" s="1"/>
  <c r="N250" i="34" s="1"/>
  <c r="N251" i="34" s="1"/>
  <c r="R252" i="34"/>
  <c r="G252" i="34"/>
  <c r="G249" i="34" s="1"/>
  <c r="J249" i="34"/>
  <c r="I249" i="34"/>
  <c r="H249" i="34"/>
  <c r="F249" i="34"/>
  <c r="L246" i="34"/>
  <c r="L240" i="34"/>
  <c r="F238" i="34"/>
  <c r="F239" i="34" s="1"/>
  <c r="E227" i="34"/>
  <c r="E219" i="34"/>
  <c r="F218" i="34"/>
  <c r="J217" i="34"/>
  <c r="J216" i="34" s="1"/>
  <c r="F217" i="34"/>
  <c r="F216" i="34" s="1"/>
  <c r="I216" i="34"/>
  <c r="H216" i="34"/>
  <c r="G216" i="34"/>
  <c r="G203" i="34"/>
  <c r="G201" i="34"/>
  <c r="J184" i="34"/>
  <c r="I184" i="34"/>
  <c r="H184" i="34"/>
  <c r="F184" i="34"/>
  <c r="L183" i="34"/>
  <c r="J178" i="34"/>
  <c r="J177" i="34" s="1"/>
  <c r="J176" i="34" s="1"/>
  <c r="I178" i="34"/>
  <c r="I177" i="34" s="1"/>
  <c r="I176" i="34" s="1"/>
  <c r="H178" i="34"/>
  <c r="H177" i="34" s="1"/>
  <c r="H176" i="34" s="1"/>
  <c r="G178" i="34"/>
  <c r="G177" i="34" s="1"/>
  <c r="G176" i="34" s="1"/>
  <c r="F178" i="34"/>
  <c r="F177" i="34" s="1"/>
  <c r="F176" i="34" s="1"/>
  <c r="J174" i="34"/>
  <c r="J173" i="34" s="1"/>
  <c r="L171" i="34"/>
  <c r="C29" i="1" s="1"/>
  <c r="H29" i="1" s="1"/>
  <c r="J159" i="34"/>
  <c r="I159" i="34"/>
  <c r="H159" i="34"/>
  <c r="G159" i="34"/>
  <c r="F159" i="34"/>
  <c r="L157" i="34"/>
  <c r="L174" i="34" s="1"/>
  <c r="F157" i="34"/>
  <c r="F174" i="34" s="1"/>
  <c r="F173" i="34" s="1"/>
  <c r="J154" i="34"/>
  <c r="J153" i="34" s="1"/>
  <c r="J152" i="34" s="1"/>
  <c r="J151" i="34" s="1"/>
  <c r="I153" i="34"/>
  <c r="I152" i="34" s="1"/>
  <c r="I151" i="34" s="1"/>
  <c r="H153" i="34"/>
  <c r="H152" i="34" s="1"/>
  <c r="H151" i="34" s="1"/>
  <c r="G153" i="34"/>
  <c r="G152" i="34" s="1"/>
  <c r="G151" i="34" s="1"/>
  <c r="L138" i="34"/>
  <c r="L135" i="34" s="1"/>
  <c r="N135" i="34" s="1"/>
  <c r="J138" i="34"/>
  <c r="J135" i="34" s="1"/>
  <c r="F138" i="34"/>
  <c r="F135" i="34" s="1"/>
  <c r="I135" i="34"/>
  <c r="H135" i="34"/>
  <c r="G135" i="34"/>
  <c r="L123" i="34"/>
  <c r="F126" i="34"/>
  <c r="F124" i="34"/>
  <c r="J123" i="34"/>
  <c r="I123" i="34"/>
  <c r="H123" i="34"/>
  <c r="G123" i="34"/>
  <c r="J117" i="34"/>
  <c r="J116" i="34" s="1"/>
  <c r="J121" i="34" s="1"/>
  <c r="L116" i="34"/>
  <c r="L121" i="34" s="1"/>
  <c r="I116" i="34"/>
  <c r="H116" i="34"/>
  <c r="G116" i="34"/>
  <c r="F116" i="34"/>
  <c r="F121" i="34" s="1"/>
  <c r="L114" i="34"/>
  <c r="J114" i="34"/>
  <c r="I114" i="34"/>
  <c r="H114" i="34"/>
  <c r="G114" i="34"/>
  <c r="F114" i="34"/>
  <c r="L112" i="34"/>
  <c r="J112" i="34"/>
  <c r="I112" i="34"/>
  <c r="H112" i="34"/>
  <c r="G112" i="34"/>
  <c r="F112" i="34"/>
  <c r="L99" i="34"/>
  <c r="L92" i="34" s="1"/>
  <c r="J94" i="34"/>
  <c r="J93" i="34" s="1"/>
  <c r="J92" i="34" s="1"/>
  <c r="J71" i="34" s="1"/>
  <c r="J103" i="34" s="1"/>
  <c r="F92" i="34"/>
  <c r="B91" i="34"/>
  <c r="B90" i="34"/>
  <c r="F85" i="34"/>
  <c r="B85" i="34"/>
  <c r="B84" i="34"/>
  <c r="B83" i="34"/>
  <c r="B82" i="34"/>
  <c r="B81" i="34"/>
  <c r="B80" i="34"/>
  <c r="B79" i="34"/>
  <c r="R78" i="34"/>
  <c r="B77" i="34"/>
  <c r="F76" i="34"/>
  <c r="B75" i="34"/>
  <c r="B74" i="34"/>
  <c r="B73" i="34"/>
  <c r="I72" i="34"/>
  <c r="I71" i="34" s="1"/>
  <c r="H72" i="34"/>
  <c r="H71" i="34" s="1"/>
  <c r="H103" i="34" s="1"/>
  <c r="G72" i="34"/>
  <c r="G71" i="34" s="1"/>
  <c r="G103" i="34" s="1"/>
  <c r="F64" i="34"/>
  <c r="R66" i="34" s="1"/>
  <c r="R59" i="34"/>
  <c r="L58" i="34"/>
  <c r="J58" i="34"/>
  <c r="I58" i="34"/>
  <c r="H58" i="34"/>
  <c r="G58" i="34"/>
  <c r="J57" i="34"/>
  <c r="F57" i="34"/>
  <c r="F48" i="34"/>
  <c r="F38" i="34" s="1"/>
  <c r="J38" i="34"/>
  <c r="I38" i="34"/>
  <c r="H38" i="34"/>
  <c r="G38" i="34"/>
  <c r="J36" i="34"/>
  <c r="F36" i="34"/>
  <c r="F37" i="34" s="1"/>
  <c r="D35" i="34"/>
  <c r="C35" i="34"/>
  <c r="S23" i="34"/>
  <c r="J20" i="34"/>
  <c r="S19" i="34"/>
  <c r="S16" i="34"/>
  <c r="V14" i="34"/>
  <c r="T12" i="34"/>
  <c r="V11" i="34"/>
  <c r="S9" i="34"/>
  <c r="S8" i="34"/>
  <c r="F8" i="34"/>
  <c r="F6" i="34" s="1"/>
  <c r="L7" i="34"/>
  <c r="S6" i="34"/>
  <c r="J6" i="34"/>
  <c r="I6" i="34"/>
  <c r="H6" i="34"/>
  <c r="G6" i="34"/>
  <c r="S5" i="34"/>
  <c r="W4" i="34"/>
  <c r="U2" i="34"/>
  <c r="U3" i="34" s="1"/>
  <c r="E14" i="7" l="1"/>
  <c r="H378" i="34"/>
  <c r="N344" i="34"/>
  <c r="N346" i="34"/>
  <c r="N347" i="34" s="1"/>
  <c r="L847" i="34"/>
  <c r="L830" i="34" s="1"/>
  <c r="C19" i="46" s="1"/>
  <c r="L803" i="34"/>
  <c r="E19" i="19" s="1"/>
  <c r="L6" i="34"/>
  <c r="M7" i="34"/>
  <c r="J697" i="34"/>
  <c r="L750" i="34"/>
  <c r="L735" i="34" s="1"/>
  <c r="C19" i="17" s="1"/>
  <c r="H175" i="34"/>
  <c r="L320" i="34"/>
  <c r="C36" i="7"/>
  <c r="L343" i="34"/>
  <c r="C22" i="14"/>
  <c r="F57" i="7"/>
  <c r="I57" i="7" s="1"/>
  <c r="H24" i="11"/>
  <c r="F24" i="11"/>
  <c r="L217" i="34"/>
  <c r="L216" i="34" s="1"/>
  <c r="L182" i="34" s="1"/>
  <c r="C19" i="4"/>
  <c r="L514" i="34"/>
  <c r="L513" i="34"/>
  <c r="L512" i="34" s="1"/>
  <c r="F496" i="34"/>
  <c r="C20" i="8"/>
  <c r="L511" i="34"/>
  <c r="C31" i="8"/>
  <c r="C29" i="8" s="1"/>
  <c r="N834" i="34"/>
  <c r="N828" i="34"/>
  <c r="C20" i="46"/>
  <c r="D20" i="46" s="1"/>
  <c r="D17" i="46" s="1"/>
  <c r="D16" i="46" s="1"/>
  <c r="D15" i="46" s="1"/>
  <c r="E19" i="46" s="1"/>
  <c r="E17" i="46" s="1"/>
  <c r="E16" i="46" s="1"/>
  <c r="E15" i="46" s="1"/>
  <c r="I150" i="34"/>
  <c r="F570" i="34"/>
  <c r="F569" i="34" s="1"/>
  <c r="F568" i="34" s="1"/>
  <c r="J576" i="34"/>
  <c r="J568" i="34" s="1"/>
  <c r="F175" i="34"/>
  <c r="N665" i="34"/>
  <c r="C20" i="13"/>
  <c r="D20" i="13" s="1"/>
  <c r="F20" i="13" s="1"/>
  <c r="L695" i="34"/>
  <c r="L661" i="34" s="1"/>
  <c r="C20" i="20"/>
  <c r="L974" i="34"/>
  <c r="F1012" i="34"/>
  <c r="F1011" i="34" s="1"/>
  <c r="I1068" i="34"/>
  <c r="F29" i="1"/>
  <c r="D26" i="6"/>
  <c r="F26" i="6" s="1"/>
  <c r="I378" i="34"/>
  <c r="C20" i="1"/>
  <c r="L469" i="34"/>
  <c r="N470" i="34" s="1"/>
  <c r="N471" i="34" s="1"/>
  <c r="C19" i="9"/>
  <c r="L567" i="34"/>
  <c r="L548" i="34" s="1"/>
  <c r="E18" i="9" s="1"/>
  <c r="F974" i="34"/>
  <c r="F973" i="34" s="1"/>
  <c r="J1039" i="34"/>
  <c r="G324" i="34"/>
  <c r="C21" i="10"/>
  <c r="L596" i="34"/>
  <c r="C20" i="11"/>
  <c r="D20" i="1"/>
  <c r="H26" i="11"/>
  <c r="F26" i="11"/>
  <c r="H25" i="11"/>
  <c r="F25" i="11"/>
  <c r="H32" i="11"/>
  <c r="F32" i="11"/>
  <c r="H37" i="11"/>
  <c r="F37" i="11"/>
  <c r="H35" i="11"/>
  <c r="F35" i="11"/>
  <c r="H29" i="11"/>
  <c r="F29" i="11"/>
  <c r="H34" i="11"/>
  <c r="F34" i="11"/>
  <c r="H28" i="11"/>
  <c r="F28" i="11"/>
  <c r="H33" i="11"/>
  <c r="F33" i="11"/>
  <c r="H27" i="11"/>
  <c r="F27" i="11"/>
  <c r="L173" i="34"/>
  <c r="F29" i="9"/>
  <c r="L29" i="9" s="1"/>
  <c r="F28" i="9"/>
  <c r="L28" i="9" s="1"/>
  <c r="H31" i="11"/>
  <c r="F31" i="11"/>
  <c r="F258" i="34"/>
  <c r="F257" i="34" s="1"/>
  <c r="I257" i="34"/>
  <c r="F657" i="34"/>
  <c r="L824" i="34"/>
  <c r="L810" i="34" s="1"/>
  <c r="L806" i="34" s="1"/>
  <c r="L805" i="34" s="1"/>
  <c r="H324" i="34"/>
  <c r="H469" i="34"/>
  <c r="J974" i="34"/>
  <c r="J973" i="34" s="1"/>
  <c r="F1097" i="34"/>
  <c r="R1093" i="34" s="1"/>
  <c r="R1095" i="34" s="1"/>
  <c r="J411" i="34"/>
  <c r="J419" i="34"/>
  <c r="J1012" i="34"/>
  <c r="J1011" i="34" s="1"/>
  <c r="J344" i="34"/>
  <c r="J402" i="34"/>
  <c r="H494" i="34"/>
  <c r="F631" i="34"/>
  <c r="F630" i="34" s="1"/>
  <c r="F74" i="34"/>
  <c r="H752" i="34"/>
  <c r="I789" i="34"/>
  <c r="H150" i="34"/>
  <c r="H35" i="34" s="1"/>
  <c r="L400" i="34"/>
  <c r="L384" i="34" s="1"/>
  <c r="C17" i="32" s="1"/>
  <c r="C15" i="32" s="1"/>
  <c r="I543" i="34"/>
  <c r="I1039" i="34"/>
  <c r="J1068" i="34"/>
  <c r="U15" i="34"/>
  <c r="L265" i="34"/>
  <c r="F377" i="34"/>
  <c r="F376" i="34" s="1"/>
  <c r="J427" i="34"/>
  <c r="J543" i="34"/>
  <c r="J570" i="34"/>
  <c r="J569" i="34" s="1"/>
  <c r="J731" i="34"/>
  <c r="J730" i="34" s="1"/>
  <c r="G730" i="34"/>
  <c r="M807" i="34"/>
  <c r="L1093" i="34"/>
  <c r="I344" i="34"/>
  <c r="G597" i="34"/>
  <c r="F18" i="17"/>
  <c r="L1012" i="34"/>
  <c r="L1011" i="34" s="1"/>
  <c r="L981" i="34" s="1"/>
  <c r="C19" i="21" s="1"/>
  <c r="L1090" i="34"/>
  <c r="L1089" i="34" s="1"/>
  <c r="L1073" i="34" s="1"/>
  <c r="G752" i="34"/>
  <c r="G789" i="34"/>
  <c r="H789" i="34"/>
  <c r="C33" i="7"/>
  <c r="C15" i="7"/>
  <c r="F22" i="7"/>
  <c r="H22" i="7"/>
  <c r="G282" i="34"/>
  <c r="G280" i="34" s="1"/>
  <c r="L802" i="34"/>
  <c r="L794" i="34" s="1"/>
  <c r="C20" i="19"/>
  <c r="D20" i="19" s="1"/>
  <c r="D17" i="19" s="1"/>
  <c r="F31" i="7"/>
  <c r="H30" i="10"/>
  <c r="F656" i="34"/>
  <c r="L851" i="34"/>
  <c r="F26" i="1"/>
  <c r="H26" i="1"/>
  <c r="H29" i="10"/>
  <c r="I282" i="34"/>
  <c r="I281" i="34" s="1"/>
  <c r="I401" i="34"/>
  <c r="I495" i="34"/>
  <c r="F494" i="34"/>
  <c r="H597" i="34"/>
  <c r="I752" i="34"/>
  <c r="F897" i="34"/>
  <c r="F896" i="34" s="1"/>
  <c r="J940" i="34"/>
  <c r="J939" i="34" s="1"/>
  <c r="J1037" i="34"/>
  <c r="J1036" i="34" s="1"/>
  <c r="G1039" i="34"/>
  <c r="F17" i="1"/>
  <c r="H17" i="1"/>
  <c r="F25" i="1"/>
  <c r="H25" i="1"/>
  <c r="F43" i="7"/>
  <c r="I43" i="7" s="1"/>
  <c r="I55" i="7"/>
  <c r="F54" i="7"/>
  <c r="I54" i="7" s="1"/>
  <c r="I16" i="7"/>
  <c r="F17" i="9"/>
  <c r="K17" i="9"/>
  <c r="F26" i="9"/>
  <c r="L26" i="9" s="1"/>
  <c r="H36" i="10"/>
  <c r="I36" i="10" s="1"/>
  <c r="H28" i="10"/>
  <c r="F18" i="11"/>
  <c r="H18" i="11"/>
  <c r="H25" i="10"/>
  <c r="C20" i="47"/>
  <c r="F40" i="7"/>
  <c r="H40" i="7"/>
  <c r="C45" i="7"/>
  <c r="H19" i="10"/>
  <c r="F19" i="10"/>
  <c r="H24" i="10"/>
  <c r="I24" i="10" s="1"/>
  <c r="L786" i="34"/>
  <c r="L757" i="34" s="1"/>
  <c r="C21" i="18"/>
  <c r="D21" i="18" s="1"/>
  <c r="F940" i="34"/>
  <c r="F939" i="34" s="1"/>
  <c r="M1188" i="34"/>
  <c r="I175" i="34"/>
  <c r="G184" i="34"/>
  <c r="G344" i="34"/>
  <c r="C492" i="34"/>
  <c r="J495" i="34"/>
  <c r="I597" i="34"/>
  <c r="F629" i="34"/>
  <c r="J751" i="34"/>
  <c r="J750" i="34" s="1"/>
  <c r="H1039" i="34"/>
  <c r="F24" i="1"/>
  <c r="H24" i="1"/>
  <c r="F16" i="32"/>
  <c r="H16" i="32"/>
  <c r="C16" i="6"/>
  <c r="F16" i="6" s="1"/>
  <c r="F24" i="7"/>
  <c r="H24" i="7"/>
  <c r="F35" i="7"/>
  <c r="H35" i="7"/>
  <c r="B47" i="7"/>
  <c r="F53" i="7"/>
  <c r="I53" i="7" s="1"/>
  <c r="F25" i="9"/>
  <c r="L25" i="9" s="1"/>
  <c r="H35" i="10"/>
  <c r="I35" i="10" s="1"/>
  <c r="H27" i="10"/>
  <c r="I38" i="11"/>
  <c r="D18" i="30"/>
  <c r="F18" i="30" s="1"/>
  <c r="C19" i="1"/>
  <c r="F17" i="7"/>
  <c r="H17" i="7"/>
  <c r="D32" i="8"/>
  <c r="H31" i="10"/>
  <c r="F21" i="7"/>
  <c r="H21" i="7"/>
  <c r="F47" i="7"/>
  <c r="H47" i="7"/>
  <c r="H282" i="34"/>
  <c r="H280" i="34" s="1"/>
  <c r="F26" i="7"/>
  <c r="H26" i="7"/>
  <c r="F34" i="7"/>
  <c r="H34" i="7"/>
  <c r="F39" i="7"/>
  <c r="H39" i="7"/>
  <c r="D37" i="7"/>
  <c r="I34" i="8"/>
  <c r="I35" i="8"/>
  <c r="F27" i="9"/>
  <c r="L27" i="9" s="1"/>
  <c r="S4" i="34"/>
  <c r="R1180" i="34" s="1"/>
  <c r="F123" i="34"/>
  <c r="S123" i="34" s="1"/>
  <c r="J175" i="34"/>
  <c r="J321" i="34"/>
  <c r="J320" i="34" s="1"/>
  <c r="D492" i="34"/>
  <c r="J597" i="34"/>
  <c r="J656" i="34"/>
  <c r="L699" i="34"/>
  <c r="F18" i="47"/>
  <c r="I18" i="47"/>
  <c r="F1039" i="34"/>
  <c r="H1068" i="34"/>
  <c r="F23" i="7"/>
  <c r="H23" i="7"/>
  <c r="F38" i="7"/>
  <c r="H38" i="7"/>
  <c r="F52" i="7"/>
  <c r="I52" i="7" s="1"/>
  <c r="E33" i="7"/>
  <c r="E32" i="7" s="1"/>
  <c r="E13" i="7" s="1"/>
  <c r="F46" i="7"/>
  <c r="F18" i="8"/>
  <c r="H18" i="8"/>
  <c r="F24" i="9"/>
  <c r="H32" i="10"/>
  <c r="I32" i="10" s="1"/>
  <c r="H26" i="10"/>
  <c r="I26" i="10" s="1"/>
  <c r="L627" i="34"/>
  <c r="L604" i="34" s="1"/>
  <c r="C19" i="11" s="1"/>
  <c r="J629" i="34"/>
  <c r="F33" i="8"/>
  <c r="I33" i="8" s="1"/>
  <c r="F30" i="8"/>
  <c r="I30" i="8" s="1"/>
  <c r="G495" i="34"/>
  <c r="G494" i="34"/>
  <c r="L406" i="34"/>
  <c r="L407" i="34" s="1"/>
  <c r="L405" i="34"/>
  <c r="L403" i="34" s="1"/>
  <c r="R403" i="34" s="1"/>
  <c r="S403" i="34" s="1"/>
  <c r="J850" i="34"/>
  <c r="J849" i="34" s="1"/>
  <c r="J848" i="34" s="1"/>
  <c r="F975" i="34"/>
  <c r="G387" i="34"/>
  <c r="G378" i="34" s="1"/>
  <c r="F77" i="34"/>
  <c r="J789" i="34"/>
  <c r="H257" i="34"/>
  <c r="F600" i="34"/>
  <c r="F599" i="34" s="1"/>
  <c r="F598" i="34" s="1"/>
  <c r="F597" i="34" s="1"/>
  <c r="S93" i="34"/>
  <c r="G175" i="34"/>
  <c r="L510" i="34"/>
  <c r="L500" i="34" s="1"/>
  <c r="L496" i="34" s="1"/>
  <c r="L495" i="34" s="1"/>
  <c r="L541" i="34"/>
  <c r="N541" i="34" s="1"/>
  <c r="F915" i="34"/>
  <c r="S3" i="34"/>
  <c r="H344" i="34"/>
  <c r="H401" i="34"/>
  <c r="F752" i="34"/>
  <c r="J463" i="34"/>
  <c r="J462" i="34" s="1"/>
  <c r="G469" i="34"/>
  <c r="J897" i="34"/>
  <c r="J896" i="34" s="1"/>
  <c r="J257" i="34"/>
  <c r="F401" i="34"/>
  <c r="L1036" i="34"/>
  <c r="L1018" i="34" s="1"/>
  <c r="G150" i="34"/>
  <c r="J150" i="34"/>
  <c r="J35" i="34" s="1"/>
  <c r="G401" i="34"/>
  <c r="F469" i="34"/>
  <c r="F790" i="34"/>
  <c r="F789" i="34" s="1"/>
  <c r="J494" i="34"/>
  <c r="F153" i="34"/>
  <c r="F152" i="34" s="1"/>
  <c r="F151" i="34" s="1"/>
  <c r="F344" i="34"/>
  <c r="I469" i="34"/>
  <c r="G543" i="34"/>
  <c r="J803" i="34"/>
  <c r="J802" i="34" s="1"/>
  <c r="L896" i="34"/>
  <c r="J975" i="34"/>
  <c r="J1015" i="34"/>
  <c r="L1065" i="34"/>
  <c r="L1044" i="34" s="1"/>
  <c r="F1066" i="34"/>
  <c r="F1065" i="34" s="1"/>
  <c r="F1068" i="34"/>
  <c r="F286" i="34"/>
  <c r="F285" i="34" s="1"/>
  <c r="I321" i="34"/>
  <c r="I319" i="34" s="1"/>
  <c r="H319" i="34"/>
  <c r="G319" i="34"/>
  <c r="L376" i="34"/>
  <c r="F495" i="34"/>
  <c r="H543" i="34"/>
  <c r="J596" i="34"/>
  <c r="J595" i="34" s="1"/>
  <c r="L653" i="34"/>
  <c r="F731" i="34"/>
  <c r="F730" i="34" s="1"/>
  <c r="J759" i="34"/>
  <c r="J752" i="34" s="1"/>
  <c r="F850" i="34"/>
  <c r="R929" i="34" s="1"/>
  <c r="G1068" i="34"/>
  <c r="F1137" i="34"/>
  <c r="F1133" i="34" s="1"/>
  <c r="I103" i="34"/>
  <c r="F1178" i="34"/>
  <c r="G36" i="34"/>
  <c r="F58" i="34"/>
  <c r="T94" i="34"/>
  <c r="T92" i="34" s="1"/>
  <c r="J469" i="34"/>
  <c r="F343" i="34"/>
  <c r="F342" i="34" s="1"/>
  <c r="F325" i="34"/>
  <c r="G257" i="34"/>
  <c r="J285" i="34"/>
  <c r="J282" i="34"/>
  <c r="R295" i="34"/>
  <c r="S295" i="34" s="1"/>
  <c r="J378" i="34"/>
  <c r="V398" i="34"/>
  <c r="W398" i="34" s="1"/>
  <c r="J400" i="34"/>
  <c r="J399" i="34" s="1"/>
  <c r="I494" i="34"/>
  <c r="F544" i="34"/>
  <c r="F543" i="34" s="1"/>
  <c r="I730" i="34"/>
  <c r="F380" i="34"/>
  <c r="F379" i="34" s="1"/>
  <c r="F378" i="34" s="1"/>
  <c r="F465" i="34" s="1"/>
  <c r="S399" i="34"/>
  <c r="U398" i="34" s="1"/>
  <c r="L411" i="34"/>
  <c r="L420" i="34"/>
  <c r="L427" i="34"/>
  <c r="H495" i="34"/>
  <c r="T396" i="34"/>
  <c r="L705" i="34"/>
  <c r="L728" i="34" s="1"/>
  <c r="L702" i="34" s="1"/>
  <c r="C21" i="14" s="1"/>
  <c r="F914" i="34"/>
  <c r="F698" i="34"/>
  <c r="F697" i="34" s="1"/>
  <c r="F1015" i="34"/>
  <c r="F1014" i="34" s="1"/>
  <c r="J1021" i="34"/>
  <c r="R1192" i="34"/>
  <c r="C28" i="8" l="1"/>
  <c r="J28" i="8"/>
  <c r="H10" i="7"/>
  <c r="L1131" i="34"/>
  <c r="N1094" i="34"/>
  <c r="H281" i="34"/>
  <c r="L694" i="34"/>
  <c r="I35" i="34"/>
  <c r="I40" i="7"/>
  <c r="I38" i="7"/>
  <c r="F37" i="7"/>
  <c r="I39" i="7"/>
  <c r="L317" i="34"/>
  <c r="L280" i="34"/>
  <c r="J19" i="7"/>
  <c r="I24" i="7"/>
  <c r="I23" i="7"/>
  <c r="I22" i="7"/>
  <c r="M1192" i="34"/>
  <c r="L854" i="34"/>
  <c r="C17" i="30" s="1"/>
  <c r="L342" i="34"/>
  <c r="L319" i="34"/>
  <c r="F1093" i="34"/>
  <c r="F1132" i="34" s="1"/>
  <c r="F1131" i="34" s="1"/>
  <c r="L727" i="34"/>
  <c r="L698" i="34"/>
  <c r="L697" i="34" s="1"/>
  <c r="J319" i="34"/>
  <c r="H493" i="34"/>
  <c r="H492" i="34" s="1"/>
  <c r="C19" i="8"/>
  <c r="C17" i="8" s="1"/>
  <c r="C18" i="4"/>
  <c r="L176" i="34"/>
  <c r="G493" i="34"/>
  <c r="G492" i="34" s="1"/>
  <c r="H20" i="1"/>
  <c r="F72" i="34"/>
  <c r="F71" i="34" s="1"/>
  <c r="F103" i="34" s="1"/>
  <c r="C19" i="13"/>
  <c r="C17" i="13" s="1"/>
  <c r="L657" i="34"/>
  <c r="L656" i="34" s="1"/>
  <c r="G35" i="34"/>
  <c r="I34" i="11"/>
  <c r="I37" i="11"/>
  <c r="I35" i="11"/>
  <c r="I47" i="7"/>
  <c r="I35" i="7"/>
  <c r="L158" i="34"/>
  <c r="L399" i="34"/>
  <c r="L379" i="34"/>
  <c r="L378" i="34" s="1"/>
  <c r="L467" i="34" s="1"/>
  <c r="L466" i="34" s="1"/>
  <c r="L24" i="9"/>
  <c r="L566" i="34"/>
  <c r="L595" i="34"/>
  <c r="L574" i="34"/>
  <c r="I31" i="10"/>
  <c r="I28" i="10"/>
  <c r="L1069" i="34"/>
  <c r="C19" i="24"/>
  <c r="L1040" i="34"/>
  <c r="L1039" i="34" s="1"/>
  <c r="C19" i="23"/>
  <c r="L1015" i="34"/>
  <c r="L1014" i="34" s="1"/>
  <c r="C19" i="22"/>
  <c r="J401" i="34"/>
  <c r="L973" i="34"/>
  <c r="L945" i="34"/>
  <c r="C19" i="20" s="1"/>
  <c r="I20" i="46"/>
  <c r="L976" i="34"/>
  <c r="L975" i="34" s="1"/>
  <c r="L978" i="34"/>
  <c r="L977" i="34" s="1"/>
  <c r="L732" i="34"/>
  <c r="L731" i="34"/>
  <c r="L730" i="34" s="1"/>
  <c r="N733" i="34" s="1"/>
  <c r="N731" i="34"/>
  <c r="N732" i="34" s="1"/>
  <c r="F282" i="34"/>
  <c r="F281" i="34" s="1"/>
  <c r="L753" i="34"/>
  <c r="L752" i="34" s="1"/>
  <c r="C20" i="18"/>
  <c r="C18" i="18" s="1"/>
  <c r="C19" i="19"/>
  <c r="I19" i="19" s="1"/>
  <c r="L790" i="34"/>
  <c r="L789" i="34" s="1"/>
  <c r="L599" i="34"/>
  <c r="L598" i="34" s="1"/>
  <c r="L597" i="34" s="1"/>
  <c r="C19" i="12"/>
  <c r="J18" i="47"/>
  <c r="I34" i="7"/>
  <c r="I17" i="7"/>
  <c r="L17" i="9"/>
  <c r="I18" i="11"/>
  <c r="F20" i="46"/>
  <c r="C19" i="47"/>
  <c r="C17" i="47" s="1"/>
  <c r="C16" i="47" s="1"/>
  <c r="L1068" i="34"/>
  <c r="I493" i="34"/>
  <c r="I492" i="34" s="1"/>
  <c r="I29" i="10"/>
  <c r="H32" i="8"/>
  <c r="I31" i="7"/>
  <c r="G281" i="34"/>
  <c r="U5" i="34"/>
  <c r="C19" i="14"/>
  <c r="J18" i="30"/>
  <c r="K18" i="30" s="1"/>
  <c r="I27" i="10"/>
  <c r="N658" i="34"/>
  <c r="F938" i="34"/>
  <c r="C17" i="21"/>
  <c r="I18" i="21"/>
  <c r="F18" i="21"/>
  <c r="S2" i="34"/>
  <c r="L826" i="34"/>
  <c r="L825" i="34" s="1"/>
  <c r="N825" i="34" s="1"/>
  <c r="I280" i="34"/>
  <c r="I256" i="34" s="1"/>
  <c r="I19" i="10"/>
  <c r="D20" i="47"/>
  <c r="D17" i="47" s="1"/>
  <c r="D16" i="47" s="1"/>
  <c r="D15" i="47" s="1"/>
  <c r="E19" i="47" s="1"/>
  <c r="E17" i="47" s="1"/>
  <c r="E16" i="47" s="1"/>
  <c r="E15" i="47" s="1"/>
  <c r="I20" i="19"/>
  <c r="F20" i="19"/>
  <c r="C44" i="7"/>
  <c r="C14" i="7"/>
  <c r="S94" i="34"/>
  <c r="S92" i="34" s="1"/>
  <c r="U4" i="34"/>
  <c r="J493" i="34"/>
  <c r="I18" i="8"/>
  <c r="I46" i="7"/>
  <c r="I26" i="7"/>
  <c r="I21" i="7"/>
  <c r="I25" i="10"/>
  <c r="J16" i="30"/>
  <c r="F16" i="30"/>
  <c r="I30" i="10"/>
  <c r="E17" i="19"/>
  <c r="E16" i="19" s="1"/>
  <c r="E15" i="19" s="1"/>
  <c r="D29" i="8"/>
  <c r="D28" i="8" s="1"/>
  <c r="E31" i="8" s="1"/>
  <c r="F32" i="8"/>
  <c r="F849" i="34"/>
  <c r="F848" i="34" s="1"/>
  <c r="L494" i="34"/>
  <c r="F493" i="34"/>
  <c r="I320" i="34"/>
  <c r="L278" i="34"/>
  <c r="L277" i="34" s="1"/>
  <c r="L262" i="34" s="1"/>
  <c r="G256" i="34"/>
  <c r="H256" i="34"/>
  <c r="H1172" i="34" s="1"/>
  <c r="H1171" i="34" s="1"/>
  <c r="H1092" i="34" s="1"/>
  <c r="H34" i="34" s="1"/>
  <c r="H5" i="34" s="1"/>
  <c r="H4" i="34" s="1"/>
  <c r="J1014" i="34"/>
  <c r="J938" i="34" s="1"/>
  <c r="F913" i="34"/>
  <c r="L175" i="34"/>
  <c r="R420" i="34"/>
  <c r="S420" i="34" s="1"/>
  <c r="S431" i="34" s="1"/>
  <c r="L423" i="34"/>
  <c r="J280" i="34"/>
  <c r="J256" i="34" s="1"/>
  <c r="J281" i="34"/>
  <c r="F1164" i="34"/>
  <c r="F1163" i="34"/>
  <c r="X401" i="34"/>
  <c r="X403" i="34" s="1"/>
  <c r="W400" i="34"/>
  <c r="X400" i="34" s="1"/>
  <c r="F324" i="34"/>
  <c r="F321" i="34"/>
  <c r="F467" i="34"/>
  <c r="F466" i="34" s="1"/>
  <c r="F464" i="34"/>
  <c r="L402" i="34"/>
  <c r="F150" i="34"/>
  <c r="M402" i="34"/>
  <c r="R1187" i="34"/>
  <c r="R1182" i="34"/>
  <c r="S21" i="34"/>
  <c r="U20" i="34" s="1"/>
  <c r="R1190" i="34"/>
  <c r="AA3" i="34"/>
  <c r="AA5" i="34" s="1"/>
  <c r="D20" i="32"/>
  <c r="D21" i="32"/>
  <c r="D24" i="32"/>
  <c r="D18" i="32"/>
  <c r="H18" i="32" s="1"/>
  <c r="A8" i="32"/>
  <c r="C16" i="8" l="1"/>
  <c r="J16" i="8"/>
  <c r="J15" i="8" s="1"/>
  <c r="C15" i="8"/>
  <c r="N280" i="34"/>
  <c r="N282" i="34" s="1"/>
  <c r="N293" i="34"/>
  <c r="N321" i="34"/>
  <c r="N322" i="34" s="1"/>
  <c r="N319" i="34"/>
  <c r="N696" i="34"/>
  <c r="F35" i="34"/>
  <c r="G1172" i="34"/>
  <c r="G1171" i="34" s="1"/>
  <c r="G1092" i="34" s="1"/>
  <c r="G34" i="34" s="1"/>
  <c r="G5" i="34" s="1"/>
  <c r="G4" i="34" s="1"/>
  <c r="H31" i="8"/>
  <c r="E29" i="8"/>
  <c r="E28" i="8" s="1"/>
  <c r="H28" i="8" s="1"/>
  <c r="F31" i="8"/>
  <c r="F29" i="8" s="1"/>
  <c r="F28" i="8" s="1"/>
  <c r="C20" i="10"/>
  <c r="C18" i="10" s="1"/>
  <c r="L570" i="34"/>
  <c r="L569" i="34" s="1"/>
  <c r="L568" i="34" s="1"/>
  <c r="L258" i="34"/>
  <c r="L257" i="34" s="1"/>
  <c r="L256" i="34" s="1"/>
  <c r="C17" i="6"/>
  <c r="C18" i="1"/>
  <c r="C16" i="1" s="1"/>
  <c r="L152" i="34"/>
  <c r="L151" i="34" s="1"/>
  <c r="L150" i="34" s="1"/>
  <c r="C18" i="9"/>
  <c r="L544" i="34"/>
  <c r="L543" i="34" s="1"/>
  <c r="J20" i="46"/>
  <c r="L940" i="34"/>
  <c r="L939" i="34" s="1"/>
  <c r="L938" i="34" s="1"/>
  <c r="I1172" i="34"/>
  <c r="I1171" i="34" s="1"/>
  <c r="I1092" i="34" s="1"/>
  <c r="I34" i="34" s="1"/>
  <c r="I5" i="34" s="1"/>
  <c r="I4" i="34" s="1"/>
  <c r="X404" i="34"/>
  <c r="N734" i="34"/>
  <c r="F280" i="34"/>
  <c r="F492" i="34"/>
  <c r="L630" i="34"/>
  <c r="L629" i="34" s="1"/>
  <c r="I19" i="47"/>
  <c r="I20" i="47"/>
  <c r="F20" i="47"/>
  <c r="J492" i="34"/>
  <c r="J1172" i="34" s="1"/>
  <c r="J1171" i="34" s="1"/>
  <c r="J1092" i="34" s="1"/>
  <c r="J34" i="34" s="1"/>
  <c r="J5" i="34" s="1"/>
  <c r="J4" i="34" s="1"/>
  <c r="F19" i="47"/>
  <c r="L850" i="34"/>
  <c r="F24" i="32"/>
  <c r="H24" i="32"/>
  <c r="I32" i="8"/>
  <c r="C17" i="11"/>
  <c r="J18" i="21"/>
  <c r="C17" i="22"/>
  <c r="F21" i="32"/>
  <c r="H21" i="32"/>
  <c r="K16" i="30"/>
  <c r="C17" i="23"/>
  <c r="F20" i="32"/>
  <c r="H20" i="32"/>
  <c r="F19" i="19"/>
  <c r="F17" i="19" s="1"/>
  <c r="C17" i="19"/>
  <c r="J20" i="19"/>
  <c r="C17" i="24"/>
  <c r="F19" i="46"/>
  <c r="F17" i="46" s="1"/>
  <c r="F16" i="46" s="1"/>
  <c r="F15" i="46" s="1"/>
  <c r="I19" i="46"/>
  <c r="C17" i="46"/>
  <c r="C15" i="47"/>
  <c r="I15" i="47" s="1"/>
  <c r="I16" i="47"/>
  <c r="C17" i="12"/>
  <c r="I17" i="47"/>
  <c r="D19" i="32"/>
  <c r="H19" i="32" s="1"/>
  <c r="F1162" i="34"/>
  <c r="R930" i="34"/>
  <c r="C16" i="4"/>
  <c r="C15" i="4" s="1"/>
  <c r="D15" i="32"/>
  <c r="F18" i="32"/>
  <c r="L424" i="34"/>
  <c r="S441" i="34" s="1"/>
  <c r="L463" i="34"/>
  <c r="M403" i="34"/>
  <c r="F320" i="34"/>
  <c r="S39" i="34" s="1"/>
  <c r="F319" i="34"/>
  <c r="F256" i="34" s="1"/>
  <c r="U39" i="34"/>
  <c r="C14" i="32"/>
  <c r="F22" i="32"/>
  <c r="I17" i="19" l="1"/>
  <c r="L493" i="34"/>
  <c r="R150" i="34"/>
  <c r="L849" i="34"/>
  <c r="L848" i="34" s="1"/>
  <c r="H29" i="8"/>
  <c r="I29" i="8" s="1"/>
  <c r="I28" i="8"/>
  <c r="I31" i="8"/>
  <c r="C16" i="46"/>
  <c r="I17" i="46"/>
  <c r="J17" i="46" s="1"/>
  <c r="F1172" i="34"/>
  <c r="F1173" i="34" s="1"/>
  <c r="C16" i="9"/>
  <c r="K18" i="9"/>
  <c r="C17" i="20"/>
  <c r="J19" i="47"/>
  <c r="K18" i="19"/>
  <c r="J20" i="47"/>
  <c r="F17" i="47"/>
  <c r="F16" i="47" s="1"/>
  <c r="F15" i="47" s="1"/>
  <c r="J15" i="47" s="1"/>
  <c r="J19" i="46"/>
  <c r="J17" i="19"/>
  <c r="C13" i="32"/>
  <c r="C17" i="17"/>
  <c r="C16" i="17" s="1"/>
  <c r="C15" i="30"/>
  <c r="J19" i="19"/>
  <c r="F19" i="32"/>
  <c r="L419" i="34"/>
  <c r="C15" i="6"/>
  <c r="D14" i="32"/>
  <c r="D13" i="32" s="1"/>
  <c r="D15" i="31"/>
  <c r="D14" i="31" s="1"/>
  <c r="D13" i="31" s="1"/>
  <c r="C26" i="33" s="1"/>
  <c r="C14" i="31"/>
  <c r="C13" i="31" s="1"/>
  <c r="A8" i="31"/>
  <c r="L492" i="34" l="1"/>
  <c r="M492" i="34" s="1"/>
  <c r="N493" i="34" s="1"/>
  <c r="C15" i="46"/>
  <c r="I15" i="46" s="1"/>
  <c r="F1171" i="34"/>
  <c r="F1092" i="34" s="1"/>
  <c r="F34" i="34" s="1"/>
  <c r="F5" i="34" s="1"/>
  <c r="F4" i="34" s="1"/>
  <c r="U12" i="34" s="1"/>
  <c r="C4" i="33"/>
  <c r="E17" i="32"/>
  <c r="J17" i="47"/>
  <c r="J16" i="47"/>
  <c r="I16" i="46"/>
  <c r="J16" i="46" s="1"/>
  <c r="E15" i="31"/>
  <c r="E14" i="31" s="1"/>
  <c r="E13" i="31" s="1"/>
  <c r="C495" i="3"/>
  <c r="F23" i="30"/>
  <c r="C482" i="3"/>
  <c r="I14" i="46" l="1"/>
  <c r="J15" i="46"/>
  <c r="E15" i="32"/>
  <c r="H17" i="32"/>
  <c r="F17" i="32"/>
  <c r="F15" i="32" s="1"/>
  <c r="F14" i="32" s="1"/>
  <c r="F13" i="32" s="1"/>
  <c r="F22" i="30"/>
  <c r="K22" i="30" s="1"/>
  <c r="K23" i="30"/>
  <c r="J19" i="30"/>
  <c r="D15" i="30"/>
  <c r="A8" i="30"/>
  <c r="E14" i="32" l="1"/>
  <c r="H15" i="32"/>
  <c r="D14" i="30"/>
  <c r="D13" i="30" s="1"/>
  <c r="C14" i="30"/>
  <c r="F21" i="30"/>
  <c r="C13" i="28"/>
  <c r="C12" i="28" s="1"/>
  <c r="D16" i="28"/>
  <c r="E16" i="28" s="1"/>
  <c r="D15" i="28"/>
  <c r="E15" i="28" s="1"/>
  <c r="D14" i="28"/>
  <c r="E14" i="28" s="1"/>
  <c r="E13" i="28" s="1"/>
  <c r="A8" i="28"/>
  <c r="C13" i="27"/>
  <c r="C12" i="27" s="1"/>
  <c r="D23" i="27"/>
  <c r="E23" i="27" s="1"/>
  <c r="D24" i="27"/>
  <c r="E24" i="27" s="1"/>
  <c r="D25" i="27"/>
  <c r="E25" i="27" s="1"/>
  <c r="D26" i="27"/>
  <c r="E26" i="27" s="1"/>
  <c r="D27" i="27"/>
  <c r="E27" i="27" s="1"/>
  <c r="D28" i="27"/>
  <c r="E28" i="27" s="1"/>
  <c r="D29" i="27"/>
  <c r="E29" i="27" s="1"/>
  <c r="D30" i="27"/>
  <c r="E30" i="27" s="1"/>
  <c r="D31" i="27"/>
  <c r="E31" i="27" s="1"/>
  <c r="H14" i="27"/>
  <c r="D22" i="27"/>
  <c r="E22" i="27" s="1"/>
  <c r="A8" i="27"/>
  <c r="D27" i="26"/>
  <c r="C13" i="26"/>
  <c r="D12" i="30" l="1"/>
  <c r="E17" i="30"/>
  <c r="E13" i="32"/>
  <c r="H13" i="32" s="1"/>
  <c r="H14" i="32"/>
  <c r="D26" i="26"/>
  <c r="D13" i="26" s="1"/>
  <c r="E27" i="26"/>
  <c r="E26" i="26" s="1"/>
  <c r="A3" i="43"/>
  <c r="A3" i="35"/>
  <c r="A3" i="36"/>
  <c r="A3" i="40" s="1"/>
  <c r="F19" i="30"/>
  <c r="K19" i="30" s="1"/>
  <c r="K21" i="30"/>
  <c r="D13" i="28"/>
  <c r="D12" i="28" s="1"/>
  <c r="D13" i="27"/>
  <c r="D12" i="27" s="1"/>
  <c r="C13" i="30"/>
  <c r="E12" i="28"/>
  <c r="E13" i="27"/>
  <c r="E12" i="27" s="1"/>
  <c r="G12" i="27" s="1"/>
  <c r="E15" i="30" l="1"/>
  <c r="J17" i="30"/>
  <c r="F17" i="30"/>
  <c r="F15" i="30" s="1"/>
  <c r="F14" i="30" s="1"/>
  <c r="C25" i="33"/>
  <c r="A3" i="41"/>
  <c r="A3" i="42"/>
  <c r="A3" i="38" s="1"/>
  <c r="A3" i="44"/>
  <c r="A3" i="39"/>
  <c r="C12" i="30"/>
  <c r="C12" i="26"/>
  <c r="A8" i="26"/>
  <c r="E14" i="30" l="1"/>
  <c r="J15" i="30"/>
  <c r="K15" i="30" s="1"/>
  <c r="K17" i="30"/>
  <c r="F13" i="30"/>
  <c r="F12" i="30" s="1"/>
  <c r="M848" i="34" s="1"/>
  <c r="E13" i="26"/>
  <c r="E12" i="26" s="1"/>
  <c r="D12" i="26"/>
  <c r="C24" i="33" s="1"/>
  <c r="A3" i="25"/>
  <c r="D25" i="24"/>
  <c r="D20" i="24"/>
  <c r="A8" i="24"/>
  <c r="D22" i="23"/>
  <c r="D20" i="23"/>
  <c r="F20" i="23" s="1"/>
  <c r="D14" i="23"/>
  <c r="F14" i="23" s="1"/>
  <c r="A8" i="23"/>
  <c r="D20" i="22"/>
  <c r="D14" i="22"/>
  <c r="F14" i="22" s="1"/>
  <c r="A8" i="22"/>
  <c r="D22" i="21"/>
  <c r="D20" i="21"/>
  <c r="D14" i="21"/>
  <c r="F14" i="21" s="1"/>
  <c r="A8" i="21"/>
  <c r="D24" i="20"/>
  <c r="F22" i="20"/>
  <c r="D20" i="20"/>
  <c r="F14" i="20"/>
  <c r="A8" i="20"/>
  <c r="G25" i="19"/>
  <c r="I28" i="19"/>
  <c r="D21" i="19"/>
  <c r="D16" i="19" s="1"/>
  <c r="C21" i="19"/>
  <c r="C16" i="19" s="1"/>
  <c r="F24" i="19"/>
  <c r="J24" i="19" s="1"/>
  <c r="F22" i="19"/>
  <c r="A8" i="19"/>
  <c r="D34" i="18"/>
  <c r="F36" i="18"/>
  <c r="I36" i="18" s="1"/>
  <c r="F37" i="18"/>
  <c r="I37" i="18" s="1"/>
  <c r="D33" i="18"/>
  <c r="D32" i="18"/>
  <c r="D31" i="18"/>
  <c r="F31" i="18" s="1"/>
  <c r="D30" i="18"/>
  <c r="D29" i="18"/>
  <c r="D28" i="18"/>
  <c r="F25" i="18"/>
  <c r="I25" i="18" s="1"/>
  <c r="F24" i="18"/>
  <c r="I24" i="18" s="1"/>
  <c r="F23" i="18"/>
  <c r="C13" i="18"/>
  <c r="A8" i="18"/>
  <c r="C51" i="17"/>
  <c r="C50" i="17" s="1"/>
  <c r="F50" i="17" s="1"/>
  <c r="F52" i="17"/>
  <c r="F51" i="17" s="1"/>
  <c r="F43" i="17"/>
  <c r="F44" i="17"/>
  <c r="F45" i="17"/>
  <c r="F46" i="17"/>
  <c r="F47" i="17"/>
  <c r="F48" i="17"/>
  <c r="F33" i="17"/>
  <c r="F34" i="17"/>
  <c r="F35" i="17"/>
  <c r="F36" i="17"/>
  <c r="F37" i="17"/>
  <c r="F38" i="17"/>
  <c r="F39" i="17"/>
  <c r="F41" i="17"/>
  <c r="F32" i="17"/>
  <c r="D25" i="17"/>
  <c r="F22" i="17"/>
  <c r="D20" i="17"/>
  <c r="F20" i="17" s="1"/>
  <c r="A8" i="17"/>
  <c r="F41" i="14"/>
  <c r="I41" i="14" s="1"/>
  <c r="F40" i="14"/>
  <c r="I40" i="14" s="1"/>
  <c r="F36" i="14"/>
  <c r="I36" i="14" s="1"/>
  <c r="D29" i="14"/>
  <c r="D28" i="14"/>
  <c r="D27" i="14"/>
  <c r="H27" i="14" s="1"/>
  <c r="F25" i="14"/>
  <c r="I25" i="14" s="1"/>
  <c r="F24" i="14"/>
  <c r="I24" i="14" s="1"/>
  <c r="D22" i="14"/>
  <c r="C14" i="14"/>
  <c r="A9" i="14"/>
  <c r="C12" i="13"/>
  <c r="C16" i="13"/>
  <c r="D26" i="13"/>
  <c r="F23" i="13"/>
  <c r="A8" i="13"/>
  <c r="D14" i="12"/>
  <c r="F14" i="12" s="1"/>
  <c r="D25" i="12"/>
  <c r="F25" i="12" s="1"/>
  <c r="D24" i="12"/>
  <c r="F23" i="12"/>
  <c r="F22" i="12"/>
  <c r="F20" i="12"/>
  <c r="A8" i="12"/>
  <c r="I31" i="19" l="1"/>
  <c r="D22" i="13"/>
  <c r="D21" i="13" s="1"/>
  <c r="E13" i="30"/>
  <c r="J14" i="30"/>
  <c r="K14" i="30" s="1"/>
  <c r="D21" i="12"/>
  <c r="J22" i="19"/>
  <c r="F21" i="19"/>
  <c r="F16" i="19" s="1"/>
  <c r="I21" i="19"/>
  <c r="I14" i="19" s="1"/>
  <c r="F32" i="18"/>
  <c r="H32" i="18"/>
  <c r="F28" i="19"/>
  <c r="F26" i="19" s="1"/>
  <c r="F25" i="19" s="1"/>
  <c r="J24" i="20"/>
  <c r="F24" i="20"/>
  <c r="F21" i="20" s="1"/>
  <c r="D21" i="20"/>
  <c r="J21" i="20" s="1"/>
  <c r="F30" i="18"/>
  <c r="H30" i="18"/>
  <c r="D17" i="20"/>
  <c r="J20" i="20"/>
  <c r="F20" i="20"/>
  <c r="K22" i="20"/>
  <c r="F22" i="23"/>
  <c r="F21" i="23" s="1"/>
  <c r="D21" i="23"/>
  <c r="F33" i="18"/>
  <c r="H33" i="18"/>
  <c r="D17" i="22"/>
  <c r="D16" i="22" s="1"/>
  <c r="D15" i="22" s="1"/>
  <c r="F20" i="22"/>
  <c r="H22" i="14"/>
  <c r="F22" i="14"/>
  <c r="H21" i="18"/>
  <c r="F21" i="18"/>
  <c r="C25" i="19"/>
  <c r="C15" i="19" s="1"/>
  <c r="F22" i="21"/>
  <c r="F21" i="21" s="1"/>
  <c r="I22" i="21"/>
  <c r="D21" i="21"/>
  <c r="I21" i="21" s="1"/>
  <c r="F35" i="14"/>
  <c r="F34" i="14" s="1"/>
  <c r="F33" i="14" s="1"/>
  <c r="N697" i="34" s="1"/>
  <c r="N698" i="34" s="1"/>
  <c r="I23" i="18"/>
  <c r="F28" i="14"/>
  <c r="H28" i="14"/>
  <c r="H35" i="14"/>
  <c r="F31" i="17"/>
  <c r="F28" i="18"/>
  <c r="H28" i="18"/>
  <c r="F20" i="24"/>
  <c r="H20" i="24"/>
  <c r="F34" i="18"/>
  <c r="H34" i="18"/>
  <c r="F42" i="17"/>
  <c r="H31" i="18"/>
  <c r="I31" i="18" s="1"/>
  <c r="F29" i="14"/>
  <c r="H29" i="14"/>
  <c r="F29" i="18"/>
  <c r="H29" i="18"/>
  <c r="I20" i="21"/>
  <c r="F20" i="21"/>
  <c r="H25" i="24"/>
  <c r="D21" i="24"/>
  <c r="H21" i="24" s="1"/>
  <c r="F25" i="24"/>
  <c r="D17" i="24"/>
  <c r="D17" i="23"/>
  <c r="D17" i="21"/>
  <c r="C16" i="20"/>
  <c r="D18" i="18"/>
  <c r="F25" i="17"/>
  <c r="F21" i="17" s="1"/>
  <c r="D21" i="17"/>
  <c r="D17" i="17"/>
  <c r="F27" i="14"/>
  <c r="I27" i="14" s="1"/>
  <c r="D23" i="14"/>
  <c r="H23" i="14" s="1"/>
  <c r="D19" i="14"/>
  <c r="C15" i="13"/>
  <c r="F26" i="13"/>
  <c r="D17" i="12"/>
  <c r="F24" i="12"/>
  <c r="F21" i="12" s="1"/>
  <c r="D27" i="18"/>
  <c r="D22" i="18" s="1"/>
  <c r="D25" i="19"/>
  <c r="C16" i="23"/>
  <c r="C15" i="23" s="1"/>
  <c r="C16" i="24"/>
  <c r="F22" i="24"/>
  <c r="C16" i="22"/>
  <c r="C15" i="22" s="1"/>
  <c r="C16" i="21"/>
  <c r="C17" i="18"/>
  <c r="C15" i="17"/>
  <c r="D33" i="14"/>
  <c r="C18" i="14"/>
  <c r="C16" i="12"/>
  <c r="C15" i="12" s="1"/>
  <c r="I26" i="11"/>
  <c r="I29" i="11"/>
  <c r="I23" i="11"/>
  <c r="I25" i="11"/>
  <c r="I27" i="11"/>
  <c r="I28" i="11"/>
  <c r="I30" i="11"/>
  <c r="I31" i="11"/>
  <c r="I32" i="11"/>
  <c r="I33" i="11"/>
  <c r="D22" i="11"/>
  <c r="F22" i="11" s="1"/>
  <c r="F21" i="11" s="1"/>
  <c r="D20" i="11"/>
  <c r="C12" i="11"/>
  <c r="A8" i="11"/>
  <c r="C68" i="3"/>
  <c r="I35" i="14" l="1"/>
  <c r="J28" i="19"/>
  <c r="F22" i="13"/>
  <c r="F21" i="13" s="1"/>
  <c r="F15" i="19"/>
  <c r="I30" i="19" s="1"/>
  <c r="F30" i="17"/>
  <c r="F29" i="17" s="1"/>
  <c r="E12" i="30"/>
  <c r="J12" i="30" s="1"/>
  <c r="K12" i="30" s="1"/>
  <c r="J13" i="30"/>
  <c r="K13" i="30" s="1"/>
  <c r="J22" i="21"/>
  <c r="D16" i="13"/>
  <c r="D15" i="13" s="1"/>
  <c r="E19" i="13" s="1"/>
  <c r="F19" i="13" s="1"/>
  <c r="F17" i="13" s="1"/>
  <c r="I17" i="13" s="1"/>
  <c r="F21" i="24"/>
  <c r="I21" i="24" s="1"/>
  <c r="D16" i="24"/>
  <c r="D15" i="24" s="1"/>
  <c r="C21" i="33"/>
  <c r="E19" i="22"/>
  <c r="J21" i="21"/>
  <c r="I29" i="18"/>
  <c r="I34" i="18"/>
  <c r="I32" i="18"/>
  <c r="I20" i="24"/>
  <c r="F27" i="18"/>
  <c r="I21" i="18"/>
  <c r="I28" i="18"/>
  <c r="I30" i="18"/>
  <c r="C15" i="24"/>
  <c r="F23" i="14"/>
  <c r="I23" i="14" s="1"/>
  <c r="I16" i="19"/>
  <c r="J16" i="19" s="1"/>
  <c r="I29" i="14"/>
  <c r="I22" i="14"/>
  <c r="D16" i="20"/>
  <c r="D15" i="20" s="1"/>
  <c r="C15" i="21"/>
  <c r="I25" i="24"/>
  <c r="I26" i="19"/>
  <c r="J26" i="19" s="1"/>
  <c r="C16" i="18"/>
  <c r="D16" i="21"/>
  <c r="D15" i="21" s="1"/>
  <c r="K20" i="20"/>
  <c r="H20" i="11"/>
  <c r="F20" i="11"/>
  <c r="H22" i="11"/>
  <c r="D21" i="11"/>
  <c r="H21" i="11" s="1"/>
  <c r="H27" i="18"/>
  <c r="H22" i="18"/>
  <c r="D18" i="14"/>
  <c r="D17" i="14" s="1"/>
  <c r="C33" i="14"/>
  <c r="H33" i="14" s="1"/>
  <c r="I33" i="14" s="1"/>
  <c r="H34" i="14"/>
  <c r="I34" i="14" s="1"/>
  <c r="I25" i="19"/>
  <c r="J25" i="19" s="1"/>
  <c r="K24" i="20"/>
  <c r="I22" i="24"/>
  <c r="J20" i="21"/>
  <c r="J21" i="19"/>
  <c r="I28" i="14"/>
  <c r="I33" i="18"/>
  <c r="K21" i="20"/>
  <c r="C15" i="20"/>
  <c r="D16" i="17"/>
  <c r="D15" i="17" s="1"/>
  <c r="D16" i="12"/>
  <c r="D15" i="12" s="1"/>
  <c r="D17" i="11"/>
  <c r="C16" i="11"/>
  <c r="D15" i="19"/>
  <c r="I24" i="11"/>
  <c r="D16" i="23"/>
  <c r="D15" i="23" s="1"/>
  <c r="C17" i="14" l="1"/>
  <c r="F16" i="13"/>
  <c r="F15" i="13" s="1"/>
  <c r="I15" i="13" s="1"/>
  <c r="I13" i="19"/>
  <c r="C15" i="33"/>
  <c r="E19" i="17"/>
  <c r="C14" i="33"/>
  <c r="E21" i="14"/>
  <c r="N695" i="34"/>
  <c r="C13" i="33"/>
  <c r="C12" i="33"/>
  <c r="E19" i="12"/>
  <c r="C23" i="33"/>
  <c r="E19" i="24"/>
  <c r="C22" i="33"/>
  <c r="E19" i="23"/>
  <c r="E17" i="22"/>
  <c r="E16" i="22" s="1"/>
  <c r="E15" i="22" s="1"/>
  <c r="F19" i="22"/>
  <c r="F17" i="22" s="1"/>
  <c r="F16" i="22" s="1"/>
  <c r="F15" i="22" s="1"/>
  <c r="C20" i="33"/>
  <c r="E19" i="21"/>
  <c r="C19" i="33"/>
  <c r="E19" i="20"/>
  <c r="F22" i="18"/>
  <c r="I22" i="18" s="1"/>
  <c r="I27" i="18"/>
  <c r="I15" i="19"/>
  <c r="J15" i="19" s="1"/>
  <c r="I20" i="11"/>
  <c r="C18" i="33"/>
  <c r="D17" i="18"/>
  <c r="D16" i="18" s="1"/>
  <c r="D16" i="11"/>
  <c r="D15" i="11" s="1"/>
  <c r="I22" i="11"/>
  <c r="C15" i="11"/>
  <c r="E17" i="17" l="1"/>
  <c r="E16" i="17" s="1"/>
  <c r="E15" i="17" s="1"/>
  <c r="H15" i="17" s="1"/>
  <c r="F19" i="17"/>
  <c r="F17" i="17" s="1"/>
  <c r="F16" i="17" s="1"/>
  <c r="F15" i="17" s="1"/>
  <c r="E19" i="14"/>
  <c r="H21" i="14"/>
  <c r="F21" i="14"/>
  <c r="F19" i="14" s="1"/>
  <c r="F18" i="14" s="1"/>
  <c r="F17" i="14" s="1"/>
  <c r="E17" i="12"/>
  <c r="E16" i="12" s="1"/>
  <c r="E15" i="12" s="1"/>
  <c r="F19" i="12"/>
  <c r="F17" i="12" s="1"/>
  <c r="F16" i="12" s="1"/>
  <c r="F15" i="12" s="1"/>
  <c r="H15" i="12" s="1"/>
  <c r="C11" i="33"/>
  <c r="E19" i="11"/>
  <c r="I21" i="11"/>
  <c r="E17" i="24"/>
  <c r="H19" i="24"/>
  <c r="F19" i="24"/>
  <c r="F17" i="24" s="1"/>
  <c r="F16" i="24" s="1"/>
  <c r="F15" i="24" s="1"/>
  <c r="E17" i="23"/>
  <c r="E16" i="23" s="1"/>
  <c r="E15" i="23" s="1"/>
  <c r="F19" i="23"/>
  <c r="F17" i="23" s="1"/>
  <c r="F16" i="23" s="1"/>
  <c r="F15" i="23" s="1"/>
  <c r="E17" i="21"/>
  <c r="F19" i="21"/>
  <c r="F17" i="21" s="1"/>
  <c r="F16" i="21" s="1"/>
  <c r="F15" i="21" s="1"/>
  <c r="I19" i="21"/>
  <c r="E17" i="20"/>
  <c r="J19" i="20"/>
  <c r="F19" i="20"/>
  <c r="F17" i="20" s="1"/>
  <c r="F16" i="20" s="1"/>
  <c r="F15" i="20" s="1"/>
  <c r="C17" i="33"/>
  <c r="E20" i="18"/>
  <c r="D22" i="8"/>
  <c r="C13" i="10"/>
  <c r="D23" i="10"/>
  <c r="D21" i="10"/>
  <c r="A8" i="10"/>
  <c r="C30" i="9"/>
  <c r="F21" i="9"/>
  <c r="D23" i="9"/>
  <c r="D19" i="9"/>
  <c r="K19" i="9" s="1"/>
  <c r="A8" i="9"/>
  <c r="C37" i="7"/>
  <c r="D27" i="8"/>
  <c r="F26" i="8"/>
  <c r="I26" i="8" s="1"/>
  <c r="D25" i="8"/>
  <c r="F24" i="8"/>
  <c r="I24" i="8" s="1"/>
  <c r="D23" i="8"/>
  <c r="D20" i="8"/>
  <c r="A8" i="8"/>
  <c r="D51" i="7"/>
  <c r="F50" i="7"/>
  <c r="D48" i="7"/>
  <c r="D36" i="7"/>
  <c r="D20" i="7"/>
  <c r="I15" i="17" l="1"/>
  <c r="I21" i="14"/>
  <c r="E18" i="14"/>
  <c r="H19" i="14"/>
  <c r="I19" i="14" s="1"/>
  <c r="E17" i="11"/>
  <c r="H19" i="11"/>
  <c r="F19" i="11"/>
  <c r="F17" i="11" s="1"/>
  <c r="F16" i="11" s="1"/>
  <c r="F15" i="11" s="1"/>
  <c r="H14" i="11" s="1"/>
  <c r="I19" i="24"/>
  <c r="E16" i="24"/>
  <c r="H17" i="24"/>
  <c r="I17" i="24" s="1"/>
  <c r="J19" i="21"/>
  <c r="E16" i="21"/>
  <c r="I17" i="21"/>
  <c r="J17" i="21" s="1"/>
  <c r="K19" i="20"/>
  <c r="E16" i="20"/>
  <c r="J17" i="20"/>
  <c r="K17" i="20" s="1"/>
  <c r="E18" i="18"/>
  <c r="H20" i="18"/>
  <c r="F20" i="18"/>
  <c r="F18" i="18" s="1"/>
  <c r="F17" i="18" s="1"/>
  <c r="F16" i="18" s="1"/>
  <c r="N759" i="34" s="1"/>
  <c r="F31" i="9"/>
  <c r="F30" i="9" s="1"/>
  <c r="K31" i="9"/>
  <c r="L31" i="9" s="1"/>
  <c r="F20" i="8"/>
  <c r="H20" i="8"/>
  <c r="H37" i="7"/>
  <c r="I37" i="7" s="1"/>
  <c r="C32" i="7"/>
  <c r="F22" i="8"/>
  <c r="H22" i="8"/>
  <c r="F23" i="8"/>
  <c r="H23" i="8"/>
  <c r="D33" i="7"/>
  <c r="H36" i="7"/>
  <c r="I50" i="7"/>
  <c r="H21" i="10"/>
  <c r="F21" i="10"/>
  <c r="L21" i="9"/>
  <c r="F20" i="7"/>
  <c r="F19" i="7" s="1"/>
  <c r="H20" i="7"/>
  <c r="D19" i="7"/>
  <c r="H19" i="7" s="1"/>
  <c r="F27" i="8"/>
  <c r="H27" i="8"/>
  <c r="D45" i="7"/>
  <c r="H48" i="7"/>
  <c r="H51" i="7"/>
  <c r="F51" i="7"/>
  <c r="F49" i="7" s="1"/>
  <c r="D49" i="7"/>
  <c r="H49" i="7" s="1"/>
  <c r="F25" i="8"/>
  <c r="H25" i="8"/>
  <c r="K23" i="9"/>
  <c r="D20" i="9"/>
  <c r="K20" i="9" s="1"/>
  <c r="F23" i="9"/>
  <c r="F20" i="9" s="1"/>
  <c r="F23" i="10"/>
  <c r="F22" i="10" s="1"/>
  <c r="H23" i="10"/>
  <c r="D22" i="10"/>
  <c r="H22" i="10" s="1"/>
  <c r="D18" i="10"/>
  <c r="D16" i="9"/>
  <c r="F19" i="9"/>
  <c r="C15" i="9"/>
  <c r="D17" i="8"/>
  <c r="C14" i="8"/>
  <c r="F48" i="7"/>
  <c r="F45" i="7" s="1"/>
  <c r="F36" i="7"/>
  <c r="F33" i="7" s="1"/>
  <c r="F32" i="7" s="1"/>
  <c r="D30" i="9"/>
  <c r="K30" i="9" s="1"/>
  <c r="C17" i="10"/>
  <c r="D21" i="8"/>
  <c r="H21" i="8" s="1"/>
  <c r="I22" i="8" l="1"/>
  <c r="I19" i="7"/>
  <c r="I20" i="7"/>
  <c r="E17" i="14"/>
  <c r="H17" i="14" s="1"/>
  <c r="I17" i="14" s="1"/>
  <c r="H18" i="14"/>
  <c r="I18" i="14" s="1"/>
  <c r="I27" i="8"/>
  <c r="I25" i="8"/>
  <c r="I23" i="8"/>
  <c r="I23" i="10"/>
  <c r="L30" i="9"/>
  <c r="I22" i="10"/>
  <c r="I19" i="11"/>
  <c r="E16" i="11"/>
  <c r="H17" i="11"/>
  <c r="I17" i="11" s="1"/>
  <c r="E15" i="24"/>
  <c r="H15" i="24" s="1"/>
  <c r="I15" i="24" s="1"/>
  <c r="H16" i="24"/>
  <c r="I16" i="24" s="1"/>
  <c r="E15" i="21"/>
  <c r="I15" i="21" s="1"/>
  <c r="J15" i="21" s="1"/>
  <c r="I16" i="21"/>
  <c r="J16" i="21" s="1"/>
  <c r="E15" i="20"/>
  <c r="J15" i="20" s="1"/>
  <c r="K15" i="20" s="1"/>
  <c r="J16" i="20"/>
  <c r="K16" i="20" s="1"/>
  <c r="I20" i="8"/>
  <c r="I20" i="18"/>
  <c r="E17" i="18"/>
  <c r="H18" i="18"/>
  <c r="I18" i="18" s="1"/>
  <c r="D17" i="10"/>
  <c r="D16" i="10" s="1"/>
  <c r="E20" i="10" s="1"/>
  <c r="I21" i="10"/>
  <c r="L19" i="9"/>
  <c r="F44" i="7"/>
  <c r="I51" i="7"/>
  <c r="L23" i="9"/>
  <c r="I48" i="7"/>
  <c r="C16" i="10"/>
  <c r="D44" i="7"/>
  <c r="H44" i="7" s="1"/>
  <c r="H45" i="7"/>
  <c r="I45" i="7" s="1"/>
  <c r="D15" i="8"/>
  <c r="C14" i="9"/>
  <c r="I36" i="7"/>
  <c r="F21" i="8"/>
  <c r="I21" i="8" s="1"/>
  <c r="L20" i="9"/>
  <c r="I49" i="7"/>
  <c r="D32" i="7"/>
  <c r="H32" i="7" s="1"/>
  <c r="I32" i="7" s="1"/>
  <c r="H33" i="7"/>
  <c r="I33" i="7" s="1"/>
  <c r="D15" i="9"/>
  <c r="D14" i="9" s="1"/>
  <c r="D16" i="8"/>
  <c r="E19" i="8" l="1"/>
  <c r="D14" i="8"/>
  <c r="C9" i="33"/>
  <c r="C10" i="33"/>
  <c r="E15" i="11"/>
  <c r="H15" i="11" s="1"/>
  <c r="I15" i="11" s="1"/>
  <c r="H16" i="11"/>
  <c r="I16" i="11" s="1"/>
  <c r="E16" i="18"/>
  <c r="H16" i="18" s="1"/>
  <c r="I16" i="18" s="1"/>
  <c r="H17" i="18"/>
  <c r="I17" i="18" s="1"/>
  <c r="I44" i="7"/>
  <c r="D18" i="7"/>
  <c r="A8" i="7"/>
  <c r="D20" i="6"/>
  <c r="F20" i="6" s="1"/>
  <c r="F19" i="6" s="1"/>
  <c r="F19" i="8" l="1"/>
  <c r="F17" i="8" s="1"/>
  <c r="E17" i="8"/>
  <c r="H19" i="8"/>
  <c r="F18" i="9"/>
  <c r="F16" i="9" s="1"/>
  <c r="F15" i="9" s="1"/>
  <c r="F14" i="9" s="1"/>
  <c r="E16" i="9"/>
  <c r="E18" i="10"/>
  <c r="F20" i="10"/>
  <c r="F18" i="10" s="1"/>
  <c r="F17" i="10" s="1"/>
  <c r="F16" i="10" s="1"/>
  <c r="N568" i="34" s="1"/>
  <c r="H20" i="10"/>
  <c r="F18" i="7"/>
  <c r="F15" i="7" s="1"/>
  <c r="F14" i="7" s="1"/>
  <c r="J14" i="7" s="1"/>
  <c r="D15" i="7"/>
  <c r="H18" i="7"/>
  <c r="D19" i="6"/>
  <c r="C13" i="7"/>
  <c r="F13" i="7" l="1"/>
  <c r="I19" i="8"/>
  <c r="E16" i="8"/>
  <c r="H16" i="8" s="1"/>
  <c r="E15" i="8"/>
  <c r="H17" i="8"/>
  <c r="I17" i="8" s="1"/>
  <c r="F16" i="8"/>
  <c r="H13" i="8" s="1"/>
  <c r="F15" i="8"/>
  <c r="F14" i="8" s="1"/>
  <c r="N543" i="34"/>
  <c r="L18" i="9"/>
  <c r="E15" i="9"/>
  <c r="K16" i="9"/>
  <c r="L16" i="9" s="1"/>
  <c r="I20" i="10"/>
  <c r="E17" i="10"/>
  <c r="H18" i="10"/>
  <c r="I18" i="10" s="1"/>
  <c r="I18" i="7"/>
  <c r="D14" i="7"/>
  <c r="H15" i="7"/>
  <c r="I15" i="7" s="1"/>
  <c r="E14" i="8" l="1"/>
  <c r="H14" i="8" s="1"/>
  <c r="I14" i="8" s="1"/>
  <c r="H15" i="8"/>
  <c r="I15" i="8" s="1"/>
  <c r="I16" i="8"/>
  <c r="E14" i="9"/>
  <c r="K14" i="9" s="1"/>
  <c r="L14" i="9" s="1"/>
  <c r="K15" i="9"/>
  <c r="L15" i="9" s="1"/>
  <c r="E16" i="10"/>
  <c r="H16" i="10" s="1"/>
  <c r="I16" i="10" s="1"/>
  <c r="H17" i="10"/>
  <c r="I17" i="10" s="1"/>
  <c r="D13" i="7"/>
  <c r="H14" i="7"/>
  <c r="I14" i="7" s="1"/>
  <c r="D18" i="6"/>
  <c r="F18" i="6" s="1"/>
  <c r="A8" i="6"/>
  <c r="E29" i="5"/>
  <c r="E21" i="5"/>
  <c r="E14" i="5"/>
  <c r="E12" i="5" s="1"/>
  <c r="E20" i="5" l="1"/>
  <c r="E16" i="5" s="1"/>
  <c r="H13" i="7"/>
  <c r="I13" i="7" s="1"/>
  <c r="C8" i="33"/>
  <c r="D15" i="6"/>
  <c r="D14" i="6" s="1"/>
  <c r="D13" i="6" s="1"/>
  <c r="E17" i="6" s="1"/>
  <c r="F17" i="6" s="1"/>
  <c r="F15" i="6" s="1"/>
  <c r="F14" i="6" s="1"/>
  <c r="F13" i="6" s="1"/>
  <c r="C14" i="6"/>
  <c r="C13" i="6" s="1"/>
  <c r="C7" i="33" l="1"/>
  <c r="E15" i="6"/>
  <c r="E14" i="6" s="1"/>
  <c r="E13" i="6" s="1"/>
  <c r="A8" i="5" l="1"/>
  <c r="A8" i="4"/>
  <c r="C16" i="5" l="1"/>
  <c r="C15" i="5" s="1"/>
  <c r="F22" i="4"/>
  <c r="F21" i="4"/>
  <c r="D24" i="4"/>
  <c r="D20" i="4" s="1"/>
  <c r="F24" i="4" l="1"/>
  <c r="F20" i="4" s="1"/>
  <c r="E15" i="5"/>
  <c r="D19" i="4"/>
  <c r="D16" i="4" s="1"/>
  <c r="F22" i="1"/>
  <c r="F23" i="1"/>
  <c r="F20" i="1" l="1"/>
  <c r="D15" i="4"/>
  <c r="D14" i="4" s="1"/>
  <c r="F19" i="4"/>
  <c r="C14" i="4"/>
  <c r="C6" i="33" l="1"/>
  <c r="E18" i="4"/>
  <c r="C15" i="1"/>
  <c r="D19" i="1"/>
  <c r="E16" i="4" l="1"/>
  <c r="E15" i="4" s="1"/>
  <c r="E14" i="4" s="1"/>
  <c r="F18" i="4"/>
  <c r="F16" i="4" s="1"/>
  <c r="F15" i="4" s="1"/>
  <c r="F14" i="4" s="1"/>
  <c r="D16" i="1"/>
  <c r="H19" i="1"/>
  <c r="C14" i="1"/>
  <c r="F19" i="1"/>
  <c r="D15" i="1" l="1"/>
  <c r="D14" i="1" l="1"/>
  <c r="B32" i="48" l="1"/>
  <c r="B34" i="48" s="1"/>
  <c r="E18" i="1"/>
  <c r="C5" i="33"/>
  <c r="C3" i="33" s="1"/>
  <c r="E3" i="33" s="1"/>
  <c r="B33" i="32"/>
  <c r="B35" i="32" s="1"/>
  <c r="E16" i="1" l="1"/>
  <c r="H18" i="1"/>
  <c r="F18" i="1"/>
  <c r="F16" i="1" s="1"/>
  <c r="F15" i="1" s="1"/>
  <c r="F14" i="1" s="1"/>
  <c r="N150" i="34" s="1"/>
  <c r="E15" i="1" l="1"/>
  <c r="H16" i="1"/>
  <c r="E14" i="1" l="1"/>
  <c r="H14" i="1" s="1"/>
  <c r="H15" i="1"/>
  <c r="L218" i="34" l="1"/>
  <c r="L238" i="34" s="1"/>
  <c r="L71" i="34"/>
  <c r="L35" i="34" l="1"/>
  <c r="N36" i="34" s="1"/>
  <c r="N38" i="34" s="1"/>
  <c r="L1171" i="34" l="1"/>
  <c r="N1173" i="34" s="1"/>
  <c r="N1175" i="34" s="1"/>
  <c r="N34" i="34"/>
  <c r="N33" i="34" s="1"/>
  <c r="N37" i="34"/>
  <c r="O37" i="34" s="1"/>
  <c r="L1173" i="34" l="1"/>
  <c r="L1092" i="34"/>
  <c r="L34" i="34" s="1"/>
  <c r="L5" i="34" s="1"/>
  <c r="L4" i="34" s="1"/>
  <c r="N3" i="34"/>
  <c r="N6" i="34" l="1"/>
  <c r="M34" i="34"/>
  <c r="N4" i="34"/>
  <c r="O5" i="34" s="1"/>
  <c r="N5" i="34"/>
  <c r="U18" i="34"/>
  <c r="U19" i="34"/>
  <c r="W19" i="34" s="1"/>
  <c r="O6" i="34"/>
  <c r="W8" i="34"/>
  <c r="S1" i="34"/>
  <c r="T1" i="34" s="1"/>
  <c r="W1" i="34"/>
</calcChain>
</file>

<file path=xl/comments1.xml><?xml version="1.0" encoding="utf-8"?>
<comments xmlns="http://schemas.openxmlformats.org/spreadsheetml/2006/main">
  <authors>
    <author>Windows User</author>
    <author>User</author>
    <author>Duong Xuan Tuan</author>
  </authors>
  <commentList>
    <comment ref="U4" authorId="0" shapeId="0">
      <text>
        <r>
          <rPr>
            <b/>
            <sz val="8"/>
            <rFont val="Tahoma"/>
            <family val="2"/>
          </rPr>
          <t>Windows User:</t>
        </r>
        <r>
          <rPr>
            <sz val="8"/>
            <rFont val="Tahoma"/>
            <family val="2"/>
          </rPr>
          <t xml:space="preserve">
kinh phí còn để bù nhiệm vụ chi
</t>
        </r>
      </text>
    </comment>
    <comment ref="U39" authorId="1" shapeId="0">
      <text>
        <r>
          <rPr>
            <b/>
            <sz val="9"/>
            <color indexed="81"/>
            <rFont val="Tahoma"/>
            <family val="2"/>
          </rPr>
          <t>User:</t>
        </r>
        <r>
          <rPr>
            <sz val="9"/>
            <color indexed="81"/>
            <rFont val="Tahoma"/>
            <family val="2"/>
          </rPr>
          <t xml:space="preserve">
Không tính BQL chợ và Sự nghiệp giáo dục</t>
        </r>
      </text>
    </comment>
    <comment ref="F48" authorId="1" shapeId="0">
      <text>
        <r>
          <rPr>
            <b/>
            <sz val="9"/>
            <color indexed="81"/>
            <rFont val="Tahoma"/>
            <family val="2"/>
          </rPr>
          <t>User:</t>
        </r>
        <r>
          <rPr>
            <sz val="9"/>
            <color indexed="81"/>
            <rFont val="Tahoma"/>
            <family val="2"/>
          </rPr>
          <t xml:space="preserve">
1. Kinh phí đề án Tổ An ninh nhân dân: 155 trđ
2. Kinh phí thực hiện đề án hỗ trợ quản lý và bảo vệ rừng năm 2021 theo Quyết định số 677/QĐ-UBND ngày14/5/2021: 56 trđ
3. Quỹ lương CBCC xã: 350,114 trđ
4. NQ 20 KCT: 17,613 trđ
5. Đảm bảo xã hội xã: 24,952 trđ
6. SN Kinh tế xã: 169 trđ</t>
        </r>
      </text>
    </comment>
    <comment ref="F228" authorId="2" shapeId="0">
      <text>
        <r>
          <rPr>
            <b/>
            <sz val="8"/>
            <rFont val="Tahoma"/>
            <family val="2"/>
          </rPr>
          <t>Duong Xuan Tuan:</t>
        </r>
        <r>
          <rPr>
            <sz val="8"/>
            <rFont val="Tahoma"/>
            <family val="2"/>
          </rPr>
          <t xml:space="preserve">
(Bằng 50% so với biên chế)
</t>
        </r>
      </text>
    </comment>
    <comment ref="F441" authorId="1" shapeId="0">
      <text>
        <r>
          <rPr>
            <b/>
            <sz val="9"/>
            <color indexed="81"/>
            <rFont val="Tahoma"/>
            <family val="2"/>
          </rPr>
          <t>Cụ thể:
- Lắp đặt Camera: 4 tỷ
- Mua sắm thiết bị dạy học: 12 tỷ
- Cây xanh: 5 tỷ
- Mua sắm: 2,5 tỷ
- Sửa chữa: Còn lại</t>
        </r>
        <r>
          <rPr>
            <sz val="9"/>
            <color indexed="81"/>
            <rFont val="Tahoma"/>
            <family val="2"/>
          </rPr>
          <t xml:space="preserve">
</t>
        </r>
      </text>
    </comment>
    <comment ref="F470" authorId="1" shapeId="0">
      <text>
        <r>
          <rPr>
            <sz val="9"/>
            <color indexed="81"/>
            <rFont val="Tahoma"/>
            <family val="2"/>
          </rPr>
          <t>Đối tượng theo Nghị định 136: 55,764 tỷ đồng
Bổ sung có mục tiêu 15,063 triệu</t>
        </r>
      </text>
    </comment>
    <comment ref="F472" authorId="1" shapeId="0">
      <text>
        <r>
          <rPr>
            <b/>
            <sz val="9"/>
            <color indexed="81"/>
            <rFont val="Tahoma"/>
            <family val="2"/>
          </rPr>
          <t>User:</t>
        </r>
        <r>
          <rPr>
            <sz val="9"/>
            <color indexed="81"/>
            <rFont val="Tahoma"/>
            <family val="2"/>
          </rPr>
          <t xml:space="preserve">
Tỉnh bổ sung có mục tiêu</t>
        </r>
      </text>
    </comment>
    <comment ref="B1097" authorId="2" shapeId="0">
      <text>
        <r>
          <rPr>
            <b/>
            <sz val="8"/>
            <rFont val="Tahoma"/>
            <family val="2"/>
          </rPr>
          <t>Duong Xuan Tuan:</t>
        </r>
        <r>
          <rPr>
            <sz val="8"/>
            <rFont val="Tahoma"/>
            <family val="2"/>
          </rPr>
          <t xml:space="preserve">
chờ thống nhất đặc thù đô thị của sở tài chính
</t>
        </r>
      </text>
    </comment>
    <comment ref="B1137" authorId="2" shapeId="0">
      <text>
        <r>
          <rPr>
            <b/>
            <sz val="8"/>
            <rFont val="Tahoma"/>
            <family val="2"/>
          </rPr>
          <t>Duong Xuan Tuan:</t>
        </r>
        <r>
          <rPr>
            <sz val="8"/>
            <rFont val="Tahoma"/>
            <family val="2"/>
          </rPr>
          <t xml:space="preserve">
chờ thống nhất đặc thù đô thị của sở tài chính
</t>
        </r>
      </text>
    </comment>
  </commentList>
</comments>
</file>

<file path=xl/comments2.xml><?xml version="1.0" encoding="utf-8"?>
<comments xmlns="http://schemas.openxmlformats.org/spreadsheetml/2006/main">
  <authors>
    <author>Duong Xuan Tuan</author>
  </authors>
  <commentList>
    <comment ref="B676" authorId="0" shapeId="0">
      <text>
        <r>
          <rPr>
            <b/>
            <sz val="8"/>
            <rFont val="Tahoma"/>
            <family val="2"/>
          </rPr>
          <t>Duong Xuan Tuan:</t>
        </r>
        <r>
          <rPr>
            <sz val="8"/>
            <rFont val="Tahoma"/>
            <family val="2"/>
          </rPr>
          <t xml:space="preserve">
chờ thống nhất đặc thù đô thị của sở tài chính
</t>
        </r>
      </text>
    </comment>
  </commentList>
</comments>
</file>

<file path=xl/sharedStrings.xml><?xml version="1.0" encoding="utf-8"?>
<sst xmlns="http://schemas.openxmlformats.org/spreadsheetml/2006/main" count="6974" uniqueCount="2180">
  <si>
    <t>STT</t>
  </si>
  <si>
    <t>Nội dung</t>
  </si>
  <si>
    <t>I</t>
  </si>
  <si>
    <t>Tổng số thu, chi, nộp ngân sách phí, lệ phí</t>
  </si>
  <si>
    <t>Số thu phí, lệ phí</t>
  </si>
  <si>
    <t>1.1</t>
  </si>
  <si>
    <t>1.2</t>
  </si>
  <si>
    <t>Chi từ nguồn thu phí được để lại</t>
  </si>
  <si>
    <t>2.1</t>
  </si>
  <si>
    <t>Kinh phí nhiệm vụ thường xuyên</t>
  </si>
  <si>
    <t>Kinh phí nhiệm vụ không thường xuyên</t>
  </si>
  <si>
    <t>2.2</t>
  </si>
  <si>
    <t>II</t>
  </si>
  <si>
    <t>2.3</t>
  </si>
  <si>
    <t>Chi sự nghiệp kinh tế</t>
  </si>
  <si>
    <t>Đơn vị: Trung tâm Dịch vụ nông nghiệp thành phố</t>
  </si>
  <si>
    <t>Mã số: 1123437</t>
  </si>
  <si>
    <t>Mã KBNN nơi giao dịch: 2111</t>
  </si>
  <si>
    <t>Tiết kiệm chi 10% để tạo nguồn thực hiện cải cách tiền lương</t>
  </si>
  <si>
    <t>Ghi chú</t>
  </si>
  <si>
    <t>(1)</t>
  </si>
  <si>
    <t>(2)</t>
  </si>
  <si>
    <t>(3)</t>
  </si>
  <si>
    <t>(4)</t>
  </si>
  <si>
    <t>(5)=(3)-(4)</t>
  </si>
  <si>
    <t>(6)</t>
  </si>
  <si>
    <t>Quỹ tiền lương tính theo mức lương cơ sở 1,49 trđ/tháng</t>
  </si>
  <si>
    <t>Kinh phí hoạt động theo định mức</t>
  </si>
  <si>
    <t>2.4</t>
  </si>
  <si>
    <t>2.5</t>
  </si>
  <si>
    <t>2.6</t>
  </si>
  <si>
    <t>2.7</t>
  </si>
  <si>
    <t>2.8</t>
  </si>
  <si>
    <t>Chi thuê mướn bảo vệ</t>
  </si>
  <si>
    <t>Chi hoạt động chi bộ</t>
  </si>
  <si>
    <t>Hỗ trợ theo Nghị quyết 12/2019/NQ-HĐND ngày 10/7/2019 cho ông Trần Đình Tiến</t>
  </si>
  <si>
    <t>Trang bị bình chữa cháy</t>
  </si>
  <si>
    <t>Trang bị 04 bộ máy vi tính; 01 máy Scan; 01 Tivi; 01 máy photo</t>
  </si>
  <si>
    <t>2.9</t>
  </si>
  <si>
    <t>2.10</t>
  </si>
  <si>
    <t>2.11</t>
  </si>
  <si>
    <t>2.12</t>
  </si>
  <si>
    <t>Thực hiện khi có Kế hoạch Khuyến nông của UBND thành phố ban hành</t>
  </si>
  <si>
    <t>Đơn vị: đồng</t>
  </si>
  <si>
    <t>ĐỘI QUẢN LÝ TRẬT TỰ ĐÔ THỊ THÀNH PHỐ</t>
  </si>
  <si>
    <t>Đơn vị: Đội Quản lý trật tự đô thị thành phố</t>
  </si>
  <si>
    <t>Mã số: 1082303</t>
  </si>
  <si>
    <t>Thuê mướn bảo vệ, lái xe</t>
  </si>
  <si>
    <t xml:space="preserve">Chi hoạt động chi bộ </t>
  </si>
  <si>
    <t xml:space="preserve">Xăng, dầu, nhớt, chạy xe ô tô, môtô đặc chủng </t>
  </si>
  <si>
    <t>Trang bị trang phục, đồng phục cho viên chức</t>
  </si>
  <si>
    <t>Bảo hiểm, đăng kiểm xe ô tô, mô tô</t>
  </si>
  <si>
    <t>Phục vụ ra quân các ngày lễ, Tết, Kế hoạch của UBND thành phố…</t>
  </si>
  <si>
    <t>Chi in ấn các biểu mẫu, hồ sơ, bảng cam kết để hướng dẫn chuyên môn nghiệp vụ</t>
  </si>
  <si>
    <t xml:space="preserve">Sửa chữa trang thiết bị, phương tiện xe ô tô, môtô đặt chủng </t>
  </si>
  <si>
    <t>Trang bị 04 bộ máy vi tính</t>
  </si>
  <si>
    <t>Thực hiện đề án Nêp sống văn minh đô thị</t>
  </si>
  <si>
    <t>Chi phòng chống lụt bão và Phòng cháy chữa cháy</t>
  </si>
  <si>
    <t xml:space="preserve">Thực hiện các vụ cưỡng chế thi hành Quyết định xử phạt VPHC đã có hiệu lực của Chủ tịch UBND thành phố và Quyết định thu hồi đất </t>
  </si>
  <si>
    <t>Chương: 799-338</t>
  </si>
  <si>
    <t>Chương: 799-281</t>
  </si>
  <si>
    <t>BQL CHỢ QUẢNG NGÃI</t>
  </si>
  <si>
    <t>Chương: 799-321</t>
  </si>
  <si>
    <t>Đơn vị: BQL Chợ Quảng Ngãi</t>
  </si>
  <si>
    <t>Bảo trì công trình Chợ Quảng Ngãi và Chợ ĐMNS</t>
  </si>
  <si>
    <t xml:space="preserve">Mua bảo hiểm cháy nổ cho Công trình chợ Quảng Ngãi </t>
  </si>
  <si>
    <t>Mua bảo hiểm cháy nổ cho công trình chợ ĐMNS</t>
  </si>
  <si>
    <t>Mua bảo hiểm cháy nổ công trình Chợ Tươi sống</t>
  </si>
  <si>
    <t>Chi quan trắc và  lập báo cáo giám sát môi trường</t>
  </si>
  <si>
    <t>Dự toán kinh phí nhiệm vụ không thường xuyên (Thực hiện nhiệm vụ UBND thành phố giao)</t>
  </si>
  <si>
    <t>III</t>
  </si>
  <si>
    <t>Dự toán chi ngân sách nhà nước</t>
  </si>
  <si>
    <t>Đơn vị: Hội Chữ thập đỏ thành phố</t>
  </si>
  <si>
    <t>HỘI CHỮ THẬP ĐỎ THÀNH PHỐ</t>
  </si>
  <si>
    <t>Chương - Khoản: 717-362</t>
  </si>
  <si>
    <t>TRUNG TÂM DỊCH VỤ NÔNG NGHIỆP THÀNH PHỐ</t>
  </si>
  <si>
    <t>Mã số: 1082487</t>
  </si>
  <si>
    <t>Hoạt động phòng khám từ thiện</t>
  </si>
  <si>
    <t>Tổ chức các hoạt động gây quỹ khuyến học</t>
  </si>
  <si>
    <t>Thuê mướn bảo vệ</t>
  </si>
  <si>
    <t>Công tác hiến máu</t>
  </si>
  <si>
    <t>Tập huấn cho cán bộ hội và kỹ năng phòng chống thiên tai</t>
  </si>
  <si>
    <t>Trang bị phòng cháy chữa cháy</t>
  </si>
  <si>
    <t>Tổ chức các hoạt động gây quỹ hội</t>
  </si>
  <si>
    <t xml:space="preserve">Dự toán chi ngân sách nhà nước </t>
  </si>
  <si>
    <t>TRUNG TÂM TRUYỀN THÔNG - VĂN HÓA - 
THỂ THAO THÀNH PHỐ</t>
  </si>
  <si>
    <t>Đơn vị: Trung tâm Truyền thông - Văn hóa - Thể thao thành phố</t>
  </si>
  <si>
    <t>Tổng số thu sự nghiệp</t>
  </si>
  <si>
    <t>Mã số: 1115833</t>
  </si>
  <si>
    <t>Chương: 625</t>
  </si>
  <si>
    <t>Chi sự nghiệp Văn hóa - Thông tin (625 - 161)</t>
  </si>
  <si>
    <t>-</t>
  </si>
  <si>
    <t>Tổ chức chương trình Đêm hội giao thừa</t>
  </si>
  <si>
    <t xml:space="preserve">Tổ chức chương trình Chào năm mới </t>
  </si>
  <si>
    <t>Tuyên truyền mừng Đảng mừng Xuân và Lễ phát động ra quân trồng cây xanh đầu năm</t>
  </si>
  <si>
    <t>Tổ chức các hoạt động văn nghệ kỷ niệm các ngày lễ lớn trong năm và các hoạt động văn nghệ trên địa bàn thành phố</t>
  </si>
  <si>
    <t>Chương trình Âm nhạc đường phố</t>
  </si>
  <si>
    <t>Tuyên truyền các ngày lễ lớn, sự kiện lịch sử quan trọng và các nhiệm vụ chính trị của địa phương</t>
  </si>
  <si>
    <t>Tham gia các hoạt động Văn hóa - Văn nghệ do tỉnh tổ chức</t>
  </si>
  <si>
    <t>Thuê mướn lái xe</t>
  </si>
  <si>
    <t>Thuê mướn bảo vệ nhà Lễ tân</t>
  </si>
  <si>
    <t>Chi sự nghiệp Thể dục - Thể thao (625 - 221)</t>
  </si>
  <si>
    <t>Phối hợp với các hội ban ngành của tỉnh và các huyện tổ chức các hoạt động thể thao</t>
  </si>
  <si>
    <t>Phối hợp với các đơn vị tổ chức các hoạt động thể thao trên địa bàn thành phố và giao lưu với các huyện</t>
  </si>
  <si>
    <t>Kinh phí tham gia các hoạt động thể dục thể thao do Sở VHTT tổ chức</t>
  </si>
  <si>
    <t>Sự nghiệp Phát thanh (625 - 191)</t>
  </si>
  <si>
    <t>3.1</t>
  </si>
  <si>
    <t>3.2</t>
  </si>
  <si>
    <t>Chi thuê mướn 02 bảo vệ</t>
  </si>
  <si>
    <t>Chi trang truyền hình</t>
  </si>
  <si>
    <t>Chi Chuyên mục pháp luật</t>
  </si>
  <si>
    <t>Chi Chuyên mục khoa giáo</t>
  </si>
  <si>
    <t>Chi mua mới và sửa chữa trang thiết bị ngành phục vụ chuyên môn</t>
  </si>
  <si>
    <t>Chi tiền điện phát sóng các cụm loa ngoài trời</t>
  </si>
  <si>
    <t>Đặt hàng Đài Truyền hình PTQ các nhiệm vụ phát sóng trên địa bàn thành phố Quảng Ngãi</t>
  </si>
  <si>
    <t>Chi trả tiền nhuận bút</t>
  </si>
  <si>
    <t>Dự toán 
năm 2023</t>
  </si>
  <si>
    <t>Dự toán 
được sử dụng</t>
  </si>
  <si>
    <t>Thực hiện chi trả khi có ý kiến xác  nhận của Phòng Văn hóa  và Thông tin thành phố về nội dung và số lượng tin, bài viết</t>
  </si>
  <si>
    <t>Chương: 605-341</t>
  </si>
  <si>
    <t>Mã số: 1022729</t>
  </si>
  <si>
    <t>Chi Quản lý hành chính</t>
  </si>
  <si>
    <t>Hoạt động giám sát, khảo sát</t>
  </si>
  <si>
    <t>Chi hoạt động tiếp xúc cử tri của đại biểu HĐND thành phố</t>
  </si>
  <si>
    <t>Chi kỳ họp HDND, chi họp, hội nghị của Thường trực, các Ban HDND</t>
  </si>
  <si>
    <t>Chi hỗ trợ chế độ cho đại biểu HĐND theo quy định</t>
  </si>
  <si>
    <t>PHÒNG Y TẾ THÀNH PHỐ</t>
  </si>
  <si>
    <t>Mã số: 1082666</t>
  </si>
  <si>
    <t>Chương: 623 - 341</t>
  </si>
  <si>
    <t>Đơn vị: Phòng Y tế thành phố</t>
  </si>
  <si>
    <t>Chi phục vụ công tác nguời cao tuổi</t>
  </si>
  <si>
    <t>Hoạt động chi bộ theo Quy định 99</t>
  </si>
  <si>
    <t>Chi công tác hành nghề y, dược tư nhân</t>
  </si>
  <si>
    <t>Chi xây dựng gia đình sức khoẻ thôn tổ dân phố sức khoẻ theo CTMTQG về y tế</t>
  </si>
  <si>
    <t>Công tác quản lý An toàn thực phẩm</t>
  </si>
  <si>
    <t>Chi thẩm định cấp giấy chứng nhận về ATTP</t>
  </si>
  <si>
    <t>Chi thăm ngày thầy thuốc Việt Nam</t>
  </si>
  <si>
    <t>Công tác tuyển chọn công dân nhập ngũ</t>
  </si>
  <si>
    <t xml:space="preserve">Chi mua sắm </t>
  </si>
  <si>
    <t>Thực hiện Kế hoạch Phòng Chống dịch bệnh nguy hiểm ở người trên địa bàn thành phố</t>
  </si>
  <si>
    <t>PHÒNG TƯ PHÁP THÀNH PHỐ</t>
  </si>
  <si>
    <t>Mã số: 1005896</t>
  </si>
  <si>
    <t>Chương: 614 - 341</t>
  </si>
  <si>
    <t>Đơn vị: Phòng Tư pháp thành phố</t>
  </si>
  <si>
    <t>Chi tuyên truyền phổ biến giáo dục pháp luật của thành phố Quảng Ngãi</t>
  </si>
  <si>
    <t>Trang bị 01 máy in</t>
  </si>
  <si>
    <t>Chi cho công tác kiểm tra văn bản của các xã, phường theo Quyết định số 26/2012/QĐ-UBND của UBND tỉnh Quảng Ngãi</t>
  </si>
  <si>
    <t>Chi công tác kiểm tra hộ tịch chứng thực hòa giải ở xã phường</t>
  </si>
  <si>
    <t>Chi cho công tác xây dựng và hoàn thiện văn bản QPPL</t>
  </si>
  <si>
    <t>Chi công tác rà soát, hệ thống hóa văn bản</t>
  </si>
  <si>
    <t>Chi mua biểu mẫu, sổ hộ tịch</t>
  </si>
  <si>
    <t>Chi công tác theo dõi thi hành pháp luật</t>
  </si>
  <si>
    <t>Hoạt động tổ công tác theo Quyết định số 951/QĐ-UBND ngày 15/3/2021 của UBND thành phố</t>
  </si>
  <si>
    <t>Chi hoạt động chi bộ theo Quy định 99-QĐ/TW</t>
  </si>
  <si>
    <t>Chi công tác chuẩn tiếp cận pháp luật</t>
  </si>
  <si>
    <t>Chi mua sắm thiết bị PCTT, PCCC</t>
  </si>
  <si>
    <t>Chi các khoản liên quan đến công tác chứng thực, hộ tịch</t>
  </si>
  <si>
    <t>1.3</t>
  </si>
  <si>
    <t>1.4</t>
  </si>
  <si>
    <t>1.5</t>
  </si>
  <si>
    <t>BIỂU THUYẾT MINH CHI TIẾT CÁC NHIỆM VỤ CHI NGÂN SÁCH NĂM 2023</t>
  </si>
  <si>
    <t>ĐVT: đồng</t>
  </si>
  <si>
    <t>TT</t>
  </si>
  <si>
    <t>NỘI DUNG</t>
  </si>
  <si>
    <t>DỰ TOÁN 
NĂM 2023</t>
  </si>
  <si>
    <t>GHI CHÚ</t>
  </si>
  <si>
    <r>
      <t>TỔNG CHI NSNN (</t>
    </r>
    <r>
      <rPr>
        <b/>
        <u/>
        <sz val="14"/>
        <color theme="1"/>
        <rFont val="Times New Roman"/>
        <family val="1"/>
      </rPr>
      <t>A</t>
    </r>
    <r>
      <rPr>
        <b/>
        <sz val="14"/>
        <color theme="1"/>
        <rFont val="Times New Roman"/>
        <family val="1"/>
      </rPr>
      <t xml:space="preserve"> + </t>
    </r>
    <r>
      <rPr>
        <b/>
        <u/>
        <sz val="14"/>
        <color theme="1"/>
        <rFont val="Times New Roman"/>
        <family val="1"/>
      </rPr>
      <t>B</t>
    </r>
    <r>
      <rPr>
        <b/>
        <sz val="14"/>
        <color theme="1"/>
        <rFont val="Times New Roman"/>
        <family val="1"/>
      </rPr>
      <t>)</t>
    </r>
  </si>
  <si>
    <t>A</t>
  </si>
  <si>
    <t>TỔNG CHI NS THÀNH PHỐ</t>
  </si>
  <si>
    <t>CHI ĐẦU TƯ PHÁT TRIỂN</t>
  </si>
  <si>
    <t>Nguồn tiền sử dụng đất dự toán tỉnh giao</t>
  </si>
  <si>
    <t>Từ nguồn phân cấp (trong cân đối ngân sách)</t>
  </si>
  <si>
    <t>Nguồn tỉnh bổ sung có mục tiêu (Quy hoạch khu Đông Bắc: 2.082 trđ; Quy hoạch phân khu trung tâm 681 triệu đồng; Trả nợ KLHT bãi rác Đồng nà 1.242 triệu đồng)</t>
  </si>
  <si>
    <t>CHI THƯỜNG XUYÊN NS TP</t>
  </si>
  <si>
    <t>II.1</t>
  </si>
  <si>
    <t>CHI SỰ NGHIỆP KINH TẾ</t>
  </si>
  <si>
    <t>Nguồn tỉnh tính cân đối vào dự toán nhưng chưa phân bổ, hoặc phân chưa hết cho đơn vị và xã, phường</t>
  </si>
  <si>
    <t>Cấp bù thủy lợi phí</t>
  </si>
  <si>
    <t>Hỗ trợ phát triển đất trồng lúa</t>
  </si>
  <si>
    <t>Kinh phí thực hiện Kế hoạch triển khai chương trình quản lý dịch hại tổng hợp trên các cây trồng chủ lực theo Kế hoạch số 137/KH-UBND ngày 30/8/2022 của UBND tỉnh</t>
  </si>
  <si>
    <t>Hỗ trợ kinh phí thực hiện đề án hỗ trợ quản lý bảo vệ rừng (Quyết định số 677/QĐ-UBND ngày 14/5/2021 của UBND tỉnh</t>
  </si>
  <si>
    <t>Điện hộ nghèo và hộ chính sách</t>
  </si>
  <si>
    <t>Kinh phí CTMT tỉnh bổ sung chưa phân bổ hết cho các xã, phường</t>
  </si>
  <si>
    <t>Chi từ thu phí đấu giá lô sạp chợ tươi sống, chợ mới Quảng Ngãi</t>
  </si>
  <si>
    <t>+ Bảo vệ rừng</t>
  </si>
  <si>
    <t>+ Chúc thọ, mừng thọ</t>
  </si>
  <si>
    <t>+ NQ 20 KCT</t>
  </si>
  <si>
    <t>+ PC đại biểu HĐND</t>
  </si>
  <si>
    <t>+ PC Cấp ủy</t>
  </si>
  <si>
    <t>+ Thanh tra nhân dân, QĐ21, NQ 16</t>
  </si>
  <si>
    <t>Hỗ trợ kinh phí ủy nhiệm thu</t>
  </si>
  <si>
    <t>Chi mua sắm, sửa chữa, bảo dưỡng tài sản và kinh phí thực hiện quản lý nhà nước và cải cách hành chính của thành phố</t>
  </si>
  <si>
    <t>*</t>
  </si>
  <si>
    <t>Mua sắm tài sản, thiết bị</t>
  </si>
  <si>
    <t>Trung tâm Dịch vụ nông nghiệp thành phố</t>
  </si>
  <si>
    <t>Chi Đội quản lý TT-ĐT</t>
  </si>
  <si>
    <t>Hội chữ thập Đỏ</t>
  </si>
  <si>
    <t>Trung tâm Truyền thông - Văn hóa - Thể thao</t>
  </si>
  <si>
    <t>Trung tâm chính trị</t>
  </si>
  <si>
    <t>Thường Trực HĐND TPhố, Văn phòng thành phố</t>
  </si>
  <si>
    <t>Phòng Y Tế</t>
  </si>
  <si>
    <t>Phòng Tư pháp</t>
  </si>
  <si>
    <t>01 máy in</t>
  </si>
  <si>
    <t>Phòng Tài chính - Kế hoạch</t>
  </si>
  <si>
    <t>Phòng Tài Nguyên và Môi trường</t>
  </si>
  <si>
    <t>10 máy in</t>
  </si>
  <si>
    <t>Phòng Kinh Tế</t>
  </si>
  <si>
    <t>02 máy vi tính. 01 máy in, 01 máy Scan</t>
  </si>
  <si>
    <t>Phòng Văn hóa và Thông tin</t>
  </si>
  <si>
    <t>Văn phòng thành phố</t>
  </si>
  <si>
    <t>Cơ quan Kiểm tra, thanh tra</t>
  </si>
  <si>
    <t>01 máy tỉnh và 02 máy in để phục vụ công tác soạn thảo mật</t>
  </si>
  <si>
    <t>Phòng Quản lý đô thị thành phố</t>
  </si>
  <si>
    <t>04 tủ hồ sơ; 04 bàn ghế làm việc; 06 máy vi tính; 02 máy in; 02 máy Scan</t>
  </si>
  <si>
    <t>Phòng Lao động - Thương binh và Xã hội</t>
  </si>
  <si>
    <t>03 máy điều hòa; 02 máy tính</t>
  </si>
  <si>
    <t>Cơ quan tổ chức nội vụ</t>
  </si>
  <si>
    <t xml:space="preserve">Hội LH Phụ Nữ </t>
  </si>
  <si>
    <t>Hội Nông dân</t>
  </si>
  <si>
    <t>Kinh phí cải cách hành chính thực hiện các đề án đột phá và trọng tâm theo Nghị quyết của Thành ủy</t>
  </si>
  <si>
    <t>3.1.1</t>
  </si>
  <si>
    <t xml:space="preserve">Chuyên đổi số các đơn vị </t>
  </si>
  <si>
    <t>a</t>
  </si>
  <si>
    <t>KP số hóa hồ sơ giao đất và thu hồi đất</t>
  </si>
  <si>
    <t>KP số hóa hồ sơ đăng ký theo Chỉ thị 299</t>
  </si>
  <si>
    <t>b</t>
  </si>
  <si>
    <t xml:space="preserve">Các đơn vị khác </t>
  </si>
  <si>
    <t>3.1.2</t>
  </si>
  <si>
    <t>Tư vấn xây dựng đề án Chuyển đổi số thành phố Quảng Ngãi</t>
  </si>
  <si>
    <t>Trong đó bố trí từ nguồn tăng thu 1,861 tỷ đồng</t>
  </si>
  <si>
    <t>3.1.3</t>
  </si>
  <si>
    <t>Đề án các xã lên phường</t>
  </si>
  <si>
    <t>3.1.4</t>
  </si>
  <si>
    <t>Lập quy chế quản lý kiến trúc thành phố</t>
  </si>
  <si>
    <t>Chi mua sắm, sửa chữa, bảo dưỡng tài sản</t>
  </si>
  <si>
    <t>Sửa chữa trụ sở làm việc Hội Luật gia</t>
  </si>
  <si>
    <t>3.3</t>
  </si>
  <si>
    <t>Chi quản lý nhà nước trong năm như bổ sung tiền lương cho biên chế tuyển dụng mới, nâng lương trước hạn, chế độ nghỉ việc và các nội dung quản lý nhà nước khác</t>
  </si>
  <si>
    <t>Chi đảm bảo trật tự an toàn giao thông</t>
  </si>
  <si>
    <t>Chi đảm bảo hoạt động của các lực lượng xử phạt VPHC</t>
  </si>
  <si>
    <t>Chi sự nghiệp NN,TM, CN, KHCN, OCOP</t>
  </si>
  <si>
    <t>Công thương</t>
  </si>
  <si>
    <t>Nông nghiệp</t>
  </si>
  <si>
    <t>Hỗ trợ chương trình OCOP mỗi xã 1 sản phẩm</t>
  </si>
  <si>
    <t>Chi Kiến thiết thị chính</t>
  </si>
  <si>
    <t>Trong đó bố trí từ nguồn tăng thu 08 tỷ đồng</t>
  </si>
  <si>
    <t>Sự nghiệp giao thông (Duy tu bảo dưỡng sửa chữa các tuyến đường trên địa bàn thành phố)</t>
  </si>
  <si>
    <t>BQL Chợ Quảng Ngãi. Cụ thể:</t>
  </si>
  <si>
    <t>+</t>
  </si>
  <si>
    <t>Chi hoàn trả chi phí quản lý</t>
  </si>
  <si>
    <t>Chi thực hiện các nhiệm vụ năm 2023</t>
  </si>
  <si>
    <t>Nguồn thu được để lại chi năm 2023 của đơn vị</t>
  </si>
  <si>
    <t>Tổng KP giao theo định mức</t>
  </si>
  <si>
    <t>Kinh thực hiện tự chủ</t>
  </si>
  <si>
    <t>Tính số biên chế hiện có bao gồm nâng lương thường xuyên 2022</t>
  </si>
  <si>
    <t>Lương và các khoản tính chất lương:</t>
  </si>
  <si>
    <t>Kinh phí hoạt động:</t>
  </si>
  <si>
    <t>KP giao không thực hiện tự chủ</t>
  </si>
  <si>
    <t xml:space="preserve"> - </t>
  </si>
  <si>
    <t>KP sự nghiệp khuyến nông (nông, lâm, ngư nghiệp)</t>
  </si>
  <si>
    <t>Thực hiện chi khi Kế hoạch khuyến nông năm 2023 được UBND thành phố phê duyệt</t>
  </si>
  <si>
    <t>c</t>
  </si>
  <si>
    <t>Phần kinh phí tiết kiệm theo quy định</t>
  </si>
  <si>
    <t>Tiết kiệm 10% CCLương</t>
  </si>
  <si>
    <t>Tính số biên chế hiện có</t>
  </si>
  <si>
    <t>Lương và các khoản tính chất lương của biên chế hiện có đã bao gồm nâng lương thường xuyên</t>
  </si>
  <si>
    <t>Bù chênh lệch lương theo NĐ 47</t>
  </si>
  <si>
    <t xml:space="preserve">Chi BQL các DA ĐT XD  </t>
  </si>
  <si>
    <t>Tổng KP giao 2020 theo định mức</t>
  </si>
  <si>
    <t>Các khoản đ/góp (23%)</t>
  </si>
  <si>
    <t>Tính số LĐHĐ có TBUB:</t>
  </si>
  <si>
    <t>Lương các khoản tính chất lương</t>
  </si>
  <si>
    <t>Các khoản đ/góp (24%)</t>
  </si>
  <si>
    <t>Chi hoạt động:</t>
  </si>
  <si>
    <t>Kinh phí không thực hiện tư chủ</t>
  </si>
  <si>
    <t>Chi SN giao thông (duy tu, sửa chữa)</t>
  </si>
  <si>
    <t xml:space="preserve">Sửa chữa, bảo dưỡng thường xuyên công trình giao thông, đường bộ </t>
  </si>
  <si>
    <t>Vạch kẻ đường</t>
  </si>
  <si>
    <t>Biển báo hiệu giao thông</t>
  </si>
  <si>
    <t>Lắp đặt biển tên đường bằng betông xi măng</t>
  </si>
  <si>
    <t>biển tên hẻm và các biển báo hiệu khác</t>
  </si>
  <si>
    <t>Tiết kiệm 1% Kh/thưởng</t>
  </si>
  <si>
    <t>Vốn đối ứng ngân sách tỉnh và ngân sách xã để thực hiện các nhiệm vụ</t>
  </si>
  <si>
    <t>II.2</t>
  </si>
  <si>
    <t>CHI SỰ NGHIỆP MÔI TRƯỜNG</t>
  </si>
  <si>
    <t>Kinh phí thực hiện xử lý rác thải sinh hoạt trên địa bàn</t>
  </si>
  <si>
    <t>Kinh phí thực hiện thu gom vận chuyển rác thải trên địa bàn thành phố</t>
  </si>
  <si>
    <t>II.3</t>
  </si>
  <si>
    <t>CHI SỰ NGHIỆP VĂN XÃ</t>
  </si>
  <si>
    <t>Thực hiện nhiệm vụ UBND thành phố giao thanh toán tiền điện cho trụ sở làm việc dùng chung</t>
  </si>
  <si>
    <t>Phần tiết kiệm theo quy định</t>
  </si>
  <si>
    <t>Chi SN Văn hóa-Thông tin (tính theo dân số)</t>
  </si>
  <si>
    <t>Khoán chi thực hiện tự chủ</t>
  </si>
  <si>
    <t xml:space="preserve">     Đô thị : 251240 người</t>
  </si>
  <si>
    <t xml:space="preserve">     Đồng bằng :...... người</t>
  </si>
  <si>
    <t>Tổng chi tiền lương và hoạt động:</t>
  </si>
  <si>
    <t>Thực hiện chi theo Kế hoạch của UBND thành phố phê duyệt</t>
  </si>
  <si>
    <t>Mua máy Scan</t>
  </si>
  <si>
    <t>d</t>
  </si>
  <si>
    <r>
      <t>Chi SN TD-TT</t>
    </r>
    <r>
      <rPr>
        <sz val="14"/>
        <color theme="1"/>
        <rFont val="Times New Roman"/>
        <family val="1"/>
      </rPr>
      <t xml:space="preserve"> (tính theo dân số)</t>
    </r>
  </si>
  <si>
    <t xml:space="preserve">     Đô thị: 251240 người</t>
  </si>
  <si>
    <t xml:space="preserve">     Đồng bằng : ...... người</t>
  </si>
  <si>
    <t>Chi SN phát thanh truyền hình</t>
  </si>
  <si>
    <t>Tổng KP giao 2023 theo định mức</t>
  </si>
  <si>
    <t xml:space="preserve">     Đô thị: 251.240 người</t>
  </si>
  <si>
    <t>13% đặc thù</t>
  </si>
  <si>
    <t xml:space="preserve">Bù chênh lệch lương </t>
  </si>
  <si>
    <t>KP đào tạo bồi dưỡng theo Kế hoạch của BTV Thành ủy</t>
  </si>
  <si>
    <t>Hội nghị tập huấn Câu lạc bộ thông tin thời sự</t>
  </si>
  <si>
    <t>Tiền công hợp đồng bảo vệ (2 người)</t>
  </si>
  <si>
    <t xml:space="preserve">Sửa chữa TSCĐ, trang bị thiết bị phục vụ công tác chuyên môn </t>
  </si>
  <si>
    <t>Phục vụ công tác PCLB và PCCC</t>
  </si>
  <si>
    <t>Trang bị máy móc, phương tiện phục vụ dạy học (Mua sắm 01 máy Photo)</t>
  </si>
  <si>
    <t>CHI SN GIÁO DỤC VÀ ĐÀO TẠO TP</t>
  </si>
  <si>
    <t>6.1</t>
  </si>
  <si>
    <t>KHỐI MẦM NON</t>
  </si>
  <si>
    <t>Qũy lương và các khoản đóng góp có tính chất lương</t>
  </si>
  <si>
    <t>Khoán chi hoạt động:</t>
  </si>
  <si>
    <t xml:space="preserve">Kinh phí hỗ trợ dọn vệ sinh trường học </t>
  </si>
  <si>
    <t>Kinh phí hỗ trợ thuê mướn bảo vệ</t>
  </si>
  <si>
    <t>6.2</t>
  </si>
  <si>
    <t>KHỐI TIỂU HỌC</t>
  </si>
  <si>
    <t>6.3</t>
  </si>
  <si>
    <t>KHỐI TRUNG HỌC CƠ SỞ</t>
  </si>
  <si>
    <t>6.4</t>
  </si>
  <si>
    <t>KHỐI TIỂU HỌC &amp; TRUNG HỌC CƠ SỞ</t>
  </si>
  <si>
    <t>6.5</t>
  </si>
  <si>
    <t xml:space="preserve"> HỖ TRỢ ĂN TRƯA</t>
  </si>
  <si>
    <t>6.6</t>
  </si>
  <si>
    <t>MIỄN GIẢM HỌC PHÍ VÀ HỖ TRỢ CHI PHÍ HỌC TẬP</t>
  </si>
  <si>
    <t>6.7</t>
  </si>
  <si>
    <t>HỖ TRỢ HỌC SINH KHUYẾT TẬT</t>
  </si>
  <si>
    <t>6.8</t>
  </si>
  <si>
    <t xml:space="preserve">KINH PHÍ HOẠT ĐỘNG NGÀNH GIÁO DỤC </t>
  </si>
  <si>
    <t>6.9</t>
  </si>
  <si>
    <t>KINH PHÍ MUA SẮM TRANG THIẾT BỊ DẠY HỌC,  SỬA CHỮA CHỐNG RỚT CHUẨN</t>
  </si>
  <si>
    <t>Sửa chữa, bảo dưỡng cơ sở vật chất chống rớt chuẩn</t>
  </si>
  <si>
    <t>Trang bị hệ thống Camera</t>
  </si>
  <si>
    <t>Mua sắm thiết bị dạy học</t>
  </si>
  <si>
    <t>6.10</t>
  </si>
  <si>
    <t>CÁC NHIỆM VỤ PHÁT SINH TRONG NĂM</t>
  </si>
  <si>
    <t>Biên chế tuyển dụng mới hoặc hợp đồng trong chỉ tiêu biên chế</t>
  </si>
  <si>
    <t>Nghỉ hưu, thai sản, luân chuyển công tác</t>
  </si>
  <si>
    <t>KP thực hiện chính sách dành cho giáo viên dạy học sinh khuyết tật theo Nghị định 28/NĐ-CP</t>
  </si>
  <si>
    <t>Hợp đồng nhân viên y tế trường học theo Công văn số 3291/UBND-NC ngày 05/7/2022 của UBND tỉnh</t>
  </si>
  <si>
    <t>Dự nguồn kinh phí thực hiện trực trưa năm 2023 cho giáo viên Mầm non</t>
  </si>
  <si>
    <t>Thực hiện các nhiệm vụ phát sinh khác trong năm</t>
  </si>
  <si>
    <t>Chi Đào Tạo, Huấn Luyện của TP</t>
  </si>
  <si>
    <t>7.1</t>
  </si>
  <si>
    <t>Kinh phí đào tạo và dạy nghề</t>
  </si>
  <si>
    <t>Phòng LĐTB&amp;XH (Đảm bảo xã hội)</t>
  </si>
  <si>
    <t xml:space="preserve"> Loại 520-528</t>
  </si>
  <si>
    <t xml:space="preserve">Chi thực hiện các chính sách trợ giúp các đối tượng bảo trợ xã hội theo chế độ quy định </t>
  </si>
  <si>
    <t>Chi thu gom đối tượng lang thang ăn xin</t>
  </si>
  <si>
    <t>Chi tiền vận chuyển gạo đỏ lửa, giáp hạt</t>
  </si>
  <si>
    <t>Chi trợ cấp đột xuất khi thiên tai hỏa hoạn</t>
  </si>
  <si>
    <t>Thăm tặng quà cho trẻ tại TT BTXH trường khuyết tât, cho nhi viện Phú Hòa, chùa Phổ Quang; uà lễ tết nguyên đán trung thu cho trẻ em có hoàn cảnh đặc biệt khó khăn thành phố</t>
  </si>
  <si>
    <t>Thăm tặng quà tết cho 23 hộ nghèo ở 23 xã, phường</t>
  </si>
  <si>
    <t>Chi trả thù làm cho cá nhân làm công tác chi trả( tỉnh trợ cấp mục tiêu)</t>
  </si>
  <si>
    <t>Tham gia các hoạt động do tỉnh tổ chức</t>
  </si>
  <si>
    <t>Tham gia các cuộc thi nghề công tác xã hội, người KT, hội thi giảm nghèo do tỉnh tổ chức</t>
  </si>
  <si>
    <t>Hỗ trợ tiền điện hộ nghèo hộ chính sách</t>
  </si>
  <si>
    <t xml:space="preserve"> Loại 520-527</t>
  </si>
  <si>
    <t>Chi quét vôi tu sửa nhỏ phục vụ lễ viếng NTLS Thiên Bút và các điểm di tích lịch sử trên địa bàn thành phố; Viếng hương nghĩa trang liệt sỹ tỉnh</t>
  </si>
  <si>
    <t>Chi quà tết và lễ 27/7 cho Đối tượng chính sách (25.268 đối tượng)</t>
  </si>
  <si>
    <t>Lãnh đạo thành phố đi thằm và tặng quà cho các giá đình chính sách có công khó khăn trong cuộc sôngs và bà mẹ VNAH còn sống nhân dịp 27/7 và dịp tết</t>
  </si>
  <si>
    <t>Chi sách báo cho CB CMLT, TKN</t>
  </si>
  <si>
    <t>Chi trợ cấp khó khăn đột xuất người có công với cách mạng</t>
  </si>
  <si>
    <t>chi thuê xe phục vụ đưa đón người có công đi điều dưỡng</t>
  </si>
  <si>
    <t>Chi phí tang lễ (bao gồm thăm viếng lãnh đạo từ trần)</t>
  </si>
  <si>
    <t>Vốn vay giải quyết việc làm</t>
  </si>
  <si>
    <t>Trong đó bố trí từ nguồn tăng thu 1 tỷ đồng</t>
  </si>
  <si>
    <t>Qũy hỗ trợ nông dân</t>
  </si>
  <si>
    <t>CHI HÀNH CHÍNH</t>
  </si>
  <si>
    <t>a/</t>
  </si>
  <si>
    <t>CHI QUẢN LÝ NHÀ NƯỚC</t>
  </si>
  <si>
    <t>Thường Trực HĐND TPhố</t>
  </si>
  <si>
    <t>Lương và các khoản tính chất lương của biên chế hành chính hiện có</t>
  </si>
  <si>
    <t>Kinh phí hoạt động</t>
  </si>
  <si>
    <t xml:space="preserve">Chi cho công tác thẩm tra phục vụ kỳ họp HĐND, thẩm tra Nghị quyết </t>
  </si>
  <si>
    <t xml:space="preserve">Chi đặc thù </t>
  </si>
  <si>
    <t>Chi hoạt động phòng chống HIV/AIDS; phòng chống dịch bệnh nguy hiểm ở người</t>
  </si>
  <si>
    <t>Tổng chi Biên chế</t>
  </si>
  <si>
    <t>Bù chênh lệch lương</t>
  </si>
  <si>
    <t>Chi sửa chữa lớn TSCĐ, sửa chữa, thay thế các thiết bị (TABMIS) phục vụ ngành.</t>
  </si>
  <si>
    <t>Mua kệ, tủ tài liệu, mua sắm trang thiết bị;sửa chữa thiết bị phục vụ công tác chuyên môn</t>
  </si>
  <si>
    <t>Kinh phí photo tài liệu lập kế hoach, dự toán các báo cáo phục vụ các kỳ họp BTV Thành ủy, HĐND và UBND giao cho phòng soạn thảo; Chi photo tài liệu, văn phòng phẩm….phục vụ các đoàn thanh tra, kiểm toán…</t>
  </si>
  <si>
    <t>Chi trang bị, nâng cấp phần mềm quản lý phục vụ công tác chuyên môn ngành; cử cán bộ tập huấn, đào tạo theo chuyên môn ngành</t>
  </si>
  <si>
    <t>Chi phí xác định giá đất khởi điểm để đấu giá quyền sử dụng đất và thẩm định giá cây cối hoa màu</t>
  </si>
  <si>
    <t xml:space="preserve">Chi thanh toán cước mạng, tiền điện phục vụ hệ thống mạng máy chủ ngành tài chính (Tabmis) </t>
  </si>
  <si>
    <t>Chi tổ chức Hội nghị, hội nghị chuyên môn họp triển khai các văn bản quy phạm pháp luật đến đơn vị, xã, phường</t>
  </si>
  <si>
    <t>In ấn mua ấn chỉ, văn phòng phẩm, CCDC …. công tác đặc thù ngành tài chính</t>
  </si>
  <si>
    <t>Chi PCLB, PCCC</t>
  </si>
  <si>
    <t xml:space="preserve">Kinh phí phục vụ cho công tác cấp GCNĐKKD; Hợp tác xã </t>
  </si>
  <si>
    <t>Thực hiện hành vi số hóa (hồ sơ điện tử) kết quả thủ tục hành chính thuộc thẩm quyền giải quyết của đơn vị</t>
  </si>
  <si>
    <t>Mua sắm 01 máy Photo phục vụ công tác chuyên môn</t>
  </si>
  <si>
    <t>Chi thuê mướn bảo vệ, Chi xử lý Tài sản là vật chứng vụ án do cơ quan thi hành án chuyển giao</t>
  </si>
  <si>
    <t>Phòng Quản Lý Đô Thị</t>
  </si>
  <si>
    <t>Lương và các khoản tính chất lương; các khoản đóng góp của biên chế hành chính hiện có</t>
  </si>
  <si>
    <t>Chi thuê mướn bảo vệ cơ quan</t>
  </si>
  <si>
    <t>Hoạt động Chi bộ</t>
  </si>
  <si>
    <t>Chi phục vụ cấp giấy phép XD, biển số nhà va hoạt động đặc thù...</t>
  </si>
  <si>
    <t>KP sao chép, Scan tất cả hồ sơ nghiệp vụ phục vụ chuyển đổi số</t>
  </si>
  <si>
    <t>KP trang bị 04 Tủ hồ sơ</t>
  </si>
  <si>
    <t>KP trang bị 04 Bộ Bàn ghế làm việc</t>
  </si>
  <si>
    <t>KP trang bị 06 bộ máy vi tính</t>
  </si>
  <si>
    <t>KP trang bị 02 máy in</t>
  </si>
  <si>
    <t>KP trang bị 02 máy Scan</t>
  </si>
  <si>
    <t>Chỉ 30tr</t>
  </si>
  <si>
    <t>Hoạt động Chi bộ theo Quy định 99-QĐ/TW</t>
  </si>
  <si>
    <t>Chi quản lý nhà nước về môi trường</t>
  </si>
  <si>
    <t>Mua sắm máy móc thiết bị về môi trường</t>
  </si>
  <si>
    <t>Mua sắm 10 máy in</t>
  </si>
  <si>
    <t xml:space="preserve">Mua sắm bàn ghế hội trường </t>
  </si>
  <si>
    <t>Trang trí hội trường</t>
  </si>
  <si>
    <t>Chi thực hiện cưỡng chế quyết định giải quyết tranh chấp đất đai, quyết định công nhận hòa giải thành trên địa bàn thành phố</t>
  </si>
  <si>
    <t>Chênh lệch lương</t>
  </si>
  <si>
    <t>Trang bị 03 máy điều hòa</t>
  </si>
  <si>
    <t>Trang bị 01 máy vi tính</t>
  </si>
  <si>
    <t>Trang bị 04 máy vi tính</t>
  </si>
  <si>
    <t>Trang bị 01 máy Scan</t>
  </si>
  <si>
    <t>Chi kiểm soát giết mổ</t>
  </si>
  <si>
    <t>Chi thực hiện cấp phép kinh doanh Rượu, ga, thuốc lá….</t>
  </si>
  <si>
    <t xml:space="preserve">Phòng Lao động - Thương binh và Xã hội </t>
  </si>
  <si>
    <t>Chi thuê, mướn bảo vệ cơ quan</t>
  </si>
  <si>
    <t>Chi cho công tác thực hiện Nghị định 20/2021/NĐ-CP</t>
  </si>
  <si>
    <t>Chi tập huấn chính sách bảo trợ xã hội hàng năm</t>
  </si>
  <si>
    <t>Trang bị 02 máy vi tính</t>
  </si>
  <si>
    <t>Hoạt động điều tra, rà soát, đánh giá hộ nghèo; Quản lý nhà nước về người cao tuổi; bình đẳng giới; ban vì sự tiến bộ của phụ nữ; tệ nạn xã hội, Người khuyết tật….</t>
  </si>
  <si>
    <t>+ Bình đẳng giới, trẻ em</t>
  </si>
  <si>
    <t>+ Giảm nghèo</t>
  </si>
  <si>
    <t>+ Lao động viêc làm</t>
  </si>
  <si>
    <t>Thuê mướn bảo vệ phòng</t>
  </si>
  <si>
    <t>Thuê 2 bảo vệ khu di tích lịch sử Quốc gia Mộ đền thờ Trần Quốc Công và Bùi Tá Hán, phường Quảng Phú</t>
  </si>
  <si>
    <t xml:space="preserve">Chi hoạt động BCĐ phong trào Thôn tổ dân phố đạt văn hóa 3 năm. 5 năm liên tục, Tổ chức các Hội thi của thành phố và tham gia Hội thi của Tỉnh, chi các nội dung khác; Chi thực hiện công tác gia đình </t>
  </si>
  <si>
    <t>+  Chi hoạt động BCĐ phong trào Thôn tổ dân phố đạt văn hóa 3 năm. 5 năm liên tục, Tổ chức các Hội thi của thành phố và tham gia Hội thi của Tỉnh, chi các nội dung khác</t>
  </si>
  <si>
    <t>+ Chi thực hiện công tác gia đình và tổ chức tham gia hội thi hội diễn lĩnh vực gia đình công tác phòng chống bạo lực gia đình</t>
  </si>
  <si>
    <t>Chi hoạt động của Đội kiểm tra liên ngành văn hóa xã hội</t>
  </si>
  <si>
    <t>Kinh phí tuyên truyền trên Báo Xuân Quảng Ngãi - Năm 2023</t>
  </si>
  <si>
    <t>Hoạt động tuyên truyền trên Báo Quảng Ngãi</t>
  </si>
  <si>
    <t>Phục vụ các di tích lịch sử trên địa bàn</t>
  </si>
  <si>
    <t>Trưng bày ảnh và phòng đọc báo xuân</t>
  </si>
  <si>
    <t>Kinh phí phục vụ di tích lịch sử 71 Hùng Vương</t>
  </si>
  <si>
    <t>Kinh phí thực hiện đề án nếp sống văn minh đô thị giai đoạn 2021 - 2025</t>
  </si>
  <si>
    <t>Kinh phí thực hiện đề án Công nghệ thông tin</t>
  </si>
  <si>
    <t>Kinh phí chi mua trang thiết bị phục vụ tổ chức các hoạt động của ngành (bộ âm thanh loa di động)</t>
  </si>
  <si>
    <t>Chi cho công tác Phòng chống lụt bão, PCCC</t>
  </si>
  <si>
    <t>Chi tổ chức Hội thi, hội diễn tuyên truyền về cải cách hành chính năm 2023</t>
  </si>
  <si>
    <t>Kinh phí lập hồ sơ công nhận di tích lịch sử cấp tỉnh, hoàn chỉnh hồ sơ theo Thông tư 09 (03 di tích); kiểm kê di tích, di sản trên địa bàn theo Kế hoạch của tỉnh</t>
  </si>
  <si>
    <t xml:space="preserve">Phòng Giáo dục và Đào tạo </t>
  </si>
  <si>
    <t>Hoạt động chi bộ</t>
  </si>
  <si>
    <t>b/</t>
  </si>
  <si>
    <t>CHI HĐ ĐẢNG CSVN</t>
  </si>
  <si>
    <t>Làm việc lại sai số với phần mềm</t>
  </si>
  <si>
    <t>Các khoản chi phụ cấp đặc thù của đơn vị:</t>
  </si>
  <si>
    <t xml:space="preserve">Phụ cấp báo cáo viên Thành ủy (Hướng dẫn số 06-HD/BTCTW) </t>
  </si>
  <si>
    <t>Phụ cấp cho cán bộ là công tác Đảng theo Quy định 01-QĐ/TU ngày 31/5/2018 của Thành Ủy</t>
  </si>
  <si>
    <t>Hoạt động báo cáo viên Thành ủy</t>
  </si>
  <si>
    <t>Phụ cấp BCĐ thành phố về bảo vệ nền tảng tư tưởng Đảng; đấu tranh phản bác quan điểm sai trái, thù địch</t>
  </si>
  <si>
    <t>Phụ cấp kiêm nhiệm Giám đốc TTBD Chính trị; UBMTTQVN thành phố</t>
  </si>
  <si>
    <t>Phụ cấp BCH Đảng bộ thành phố</t>
  </si>
  <si>
    <t>Phụ cấp cấp ủy của các cơ quan Thành ủy</t>
  </si>
  <si>
    <t>Hỗ trợ tiền điện thoại phục vụ công tác cho lãnh đạo theo Quy định 889-QĐ/TU của Tỉnh ủy</t>
  </si>
  <si>
    <t>KP giao không thực hiện tự chủ của BTV Thành ủy</t>
  </si>
  <si>
    <t>Tổ chức các buổi lễ trao thưởng kèm theo Huy hiệu Đảng</t>
  </si>
  <si>
    <t>Chỉnh lý lập mục lục tài liệu hồ sơ lưu trữ</t>
  </si>
  <si>
    <t xml:space="preserve">Khen thưởng cho đảng viên và tổ chức cơ sở đảng </t>
  </si>
  <si>
    <t>Chi thực hiện Chỉ thị số 05-CT/TW</t>
  </si>
  <si>
    <t>Hỗ trợ thăm viếng các cụ lão thành cách mạng, các đồng chí lãnh đạo trung ương, tỉnh, thành phố đã nghỉ hưu trên địa bàn thành phố nhân dịp Tết và kinh phí phục vụ Tết của Thành ủy</t>
  </si>
  <si>
    <t>Thực hiện các chế độ theo Quy định 01-QĐ/TU</t>
  </si>
  <si>
    <t>Thuê mướn bảo vệ Thành ủy</t>
  </si>
  <si>
    <t>KP Ban Bảo vệ chăm sóc sức khỏe thành phố theo Quyết định số 1550-QĐ/Tu ngày 22/11/2022 của BTV TU)</t>
  </si>
  <si>
    <t>Bản tin nội bộ của cấp uỷ (tăng số lượng tin bài và nội dung theo chỉ đạo của Thành ủy)</t>
  </si>
  <si>
    <t>Công tác triển khai các Chỉ thị Nghị quyết của Đảng</t>
  </si>
  <si>
    <t>Hỗ trợ văn phòng phẩm xăng xe đi công tác, công tác phí, đối ngoại và nghiên cứu học tập của Ban Thường vụ</t>
  </si>
  <si>
    <t>Kinh phí thực hiện Quyết định số 238-QĐ/TW ngày 20/9/2021 của Ban Bí thư (thay thế Quyết định số 221)</t>
  </si>
  <si>
    <t>Chi Ban chỉ đạo về thực hiện Quy chế dân chủ ở cơ sở, BCĐ công tác Tôn giáo</t>
  </si>
  <si>
    <t xml:space="preserve">Kinh phí hoạt động theo QĐ 99/QĐ-TW; </t>
  </si>
  <si>
    <t>KP PCCC, PCLB</t>
  </si>
  <si>
    <t>Cước mạng nội bộ, cước phí mạng Megawa, cước nội mạng, cước bưu chính, cước KT1 của Thành ủy</t>
  </si>
  <si>
    <t>Chi hoạt động của Đội ngũ cộng tác viên dư luận xã hội (CV số 2080-CV/TU ngày 14/8/2017 của Tỉnh ủy)</t>
  </si>
  <si>
    <t>Chi tổ chức ra mắt và kinh phí hoạt động CLB những tấm gương bình dị mà cao quý của thành phố</t>
  </si>
  <si>
    <t>Biên soạn, chỉnh lý biên tập sách lịch sử Đảng bộ thành phố Quảng Ngãi giai đoạn 1930 - 2020 theo Kế hoạch số 99-KH/TU ngày 05/12/2018 của BTV Thành ủy</t>
  </si>
  <si>
    <t>KP phối hợp thực hiện nhiệm vụ phát triển kinh tế xã hội, giải quyết những vấn đề bức xúc của nhân dân trên địa bàn thành phố theo QĐ 1856-QĐ/TU ngày 20/10/2011 của Tỉnh ủy Quảng Ngãi</t>
  </si>
  <si>
    <t>Sửa chữa tài sản, trang bị phục vụ công tác chuyên môn</t>
  </si>
  <si>
    <t>KP giao không thực hiện tự chủ của UBND thành phố</t>
  </si>
  <si>
    <t>Tiền công thuê mước phục vụ nhiệm vụ đặc thù của UBND thành phố</t>
  </si>
  <si>
    <t>Phục vụ công tác lực lượng tự vệ , PCCC</t>
  </si>
  <si>
    <t>Tiền nhuận bút trang thông tin điện tử TP QN; Nâng cấp trang thông tin điện tử thành phố</t>
  </si>
  <si>
    <t>Hoạt động triển khai hệ thống quản lý văn bản và chỉ đạo điều hành của UBND thành phố</t>
  </si>
  <si>
    <t>Thuê đường truyền Megawan, đường FTTX, phí duy trì tên miền năm của mạng man</t>
  </si>
  <si>
    <t>Trang bị 02 màn hình LED tại phòng họp số 01 và Hội trường UBND thành phố</t>
  </si>
  <si>
    <t>Nộp hội phí Hiệp hội các đô thị</t>
  </si>
  <si>
    <t>Tiếp công dân định kỳ (bao gồm trang phục)</t>
  </si>
  <si>
    <t>Chi phí phục vụ bộ phận một cửa, thuê mướn bảo vệ, sửa chữa, mua sắm tài sản,…</t>
  </si>
  <si>
    <t>Sửa chữa, mua sắm tài sản của UBND thành phố</t>
  </si>
  <si>
    <t>Các khoản chi hành chính, các nhiệm vụ phục vụ hoạt động đặc thù của UBND thành phố:</t>
  </si>
  <si>
    <t>Chỉnh lý tài liệu, mua sắm kệ lưu trữ tài liệu</t>
  </si>
  <si>
    <t>Kinh phí thực hiện không tư chủ của Cơ quan Tổ chức - Nội vụ</t>
  </si>
  <si>
    <t>KP phục vụ BCĐ tổ chức Đảng, Đoàn thể trong các doanh nghiệp, đơn vị kinh tế tư nhân</t>
  </si>
  <si>
    <t>Kinh phí phục vụ cho phô tô phát hành các Quyết định của UBND thành phố</t>
  </si>
  <si>
    <t>Kinh phí thực hiện cải cách hành chính</t>
  </si>
  <si>
    <t>Chi kiểm tra công tác cán bộ, cái cách hành chính, kỷ cương, kỷ luật hành chính</t>
  </si>
  <si>
    <t>Chi soạn thảo các văn bản; phát hành các văn bản thuộc lĩnh vực ngành</t>
  </si>
  <si>
    <t>Chi tôn giáo; quản lý nhà nước về công tác thanh niên</t>
  </si>
  <si>
    <t xml:space="preserve">Kinh phí tổ chức hội nghị, tập huấn chuyên môn </t>
  </si>
  <si>
    <t>Cơ quan Thanh tra - Kiểm tra thành phố</t>
  </si>
  <si>
    <t>Các khoản thanh toán cá nhân theo Thông tư 320/2016/TT-BTC ngày 14/12/2016</t>
  </si>
  <si>
    <t>Thuê đo đạc; giám định chữ ký, chữ viết, con dấu để giải quyết khiếu nại, tố cáo phức tạp</t>
  </si>
  <si>
    <t>Chi phục vụ các cuộc Thanh tra theo  KH, đột xuất, Vật tư văn phòng phục vụ thanh tra</t>
  </si>
  <si>
    <t>Chỉnh lý tài liệu từ năm 2018 trở về trước</t>
  </si>
  <si>
    <t>Mua sắm 01 máy vi tính và 02 máy in phục vụ công tác soạn thảo văn bản mật</t>
  </si>
  <si>
    <t>Mua sắm trang phục ngành Thanh tra</t>
  </si>
  <si>
    <t>Tăng biên chế</t>
  </si>
  <si>
    <t>c/</t>
  </si>
  <si>
    <t>CHO MTRẬN, ĐOÀN THỂ</t>
  </si>
  <si>
    <t>UBMT TQVN</t>
  </si>
  <si>
    <t>Chi phụ cấp cấp ủy đối với 01 đồng chí BCH</t>
  </si>
  <si>
    <t>Chi hợp đồng bảo vệ cơ quan</t>
  </si>
  <si>
    <t>Chỉ ghi dự toán 30tr</t>
  </si>
  <si>
    <t>Thực hiện các chương trình phối hợp lồng ghép trong cuộc vận động " Toàn dân đoàn kết XD ĐSVH": Phòng chống ma túy, mại dâm, HIV; phòng chống tội phạm và an ninh quốc phòng; trật tự an toàn giao thông; bảo vệ môi trường; dân số KHHGĐ…</t>
  </si>
  <si>
    <t xml:space="preserve"> Chi các cuộc hội nghị: sơ kết, tổng, kết tập huấn chuyên môn... </t>
  </si>
  <si>
    <t>Khen thưởng của ngành (bao gồm khen thưởng KDC tiêu biểu, xuất sắc).</t>
  </si>
  <si>
    <t>Kinh phí thực hiện đề án 02-212</t>
  </si>
  <si>
    <t>Hỗ trợ sinh hoạt Phí đối với ủy viên UBMTTQ VN thành phố theo QĐ số 33/2014/QĐ-TTg</t>
  </si>
  <si>
    <t>Chi hoạt động giám sát và phản biện xã hội theo Quyết định số 217/QĐ-TW ngày 12/12/2013</t>
  </si>
  <si>
    <t>Bố trí trả nợ kinh phí sửa chữa trụ sở làm việc theo Chủ trương UBND thành phố tại Công văn số 4924/UBND-XD ngày 17/11/2021</t>
  </si>
  <si>
    <t>Chi phục vụ các hoạt động đặc thù của mặt trận</t>
  </si>
  <si>
    <t>Thăm các tổ chức tôn giáo, chức sắc tôn giáo, cán bộ cốt cán</t>
  </si>
  <si>
    <t>Hoạt động quản lý quỹ Vì người nghèo theo Quyết định số 198/QĐ-UBMTTQ Trung ương</t>
  </si>
  <si>
    <t>Chi tổ chức các  hoạt động kỷ niệm 92 năm ngày thành lập MTDTTN Việt Nam và ngày DĐK dân tộc tại KDC</t>
  </si>
  <si>
    <t>Chi hoạt động của Hội đồng tư vấn</t>
  </si>
  <si>
    <t>Trang bị hệ thống âm thanh, loa hội trường, hệ thống thiết bị họp trực tuyến</t>
  </si>
  <si>
    <t>Sửa chữa sân trụ sở làm việc và hệ thống thoat nước</t>
  </si>
  <si>
    <t>Hoạt động trang Web của UBMTTQ</t>
  </si>
  <si>
    <t>Chi phòng chống lụt bão và tìm kiếm cứu nạn</t>
  </si>
  <si>
    <t>Đoàn TNCS HCM</t>
  </si>
  <si>
    <t>Đơn vị chưa xác định số liệu chính xác</t>
  </si>
  <si>
    <t>Có 1 biên chế biệt phái</t>
  </si>
  <si>
    <t>Tổ chức liên hoan các nhóm tuyên truyền ca khúc cách mạng</t>
  </si>
  <si>
    <t>Tết cho người nghèo</t>
  </si>
  <si>
    <t>Tổ chức, giáo dục thanh niên về ATGT; thực hiện chốt chặn ATGT các ngày lễ lớn, Húy Kỵ…</t>
  </si>
  <si>
    <t>Tổ chức tập huấn kỹ năng công tác thanh niên 2022</t>
  </si>
  <si>
    <t>Tổ chức chiến dịch kỳ nghỉ hồng và chiến dịch hành quân xanh</t>
  </si>
  <si>
    <t>Văn nghệ ước mo thần tiên</t>
  </si>
  <si>
    <t>Liên hoan thiếu nhi vượt khó học tốt làm theo lời Bác</t>
  </si>
  <si>
    <t>Tổ chức chương trình Học kỳ trong quân đội; Học làm người có ích</t>
  </si>
  <si>
    <t>Tổ chức liên hoan Đại biểu Cháu ngoan Bác Hồ</t>
  </si>
  <si>
    <t>Tổ chức các hoạt động thanh niên khởi nghiệp</t>
  </si>
  <si>
    <t>Lễ phát động chiến dịch HS-SV tình nguyện hè</t>
  </si>
  <si>
    <t>Tổ chức dạy các lớp học miễn phí cho thanh thiếu niên: Bơi, võ, múa, zoga, kỹ năng giao tiếp….</t>
  </si>
  <si>
    <t>Tổ chức Hoạt động Hè 2022</t>
  </si>
  <si>
    <t>Tổ chức các chương trình thanh niên trong cuộc cách mạng công nghiệp lần thứ IV, ngày hội sáng tạo khoa học, vui hội trăng rằm cho trẻ em nghèo</t>
  </si>
  <si>
    <t>Tổ chức dđêm nhạc giao lưu thường niên</t>
  </si>
  <si>
    <t>Phòng chống lụt bão và tìm kiếm cứu nạn</t>
  </si>
  <si>
    <t>Lương và các khoản tính chất lương của biên chế hành chính hiện có bao gồm cả nâng lương thường xuyên năm 2020</t>
  </si>
  <si>
    <t>Chi tổ chức các ngày lễ lớn của hội, các hội thi, tham gia các cuộc thi do thành phố tỉnh tổ chức, triển khai các Đề án, các họat động đặc thù của hội…</t>
  </si>
  <si>
    <t>+ Tổ chức chào mừng các ngày lễ lớn của Hội (Quốc tế Phụ nữ; Gia đình Việt Nam; 20/10)</t>
  </si>
  <si>
    <t>+ Thành lập đội tuyển và tham gia giải bóng chuyền nữ do Hội LHPN tỉnh tổ chức năm 2023</t>
  </si>
  <si>
    <t>+ Thành lập đội tuyển và tham gia Giao lưu chủ tịch Hội cơ sở tiêu biểu do Hội LHPN tỉnh tổ chức năm 2023</t>
  </si>
  <si>
    <t xml:space="preserve"> +Kinh phí tổ chức các đề án</t>
  </si>
  <si>
    <t>+ Tổ chức hội nghị, tập huấn</t>
  </si>
  <si>
    <t>Kinh phí trang trí Hội trường</t>
  </si>
  <si>
    <t>Hoạt động Chi bộ theo Quy định 99-QĐ/TW;</t>
  </si>
  <si>
    <t>Chi phục vụ các hoạt động đặc thù của Hội</t>
  </si>
  <si>
    <t>Trang bị 03 bộ máy vi tính</t>
  </si>
  <si>
    <t>Trang bị 02 máy điều hòa</t>
  </si>
  <si>
    <t>Tổ chức Đại hội Hội Nông dân cấp thành phố nhiệm kỳ 2023 - 2028</t>
  </si>
  <si>
    <t>Tổ chức các hoạt động, công trình chào mừng thành công Đại hội Hội Nông dân cấp thành phố nhiệm kỳ 2023 - 2028</t>
  </si>
  <si>
    <t>KP hoạt động Ban chỉ đạo thực hiện Kết luận 61-KL/TW của Ban Bí thư Trung ương Đảng về "Nâng cao vai trò, trách nhiệm của Hội Nông dân Việt Nam trong phát triển nông nghiệp, xây dựng nông thôn mới và xây dựng giai cấp nông dân Việt Nam)</t>
  </si>
  <si>
    <t>Hội Cựu Chiến Binh</t>
  </si>
  <si>
    <t>Chi sơ kết, tổng kết công tác kiểm tra, giám sát công tác Hội, khen thưởng</t>
  </si>
  <si>
    <t>Mua sắm 01 máy điều hòa</t>
  </si>
  <si>
    <t xml:space="preserve">Chi tổ chức kỷ niệm 34 năm ngày thành lập Hội </t>
  </si>
  <si>
    <t>Hội thi Chủ tịch Hội Cựu chiến binh cơ sở giỏi (cấp thành phố và cấp tỉnh)</t>
  </si>
  <si>
    <t>II.4</t>
  </si>
  <si>
    <t>CHI KHÁC</t>
  </si>
  <si>
    <t>Chi an ninh</t>
  </si>
  <si>
    <t xml:space="preserve">     Đô thị : 129.479 người</t>
  </si>
  <si>
    <t>Chi phục vụ kế hoạch tấn công đấu tranh phòng, chống các loại tội phạm</t>
  </si>
  <si>
    <t>Chi hoạt động của các BCĐ về ANTT do CA làm thường trực</t>
  </si>
  <si>
    <t>Đào tạo, huấn luyện lực lượng công an xã, BVDP</t>
  </si>
  <si>
    <t>Đảm bảo ANTT đêm hội giao thừa và chào năm mới</t>
  </si>
  <si>
    <t>Chi thực hiện Quy chế phối hợp: Công an, Quân sự; Biên phòng; Đồn biên phòng Cửa khẩu Sa kỳ; Tuần tra, trấn áp các loại tội phạm; Phục vụ các ngày Lễ lớn trong năm; 30/4; 2/9; Tết Nguyên đán; Húy kỵ…</t>
  </si>
  <si>
    <t>Hỗ trợ bổ sung một số nhiệm vụ an ninh trật tự</t>
  </si>
  <si>
    <t>Bảo vẹ bí mật nhà nước</t>
  </si>
  <si>
    <t>Sửa chữa nhà ăn Công an thành phố</t>
  </si>
  <si>
    <t xml:space="preserve">Hoạt động định giá tài sản trong tố tụng hình sự </t>
  </si>
  <si>
    <t>Chi cho công tác phòng chống lụt bão, tìm kiếm cứu nạn</t>
  </si>
  <si>
    <t>Chi Quốc phòng</t>
  </si>
  <si>
    <t>Vùng còn lại: 133.041 người</t>
  </si>
  <si>
    <t xml:space="preserve">     13% theo định mức chi TX</t>
  </si>
  <si>
    <t>Tổ chức gặp mặt nhân kỷ niệm ngày Quân đội nhân dân Việt Nam 22/12</t>
  </si>
  <si>
    <t>Công tác huấn luyện, hội thi, hội thao, bồi dưỡng giáo dục quốc phòng</t>
  </si>
  <si>
    <t>Công tác quyển quân 2023 và thăm chiến sĩ mới</t>
  </si>
  <si>
    <t>Công tác sẵn sàng chiến đấu, phòng chống lụt bão, tìm kiếm cứu nạn, cháy nổ, cháy rừng</t>
  </si>
  <si>
    <t>Dđào tạo sĩ quan dự bị</t>
  </si>
  <si>
    <t xml:space="preserve">Sửa chữa tài sản </t>
  </si>
  <si>
    <t>Chi thu hồi Bom, mìn, vật nổ còn sót lại sau chiến tranh</t>
  </si>
  <si>
    <t>Chi bãi thể lực cơ quan, xây dựng chính quy</t>
  </si>
  <si>
    <t>Vườn tăng gia sản xuất, cây thuốc nam</t>
  </si>
  <si>
    <t>Khảo sát xây dựng tiếp nhận bàn giao hỗ trợ khen thưởng tàu thuyền làm nhiệm vụ BT-BM</t>
  </si>
  <si>
    <t>Đồn Biên phòng Cửa khẩu Sa Kỳ</t>
  </si>
  <si>
    <t xml:space="preserve"> Thực hiện Đề án "Tăng cường, phổ biến giáo dục pháp luật cho cán bộ, nhân dân các xã biên giới nvà các nhiệm vụ khác</t>
  </si>
  <si>
    <t>Thực hiện các kế hoạch, nhiệm vụ UBND thành phố giao trên địa bàn các xã ven biển</t>
  </si>
  <si>
    <t>Kinh phí phòng chống lụt bão và tìm kiếm cứu nạn</t>
  </si>
  <si>
    <t>Chi khác ngân sách</t>
  </si>
  <si>
    <t>4.1</t>
  </si>
  <si>
    <t>Chi khác của NS thành phố</t>
  </si>
  <si>
    <t>Kinh phí nhà nước giao nhiệm vụ và phụ cấp cho Hội Đặc thù</t>
  </si>
  <si>
    <t>II.5</t>
  </si>
  <si>
    <t>QŨY KHEN THƯỞNG CỦA TP (THEO NĐ 42/CP, QĐ 21 CỦA TỈNH)</t>
  </si>
  <si>
    <t>Chi tạo nguồn CCTL năm 2023</t>
  </si>
  <si>
    <t>70% Tăng thu dự toán 2023 so với dự toán dự toán tỉnh giao</t>
  </si>
  <si>
    <t>IV</t>
  </si>
  <si>
    <t>DỰ PHÒNG CHI NS CỦA TP</t>
  </si>
  <si>
    <t xml:space="preserve">Chi phòng chống bão lụt tìm kiếm cứu nạn </t>
  </si>
  <si>
    <t>Giao Phòng Kinh tế</t>
  </si>
  <si>
    <t>Hỗ trợ khi các xã, phường không đảm bảo nguồn thực hiện công tác phòng chống thiên tai và tìm kiếm cứu nạn</t>
  </si>
  <si>
    <t xml:space="preserve">Chi phòng chống dịch bệnh ở người </t>
  </si>
  <si>
    <t>Chi phòng chống dịch bệnh gia súc gia cầm</t>
  </si>
  <si>
    <t>V</t>
  </si>
  <si>
    <t>BỔ SUNG NS CẤP DƯỚI</t>
  </si>
  <si>
    <t>Bổ sung CĐNS</t>
  </si>
  <si>
    <t>Bổ sung có mục tiêu</t>
  </si>
  <si>
    <t>C</t>
  </si>
  <si>
    <t>TỔNG CHI NS XÃ, PHƯỜNG   (đã tính phần trợ cấp của NSTP)</t>
  </si>
  <si>
    <t>Tr đó:</t>
  </si>
  <si>
    <t>Phần kinh phí thu đóng góp XDCB hạ tầng</t>
  </si>
  <si>
    <t>***</t>
  </si>
  <si>
    <t>Trừ 10% tiết kiệm chi thường xuyên dự toán năm 2022</t>
  </si>
  <si>
    <t>PHÒNG TÀI CHÍNH - KẾ HOẠCH THÀNH PHỐ</t>
  </si>
  <si>
    <t>Đơn vị: Phòng Tài chính - Kế hoạch thành phố</t>
  </si>
  <si>
    <t>Mã số: 1006623</t>
  </si>
  <si>
    <t>Chương: 618 - 341</t>
  </si>
  <si>
    <t>PHÒNG QUẢN LÝ ĐÔ THỊ THÀNH PHỐ</t>
  </si>
  <si>
    <t>Chương: 619 - 341</t>
  </si>
  <si>
    <t>Đơn vị: Phòng Quản lý đô thị thành phố</t>
  </si>
  <si>
    <t>Mã số: 1089170</t>
  </si>
  <si>
    <t>Số thu phí, lệ phí nộp ngân sách</t>
  </si>
  <si>
    <t>PHÒNG TÀI  NGUYÊN VÀ MÔI TRƯỜNG THÀNH PHỐ</t>
  </si>
  <si>
    <t>Mã số: 1037521</t>
  </si>
  <si>
    <t>PHÒNG KINH TẾ THÀNH PHỐ</t>
  </si>
  <si>
    <t>Mã số: 1081115</t>
  </si>
  <si>
    <t>Đơn vị: Phòng Kinh tế thành phố</t>
  </si>
  <si>
    <t>Đơn vị: Phòng Tài nguyên và Môi trường thành phố</t>
  </si>
  <si>
    <t>Chi phòng chống lụt bão và tìm kiếm cứu nạn cấp thành phố</t>
  </si>
  <si>
    <t>Chi Sự nghiệp kinh tế và sự nghiệp khác</t>
  </si>
  <si>
    <t>PHÒNG LAO ĐỘNG - THƯƠNG BINH VÀ XÃ HỘI</t>
  </si>
  <si>
    <t>Mã số: 1081118</t>
  </si>
  <si>
    <t>Đơn vị: Phòng Lao động - Thương binh và Xã hội thành phố</t>
  </si>
  <si>
    <t>Chi đảm bảo xã hội</t>
  </si>
  <si>
    <t>Chương: 624</t>
  </si>
  <si>
    <t>Chi Quản lý hành chính (Khoản 341)</t>
  </si>
  <si>
    <t>Chính sách và hoạt động phục vụ người có công với cách mạng (Loại 370 - Khoản 371)</t>
  </si>
  <si>
    <t>Chính sách và hoạt động phục vụ các đối tượng bảo trợ xã hội và các đối tượng khác (Loại 370, Khoản 398)</t>
  </si>
  <si>
    <t>Chi sự nghiệp giáo dục</t>
  </si>
  <si>
    <t>Chi thực hiện miễn giảm học phí và hỗ trợ chi phí học tập theo Nghị định 81/2021/NĐ-CP ngày 27/8/2021 của Chính phủ</t>
  </si>
  <si>
    <t>Kinh phí nhiệm vụ không thường xuyên (Loại 070, Khoản 098)</t>
  </si>
  <si>
    <t>PHÒNG VĂN HÓA VÀ THÔNG TIN THÀNH PHỐ</t>
  </si>
  <si>
    <t>Mã số: 1081117</t>
  </si>
  <si>
    <t>Đơn vị: Phòng Văn hóa và Thông tin thành phố</t>
  </si>
  <si>
    <t>Chương: 625 - 341</t>
  </si>
  <si>
    <t>PHÒNG GIÁO DỤC VÀ ĐÀO TẠO THÀNH PHỐ</t>
  </si>
  <si>
    <t>Chương: 622 - 341</t>
  </si>
  <si>
    <t>Đơn vị: Phòng Giáo dục và Đào tạo thành phố</t>
  </si>
  <si>
    <t>Mã số: 1081116</t>
  </si>
  <si>
    <t>Kinh phí hoạt động ngành giáo dục</t>
  </si>
  <si>
    <t>Thực hiện khi được UBND thành phố phê duyệt nội dung chi cụ thể</t>
  </si>
  <si>
    <t>ỦY BAN MTTQVN THÀNH PHỐ</t>
  </si>
  <si>
    <t>Chương: 710-361</t>
  </si>
  <si>
    <t xml:space="preserve">Đơn vị: Ủy ban MTTQVN thành phố </t>
  </si>
  <si>
    <t>Mã số: 1037520</t>
  </si>
  <si>
    <t xml:space="preserve">THÀNH ĐOÀN </t>
  </si>
  <si>
    <t>Chương: 711-361</t>
  </si>
  <si>
    <t>Đơn vị: Thành Đoàn</t>
  </si>
  <si>
    <t>Chi Quản lý hành chính Nhà nước, Đảng, Đoàn thể</t>
  </si>
  <si>
    <t>HỘI LIÊN HIỆP PHỤ NỮ VN THÀNH PHỐ</t>
  </si>
  <si>
    <t>Chương: 712-361</t>
  </si>
  <si>
    <t>Đơn vị: Hội Liên hiệp phụ nữ Việt Nam thành phố</t>
  </si>
  <si>
    <t>Mã số: 1046828</t>
  </si>
  <si>
    <t>HỘI NÔNG DÂN THÀNH PHỐ</t>
  </si>
  <si>
    <t>Chương: 713-361</t>
  </si>
  <si>
    <t>Đơn vị: Hội Nông dân thành phố</t>
  </si>
  <si>
    <t>Mã số: 1046829</t>
  </si>
  <si>
    <t>HỘI CỰU CHIẾN BINH THÀNH PHỐ</t>
  </si>
  <si>
    <t>Chương: 714-361</t>
  </si>
  <si>
    <t>Đơn vị: Hội Cựu chiến binh thành phố</t>
  </si>
  <si>
    <t>Mã số: 1046830</t>
  </si>
  <si>
    <t>Chi xây dựng Quỹ hỗ trợ nông dân</t>
  </si>
  <si>
    <t>Đơn vị</t>
  </si>
  <si>
    <t>Hội Nông dân thành phố</t>
  </si>
  <si>
    <t>Ngân hàng Chính sách xã hội tỉnh Quảng Ngãi</t>
  </si>
  <si>
    <t xml:space="preserve">Chi vốn vay ưu đãi giải quyết việc làm </t>
  </si>
  <si>
    <t>DỰ TOÁN CHI NGÂN SÁCH NHÀ NƯỚC NĂM 2023</t>
  </si>
  <si>
    <t>(5)</t>
  </si>
  <si>
    <t>CÔNG AN THÀNH PHỐ</t>
  </si>
  <si>
    <t>Chương: 760 - 041</t>
  </si>
  <si>
    <t>Đơn vị: Công an thành phố</t>
  </si>
  <si>
    <t>Mã số: 9043031</t>
  </si>
  <si>
    <t>Kinh phí thành phố hỗ trợ</t>
  </si>
  <si>
    <t>BCH QUÂN SỰ THÀNH PHỐ</t>
  </si>
  <si>
    <t>Chương: 760 - 011</t>
  </si>
  <si>
    <t>Mã số: 9043028</t>
  </si>
  <si>
    <t>Đơn vị: BCH Quân sự thành phố</t>
  </si>
  <si>
    <t xml:space="preserve">Dự toán chi ngân sách nhà nước (Chi quốc phòng) </t>
  </si>
  <si>
    <t>Đào tạo sĩ quan dự bị</t>
  </si>
  <si>
    <t>ĐỒN BIÊN PHÒNG CỬA KHẨU CẢNG SA KỲ</t>
  </si>
  <si>
    <t>Mã số: 9089003</t>
  </si>
  <si>
    <t>Kinh phí nhiệm vụ không thường xuyên ngân sách thành phố hỗ trợ</t>
  </si>
  <si>
    <r>
      <rPr>
        <b/>
        <sz val="14"/>
        <color theme="1"/>
        <rFont val="Times New Roman"/>
        <family val="1"/>
      </rPr>
      <t xml:space="preserve">Ghi chú: </t>
    </r>
    <r>
      <rPr>
        <sz val="14"/>
        <color theme="1"/>
        <rFont val="Times New Roman"/>
        <family val="1"/>
      </rPr>
      <t>Đồn Biên phòng cửa khẩu cảng Sa Kỳ phân bổ và giao dự toán chi tiết gửi Phòng Tài chính - Kế hoạch thành phố theo quy định</t>
    </r>
  </si>
  <si>
    <t xml:space="preserve"> Thực hiện Đề án "Tăng cường, phổ biến giáo dục pháp luật cho cán bộ, nhân dân các xã biên giới" và các Đề án khác</t>
  </si>
  <si>
    <t>Nguồn thu sự nghiệp</t>
  </si>
  <si>
    <t>Thực hiện theo Kế hoạch được UBND thành phố phê duyệt</t>
  </si>
  <si>
    <t>2.13</t>
  </si>
  <si>
    <t>2.14</t>
  </si>
  <si>
    <t>2.15</t>
  </si>
  <si>
    <t>2.16</t>
  </si>
  <si>
    <t>Kinh phí tổ chức các đề án</t>
  </si>
  <si>
    <t>Tổ chức hội nghị, tập huấn</t>
  </si>
  <si>
    <t>Các khoản đặc thù,  kinh phí đoàn ra đoàn vào, tham gia các lớp  tập huấn cho ĐB HĐND, các Ban HĐND và các nhiệm vụ chi khác được Thường trực Quyết định</t>
  </si>
  <si>
    <t xml:space="preserve">Dự toán chi ngân sách nhà nước
 (Chi quốc phòng) </t>
  </si>
  <si>
    <t>Chương: 709 - 351</t>
  </si>
  <si>
    <t>Biên chế</t>
  </si>
  <si>
    <t>Các khoản chi phụ cấp đặc thù</t>
  </si>
  <si>
    <t>BAN AN TOÀN GIAO THÔNG THÀNH PHỐ</t>
  </si>
  <si>
    <t>Chương: 799 - 041</t>
  </si>
  <si>
    <t>Đơn vị: Ban An toàn giao thông thành phố</t>
  </si>
  <si>
    <t>Mã số: 3032387</t>
  </si>
  <si>
    <t xml:space="preserve">Dự toán chi ngân sách nhà nước (Chi an ninh, trật tự, an toàn xã hội) </t>
  </si>
  <si>
    <t>Thực hiện theo nội dung được Ban An toàn giao thông thành phố phê duyệt</t>
  </si>
  <si>
    <t xml:space="preserve">Dự toán chi ngân sách nhà nước 
(Chi an ninh, trật tự, am toàn xã hội) </t>
  </si>
  <si>
    <t>Chi kỳ họp HĐND, chi họp, hội nghị của Thường trực, các Ban HĐND</t>
  </si>
  <si>
    <t>Đơn vị: Đồn Biên phòng cửa khẩu Cảng Sa Kỳ</t>
  </si>
  <si>
    <t>TRUNG TÂM CHÍNH TRỊ THÀNH PHỐ</t>
  </si>
  <si>
    <t>Chi sự nghiệp Giáo dục Đào tạo và Dạy nghề</t>
  </si>
  <si>
    <t>Đơn vị: Trung tâm Chính trị thành phố</t>
  </si>
  <si>
    <t>Mã số: 1082447</t>
  </si>
  <si>
    <t>Chương: 709 - 085</t>
  </si>
  <si>
    <t xml:space="preserve">Các đơn vị </t>
  </si>
  <si>
    <t>Các trường</t>
  </si>
  <si>
    <t>Cấp xã</t>
  </si>
  <si>
    <t xml:space="preserve">Tổng tiết kiệm chi 10% của xã và các đơn vị </t>
  </si>
  <si>
    <t>TỔNG HỢP NGUỒN 10% TIẾT KIỆM CHI THỰC HIỆN CẢI CÁCH TIỀN LƯƠNG NĂM 2023</t>
  </si>
  <si>
    <t>ĐƠN VỊ</t>
  </si>
  <si>
    <t>KINH PHÍ</t>
  </si>
  <si>
    <t>Trung tâm Chính trị</t>
  </si>
  <si>
    <t xml:space="preserve">Trung tâm Dịch vụ nông nghiệp </t>
  </si>
  <si>
    <t>Đội Quản lý trật tự đô thị</t>
  </si>
  <si>
    <t>Hội Chữ thập đỏ</t>
  </si>
  <si>
    <t>Phòng Y tế</t>
  </si>
  <si>
    <t>Phòng Quản lý đô thị</t>
  </si>
  <si>
    <t>Phòng Tài nguyên và Môi trường</t>
  </si>
  <si>
    <t xml:space="preserve">Phòng Kinh tế </t>
  </si>
  <si>
    <t>Phòng Giáo dục và Đào tạo</t>
  </si>
  <si>
    <t xml:space="preserve">UBMTTQVN </t>
  </si>
  <si>
    <t>Thành Đoàn</t>
  </si>
  <si>
    <t>Hội Liên hiệp phụ nữ</t>
  </si>
  <si>
    <t>Hội Cựu chiến binh</t>
  </si>
  <si>
    <t>An ninh</t>
  </si>
  <si>
    <t>Quốc phòng</t>
  </si>
  <si>
    <t>Ban ATGT</t>
  </si>
  <si>
    <t>TỔNG CỘNG</t>
  </si>
  <si>
    <t>Chi khác</t>
  </si>
  <si>
    <t>KP chuyển đổi số các đơn vị</t>
  </si>
  <si>
    <t>Kinh phí thực hiện mua sắm, sửa chữa, bảo dưỡng tài sản</t>
  </si>
  <si>
    <t>Tư vấn xây dựng đề án chuyển đổi số thành phố</t>
  </si>
  <si>
    <t>Thực hiện đề án các xã lên phường</t>
  </si>
  <si>
    <t>Kinh phí lập quy chế quản lý kiến trúc</t>
  </si>
  <si>
    <t>Xử phạt vi phạm hành chính</t>
  </si>
  <si>
    <t>Kinh phí thực hiện cải cách tiền lương</t>
  </si>
  <si>
    <t>Thực hiện cải cách tiền lương từ nguồn tiết kiệm chi 10% của đơn vị</t>
  </si>
  <si>
    <t>Bản chính</t>
  </si>
  <si>
    <t>Giao tăng so với tỉnh</t>
  </si>
  <si>
    <t>triệu</t>
  </si>
  <si>
    <t>BC</t>
  </si>
  <si>
    <t>HĐ</t>
  </si>
  <si>
    <t>Đ/mức</t>
  </si>
  <si>
    <t>KINH PHÍ GIAO NĂM 2022</t>
  </si>
  <si>
    <t>KINH PHÍ ĐƠN VỊ ĐỄ XUẤT NĂM 2023</t>
  </si>
  <si>
    <t xml:space="preserve">SỐ TỈNH GIAO:  </t>
  </si>
  <si>
    <t>KP 10% TKC TP</t>
  </si>
  <si>
    <r>
      <t>TỔNG CHI NSNN (</t>
    </r>
    <r>
      <rPr>
        <b/>
        <u/>
        <sz val="12"/>
        <rFont val="Times New Roman"/>
        <family val="1"/>
      </rPr>
      <t>A</t>
    </r>
    <r>
      <rPr>
        <b/>
        <sz val="12"/>
        <rFont val="Times New Roman"/>
        <family val="1"/>
      </rPr>
      <t xml:space="preserve"> + </t>
    </r>
    <r>
      <rPr>
        <b/>
        <u/>
        <sz val="12"/>
        <rFont val="Times New Roman"/>
        <family val="1"/>
      </rPr>
      <t>B</t>
    </r>
    <r>
      <rPr>
        <b/>
        <sz val="12"/>
        <rFont val="Times New Roman"/>
        <family val="1"/>
      </rPr>
      <t>)</t>
    </r>
  </si>
  <si>
    <t xml:space="preserve">THÀNH PHỐ GIAO:    </t>
  </si>
  <si>
    <t>10% TKC xã , phường</t>
  </si>
  <si>
    <t xml:space="preserve">  - Tỷ lệ % được hưởng:</t>
  </si>
  <si>
    <t>TỔNG</t>
  </si>
  <si>
    <t xml:space="preserve">   - Tỉnh trợ cấp có mục tiêu:</t>
  </si>
  <si>
    <t>Chi đầu tư cho các dự án</t>
  </si>
  <si>
    <t>Nguồn tăng thu tiền sử dụng đất</t>
  </si>
  <si>
    <t xml:space="preserve">   - Tỉnh bổ sung cân đối </t>
  </si>
  <si>
    <t xml:space="preserve">  - Giao tăng tiền SD đất và bán nhà và các sắc thuế</t>
  </si>
  <si>
    <t>Tỉnh bổ sung có mục tiêu 2 dự án Mở rộng nút giao thông ngã 5 cũ và Đường Trà Bồng Khởi Nghĩa</t>
  </si>
  <si>
    <t>Tăng thu DT tỉnh giao 2020</t>
  </si>
  <si>
    <t>- Nguồn CCTL các năm trước chuyển sang</t>
  </si>
  <si>
    <t>- Nguồn CCTL còn tại ngân sách thành phố</t>
  </si>
  <si>
    <t xml:space="preserve">- Nguồn kết dư ngân sách 2018 </t>
  </si>
  <si>
    <t xml:space="preserve"> triệu</t>
  </si>
  <si>
    <t>Từ nguồn phân cấp tỉnh giao (trong cân đối ngân sách)</t>
  </si>
  <si>
    <t xml:space="preserve">  - Thu phí đấu giá lô sạp chợ tươi sống, chợ cháy ; chợ xã, phường</t>
  </si>
  <si>
    <t>Nguồn thu bán nhà SHNN</t>
  </si>
  <si>
    <t>- Bổ sung nguồn cải cách tiền lương</t>
  </si>
  <si>
    <t>Nguồn thu tiền sử dụng đất của  dự án Khu đô thị An Phú Sinh (thực hiện đầu tư dự án đường Lê Thánh Tôn, thành phố Quảng Ngãi, đoạn từ đường Đinh Tiên Hoàng đến Ngã tư Ba La)</t>
  </si>
  <si>
    <t>Bán nhà SHNN</t>
  </si>
  <si>
    <t>Nguồn chuyển nguồn từ các năm trước</t>
  </si>
  <si>
    <t xml:space="preserve">  - Nguồn tăng thu dự toán tỉnh giao: Trong đó:</t>
  </si>
  <si>
    <t>Công tác quy hoạch bố trí chi đầu tư</t>
  </si>
  <si>
    <t>Kinh phí đặc thù tỉnh giao</t>
  </si>
  <si>
    <t>Điều chỉnh quy hoạch sử dụng đất 2025 - 2030</t>
  </si>
  <si>
    <t>Bố trí cho các đơn vị</t>
  </si>
  <si>
    <t>Quy hoạch chi tiết 1/500 Công viên Thiên bút</t>
  </si>
  <si>
    <t>Bố trí sự nghiệp môi trường</t>
  </si>
  <si>
    <t>Bố trí chi quốc phòng</t>
  </si>
  <si>
    <t xml:space="preserve">Quy hoạch phân khu đô thị 1/2000 phía Đông Bắc </t>
  </si>
  <si>
    <t>Bố trí chi an ninh</t>
  </si>
  <si>
    <t>Điều chỉnh quy hoạch phân khu trung tâm thành phố Quảng Ngãi tỷ lệ 1/2000</t>
  </si>
  <si>
    <t>Bố trí chi cải cách hành chính</t>
  </si>
  <si>
    <t xml:space="preserve">Quy hoạch phân khu tỷ lệ 1/2000 còn lại phía Bắc </t>
  </si>
  <si>
    <t xml:space="preserve">Bố trí chi an sinh xã hội trên địa bàn </t>
  </si>
  <si>
    <t>Điều chỉnh các đồ án quy hoạch chi tiết tỷ lệ 1/500 trên địa bàn thành phố Quảng Ngãi phục vụ công tác quản lý nhà nước</t>
  </si>
  <si>
    <t>Bố trí quỹ khen thưởng</t>
  </si>
  <si>
    <t>Quy hoạch phân khu tỷ lệ 1/2000 phần còn lại phía Nam</t>
  </si>
  <si>
    <t>Bố trí quỹ hỗ trợ nông dân</t>
  </si>
  <si>
    <t>Quy hoạch phân khu công viên trung tâm thành phố Quảng Ngãi mở rộng và khu vực dọc ven biển các xã TỊnh Khê, Tịnh Kỳ</t>
  </si>
  <si>
    <t>Bố trí đảm bảo trật tự ATGT và đảm bảo lực lượng xử phạt</t>
  </si>
  <si>
    <t>Điều chỉnh quy hoạch chi tiết 1/500 Chợ Nghĩa Dõng</t>
  </si>
  <si>
    <t>Bố trí đối ứng vốn vay ngân hàng chính sách</t>
  </si>
  <si>
    <t>Quy hoạch chi tiết tỷ lệ 1/500 Chợ Thu Lộ</t>
  </si>
  <si>
    <t xml:space="preserve">Bố trí chi sửa chữa </t>
  </si>
  <si>
    <t>Thuế sử dụng đất phi nông nghiệp</t>
  </si>
  <si>
    <t>Thu khác ngân sách xã</t>
  </si>
  <si>
    <t xml:space="preserve">Lệ phí trước bạ </t>
  </si>
  <si>
    <t>Chi thực hiện các nhiệm vụ phát sinh và các khoản chi đặc thù của thành phố</t>
  </si>
  <si>
    <t>Thu tiền thuê mặt đất mặt nước</t>
  </si>
  <si>
    <t>KP tự chủ các ĐVị toàn TP không tính các đơn vị sự nghiệp giáo dục</t>
  </si>
  <si>
    <t>Giao cho xã</t>
  </si>
  <si>
    <t>KP đặc thủ tỉnh bổ sung</t>
  </si>
  <si>
    <t>1. Kinh phí đề án Tổ An ninh nhân dân: 155 trđ
2. Kinh phí thực hiện đề án hỗ trợ quản lý và bảo vệ rừng năm 2021 theo Quyết định số 677/QĐ-UBND ngày14/5/2021: 56 trđ
3. Quỹ lương CBCC xã: 350,114 trđ
4. NQ 20 KCT: 17,613 trđ
5. Đảm bảo xã hội xã: 24,952 trđ
6. SN Kinh tế xã: 169 trđ</t>
  </si>
  <si>
    <t>Đảm bảo xã hội</t>
  </si>
  <si>
    <t>Năm 2019 chưa thực hiện</t>
  </si>
  <si>
    <t xml:space="preserve">Thu gom vặn chuyển rác thải (KP sự nghiệp môi trường) </t>
  </si>
  <si>
    <t>Chi công tác đo đạc, lập bản đồ địa chính, xây dựng cơ sở dữ liệu đất đai;….</t>
  </si>
  <si>
    <t xml:space="preserve"> </t>
  </si>
  <si>
    <t>Kinh phí dự án Quy hoạch sử dụng đất 2021 - 2030</t>
  </si>
  <si>
    <t>Thống kê đất đai hàng năm</t>
  </si>
  <si>
    <t>Lập kế hoạch sử dụng đất 2023</t>
  </si>
  <si>
    <t>Để thực hiện KH lựa chọn nhà thầu thực hiện KH lựa chọn nhà thầu</t>
  </si>
  <si>
    <t>Chi phí cắm mốc, đo đạc của các xã, phường</t>
  </si>
  <si>
    <t>Lập kế hoạch sử dụng đất 2022 (bố trí trả nợ)</t>
  </si>
  <si>
    <t>Các nhiệm vụ quy hoạch do thành phố phê duyệt</t>
  </si>
  <si>
    <t>Quy hoạch chung xây dựng thành phố Quảng Ngãi tỉnh Quảng Ngãi đến 2030</t>
  </si>
  <si>
    <t>Quy hoạch phân khu tỷ lệ 1/2000 phần còn lại phía Bắc thành phố Quảng Ngãi</t>
  </si>
  <si>
    <t>Điều chỉnh quy hoạch phân khu đô thị trung tâm thành phố Quảng Ngãi, tỷ lệ 1/2000</t>
  </si>
  <si>
    <t>Quy hoạch phân khu tỷ lệ 1/2000 phần còn lại phía Nam thành phố Quảng Ngãi</t>
  </si>
  <si>
    <t>Chi quy hoạch các dự án từ nguồn vốn tài trợ quy hoạch của các tổ chức, cá nhân</t>
  </si>
  <si>
    <t>QLNN</t>
  </si>
  <si>
    <t>SN Kinh tế</t>
  </si>
  <si>
    <t>Mua xe ô tô cho các xã phường và mua sắm máy vi tính, máy Scan, camera</t>
  </si>
  <si>
    <t>Mua xe ô tô tuyên truyền, mua máy quay phim và Flycam</t>
  </si>
  <si>
    <t>nhiệm vụ mới (11 máy điều hòa 270 tr, màn rèm 70tr, màn hình LED 01 bộ 140tr, 02 tivi 90tr, 04 camera 36tr)</t>
  </si>
  <si>
    <t>Chi trang bị máy tính bảng cho Thành ủy viên và đại biểu HĐND phục vụ tra cứu tài liệu các kỳ họp (17tr/cái x 70 cái)</t>
  </si>
  <si>
    <t>01 máy Scan</t>
  </si>
  <si>
    <t>01 máy vi tính, 01 máy Scan, 2 máy in</t>
  </si>
  <si>
    <t>02 máy vi tính</t>
  </si>
  <si>
    <t>01 máy photo, 16 máy tính, 01 máy Scan và Tivi</t>
  </si>
  <si>
    <t>03 máy điều hòa, 01 máy tính</t>
  </si>
  <si>
    <t>02 máy tính 01 máy in</t>
  </si>
  <si>
    <t>3 máy vi tính, 01 máy Scan, 01 máy in</t>
  </si>
  <si>
    <t>01 máy Scan và 01 máy in</t>
  </si>
  <si>
    <t>1 máy Scan và 01 máy in</t>
  </si>
  <si>
    <t>01 máy Scan, 01 máy in</t>
  </si>
  <si>
    <t>Quỹ tiền lương</t>
  </si>
  <si>
    <t>6.1.1</t>
  </si>
  <si>
    <t>Chuyên đổi số các đơn vị , chỉnh lý tài liệu các đơn vị</t>
  </si>
  <si>
    <t>Lương 1,49</t>
  </si>
  <si>
    <t>Lương 0,31</t>
  </si>
  <si>
    <t>6.1.2</t>
  </si>
  <si>
    <t>Phục vụ công tác chuyển đổi số của thành phố Quảng Ngãi</t>
  </si>
  <si>
    <t>Khoảng 0,5% tổng chi thường xuyên theo quy định tại Quyết định số 1557/QĐ-UBND ngày 31/12/2022</t>
  </si>
  <si>
    <t>Dự kiến bố trí tăng thu 2 tỷ</t>
  </si>
  <si>
    <t>6.1.3</t>
  </si>
  <si>
    <t>Phòng Nội vụ</t>
  </si>
  <si>
    <t>6.1.4</t>
  </si>
  <si>
    <t>Mua sắm thiết bị, thuê mướn vận chuyển về  trụ sở mới khi tách Thanh tra và Phòng Nội vụ</t>
  </si>
  <si>
    <t>Chi sửa chữa, bảo dưỡng trụ sở làm việc</t>
  </si>
  <si>
    <t>Sửa chữa trụ sở làm việc khi tách Thanh tra và Phòng Nội vụ</t>
  </si>
  <si>
    <t>Chi đề án Khoa học công nghệ Làng hoa Nghĩa Hà</t>
  </si>
  <si>
    <t>Bổ sung khi đầy đủ chủ trương và các hồ so có liên quan</t>
  </si>
  <si>
    <t>Khoa học và công nghệ</t>
  </si>
  <si>
    <t>Dịch vụ công ích năm 2022 các hạng mục điện đường, cây xanh,…</t>
  </si>
  <si>
    <t>Tiền điện chiếu sáng công cộng</t>
  </si>
  <si>
    <t>Duy tu bảo dưỡng sửa chữa các tuyến đường trên địa bàn thành phố</t>
  </si>
  <si>
    <t>BQL DA ĐTXD lập dự toán 17,839 tỷ + trả nợ quyết toán 258tr</t>
  </si>
  <si>
    <t>Kinh phí thực hiện nhiệm vụ duy tu, bảo dưỡng hệ thống thoát nước tại thành phố Quảng Ngãi và quản trang</t>
  </si>
  <si>
    <t xml:space="preserve">Trang trí Tết </t>
  </si>
  <si>
    <t>Nạo vét  hồ điều hòa Nghĩa Chánh</t>
  </si>
  <si>
    <t>Trang trí điện chiếu sáng vườn hoa mini</t>
  </si>
  <si>
    <t>Sửa chữa, bảo dưỡng vỉa hè các tuyến đường</t>
  </si>
  <si>
    <t>Ổn định 03 năm</t>
  </si>
  <si>
    <t>Tăng 141trđ giao ổn định trong năm 2024, 2025</t>
  </si>
  <si>
    <t>Chi thực hiện các nhiệm vụ năm 2024</t>
  </si>
  <si>
    <t>phân bổ; nhập dự toán khi đủ văn bản của thẩm quyền</t>
  </si>
  <si>
    <t>ô</t>
  </si>
  <si>
    <t>Bảo trì hệ thống mái che khu vực Trung tâm Chợ Quảng Ngãi</t>
  </si>
  <si>
    <t>Mua bảo hiểm cháy nổ chợ Hàng Rượu</t>
  </si>
  <si>
    <t>Bảo trì công trình chợ ( Hệ thống PCCC, hệ thống điện chiếu sáng công cộng, kiểm định hệ thống chống sét đánh thẳng …)</t>
  </si>
  <si>
    <t>Thực hiện quản lý Chợ Hàng Rượu</t>
  </si>
  <si>
    <t>Gồm: Quỹ tiền lương 860trđ và hoạt động của chợ 160trđ</t>
  </si>
  <si>
    <t>Nguồn thu được để lại chi năm 2024 của đơn vị</t>
  </si>
  <si>
    <t>Nguồn thu nộp NSNN từ nguồn cho thuê các điểm kinh doanh theo phương án đã được phê duyệt</t>
  </si>
  <si>
    <t xml:space="preserve"> Theo mức lương cơ sở 1,49 trđ</t>
  </si>
  <si>
    <t>Kinh phí vận chuyển, bảo quản vắc xin</t>
  </si>
  <si>
    <t>Mua sắm 03 máy in</t>
  </si>
  <si>
    <t>Chưa có QĐ được duyệt</t>
  </si>
  <si>
    <t>Giao khi QĐ phê duyệt kế hoạch khuyến nông năm 2024 được phê duyệt</t>
  </si>
  <si>
    <t>Kinh phí thực hiện chương trình mục tiêu tỉnh bổ sung</t>
  </si>
  <si>
    <t>Kinh phí thực hiện Kế hoạch triển khai chương trình quản lý dịch hại tổng hợp IPM trên các cây trồng chủ lực theo Kế hoạch số 137/KH-UBND ngày 30/8/2022 của UBND tỉnh Quảng Ngãi</t>
  </si>
  <si>
    <t>Bố trí từ nguồn kinh phí tỉnh bổ sung có mục tiêu năm 2024</t>
  </si>
  <si>
    <t>+ Theo mức lương cơ sở 1,49 trđ</t>
  </si>
  <si>
    <t>16 biên chế được giao</t>
  </si>
  <si>
    <t xml:space="preserve">Sửa chữa, bảo dưỡng và xăng, dầu, nhớt, chạy xe ô tô, môtô đặc chủng </t>
  </si>
  <si>
    <t>Mua sắm 02 bộ máy vi tính</t>
  </si>
  <si>
    <t>Trang bị 8 camera gắn trên trang phục để thi hành nhiệm vụ</t>
  </si>
  <si>
    <t>Sửa chữa trụ sở làm việc (bố trí trả nợ)</t>
  </si>
  <si>
    <t xml:space="preserve">Trang bị 07 xe chuyên dụng làm trật tự đô thị tại các phường trung tâm nội thành (Nguyễn Nghiêm; Trần Hưng Đạo; Lê Hồng Phong; Chánh Lộ; Nghĩa Lộ; Trần Phú, Trương Quang Trọng) </t>
  </si>
  <si>
    <t>Chi hỗ trợ lực lượng xử phạt theo Thông tư 18/2023/TT-BTC</t>
  </si>
  <si>
    <t>Chi thực hiện cưỡng chế các Đ VPHC đã có hiệu lực thi hành đợt 1</t>
  </si>
  <si>
    <t>KP hoạt động và mua sắm trang thiết bị phục vụ quản lý, cứu nạn tại bãi tắm Mỹ Khê</t>
  </si>
  <si>
    <t>Tư vấn soạn thảo, cài đặt hoặc mua phần mềm ứng dụng công nghệ thông tin</t>
  </si>
  <si>
    <t>Chi phục vụ cho công tác quản lý trật tự</t>
  </si>
  <si>
    <t>Chi làm thêm giờ do công việc có tính chất đặc thù</t>
  </si>
  <si>
    <t>Mua sắm một số trang thiết bị</t>
  </si>
  <si>
    <t>NV mới</t>
  </si>
  <si>
    <t>Đơn vị tự đảm bảo chi hoạt động</t>
  </si>
  <si>
    <t>đơn vị lập dự toán 17,839 tỷ + trả nợ quyết toán 258tr</t>
  </si>
  <si>
    <t>Thực hiện nhiệm vụ mua sắm tập trung</t>
  </si>
  <si>
    <t>Nâng cấp mặt đường các khu dân cư trên địa bàn thành phố</t>
  </si>
  <si>
    <t>Vốn đối ứng</t>
  </si>
  <si>
    <t xml:space="preserve">Đối ứng Nghĩa trang liệt sĩ xã Tịnh Khê cho Sở Lao động- Thương binh và Xã hội </t>
  </si>
  <si>
    <t>Đối ứng vốn sự nghiệp nông thôn mới và giảm nghèo bền vững</t>
  </si>
  <si>
    <t>Đối ứng kinh phí mua xe ô tô phục vụ dùng chung</t>
  </si>
  <si>
    <t>Khi tỉnh bố trí kinh phí thì bổ sung cho Văn phòng HĐND và UBND</t>
  </si>
  <si>
    <t xml:space="preserve">Đối ứng bể bơi trường Tiểu học Chánh Lộ </t>
  </si>
  <si>
    <t>Xử lý môi trường tại hồ Bàu Cả và kênh Sông Đào</t>
  </si>
  <si>
    <t>Công tác phòng chống thiên tai và tìm kiếm cứu nạn</t>
  </si>
  <si>
    <t>Bố trí từ dự phòng ngay đầu năm</t>
  </si>
  <si>
    <t>17.1</t>
  </si>
  <si>
    <t>Phòng Kinh tế (Cơ quan TT BCĐ PCTT và TKCN TP)</t>
  </si>
  <si>
    <t>17.2</t>
  </si>
  <si>
    <t>Hỗ trợ khi các xã, phường không đảm bảo nguồn</t>
  </si>
  <si>
    <t xml:space="preserve">     Đô thị :   251.240 người</t>
  </si>
  <si>
    <t>30.000 đ/ng</t>
  </si>
  <si>
    <t>Chưa phân bổ</t>
  </si>
  <si>
    <t>Kế hoạch 101 tỷ, khấu trừ ủy nhiệm thu 22 tỷ, bố trí 79 tỷ</t>
  </si>
  <si>
    <t>Định mức dân số</t>
  </si>
  <si>
    <t>Tỉnh bổ sung có mục tiêu</t>
  </si>
  <si>
    <t xml:space="preserve">Sử dụng kinh phí đặc thù </t>
  </si>
  <si>
    <t>Theo số đơn vị báo cáo, không có trên phần mềm tiền lương</t>
  </si>
  <si>
    <t>+ Quỹ lương theo mức 1,49trđ</t>
  </si>
  <si>
    <t>02 biên chế được giao</t>
  </si>
  <si>
    <t>Tỉnh giao cân đối 3,18 tỷ đồng</t>
  </si>
  <si>
    <t>10.000đ/người</t>
  </si>
  <si>
    <t>Quỹ lương theo biên chế được giao</t>
  </si>
  <si>
    <t>Quỹ lương theo mức lương cơ sở 1,49 trđ</t>
  </si>
  <si>
    <t>Bổ sung thêm 405 kinh phí tuyên truyền Đại hội Đảng</t>
  </si>
  <si>
    <t>Tuyên truyền Mừng Đảng, Mừng xuân, các ngày lễ, Tết, sự kiện lịch sử quan trọng và các nhiệm vụ chính trị của địa phương</t>
  </si>
  <si>
    <t>Sửa chữa sân nền, mương thoát nước trụ sở làm việc</t>
  </si>
  <si>
    <t>Tổ chức chương trình chắp cánh ước mo</t>
  </si>
  <si>
    <t>Tổ chức hoạt động Âm nhạc đường phố</t>
  </si>
  <si>
    <t>Đơn vị đề xuất 159tr</t>
  </si>
  <si>
    <t>Tổ chức CLB Dân ca Bài chòi</t>
  </si>
  <si>
    <t>Đơn vị đề xuất 50tr</t>
  </si>
  <si>
    <t>Tổ chức Lễ giao nhận quân</t>
  </si>
  <si>
    <t>Giao lưu văn hóa văn nghệ với các huyện bạn</t>
  </si>
  <si>
    <t>Đơn vị đề xuất 100tr, thẩm định sử dụng trong tổ chức các hoạt động văn hóa văn nghệ 350tr ở trên</t>
  </si>
  <si>
    <t>Chi sửa chữa máy phôt, máy vi tính</t>
  </si>
  <si>
    <t xml:space="preserve">Mua sắm 02 máy vi tính </t>
  </si>
  <si>
    <t>Chi hoạt động chi bộ theo Quy định 99-QĐ/TW (Chi phụ cấp cấp ủy)</t>
  </si>
  <si>
    <t>Chi công tác thu viện, đặt báo và điểm đọc xã, phường</t>
  </si>
  <si>
    <t>Đơn vị đề xuất 20tr đồng tuy nhiên hiện tại thư viện k hoạt động do nằm trong dự án của tỉnh</t>
  </si>
  <si>
    <t>Phần kinh phí bổ sung ngoài định mức</t>
  </si>
  <si>
    <t>Trang bị xe ô tô phục vụ tuyên truyền</t>
  </si>
  <si>
    <r>
      <t>Chi SN TD-TT</t>
    </r>
    <r>
      <rPr>
        <sz val="12"/>
        <color rgb="FF00B050"/>
        <rFont val="Times New Roman"/>
        <family val="1"/>
      </rPr>
      <t xml:space="preserve"> (tính theo dân số)</t>
    </r>
  </si>
  <si>
    <t>5000 đ/người</t>
  </si>
  <si>
    <t>06 biên chế được giao</t>
  </si>
  <si>
    <t>Đơn vị đề xuất 3,175 tỷ đồng</t>
  </si>
  <si>
    <t>Tổ chức các phong trào TDTT trên địa bàn thành phố và tham gia đại hội TDTT cấp tỉnh năm 2021</t>
  </si>
  <si>
    <t xml:space="preserve">Mua sắm 03 máy vi tính </t>
  </si>
  <si>
    <t>Hiện tại chưa có chủ trương và kế hoạch thực hiện trong năm 2022 do tình hình dịch bệnh, xin ý kiến UBND thành phố để ghi dự toán</t>
  </si>
  <si>
    <t>7000 đ/người</t>
  </si>
  <si>
    <t>Chi chuyên mục "TP Quảng Ngãi hôm nay"</t>
  </si>
  <si>
    <t>Đơn vị đề xuất 60tr</t>
  </si>
  <si>
    <t>Đơn vị đề xuất 44tr, tuy nhiên nội dung này đã giao cho Tư pháp</t>
  </si>
  <si>
    <t>Kinh phí thực hiện các chuyên mục truyền thanh, truyền hình</t>
  </si>
  <si>
    <t>Chi mua sắm máy chuyên dụng dựng hình các chương trình phát thanh truyền hình (Máy quay phim chuyên dụng; thiết bị dựng hình lưu động và máy chụp ảnh)</t>
  </si>
  <si>
    <t>Hợp đồng Đài Truyền hình PTQ các nhiệm vụ phát sóng trên địa bàn thành phố Quảng Ngãi</t>
  </si>
  <si>
    <t>Trang bị lắp đặt hệ thống phát thanh thông minh trong thành phố</t>
  </si>
  <si>
    <t>Đơn vị đề xuất 162tr nhưng chưa đủ cơ sở bố trí</t>
  </si>
  <si>
    <t>Kinh phí bổ sung ngoài định mức</t>
  </si>
  <si>
    <t xml:space="preserve">Máy camera chuyên dụng </t>
  </si>
  <si>
    <t>Flycam</t>
  </si>
  <si>
    <t>Theo số phần mềm</t>
  </si>
  <si>
    <t>04 biên chế được giao</t>
  </si>
  <si>
    <t>Phân bổ KP nghiệp vụ đào tạo, Đào tạo bồi dưỡng theo yêu cầu (Lấy KP đào tạo) (bao gồm lớp Sơ cấp lý luận chính trị và hoạt động CLB Thông tin thời sự)</t>
  </si>
  <si>
    <t>=2017:2020</t>
  </si>
  <si>
    <t>Sửa chữa , bảo dưỡng và mua sắm trang thiết bị phục vụ công tác đào tạo</t>
  </si>
  <si>
    <t>=2017</t>
  </si>
  <si>
    <t>Gia hạn chữ ký số</t>
  </si>
  <si>
    <t>Sửa chữa trụ sở làm việc</t>
  </si>
  <si>
    <t xml:space="preserve">Mua sắm hệ thống âm thanh </t>
  </si>
  <si>
    <t>Rèm hướng tây phòng học</t>
  </si>
  <si>
    <t>Tiết kiệm chi 10%</t>
  </si>
  <si>
    <t>Quỹ lương theo mức lương tăng thêm NĐ 24</t>
  </si>
  <si>
    <t>Kinh phí trực trưa cho giáo viên mâm non</t>
  </si>
  <si>
    <t>e</t>
  </si>
  <si>
    <t>f</t>
  </si>
  <si>
    <t>Tính trong cân đối</t>
  </si>
  <si>
    <t>Tính trong cân đối, Giao LĐTBXH 167tr</t>
  </si>
  <si>
    <t>Phòng Lao động - Thương binh và Xã hội thành phố</t>
  </si>
  <si>
    <t>Trang bị cây xanh cảnh quang sân trường</t>
  </si>
  <si>
    <t>Máy vi tính phục vụ dạy và học</t>
  </si>
  <si>
    <t>Bàn ghế học sinh</t>
  </si>
  <si>
    <t>Phâần mềm chuyển đổi số</t>
  </si>
  <si>
    <t>Trang bị phòng học trực tuyến cho các trường</t>
  </si>
  <si>
    <t>Trang bị phòng học và dạy chương trình STEM</t>
  </si>
  <si>
    <t>Kinh phí đào tạo  bồi dưỡng</t>
  </si>
  <si>
    <t>Nâng lương năm 2022</t>
  </si>
  <si>
    <t>KP xây dựng trường đạt chuẩn quốc gia</t>
  </si>
  <si>
    <t>KP hỗ trợ dọn vệ sinh trường học</t>
  </si>
  <si>
    <t>Giao Cơ quan Tổ chức Nội vụ</t>
  </si>
  <si>
    <t xml:space="preserve">Chi đối tượng bảo trợ xã hội </t>
  </si>
  <si>
    <t>Chi phí chi trả bảo trợ xã hội theo Quyết định số 20/2022/QĐ-UBND ngày 01/6/2022</t>
  </si>
  <si>
    <t>Tỉnh bổ sung mục tiêu</t>
  </si>
  <si>
    <t>Bao gồm kinh phí vận chuyển</t>
  </si>
  <si>
    <t>Tham gia các cuộc thi nghề công tác xã hội, người KT, hội thi giảm nghèo và các hoạt động khác do tỉnh tổ chức</t>
  </si>
  <si>
    <t>Chi đối tượng chính sách</t>
  </si>
  <si>
    <t>Chi an dưỡng</t>
  </si>
  <si>
    <t>Qũy đền ơn đáp nghĩa 20TR</t>
  </si>
  <si>
    <t>144 xuất cho bà mẹ VNAH lễ tết, 137 xuất dịp 27/7,  25.268 đối tượng quà lễ tết</t>
  </si>
  <si>
    <t>Ngân Hàng Chính Sách</t>
  </si>
  <si>
    <t>Văn phòng HĐND và UBND thành phố</t>
  </si>
  <si>
    <t>Thường trực HĐND thành phố</t>
  </si>
  <si>
    <t>Lương và các khoản tính chất lương theo biên chế được giao</t>
  </si>
  <si>
    <t>03 biên chế</t>
  </si>
  <si>
    <t xml:space="preserve">Chi cho công tác xây dựng văn bản, thẩm tra phục vụ kỳ họp HĐND, thẩm tra Nghị quyết </t>
  </si>
  <si>
    <t>Chi trang bị máy tính bảng phục vụ tra cứu tài liệu các kỳ họp</t>
  </si>
  <si>
    <t>Văn phòng HĐND và UBND thành phố và lãnh đạo UBND thành phố</t>
  </si>
  <si>
    <t>Tiếp công dân</t>
  </si>
  <si>
    <t xml:space="preserve">Thăm ngày truyền thống các đơn vị </t>
  </si>
  <si>
    <t>Thuê mướn thực hiện các nhiệm vụ của UBND</t>
  </si>
  <si>
    <t>Phục vụ công tác dân quân tự vệ</t>
  </si>
  <si>
    <t>Chế độ nhuận bút Trang thông tin điện tử</t>
  </si>
  <si>
    <t>Thuê đường truyền, cước,...</t>
  </si>
  <si>
    <t>Nộp phí hiệp hội đô thị</t>
  </si>
  <si>
    <t>KP phục vụ bộ phận một cửa</t>
  </si>
  <si>
    <t>Kinh phí một cửa theo Nghị quyết 35/2022/NQ-HĐND tỉnh</t>
  </si>
  <si>
    <t>Chi trả bộ phận một cửa thành phố; các xã, phường giao bổ sung mục tiêu cho xã phường. KP này tỉnh bổ sung mục tiêu 1,224 tỷ đồng</t>
  </si>
  <si>
    <t>Kinh phí thực hiện thuê dịch vụ Bưu chính công ích tiếp nhận và trả kết quả giải quyết hồ sơ thủ tục hành chính tại Một cửa</t>
  </si>
  <si>
    <t>Sửa chữa, bảo dưỡng tài sản, mua sắm trang thiết bị và thuê mướn thực hiện các nhiệm vụ UBND thành phố giao</t>
  </si>
  <si>
    <t>Sữa chữa hội trường UBND thành phố (sửa chữa sân khấu và các hạng mục phụ trợ)</t>
  </si>
  <si>
    <t>Các khoản chi đặc thù</t>
  </si>
  <si>
    <t>KP chỉnh lý, số hóa tài liệu</t>
  </si>
  <si>
    <t>KP đoàn ra, đoàn vào</t>
  </si>
  <si>
    <t>Thuực hiện khi có chủ trương của UBND thành phố</t>
  </si>
  <si>
    <t>Thu phí thẩm định 50tr</t>
  </si>
  <si>
    <t>02 biên chế</t>
  </si>
  <si>
    <t>Chi bộ ghép với Hội Chữ thập đỏ</t>
  </si>
  <si>
    <t>Chi các chương trình hoạt động ngành y (khám sức khỏe người cao tuổi; đánh giá Bộ tiêu chí Quốc gia về y tế; xây dựng thôn tổ sức khỏe; công tác dân số, quản lý người tâm thần… )</t>
  </si>
  <si>
    <t>Công tác quản lý An toàn thực phẩm; thẩm định cấp giấy chứng nhận về ATTP</t>
  </si>
  <si>
    <t xml:space="preserve">Sửa chữa phòng làm việc </t>
  </si>
  <si>
    <t>Chi mua sắm 01 camera phục vụ công tác kiểm tra</t>
  </si>
  <si>
    <t>Chi phục vụ công tác quản lý về lĩnh vực Y tế: Y, dược, mỹ phẩm, trang thiết bị y tế,… và công tác hành nghề y, dược tư nhân</t>
  </si>
  <si>
    <t xml:space="preserve">Thu phí lệ phí 100 trđ </t>
  </si>
  <si>
    <t>Kinh phí tự kiểm tra văn bản pháp luật</t>
  </si>
  <si>
    <t>Mua sắm 02 máy vi tính và 02 máy in</t>
  </si>
  <si>
    <t xml:space="preserve">   * Thu lệ phí chứng thực : 30 triệu; trích 100% nộp NS: hộ tịch 20 triệu; nộp 100% vào ngân sách</t>
  </si>
  <si>
    <t>10 biên chế</t>
  </si>
  <si>
    <t>02 máy ci tính</t>
  </si>
  <si>
    <t>Kinh phí phục vụ các cuộc họp Thành ủy; HĐND và UBND và các đoàn Thanh tra, Kiểm toán nhà nước; Công tác xây dựng dự toán, thẩm tra quyết toán ngân sách nhà nước;...</t>
  </si>
  <si>
    <t>các khoản  thu 100% nộp ngân sách</t>
  </si>
  <si>
    <t xml:space="preserve">Chi góp ý văn bản theo Thông tư 338/2016/TT-BTC và Thông tư 42/2022/TT-BTC </t>
  </si>
  <si>
    <t>Kinh phí phục vụ công tác quản lý giá công sản</t>
  </si>
  <si>
    <t>Sửa chữa trụ sở làm việc Phòng Tài chính - Kế hoạch thành phố</t>
  </si>
  <si>
    <t>Nâng cấp, trang bị hệ thống chống sét để duy trì mạng của ngành hoạt động liên tục</t>
  </si>
  <si>
    <t>Chi phục vụ cấp giấy phép XD, biển số nhà, thẩm định thiết kế bản vẽ thi công và thâm định quy hoạch</t>
  </si>
  <si>
    <t>PCCC</t>
  </si>
  <si>
    <t>Lập điều chỉnh Chương trình phát triển đô thị thành phố Quảng Ngãi</t>
  </si>
  <si>
    <t>Lập Quy chế Quản lý kiến trúc thành phố Quảng Ngã</t>
  </si>
  <si>
    <t>Báo cáo đánh giá, rà soát đô thị loại II thành phố Quảng Ngãi và khu vực dự kiến các xã lên phường</t>
  </si>
  <si>
    <t xml:space="preserve">Sửa chữa trụ sở làm việc </t>
  </si>
  <si>
    <t>Quỹ lương</t>
  </si>
  <si>
    <t>Thu Lệ phí thẩm định cấp quyền SD Đ cấp mới: 70 triệu</t>
  </si>
  <si>
    <t>+Quỹ lương theo mức lương cơ sở 1,49 trđ</t>
  </si>
  <si>
    <t>17 biên chế</t>
  </si>
  <si>
    <t>Chi quản lý nhà nước</t>
  </si>
  <si>
    <t>nhiệm vụ mới</t>
  </si>
  <si>
    <t>Hợp đồng bảo trì, sữa chữa, thay thế linh kiện máy móc, thiết bị</t>
  </si>
  <si>
    <t>Trang bị 01 máy phô tô phục vụ công tác chuyên môn</t>
  </si>
  <si>
    <t xml:space="preserve">Trang bị 16 máy vi tính </t>
  </si>
  <si>
    <t>Mua sắm 01 máy Scan và 01 Tivi</t>
  </si>
  <si>
    <t>Bố trí 70-80% dự toán</t>
  </si>
  <si>
    <t>Kinh phí khai thác và sử dụng tài liệu đất đai</t>
  </si>
  <si>
    <t>Bố trí từ kinh phí sự nghiệp môi trường</t>
  </si>
  <si>
    <t>Chi sự nghiệp kinh tế khác</t>
  </si>
  <si>
    <t>Bố trí từ kinh phí đo dạc, lập bản đồ địa chính từ 5% nguồn thu tiền sử dụng đất ở chi đâu tư phát triển khác</t>
  </si>
  <si>
    <t>Lập kế hoạch sử dụng đất 2025</t>
  </si>
  <si>
    <t xml:space="preserve">Thống kê đất hàng năm </t>
  </si>
  <si>
    <t>Kinh phí chỉnh lý và số hóa tài liệu</t>
  </si>
  <si>
    <t>Kiểm kê đất đai 05 năm</t>
  </si>
  <si>
    <t>KP đo đạc đất bãi bồi ven sông, ven biển</t>
  </si>
  <si>
    <t>09 biên chế</t>
  </si>
  <si>
    <t>Chi hoạt động quản lý nhà nước</t>
  </si>
  <si>
    <t>Mua sắm 05 máy vi tính, 03 máy in và 01 máy điều hòa</t>
  </si>
  <si>
    <t>Mua sắm 01 bộ bàn ghế họp và 01 bộ bàn ghế làm việc</t>
  </si>
  <si>
    <t>Sửa chữa trụ sở làm việc (xử lý chống thấm mái và các hạng mục khác)</t>
  </si>
  <si>
    <t>Chi hoạt đồng đánh giá sáng kiến</t>
  </si>
  <si>
    <t>Sự nghiệp kinh tế và sự nghiệp khác</t>
  </si>
  <si>
    <t>Khoa học - Công nghệ</t>
  </si>
  <si>
    <t>Hỗ trợ OCCOP</t>
  </si>
  <si>
    <t>KP hoạt động BCĐ Phòng chống thiên tai và tìm kiếm cứu nạn thành phố</t>
  </si>
  <si>
    <t>Phòng chống dịch bệnh gia súc, gia cầm và động vật thủy sản năm 2024</t>
  </si>
  <si>
    <t>Mua sắm 02 máy vi tính, 01 máy scan và 01 máy photo</t>
  </si>
  <si>
    <t>2017: 70tr</t>
  </si>
  <si>
    <t>Hoạt động điều tra, rà soát, đánh giá hộ nghèo; Quản lý nhà nước về người cao tuổi; bình đẳng giới; ban vì sự tiến bộ của phụ nữ; tệ nạn xã hội, Người khuyết tật; trẻ em; lao động việc làm….</t>
  </si>
  <si>
    <t>4 biên chế</t>
  </si>
  <si>
    <t>Thuê mướn 02 bảo vệ khu di tích lịch sử Quốc gia Mộ đền thờ Trần Quốc Công và Bùi Tá Hán, phường Quảng Phú</t>
  </si>
  <si>
    <t>Chi hoạt động BCĐ phong trào Toàn dân đoàn kết xây dựng đời sống văn hoá thành phố; liên hoan thôn tổ dân phố văn hoá, gia đình văn hoá; phường đạt chuẩn đô thị văn minh; công tác gia đình, phòng chống bạo lực gia đình;  Tổ chức các Hội thi, hội diễn của thành phố và tham gia Hội thi, hội diễn, liên hoan của Tỉnh....</t>
  </si>
  <si>
    <t>* Hoạt hoạt động BCĐ phong trào Toàn dân đoàn kết xây dựng đời sống văn hoá thành phố; thôn, tổ dân phố văn hoá, phường đạt chuẩn đô thị văn minh; Tổ chức các Hội thi của thành phố và tham gia Hội thi của Tỉnh, chi các nội dung khác</t>
  </si>
  <si>
    <t>* Công tác gia đình; phòng, chống bạo lực gia đình; tổ chức liên hoan, hội, thi, hội diễn thành phố và tham gia hội thi do tỉnh tổ chức, gồm:</t>
  </si>
  <si>
    <t>Kinh phí thực hiện công tác cấp giấy phép kinh doanh karaoke</t>
  </si>
  <si>
    <t>Kinh phí tuyên truyền trên Báo Xuân Quảng Ngãi</t>
  </si>
  <si>
    <t>Chi phục vụ các di tích lịch sử trên địa bàn; lập hồ sơ đề nghị công nhận di tích lịch sử cấp tỉnh, hoàn chỉnh hồ sơ theo Thông tư 09; phục vụ công tác kiểm kê di tích…</t>
  </si>
  <si>
    <t>Kinh phí thực hiện công tác du lịch</t>
  </si>
  <si>
    <t>Mua sắm 01 máy vi tính và 01 máy in</t>
  </si>
  <si>
    <t>Biên chế hiện có : 07 người</t>
  </si>
  <si>
    <t>Thanh tra thành phố</t>
  </si>
  <si>
    <t>07 biên chế giao</t>
  </si>
  <si>
    <t>Kinh phí thực hiện các nhiệm vụ liên quan đến hoạt động Thanh tra</t>
  </si>
  <si>
    <t>Chi soạn thảo  văn bản; kiểm tra, chỉnh lý hệ thống hóa các văn bản</t>
  </si>
  <si>
    <t>Kinh phí hoạt động chi bộ theo QĐ 99</t>
  </si>
  <si>
    <t>Phòng Nội vụ thành phố</t>
  </si>
  <si>
    <t xml:space="preserve">Thuê mướn bảo vệ </t>
  </si>
  <si>
    <t>Hộp đựng hồ sơ lưu trữ tài liệu cán bộ, công chức</t>
  </si>
  <si>
    <t>300 cái</t>
  </si>
  <si>
    <t xml:space="preserve">Chi soạn thảo  văn bản; kiểm tra, chỉnh lý hệ thống hóa các văn bản </t>
  </si>
  <si>
    <t>Mua sắm 02 máy vi tính</t>
  </si>
  <si>
    <t>Bổ sung thêm mua 01 máy tính phục vụ công tác soạn thảo văn bản mật</t>
  </si>
  <si>
    <t>Văn phòng Thành ủy</t>
  </si>
  <si>
    <t>Lương và các khoản tính chất lương của biên chế hành chính</t>
  </si>
  <si>
    <t>+ Quỹ tiền lương theo mức lương cơ sở 1,49 trđ</t>
  </si>
  <si>
    <t>34 biên chế được giao</t>
  </si>
  <si>
    <t>Quỹ lương hợp đồng theo Nghị định 111</t>
  </si>
  <si>
    <t>Phụ cấp cho cán bộ là công tác Đảng theo Quy định 16-QĐ/TU ngày 16/10/2023 (thay thế Quy định 01-QĐ/TU ngày 31/5/2018 của Thành Ủy</t>
  </si>
  <si>
    <t>40 người</t>
  </si>
  <si>
    <t>Lấy KP khen thưởng của thành phố</t>
  </si>
  <si>
    <t>Thực hiện các chế độ theo Quy định 16-QĐ/TU ngày 16/10/2023 (thay thế Quy định 01-QĐ/TU ngày 31/5/2018 của Thành Ủy</t>
  </si>
  <si>
    <t>Thuê mướn bảo vệ, thuê mướn phục vụ hoạt độngThành ủy</t>
  </si>
  <si>
    <t>Lấy kinh phí đào tạo</t>
  </si>
  <si>
    <t>Mua sắm 09 máy vi tính; 04 máy in; 01 máy điều hòa</t>
  </si>
  <si>
    <t xml:space="preserve">Chi theo Nghị quyết 43/2017/NQ-HĐND ngày 29/9/2017 của HĐND tỉnh </t>
  </si>
  <si>
    <t>Chi cho các cuộc kiểm tra theo kế hoạch đột xuất của UBKT Thành uỷ; đoàn kiểm tra việc kiểm soát tài sản, thu nhập (Công tác phí, hội nghị, văn phòng phẩm, photo tài liệu, cước bưu chính, làm việc ngoài giờ của đoàn kiểm tra …); Hội nghị UBKT Thành uỷ về nhiệm vụ chuyên môn, hội nghị sơ kết, tổng kết năm.</t>
  </si>
  <si>
    <t>Chi phục vụ công tác tiếp Đảng viên và công dân</t>
  </si>
  <si>
    <t>Sửa chữa, bảo dưỡng tài sản; sửa chữa nhỏ trụ sở làm việc và mua sắm trang thiết bị</t>
  </si>
  <si>
    <t>nhiệm vụ mới giảm 15 tr đã bố trí cho Cơ quan TCNV</t>
  </si>
  <si>
    <t>05 máy vi tính, 01 tivi</t>
  </si>
  <si>
    <t>Sửa chữa trụ sở làm việc của UBND thành phố</t>
  </si>
  <si>
    <t>Nhà phía Tây: 657 tr; Hội trường: 583 tr</t>
  </si>
  <si>
    <t>Trang bị 01 máy scan và 01 máy in</t>
  </si>
  <si>
    <t>Lương và các khoản tính chất lương của biên chế hành chính được giao</t>
  </si>
  <si>
    <t>+ Quỹ tiền lương theo mức lương cơ sở 1,49trđ</t>
  </si>
  <si>
    <t>06 biên chế</t>
  </si>
  <si>
    <t xml:space="preserve"> Chi các cuộc hội nghị: sơ kết, tổng, kết tập huấn chuyên môn... và khen thưởng của ngành (bao gồm khen thưởng KDC tiêu biểu, xuất sắc).</t>
  </si>
  <si>
    <t>Lê Trung  Nghĩa chuyển về Thành ủy</t>
  </si>
  <si>
    <t>Không trừ 10 tiết kiệm chi</t>
  </si>
  <si>
    <t>Bố trí 70% tổng mức 1,13 tỷ đồng</t>
  </si>
  <si>
    <t>+Thăm các tổ chức tôn giáo, chức sắc tôn giáo, cán bộ cốt cán</t>
  </si>
  <si>
    <t>107 cơ sở tôn giáo và 976 cán bộ cốt cán</t>
  </si>
  <si>
    <t>+Tiếp khách</t>
  </si>
  <si>
    <t>+Hoạt động quản lý quỹ Vì người nghèo theo Quyết định số 198/QĐ-UBMTTQ Trung ương</t>
  </si>
  <si>
    <t>+Chi tổ chức các  hoạt động kỷ niệm 93 năm ngày thành lập MTDTTN Việt Nam và ngày DĐK dân tộc tại KDC</t>
  </si>
  <si>
    <t>Lắp đặt hệ thống camera</t>
  </si>
  <si>
    <t>Chi chế độ tiếp công dân, xử lý đơn</t>
  </si>
  <si>
    <t>Tổ chức Đại hội UBMTTQVN cấp thành phố nhiệm kỳ 2024 - 2029</t>
  </si>
  <si>
    <t>Mua sắm 01 máy vi tính và 01 máy điều hòa</t>
  </si>
  <si>
    <t>Tổ chức Xuân Tình nghĩa - Tết yêu thương</t>
  </si>
  <si>
    <t>đồng thời kêu gọi XHH</t>
  </si>
  <si>
    <t>Tổ chức tập huấn kỹ năng công tác thanh niên 2024</t>
  </si>
  <si>
    <t>Tỏ chức các hoạt động chào mừng Đại hội Đoàn TNCS HCM</t>
  </si>
  <si>
    <t>Tổ chức Hoạt động Hè 2024</t>
  </si>
  <si>
    <t>Tổ chức Đại hội Đoàn TNCS HCM</t>
  </si>
  <si>
    <t>Hỗ trợ kinh phí tổ chức Đại hội Hội LHTN Việt Nam thành phố Quảng Ngãi lần thứ VI, nhiệm kỳ 2024-2029 và các hoạt động chào mừng</t>
  </si>
  <si>
    <t>Xử lý chống thấm phòng họp; sửa chữa lắp đặt vách kính và khu vệ sinh</t>
  </si>
  <si>
    <t>Tổ chức hoạt động liên quan đến chiến sĩ tình nguyện vì văn minh đô thị và xây dựng nông thôn mới</t>
  </si>
  <si>
    <t>+ Quỹ tiền lương theo mức 1,49trđ</t>
  </si>
  <si>
    <t>+ Tập luyện và tham gia các hội thi do hội LHPN Tỉnh tổ chức</t>
  </si>
  <si>
    <t>Trang bị 01 máy in, 01 máy Scan</t>
  </si>
  <si>
    <t>Tổ chức hội thi ứng dụng Công nghệ thông tin</t>
  </si>
  <si>
    <t>Phối hợp tuyên truyền công tác phát triển kinh tế xã hội thành phố</t>
  </si>
  <si>
    <t>Tăng hơn năm 2021 20 triệu do làm cụm trưởng</t>
  </si>
  <si>
    <t>Mua sắm: 01 bộ bàn ghế, 02 tủ hồ sơ, 01 máy in, 01 máy Scan, 01 máy photo, 01 máy điều hòa</t>
  </si>
  <si>
    <t>Trang bị 02 bộ bàn ghế, phục vụ chuyên môn</t>
  </si>
  <si>
    <t>Trang bị 01 Máy Scan</t>
  </si>
  <si>
    <t>Theo mức Thành ủy thống nhất</t>
  </si>
  <si>
    <t>Kinh phí tổ chức câu lạc bộ nông dân với pháp luật theo Quyết định 81</t>
  </si>
  <si>
    <t>Kinh phí hoạt động, công tác phối hợp tuyên truyền phát triển kinh tế xã hội thành phố</t>
  </si>
  <si>
    <t>BCĐ Kinh doanh giỏi</t>
  </si>
  <si>
    <t xml:space="preserve">Tổ chức giải bóng chuyền và các Hội thi </t>
  </si>
  <si>
    <t>3 biên  chế</t>
  </si>
  <si>
    <t>Chi bộ ghép với Thành Đoàn</t>
  </si>
  <si>
    <t>Chi bộ ghép</t>
  </si>
  <si>
    <t>Kinh phí trợ cấp một lần cho các đồng chí thôi làm công tác Hội</t>
  </si>
  <si>
    <t>Tổ chức liên hoan tiếng hát Cựu chiến binh 02 cấp</t>
  </si>
  <si>
    <t>Tổ chức các hoạt động và tuyên truyền 35 năm ngày thành lập hội</t>
  </si>
  <si>
    <t xml:space="preserve">Kinh phí tổ chức cho Đoàn BCH Hội CCB TP khoá VII, nhiệm kỳ 2022-2027 giao lưu, học tập kinh nghiệm về công tác xây dựng Hội </t>
  </si>
  <si>
    <t>Chi tổ chức Đại hội lần thứ VII nhiệm kỳ 2022 - 2027 (bao gồm kinh phí khen thưởng)</t>
  </si>
  <si>
    <t>Chi an ninh (các nhiệm vụ an ninh theo NQ 28 HĐND tỉnh và Thông tư 165/TT-BTC; các nhiệm vụ hỗ trợ thêm công tác an ninh trật tự trên địa bàn và sửa chữa trụ sở làm việc Công an phường Chánh Lộ và Trương Quang Trọng theo đề án)</t>
  </si>
  <si>
    <t>Định mức tỉnh giao bao gồm 13% đặc thủ</t>
  </si>
  <si>
    <t>Hỗ trợ thêm từ ngân sách thành phố để thực hiện các nhiệm vụ được giao</t>
  </si>
  <si>
    <t>Kinh phí xuất bản tập sách lịch sử Công an thành phố Quảng Ngãi (1945 - 2015)</t>
  </si>
  <si>
    <t>Sửa chữa nhà làm việc CATP, CA các phường</t>
  </si>
  <si>
    <t>Sửa chữa trụ sở làm việc Công an các xã</t>
  </si>
  <si>
    <t>Duy tu bảo dưỡng hệ thống camera giám sát an ninh</t>
  </si>
  <si>
    <t>Mua sắm tài sản phục vụ công tác chuyên môn</t>
  </si>
  <si>
    <t>Chi tuần tra đêm bảo đảm ANTT</t>
  </si>
  <si>
    <t>Chi công tác phòng chống tội phạm</t>
  </si>
  <si>
    <t>Chi công tác phòng chống ma túy</t>
  </si>
  <si>
    <t>Chi công tác quản lý hành chính</t>
  </si>
  <si>
    <t>Chi công tác tạm giam, tạm giữ phạm nhân, thi hành án hình sự</t>
  </si>
  <si>
    <t>Chi tuần tra đặc biệt đảm bảo ANTT</t>
  </si>
  <si>
    <t>Chi đảm bảo ANTT Lễ giao nhận quân</t>
  </si>
  <si>
    <t>Chi đảm bảo ANTT thi vào lớp 10 và tốt nghiệp THPT</t>
  </si>
  <si>
    <t>Chi công tác nắm tình hình tranh thủ vận động giải quyết khiếu kiện phức tạp kéo dài, tập trung dông người trên địa bàn thành phô</t>
  </si>
  <si>
    <t>Chi đảm bảo ANTT Lễ Húy kỵ</t>
  </si>
  <si>
    <t>Chi đảm bảo ANTT các hoạt động khác</t>
  </si>
  <si>
    <t>Chi rửa phim ảnh nghiệp vụ phục vụ công tác khám nghiệm</t>
  </si>
  <si>
    <t>Chi công tác cấp căn cước công dân</t>
  </si>
  <si>
    <t>Chi công tác quản lý cư trú</t>
  </si>
  <si>
    <t>Chi cho các hoạt động phòng chống dịch Covid</t>
  </si>
  <si>
    <t>Chi hoỗ trợ câu lạc bộ hưu</t>
  </si>
  <si>
    <t>Chi hoạt động khác</t>
  </si>
  <si>
    <t>Chi Quốc phòng (bao gồm các nhiệm vụ phát sinh năm 2024 như Đại hội thi đua quyết thắng, Hội thao dân quân, kỷ niệm 80 năm ngày thành lập, thăm chiến sĩ mới, ...và các nhiệm vụ quốc phòng theo NQ 28 HĐND tỉnh và Thông tư 165/TT-BTC</t>
  </si>
  <si>
    <t>Tổ chức hội nghị tập huấn nghiệp vụ báo cáo công tác Quốc phòng</t>
  </si>
  <si>
    <t>Tổ chức lễ giao nhận quân</t>
  </si>
  <si>
    <t>Thực hiện nhiệm vụ công tác hậu cần - Kỹ thuật tại chỗ</t>
  </si>
  <si>
    <t>Chi công tác tham mưu, tác chiến, văn phòng</t>
  </si>
  <si>
    <t>Chi hoạt động công tác Đảng, Chính trị</t>
  </si>
  <si>
    <t>Chi các hoạt động đặc thù khác</t>
  </si>
  <si>
    <t>Đảm bảo trang bị huấn luyện</t>
  </si>
  <si>
    <t xml:space="preserve">Kinh phí sửa chữa trụ sở làm việc </t>
  </si>
  <si>
    <t>Bố trí khoảng 80% tổng mức 1,2tỷ</t>
  </si>
  <si>
    <t>Chi củng cố cảnh quan môi trường</t>
  </si>
  <si>
    <t>Chi vật chất, dụng cụ phục vụ công tác sĩ quan, QNCN</t>
  </si>
  <si>
    <t>Chi nhà xe ô tô, xe máy</t>
  </si>
  <si>
    <t>Kinh phí diễn tập phòng thủ 2022</t>
  </si>
  <si>
    <t xml:space="preserve">chỉ tiêu dân số </t>
  </si>
  <si>
    <t>Tiết kiệm 1% Khen thưởng</t>
  </si>
  <si>
    <t>Đồn Biên phòng Cửa khẩu Sa Kỳ (bao gồm các nhiệm vụ UBND thành phố giao và kỷ niệm 65 năm ngày Biên phòng)</t>
  </si>
  <si>
    <t>Khoản 2% chi cân đối NS</t>
  </si>
  <si>
    <t>Hỗ trợ các đơn vị và UBND các xã, phường không đảm bảo nguồn thực hiện công tác phòng chống thiên tai và tìm kiếm cứu nạn</t>
  </si>
  <si>
    <t>Giao xã, phường khi phát sinh nhu cầu</t>
  </si>
  <si>
    <t>Giao Phòng Y tế</t>
  </si>
  <si>
    <t>Chi BCĐ Phòng chống dịch bệnh Covid thành phố</t>
  </si>
  <si>
    <t>`</t>
  </si>
  <si>
    <t>Mua vật tư phòng chống dịch bệnh Gia súc, Gia cầm, Động vật thủy sản trên địa bàn thành phố</t>
  </si>
  <si>
    <t>Trung tâm Dịch vụ Nông nghiệp</t>
  </si>
  <si>
    <t>Chi phòng chống dịch bệnh gia súc gia cầm cấp xã, phường</t>
  </si>
  <si>
    <t>C Vân đưa vào chi xã</t>
  </si>
  <si>
    <t>Giao phòng Kinh tế</t>
  </si>
  <si>
    <t>B</t>
  </si>
  <si>
    <t>PHẦN KINH PHÍ THU ĐỂ LẠI CHI THEO QUY ĐỊNH</t>
  </si>
  <si>
    <t>Tài trợ quy hoạch</t>
  </si>
  <si>
    <t>Chi CC lương + Phụ cấp công vụ 25%</t>
  </si>
  <si>
    <t>Chi từ nguồn thu đóng góp XD CSHT theo quy định nhà nước</t>
  </si>
  <si>
    <t>Dự phòng chi NS xã, phường</t>
  </si>
  <si>
    <t>2% tổng chi NS</t>
  </si>
  <si>
    <t>Hỗ trợ theo Nghị quyết 12/2019/NQ-HĐND ngày 10/7/2019</t>
  </si>
  <si>
    <t>(6)=(3)-(4)+(5)</t>
  </si>
  <si>
    <t>Chi thuê mướn bảo vệ (02 người)</t>
  </si>
  <si>
    <t>1.6</t>
  </si>
  <si>
    <t>Thực hiện khi có ý kiến của Chủ tịch UBND thành phố</t>
  </si>
  <si>
    <t>Đơn vị: Văn phòng HĐND VÀ UBND thành phố</t>
  </si>
  <si>
    <t>VĂN PHÒNG HĐND VÀ UBND THÀNH PHỐ</t>
  </si>
  <si>
    <t xml:space="preserve">THƯỜNG TRỰC HĐND </t>
  </si>
  <si>
    <t>VĂN PHÒNG HĐND VÀ UBND THÀNH PHỐ (bao gồm cả lãnh đạo UBND thành phố)</t>
  </si>
  <si>
    <t>Hợp đồng theo Nghị định 111</t>
  </si>
  <si>
    <t>Hoạt động tổ công tác theo Quyết định số 1837/QĐ-UBND của UBND thành phố</t>
  </si>
  <si>
    <t>Chi quà tết và lễ 27/7 cho Đối tượng chính sách</t>
  </si>
  <si>
    <t>(7)</t>
  </si>
  <si>
    <t>Mã số: 3033352</t>
  </si>
  <si>
    <t>Hợp đồng theo Nghị định 111/2022/NĐ-CP của Chính phủ</t>
  </si>
  <si>
    <t>Tập luyện và tham gia các hội thi do hội LHPN Tỉnh tổ chức</t>
  </si>
  <si>
    <t>Chi đầu tư phát triển khác</t>
  </si>
  <si>
    <t xml:space="preserve">Phân khai trong năm </t>
  </si>
  <si>
    <t>Chi thực hiện công tác đo đạc, lập bản đồ địa chính, xây dựng cơ sỏ dữ liệu đất đai</t>
  </si>
  <si>
    <t>Thực hiện quản lý Chợ Hàng Rượu (Chi phí thuê mướn lao động; các khoản đóng góp theo quy định; chi mua sắm trang thiết bị phục vụ công tác ANTT, VSMT, PCCC, PCLB; chi hàng hóa dịch vụ như điện, nước, VPP, in ấn hóa đơn; các nhiệm vụ chi khác phục vụ công tác quản lý; ...</t>
  </si>
  <si>
    <t>Chi thuê mướn bảo vệ, lái xe</t>
  </si>
  <si>
    <t>Nhập dự toán cho UBND các xã thực hiện chi khi được Phòng Lao động - Thương binh và Xã hội thành phố ủy quyền chi trả</t>
  </si>
  <si>
    <t>THÀNH ỦY QUẢNG NGÃI</t>
  </si>
  <si>
    <t>Đơn vị: THÀNH ỦY QUẢNG NGÃI (VĂN PHÒNG THÀNH ỦY)</t>
  </si>
  <si>
    <t>Mã số: 1037503</t>
  </si>
  <si>
    <t>Đón tiếp quân nhân hoàn thành nghĩa vụ trở về, công tác giáo dục quốc phòng</t>
  </si>
  <si>
    <t>Khảo sát, tiếp nhận bàn giao hỗ trợ khen thưởng tàu thuyền làm nhiệm vụ BT-BM</t>
  </si>
  <si>
    <t>Công tác tuyển quân, quản lý quân số dự phòng</t>
  </si>
  <si>
    <t>Kinh phí thăm chiến sĩ mới</t>
  </si>
  <si>
    <t xml:space="preserve">Xây dựng chính quy, củng cố doanh trại </t>
  </si>
  <si>
    <t xml:space="preserve">Thực hiện công tác hậu cần, kĩ thuật tại chỗ, chính sách hậu phương quân đội và chính sách đối với lực lượng vũ trang </t>
  </si>
  <si>
    <t>Kinh phí ngân sách thành phố hỗ trợ thực hiện các nhiệm vụ quốc phòng trên địa bàn thành phố</t>
  </si>
  <si>
    <t>Kinh phí an ninh theo định mức dân số quy định tại Nghị quyết số 29/2021/NQ-HĐND ngày 10/12/2021 của HĐND tỉnh Quảng Ngãi thực hiện các nhiệm vụ chi theo Nghị định số 165/2016/NĐ-CP ngày 21/12/2016 và số 01/2020/NĐ-CP ngày 14/5/2020 của Chính phủ</t>
  </si>
  <si>
    <t xml:space="preserve">Thực hiện quy chế phối hợp 3 lực lượng </t>
  </si>
  <si>
    <t>Kinh phí quốc phòng theo định mức dân số quy định tại Nghị quyết số 29/2021/NQ-HĐND ngày 10/12/2021 của HĐND tỉnh Quảng Ngãi  thực hiện các nhiệm vụ chi theo Nghị định số 165/2016/NĐ-CP ngày 21/12/2016 và số 01/2020/NĐ-CP ngày 14/5/2020 của Chính phủ</t>
  </si>
  <si>
    <t>Số TT</t>
  </si>
  <si>
    <t>1.</t>
  </si>
  <si>
    <t xml:space="preserve">Hỗ trợ kinh phí hoạt động </t>
  </si>
  <si>
    <t>2.</t>
  </si>
  <si>
    <t>Thực hiện nhiệm vụ Đảng và Nhà nước giao</t>
  </si>
  <si>
    <t>Kinh phí không giao quyền tự chủ</t>
  </si>
  <si>
    <t>3.</t>
  </si>
  <si>
    <t>ĐƠN VỊ: HỘI NẠN NHÂN CHẤT ĐỘC DA CAM DIOXIN THÀNH PHỐ</t>
  </si>
  <si>
    <t>ĐƠN VỊ: HỘI KHUYẾN HỌC THÀNH PHỐ</t>
  </si>
  <si>
    <t>ĐƠN VỊ: BAN ĐẠI DIỆN HỘI NGƯỜI CAO TUỔI THÀNH PHỐ</t>
  </si>
  <si>
    <t>ĐƠN VỊ: HỘI CỰU THANH NIÊN XUNG PHONG THÀNH PHỐ</t>
  </si>
  <si>
    <t>ĐƠN VỊ: HỘI TÙ YÊU NƯỚC THÀNH PHỐ</t>
  </si>
  <si>
    <t>ĐƠN VỊ: HỘI LUẬT GIA THÀNH PHỐ</t>
  </si>
  <si>
    <t>ĐƠN VỊ: HỘI NGƯỜI MÙ THÀNH PHỐ</t>
  </si>
  <si>
    <t>ĐƠN VỊ: HỘI ĐÔNG Y THÀNH PHỐ</t>
  </si>
  <si>
    <t>ĐƠN VỊ: HỘI CỰU GIÁO CHỨC THÀNH PHỐ</t>
  </si>
  <si>
    <t>Chi tuần tra đêm đảm bảo ANTT</t>
  </si>
  <si>
    <t>Chi công tác đấu tranh buôn bán phụ nữ và trẻ em</t>
  </si>
  <si>
    <t>Chi công tác đấu tranh, phòng chống tội phạm về quản lý KT&amp;CV</t>
  </si>
  <si>
    <t>Chi công tác phục vụ Đề án 06</t>
  </si>
  <si>
    <t>Chi công tác tái hòa nhập cộng đồng</t>
  </si>
  <si>
    <t>Tổ chức hội nghị, tập huấn nghiệp vụ và triển khai các nhiệm vụ an ninh, trật tự trên địa bàn; Tuyên truyền, giáo dục phong trào quần chúng bảo vệ an ninh, trật tự, an toàn xã hội</t>
  </si>
  <si>
    <t>Tráng rọi phim ảnh nghiệp vụ</t>
  </si>
  <si>
    <t>Các nhiệm vụ khác về công tác an ninh, trật tự, an toàn xã hội theo qui định của pháp luật</t>
  </si>
  <si>
    <t>Bảo vệ bí mật nhà nước</t>
  </si>
  <si>
    <t>Hỗ trợ bổ sung một số nhiệm vụ công tác an ninh và các nhiệm vụ phát sinh trên địa bàn theo chỉ đạo của UBND thành phố</t>
  </si>
  <si>
    <t>Bảo dưỡng hệ thống camera giám sát an ninh</t>
  </si>
  <si>
    <t>Tổ chức các hoạt động ngày quốc phòng toàn dân, ngày truyền thống của lực lượng dân quân tự vệ</t>
  </si>
  <si>
    <t>Tổ chức, huấn luyện và hoạt động của lực lượng dân quân tự vệ; tổ chức và huy động lực lượng dự bị động viên thuộc nhiệm vụ được giao; Hội thao lực lượng dân quân cấp thành phố và cấp tỉnh</t>
  </si>
  <si>
    <t>Mã số: 3022652</t>
  </si>
  <si>
    <t>PHÒNG NỘI VỤ  THÀNH PHỐ</t>
  </si>
  <si>
    <t>Đơn vị: Phòng Nội vụ thành phố</t>
  </si>
  <si>
    <t>Mã số: 1081119</t>
  </si>
  <si>
    <t>Chi sự nghiệp kinh tế và sự nghiệp khác</t>
  </si>
  <si>
    <t>Kinh phí khen thưởng</t>
  </si>
  <si>
    <t>THANH TRA THÀNH PHỐ</t>
  </si>
  <si>
    <t>Đơn vị: Thanh tra thành phố</t>
  </si>
  <si>
    <t>Mã số: 1022726</t>
  </si>
  <si>
    <t>Chương: 637 - 341</t>
  </si>
  <si>
    <t>Kinh phí hoạt động chi bộ</t>
  </si>
  <si>
    <t>Bổ sung tiền lương theo NĐ73</t>
  </si>
  <si>
    <t>+ Quỹ lương tăng thêm theo Nghị định 73</t>
  </si>
  <si>
    <t>Phục vụ di tích 60tr; lập hồ sơ…120tr</t>
  </si>
  <si>
    <t>Tổ chức hội thi, cuộc thi về cải cách hành chính, chuyển đổi số; công tác tuyên truyền cải cách hành chính và tham gia các hội thi do tỉnh tổ chức…</t>
  </si>
  <si>
    <t>In và phát hành lịch và thiệp chúc mừng năm mới 2026</t>
  </si>
  <si>
    <t>Chi tổ chức cuộc thi ảnh nghệ thuật thành phố; trưng bày ảnh chào mừng Đại hội Đảng bộ thành phố lần thứ XVII,…</t>
  </si>
  <si>
    <t xml:space="preserve"> 9 đảng viên</t>
  </si>
  <si>
    <t>Bổ sung tiền lương theo NĐ 73</t>
  </si>
  <si>
    <t>DỰ TOÁN THU, CHI NGÂN SÁCH NHÀ NƯỚC NĂM 2025</t>
  </si>
  <si>
    <t>Dự toán 
năm 2025</t>
  </si>
  <si>
    <t>Tổ chức hội thi, cuộc thi về cải cách hành chính, chuyển đổi số; công tác tuyên truyền cải cách hành chính  và tham gia các hội thi do tỉnh tổ chức…</t>
  </si>
  <si>
    <t>Kinh phí  tổ chức cuộc thi ảnh nghệ thuật thành phố; trưng bày ảnh chào mừng Đại hội Đảng bộ thành phố lần thứ XVII,…</t>
  </si>
  <si>
    <t>7 biên chế</t>
  </si>
  <si>
    <t>tự chủ 10%</t>
  </si>
  <si>
    <t>Mua máy vi tính 02 cái</t>
  </si>
  <si>
    <t>Chi phục vụ các cuộc Thanh tra theo KH, Tổ xác minh, Tổ công tác, đột xuất, kinh phí cập nhật cập nhật thông tin, Vật tư văn phòng,... phục vụ thanh tra</t>
  </si>
  <si>
    <t>BẢNG TÍNH CHI TIẾT CÁC NHIỆM VỤ CHI NGÂN SÁCH DỰ KIẾN NĂM 2025</t>
  </si>
  <si>
    <t>DỰ TOÁN GIAO NĂM 2024</t>
  </si>
  <si>
    <t>DỰ KIẾN GIAO DỰ TOÁN NĂM 2025</t>
  </si>
  <si>
    <t>+ Theo mức lương cơ sở NĐ 73</t>
  </si>
  <si>
    <t>Bổ sung tiền lương NĐ 73</t>
  </si>
  <si>
    <t>Tổng KP giao 2024 theo định mức</t>
  </si>
  <si>
    <t>Chi công tác hành nghề y, dược tư nhân,..</t>
  </si>
  <si>
    <t>Mua sắm 01 máy tính và 01 máy in</t>
  </si>
  <si>
    <t>(2024 dự toán giáo 300+370 bs vì có khám lâm sàn)</t>
  </si>
  <si>
    <t xml:space="preserve"> + Quỹ tiền lương cơ sở tăng thêm theo NĐ 73</t>
  </si>
  <si>
    <t>Tổ chức Hội thi Chi Hội Cựu chiến binh cơ sở giỏi ở cấp thành phố và xã, phường</t>
  </si>
  <si>
    <t>Chi Đại hội Chi bộ</t>
  </si>
  <si>
    <t>Mua sắm 02 máy vi tính và máy in</t>
  </si>
  <si>
    <t>Chi tổ chức gặp mặt Cựu chiến binh tiêu biểu tham gia các cuộc kháng chiến chống Mỹ cứu nước</t>
  </si>
  <si>
    <t>+ Quỹ tiền lương tăng thêm theo NĐ 73</t>
  </si>
  <si>
    <t>03 biên chế (giảm 01 biên chế so với 2024)</t>
  </si>
  <si>
    <t>01 bộ bàn ghế</t>
  </si>
  <si>
    <t>Kinh phí thực hiện giám sát phản biện xã hội QĐ 217, QĐ 218</t>
  </si>
  <si>
    <t xml:space="preserve">Tổ chức thăm quan học tập kinh nghiệm </t>
  </si>
  <si>
    <t>BS KP sau khi Thành uỷ cho chủ trương</t>
  </si>
  <si>
    <t>Tổ chức và triển khai các mô hình thực hiện Chỉ thị 05 và Mô hình an ninh trật tự, dân vận khéo, môi trường,..</t>
  </si>
  <si>
    <t>Chi phục vụ các hoạt động sơ kết, tổng kết, kiểm tra, khen thưởng của Hội và các hoạt động khác được Thành uỷ và UBND thành phố giao nhiệm vụ</t>
  </si>
  <si>
    <t>Hội nghị Điển hình tiên tiến giai đoạn 2020-2025</t>
  </si>
  <si>
    <t>Hội nghị sơ kết công tác phong trào nông dân giữa nhiệm kỳ 2023-2028</t>
  </si>
  <si>
    <t>Bổ sung quỹ tiền lương theo NĐ 73</t>
  </si>
  <si>
    <t>04 biên chế (giảm 01 biên chế so với năm 2024)</t>
  </si>
  <si>
    <t>Chi tổ chức các ngày lễ lớn của hội, các hội thi, tham gia các cuộc thi do thành phố tỉnh và thành phố tổ chức, triển khai các Đề án, Hội thi trực tuyến, các họat động đặc thù của hội…</t>
  </si>
  <si>
    <t>+ Tổ chức chào mừng các ngày lễ lớn của Hội (Quốc tế Phụ nữ; Gia đình Việt Nam; 20/10), Hội thi trực tuyến,..</t>
  </si>
  <si>
    <t>Kinh phí Đại hội Chi bộ</t>
  </si>
  <si>
    <t>BS KP khi có chủ trương của Thành uỷ</t>
  </si>
  <si>
    <t>Phát sinh nhiệm vụ</t>
  </si>
  <si>
    <t>ĐV đề xuất 200tr</t>
  </si>
  <si>
    <t>Tổ chức hoạt động hè, thực hiện chiến dịch tình nguyện và tổ chức dạy các lớp học miễn phí cho thanh niên và chương trình tư vấn tuyển sinh, tiếp sức mùa thi</t>
  </si>
  <si>
    <t>Kinh phí Vui hội trăng rằm cho trẻ em và các nhiệm vụ phát sinh trong năm</t>
  </si>
  <si>
    <t>Tổ chức đêm nhạc giao lưu thường niên</t>
  </si>
  <si>
    <t>Tổ chức các Hội thi theo Kế hoạch của Thành Đoàn, Hội LHTN Việt Nam, Hội Đồng đội TP và tham gia các Hội thi do tỉnh tổ chức, các ngày lễ lớn trong năm.</t>
  </si>
  <si>
    <t>đ/x của đơn vị</t>
  </si>
  <si>
    <t>Phụ thuộc chủ trương tỉnh phê duyệt</t>
  </si>
  <si>
    <t>Năm 2024 dự kiến bố trí 1-1,5 tỷ và 2025: 0,5 tỷ</t>
  </si>
  <si>
    <t>Kinh phí TTB màn hình ti vi</t>
  </si>
  <si>
    <t>Kinh phí chỉnh lý tài liệu</t>
  </si>
  <si>
    <t>đv đx 1,4 tỷ</t>
  </si>
  <si>
    <t>Kinh phí thực hiện số hoá bản đồ, hồ sơ, tạo lập cơ sở dữ liệu hà tầng đô thị, quy hoạch đô thị trên ĐB TP trên nền bản đồ số.</t>
  </si>
  <si>
    <t>đv đ/x 1 tỷ</t>
  </si>
  <si>
    <t>Kinh phí lập hồ sơ các tuyến đường trên địa bàn thành phố</t>
  </si>
  <si>
    <t xml:space="preserve">- </t>
  </si>
  <si>
    <t>Kinh phí tổ chức Đại hội Chi bộ</t>
  </si>
  <si>
    <t>14 biên chế (giảm 01 biên chế so với năm 2024)</t>
  </si>
  <si>
    <t>đv đx 150tr</t>
  </si>
  <si>
    <t>dự kiến</t>
  </si>
  <si>
    <t>Bổ sung tiền lương theo Nghị định 73</t>
  </si>
  <si>
    <t>+ Quỹ lương theo mức CL Nghị định 73</t>
  </si>
  <si>
    <t>Thanh toán tiền điện, nước, tiền điện thoại trụ sở làm việc các Hội theo hóa đơn thực tế</t>
  </si>
  <si>
    <t>Tổ chức tuyên truyền, sơ kết, tổng kết, tài liệu và các nhiệm vụ khác được UBND thành phố giao</t>
  </si>
  <si>
    <t>phát sinh nv tuyên truyền, tổng kết,..</t>
  </si>
  <si>
    <t>Hội nghị Điển hình tiên tiến</t>
  </si>
  <si>
    <t xml:space="preserve"> Chi các cuộc hội nghị: sơ kết, tổng, kết, tập huấn chuyên môn... </t>
  </si>
  <si>
    <t>Kinh phí thực hiện đề án 02-212 và tuyên truyền kế hoạch phát triển kinh tế xã hội; KP phối hợp thực hiện nhiệm vụ phát triển kinh tế xã hội, giải quyết những vấn đề bức xúc của nhân dân trên địa bàn thành phố theo QĐ 1856-QĐ/TU ngày 20/10/2011 của Tỉnh ủy Quảng Ngãi</t>
  </si>
  <si>
    <t>Gộp nội dung đề án 02-212</t>
  </si>
  <si>
    <t>03 máy điều hoà</t>
  </si>
  <si>
    <t>đơn vị đề xuất 40tr</t>
  </si>
  <si>
    <t>đơn vị đề xuất 760tr</t>
  </si>
  <si>
    <t>đơn vị đề xuất 53tr</t>
  </si>
  <si>
    <t>đơn vị đề xuất 219tr</t>
  </si>
  <si>
    <t>Chi mua sắm 04 bộ bàn ghế, 02 cái kệ</t>
  </si>
  <si>
    <t>Chi đại hội Chi bộ</t>
  </si>
  <si>
    <t>Chi các khoản liên quan đến công tác chứng thực, hộ tịch và các nhiệm vụ phát sinh UBND thành giao</t>
  </si>
  <si>
    <t>Mua kệ, tủ tài liệu, mua sắm trang thiết bị; sửa chữa thiết bị phục vụ công tác chuyên môn, đặc thù của ngành</t>
  </si>
  <si>
    <t>Chi đại hội chi bộ</t>
  </si>
  <si>
    <t>Kinh phí đại hội Chi bộ</t>
  </si>
  <si>
    <t>Chi bộ ghép Ban Dân vận</t>
  </si>
  <si>
    <t>Tổ chức Hội nghị sơ kết, tổng kết của tổ chức Đoàn TNCS Hồ Chí Minh, Hội LHTN Việt Nam, Đội TNTP Hồ Chí Minh trong năm và tập huấn kỹ năng công tác thanh niên</t>
  </si>
  <si>
    <t>BS các hội thi trực tuyến</t>
  </si>
  <si>
    <t>Tổ chức Đại hội Chi  bộ</t>
  </si>
  <si>
    <t>Chi sơ kết, tổng kết công tác kiểm tra, giám sát công tác Hội, khen thưởng và các nhiệm vụ phát sinh trong năm.</t>
  </si>
  <si>
    <t>Mua sắm 01 máy điều hoà, 01 máy in</t>
  </si>
  <si>
    <t>2025 xin: 01 máy in+01 điều hoà</t>
  </si>
  <si>
    <t>có pc cấp uỷ</t>
  </si>
  <si>
    <t>Tổ chức Đại hội Chi bộ</t>
  </si>
  <si>
    <t>đã có cấp uỷ</t>
  </si>
  <si>
    <r>
      <t xml:space="preserve">Tham dự cuộc thi sân khấu </t>
    </r>
    <r>
      <rPr>
        <i/>
        <sz val="12"/>
        <rFont val="Times New Roman"/>
        <family val="1"/>
      </rPr>
      <t>"Báo cáo viên pháp luật, tuyên truyền viên pháp luật giỏi về phòng chống tham nhũng"</t>
    </r>
  </si>
  <si>
    <t>Chi tổ chức Đại hội Chi bộ</t>
  </si>
  <si>
    <r>
      <t xml:space="preserve"> =&gt; </t>
    </r>
    <r>
      <rPr>
        <b/>
        <sz val="12"/>
        <rFont val="Times New Roman"/>
        <family val="1"/>
      </rPr>
      <t>KP đào tạo 1.089 triệu đồng</t>
    </r>
  </si>
  <si>
    <t>Thanh toán tiền điện, nước, điện thoại,.. trụ sở làm việc các Hội theo hóa đơn thực tế</t>
  </si>
  <si>
    <t>DỰ TOÁN CHI NGÂN SÁCH NHÀ NƯỚC NĂM 2025</t>
  </si>
  <si>
    <t>Dự toán năm 2025</t>
  </si>
  <si>
    <t>Mã số: 1081616</t>
  </si>
  <si>
    <t>Chi sự nghiệp Kinh tế</t>
  </si>
  <si>
    <t>Kinh phí thực hiện các nhiệm vụ UBND thành phố giao liên quan đến công tác dịch vụ công ích đô thị năm 2026</t>
  </si>
  <si>
    <t>Kinh phí thực hiện trang trí, tạo điểm nhấn tại một số điểm trên địa bàn thành phố nhân dịp tết Nguyên đán năm 2026</t>
  </si>
  <si>
    <t>Đơn vị: BQL DA ĐTXD&amp;PTQĐ TP</t>
  </si>
  <si>
    <t xml:space="preserve">Chương: 799 </t>
  </si>
  <si>
    <t>BQL DỰ ÁN ĐẦU TƯ XÂY DỰNG VÀ PHÁT TRIỂN QUỸ ĐẤT THÀNH PHỐ</t>
  </si>
  <si>
    <t>Số biên chế được giao 12, hiện có 12</t>
  </si>
  <si>
    <t>KP thực hiện theo chuyên môn kỹ thuật lĩnh vực nông, lâm, ngư, thuỷ sản,.. trên địa bàn</t>
  </si>
  <si>
    <t>Sũa chữa, chống thấm nhà làm việc</t>
  </si>
  <si>
    <t>đv đề xuất 100tr</t>
  </si>
  <si>
    <t>Nguồn thu sự nghiệp 190 trđ tương ứng 10% chi thường xuyên tự chủ</t>
  </si>
  <si>
    <t>Tính số biên chế hiện có bao gồm nâng lương thường xuyên 2025</t>
  </si>
  <si>
    <t>Kinh phí thực hiện điều tra, dự báo tình hình dịch bệnh cây trồng và động vật để đề xuất biện pháp phòng chống dịch bệnh</t>
  </si>
  <si>
    <t>Đề xuất giao nhiệm vụ, đặt hàng 440tr</t>
  </si>
  <si>
    <t>17 biên chế gồm 15 hiện có nhưng giao đủ</t>
  </si>
  <si>
    <t>Nguồn thu phí lệ phí 350trđ gồm: 200 trđ cấp giấy và 150trđ phí thẩm định tài nguyên)</t>
  </si>
  <si>
    <t>Chi tương ứng với nguồn thu phí lệ phí trong năm 2025</t>
  </si>
  <si>
    <t>Kinh phí lập kế hoạch và điều chỉnh kế hoạch sử dụng đất năm 2025</t>
  </si>
  <si>
    <t>Kinh phí lập kế hoạch sử dụng đất năm 2026</t>
  </si>
  <si>
    <t>Kinh phí kiểm kê 2021-2025</t>
  </si>
  <si>
    <t>Kinh phí tư vấn thẩm định giá</t>
  </si>
  <si>
    <t>Kinh phí lập điều chỉnh quy hoạch</t>
  </si>
  <si>
    <t>Kinh phí công tác mua phôi,.. phục vụ công tác cấp Giấy chứng nhận QSD đất  và cấp giấy chứng nhận QSD đất lần đầu</t>
  </si>
  <si>
    <t>Kinh phí tổ chức Đại hội</t>
  </si>
  <si>
    <t>(có phụ cấp cấp uỷ)</t>
  </si>
  <si>
    <t>KP thực hiện cải cách hành chính và kiểm tra công tác cán bộ, CCHC, KL, KCHC</t>
  </si>
  <si>
    <t>Kinh phí đào tạo, bồi dưỡng</t>
  </si>
  <si>
    <t>Kinh phí HN điển hình tiên tiến</t>
  </si>
  <si>
    <t>Kinh phí chi công tác QLNN và một số nhiệm vụ phát sinh trong năm UBND TP giao</t>
  </si>
  <si>
    <t>Kinh phí cặp đựng hồ sơ cán bộ, công chức, viên chức</t>
  </si>
  <si>
    <t>Kinh phí thi tuyển giáo viên, công chức cấp xã</t>
  </si>
  <si>
    <t>Mua sắm 04 máy vi tính</t>
  </si>
  <si>
    <t>Chi sự nghiệp đào tạo</t>
  </si>
  <si>
    <t>Hộp đựng hồ sơ lưu trữ tài liệu cán bộ, công chức, viên chức</t>
  </si>
  <si>
    <t xml:space="preserve"> giao Nội vụ thành phố</t>
  </si>
  <si>
    <t>Khen thưởng 5 tỷ và đào tạo 2,089 (ở phần khen thưởng  và giáo dụcTP)</t>
  </si>
  <si>
    <t>ps</t>
  </si>
  <si>
    <t>2024 giao 20</t>
  </si>
  <si>
    <t>Hợp đồng theo NĐ 111</t>
  </si>
  <si>
    <t>Hoạt động thống kê văn bản, chỉ đạo điều hành và hoạt động thủ tục hành chính</t>
  </si>
  <si>
    <t>phân bổ sau khi tỉnh phân cấp</t>
  </si>
  <si>
    <t>Sửa chữa, bảo dưỡng tài sản, mua sắm trang thiết bị và thuê mướn thực hiện các nhiệm vụ UBND thành phố giao + sữa chữa sân nền, hệ thống thoát nước</t>
  </si>
  <si>
    <t>Lắp đặt hệ thống phòng cháy, chữa cháy</t>
  </si>
  <si>
    <t>Phần mềm phản ảnh kiến nghị và phần mềm phục vụ QLNN</t>
  </si>
  <si>
    <t>20 biên chế</t>
  </si>
  <si>
    <t>Chi hoạt động Chi bộ</t>
  </si>
  <si>
    <t>Kinh phí bổ sung thực hiện theo NĐ 73</t>
  </si>
  <si>
    <t>Kinh phí phục vụ đảm bảo trật tự đô thị và an toàn giao thông trên địa bàn thành phố và chi hỗ trợ lực lượng xử phạt theo Thông tư 18/2023/TT-BTC</t>
  </si>
  <si>
    <t>Gộp kp trật tư đô thị</t>
  </si>
  <si>
    <t>ps tuyên truyền</t>
  </si>
  <si>
    <t>Mua sắm hệ thống điện, hệ thống đèn Led, sửa nd pano dọc biển,…</t>
  </si>
  <si>
    <t>đv đề xuất trong 450tr (đã phân bổ 250tr)</t>
  </si>
  <si>
    <t>Sửa chữa hệ thống tắm nước ngọt</t>
  </si>
  <si>
    <t>Mua nhà vệ sinh 03 buồng</t>
  </si>
  <si>
    <t>Mua mô tô nước phục vụ cứu nạn</t>
  </si>
  <si>
    <t>Mua máy sàn bát bãi biển và kéo nông nghiệp pv sàn cát</t>
  </si>
  <si>
    <t>Phụ vụ kinh phí kinh tế đêm</t>
  </si>
  <si>
    <t>Sửa chữa nhỏ nhà làm việc</t>
  </si>
  <si>
    <t>đv đề xuất 303tr</t>
  </si>
  <si>
    <t>đv đề xuất 210tr</t>
  </si>
  <si>
    <t>đv đề xuất 834tr</t>
  </si>
  <si>
    <t>đv đề xuất 934tr</t>
  </si>
  <si>
    <t>đv đề xuất 220tr</t>
  </si>
  <si>
    <t>Trang trí,tạo điểm nhấn tại một số địa điểm trên địa bàn thành phố nhân dịp Tết Nguyên đán - Xuân Ất Tỵ năm 2026</t>
  </si>
  <si>
    <t xml:space="preserve">Thực hiện các nhiệm vụ UBND thành phố giao liên quan đến công tác dịch vụ công ích công ích đô thị năm 2026; </t>
  </si>
  <si>
    <t>BS KP các xã, phường và đơn vị</t>
  </si>
  <si>
    <t>năm 2025 tỉnh ko bố trí</t>
  </si>
  <si>
    <t>2025: 3 MÁY TÍNH, 03 MÁY IN, 03 MÁY ĐIỀU HOÀ</t>
  </si>
  <si>
    <t xml:space="preserve">Giao Phòng Kinh tế </t>
  </si>
  <si>
    <t>Chi tương ứng với nguồn thu phí, lệ phí: 50tr</t>
  </si>
  <si>
    <t>Thu phí lệ phí 60trđ_ 1.761.808.000+4956000000 (kp sự nghiệp kinh tế, ocop, bão, dịch bệnh</t>
  </si>
  <si>
    <t xml:space="preserve"> đã giao Phòng Nội vụ (xã 690tr)</t>
  </si>
  <si>
    <t>2.17</t>
  </si>
  <si>
    <t>Kinh phí phục vụ công tác đấu giá nhà công sản trên địa bàn thành phố</t>
  </si>
  <si>
    <t>Kinh phí thực hiện nhiệm vụ chung do UBND thành phố giao phát sinh trong năm và thuê đơn vị kiểm toán độc lập theo quy định của pháp luật kiểm toán các báo cáo quyết toán của các dự án, chương trình mục tiêu có quy mô lớn theo Khoản 2 Điều 6 Thông tư số 137/TT-BTC</t>
  </si>
  <si>
    <t>+ Quỹ tiền lương tăng thêm theo mức lương cơ sở NĐ 73</t>
  </si>
  <si>
    <t>04 Hợp đồng theo biên chế đc Thành ủy giao</t>
  </si>
  <si>
    <t>Chi kiểm soát giết mổ; cấp phép kinh doanh Rượu, ga, thuốc lá; An toàn thực phẩm,…</t>
  </si>
  <si>
    <t>Chi tổ chức Đại hội Chi bộ (5 chi bộ)</t>
  </si>
  <si>
    <t>KP PCCC, PCLB, DQTV</t>
  </si>
  <si>
    <t>Chi tổ chức Đại hội Đảng bộ thành phố</t>
  </si>
  <si>
    <t>ĐH Đảng bộ: 4,454 tr- 550tr đã giao 2024</t>
  </si>
  <si>
    <t>Dân vận</t>
  </si>
  <si>
    <t>dân vận</t>
  </si>
  <si>
    <t>Tuyên giáo</t>
  </si>
  <si>
    <t>Phần mềm sổ tay đang viên điện tử (tăng số lượng tin bài và nội dung theo chỉ đạo của Thành ủy)</t>
  </si>
  <si>
    <t>In ấn và thẩm định tập sách lịch sử Đảng bộ thành phố Quảng Ngãi giai đoạn 1930 - 2020 theo Kế hoạch số 99-KH/TU ngày 05/12/2018 của BTV Thành ủy</t>
  </si>
  <si>
    <t>BTC</t>
  </si>
  <si>
    <t>UBKT</t>
  </si>
  <si>
    <t>ĐV đề xuất 2 máy photo, 15 mây tính, 12 máy in, 14 kệ tài liệu</t>
  </si>
  <si>
    <t>đơn vị đề xuất 400tr mua sắm, sc nhà làm việc, mua bình nóng lạnh,…</t>
  </si>
  <si>
    <t>2025 tăng lương tối thiểu (3 ĐH)</t>
  </si>
  <si>
    <t>Hỗ trợ kinh phí Đại hội</t>
  </si>
  <si>
    <t xml:space="preserve"> Kinh phí tổ chức Đại hội</t>
  </si>
  <si>
    <t>Văn phòng Thành uỷ (Ban Thường vụ)</t>
  </si>
  <si>
    <t>Ban Tổ chức</t>
  </si>
  <si>
    <t>Ban Dân vận</t>
  </si>
  <si>
    <t>Uỷ ban kiểm tra</t>
  </si>
  <si>
    <t>2025 ko tính tkc</t>
  </si>
  <si>
    <t>Đơn vị đề xuất 119tr</t>
  </si>
  <si>
    <t xml:space="preserve">3,500 hồ sơ là 231tr </t>
  </si>
  <si>
    <t>Chi tập huấn, tuyên tuyền,... chính sách bảo trợ hàng năm và chi thù lao hoà giải viên lao động</t>
  </si>
  <si>
    <t>Chi cho công tác rà soát, thẩm định hồ sơ,.. chính sách bảo trợ hàng năm</t>
  </si>
  <si>
    <t>Trong cân đối: 112,754 tỷ đồng; mục tiêu 5,510 tỷ đồng</t>
  </si>
  <si>
    <t>Tỉnh bổ sung mục tiêu 210tr , cân đối 683tr</t>
  </si>
  <si>
    <t>Kinh phí thực hiện chính sách khuyến khích sử dụng hình thúc hoả táng theo NQ số 29/2024/NQ-HĐND tỉnh</t>
  </si>
  <si>
    <t>Lãnh đạo thành phố đi thằm và tặng quà cho các giá đình chính sách có công khó khăn trong cuộc sống và bà mẹ VNAH còn sống nhân dịp 27/7 và dịp tết</t>
  </si>
  <si>
    <t>Mua bảo hiểm cháy nổ cho Công trình chợ Quảng Ngãi và công trình Chợ Tươi sống</t>
  </si>
  <si>
    <t xml:space="preserve">Trong đó: Chợ Hàng Rượu ; Chợ Quảng Ngãi Chợ Đầu mối nông sản </t>
  </si>
  <si>
    <t>Hoàn trả chi phí quản lý do tăng lương tối thiểu</t>
  </si>
  <si>
    <t>Hoàn trả chi phí quản lý hàng năm theo PA</t>
  </si>
  <si>
    <t>KTC giảm 363,8 tr nhưng tăng hoàn trả 700tr= tổng tăng so với 2024 là 336,2 tr</t>
  </si>
  <si>
    <t>Tinh cấp (cđ+ muc): 17,384tr= 10,080 nq 12-5,077,.. TP: 1,582</t>
  </si>
  <si>
    <t>bố trí 13% đặc thù</t>
  </si>
  <si>
    <t xml:space="preserve"> 300tr ko kỷ niệm 80 năm TL ngày quân đội + đại hội đảng bộ cơ sở: 43,140tr</t>
  </si>
  <si>
    <t>tăng 32tr</t>
  </si>
  <si>
    <t>Tỉnh cấp cđ+ mt 8,195tr- xã: 6,733,562=1,461,438: Thực hiện như năm 2024, bổ sung thêm phát sinh trong năm các nhiệm vụ thực hiện như: Đại hội Chi bộ, không có Hội Thao lực lượng dân quân, không có kỷ niệm 80 năm ngày thành lập</t>
  </si>
  <si>
    <t>Chi đầu tư phát triển khác (trong đó: Nguồn vốn ủy thác sang ngân hàng chính sách xã hội tỉnh để cho vay giải quyết việc làm 5 tỷ đồng; thực hiện công tác đo đạc, lập bản đồ địa chính, xây dựng cơ sỏ dữ liệu đất đai 8 tỷ đồng; Bổ sung vốn điều lệ quỹ hỗ trợ nông dân 550 trđ)</t>
  </si>
  <si>
    <t>Theo quy định tại điểm đ, khoản 2, Điều 19 Thông tư số 51/2023/TT-BTC ngày 17/7/2023 của Bộ Tài chính Hướng dẫn xây dựng dự toán NSNN năm 2024, kế hoạch tài chính NSNN 3 năm 2024 - 2026 (nguồn thu tiền sdd tỉnh giao 155,3 NQ 28/2022 HDND tỉnh trích tối thiểu 5% nguồn thu để chi đo đạc- vốn tín dụng cv 2934)</t>
  </si>
  <si>
    <t>Tỉnh bổ sung trong cân đối</t>
  </si>
  <si>
    <t>Bố trí chi đầu tư phát triển khác: 5 tỷ</t>
  </si>
  <si>
    <t>Bố trí chi đầu tư phát triển khác: 550tr</t>
  </si>
  <si>
    <t>Chi tôn giáo, QLNN về thanh niên và công tác tổ chức, quản lý cán bộ, công chức, viên chức, cán bộ, công chức cấp xã; TCPCP và tập huấn</t>
  </si>
  <si>
    <t>Quỹ lương theo NĐ 73</t>
  </si>
  <si>
    <t>giao 06  biên chế</t>
  </si>
  <si>
    <t>giao 4 biên chế: nhưng 03 có mặt, 1 chưa có</t>
  </si>
  <si>
    <t>7 biên chế được giao</t>
  </si>
  <si>
    <t>tỉnh giao 3,195 trong đó tp 1,377+600 đ hội</t>
  </si>
  <si>
    <t>Kinh phí phối hợp với Liên đoàn Điền kinh tổ chức giải việt dã Bước chạy vào xuân thành phố Quảng Ngãi năm 2025</t>
  </si>
  <si>
    <t>Đơn vị đề xuất 100tr</t>
  </si>
  <si>
    <t>Kinh phí tham gia Đại hội TDTT cấp thành phố và cấp tỉnh</t>
  </si>
  <si>
    <t>Bồi dưỡng, tập huấn chuyên môn,….</t>
  </si>
  <si>
    <t>Đơn vị đề xuất 100tr đồng_ ko bố trí vì đã giao Nội vụ</t>
  </si>
  <si>
    <t>Tổ chức Giải Futsal các CLB để Chào mừng ĐH Đảng các cấp</t>
  </si>
  <si>
    <t>HỎI LẠI</t>
  </si>
  <si>
    <t>Đơn vị đề xuất 158tr</t>
  </si>
  <si>
    <t>thêm sửa chữa, hoạt động, bảo hộ</t>
  </si>
  <si>
    <t>Chi sửa chữa, mua sắm các thiết bị ngành của Đài và trang bị lắp đặt hệ thống phát thanh thông minh trong TP</t>
  </si>
  <si>
    <t>Đơn vị đề xuất 262tr, tổng hợp kênh mua sắm</t>
  </si>
  <si>
    <t>Sửa chữa, cải tạo Nhà làm việc</t>
  </si>
  <si>
    <t>Đơn vị đề xuất 2,500tr, tổng hợp kênh sửa chữa</t>
  </si>
  <si>
    <t>Tuyên truyền Đại hội Đảng các cấp</t>
  </si>
  <si>
    <t>NV phát sinh_Đơn vị đề xuất 50tr</t>
  </si>
  <si>
    <t>Đơn vị đề xuất 4,650 tỷ đồng, tdo mua sắm, sửa chữa 3,112 tỷ đồng</t>
  </si>
  <si>
    <t>Thực hiện khi được Chủ tịch UBND thành phố phê duyệt (dự kiến giao 500tr nhưng bs 180,4tr khớp số tổng tỉnh giao)</t>
  </si>
  <si>
    <t>Tỉnh giao cân đối 2,035 tỷ đồng-1, 871=164 tr (đx pbo mua sắm hoặc nv psinh)</t>
  </si>
  <si>
    <t>Chủ trì, phối hợp tổ chức và tham gia các hoạt động văn hoá văn nghệ kỷ niệm các ngày lễ lớn trong năm, các hoạt động văn hóa văn nghệ trên địa bàn thành phố, tham gia các hoạt động văn hóa văn nghệ do tỉnh tổ chức và các nhiệm vụ khác UBND thành phố giao</t>
  </si>
  <si>
    <t>Đơn vị đề xuất 904tr (bs các nhiệm vụ khác)</t>
  </si>
  <si>
    <t>KH 218 TP: Tổ chức 4,623 tỷ đồng, tr đó: truyền hình trực tiếp 100tr</t>
  </si>
  <si>
    <t>Chương trình văn nghệ khai mạc và văn nghệ Chào mừng Đại hội Đại biểu Đảng bộ thành phố</t>
  </si>
  <si>
    <t>Đơn vị đề xuất 600tr</t>
  </si>
  <si>
    <t>Đơn vị đề xuất 310tr</t>
  </si>
  <si>
    <t>Trang bị 01 bộ âm thanh phục vụ hoạt động tang, lễ, viếng nghĩa trang, phục vụ cướng chế,…</t>
  </si>
  <si>
    <t>Đơn vị đề xuất 30tr</t>
  </si>
  <si>
    <t>Thuê mướn hợp đồng lái xe tuyên truyền</t>
  </si>
  <si>
    <t>Đơn vị đề xuất 48tr</t>
  </si>
  <si>
    <t>Mua bảo hiểm, xăng, dầu, nhớt, bảo dưỡng xe,…</t>
  </si>
  <si>
    <t>Đơn vị đề xuất 152tr (72tr cho 2 bảo vệ+80tr thư viện)</t>
  </si>
  <si>
    <t>Cuộc thi sáng tác biểu trưng (logo) TP Quảng Ngãi</t>
  </si>
  <si>
    <t>Đơn vị đề xuất 800tr (cân nguồn bs năm 2024 và giao dự toán 2025: 200tr</t>
  </si>
  <si>
    <t>Biểu mẫu số 07</t>
  </si>
  <si>
    <t>DỰ TOÁN THU, CHI NGÂN SÁCH ĐỊA PHƯƠNG VÀ SỐ BỔ SUNG CÂN ĐỐI TỪ NGÂN SÁCH CẤP TRÊN NGÂN SÁCH XÃ, PHƯỜNG NĂM 2025</t>
  </si>
  <si>
    <t>(Kèm theo Quyết định số         /QĐ-UBND ngày 22/12/2024 của UBND thành phố Quảng Ngãi)</t>
  </si>
  <si>
    <t>ĐVT: 1.000 đồng</t>
  </si>
  <si>
    <t>Tên đơn vị</t>
  </si>
  <si>
    <t>Tổng thu NSNN 
trên địa bàn</t>
  </si>
  <si>
    <t>Thu ngân sách xã
 hưởng theo phân cấp</t>
  </si>
  <si>
    <t>Chia ra</t>
  </si>
  <si>
    <t>Số bổ sung cân đối từ ngân sách cấp TP</t>
  </si>
  <si>
    <t>Số bổ sung thực hiện cải cách tiền lương</t>
  </si>
  <si>
    <t>Số bổ sung mục tiêu từ ngân sách cấp trên</t>
  </si>
  <si>
    <t>Tổng chi cân đối ngân sách xã</t>
  </si>
  <si>
    <t>Thu ngân sách 
xã hưởng 100%</t>
  </si>
  <si>
    <t>Thu phân chia</t>
  </si>
  <si>
    <t>Tổng số</t>
  </si>
  <si>
    <t>Thu ngân sách xã hưởng từ các khoản thu phân chia</t>
  </si>
  <si>
    <t>2=3+5</t>
  </si>
  <si>
    <t>9=2+6+7+8</t>
  </si>
  <si>
    <t>Phường Nguyễn Nghiêm</t>
  </si>
  <si>
    <t>Phường Lê H. Phong</t>
  </si>
  <si>
    <t>Phường Quảng Phú</t>
  </si>
  <si>
    <t>Phường Nghĩa Lộ</t>
  </si>
  <si>
    <t>Phường Trần H. Đạo</t>
  </si>
  <si>
    <t>Phường Chánh Lộ</t>
  </si>
  <si>
    <t>Phường Nghĩa Chánh</t>
  </si>
  <si>
    <t>Phường Trần Phú</t>
  </si>
  <si>
    <t>Phường T.Q Trọng</t>
  </si>
  <si>
    <t>Xã Nghĩa Dõng</t>
  </si>
  <si>
    <t>Xã Nghĩa Dũng</t>
  </si>
  <si>
    <t>Xã Tịnh Ấn Tây</t>
  </si>
  <si>
    <t>Xã Tịnh Ấn Đông</t>
  </si>
  <si>
    <t>Xã Tịnh An</t>
  </si>
  <si>
    <t>Xã Tịnh Châu</t>
  </si>
  <si>
    <t>Xã Tịnh Long</t>
  </si>
  <si>
    <t>Xã Tịnh Thiện</t>
  </si>
  <si>
    <t>Xã Tịnh Khê</t>
  </si>
  <si>
    <t>Xã Tịnh Hòa</t>
  </si>
  <si>
    <t>Xã Tịnh Kỳ</t>
  </si>
  <si>
    <t>Xã Nghĩa Phú</t>
  </si>
  <si>
    <t>Xã Nghĩa Hà</t>
  </si>
  <si>
    <t>Xã Nghĩa An</t>
  </si>
  <si>
    <t xml:space="preserve">                              Biểu số 11</t>
  </si>
  <si>
    <t xml:space="preserve"> BỔ SUNG TỪ NGÂN SÁCH CẤP THÀNH PHỐ CHO NGÂN SÁCH TỪNG XÃ, PHƯỜNG NĂM 2025</t>
  </si>
  <si>
    <t>(Kèm theo Quyết định số ….../QĐ-UBND ngày 22/12/2024 của UBND thành phố Quảng Ngãi)</t>
  </si>
  <si>
    <t>ĐVT:1.000 đồng</t>
  </si>
  <si>
    <t>S
T
T</t>
  </si>
  <si>
    <t>UBND Xã -phường</t>
  </si>
  <si>
    <t xml:space="preserve">Tổng thu
NSNN
trên địa bàn
</t>
  </si>
  <si>
    <t>Thu NS
Xã -ph
được hưởng
theo
phân cấp</t>
  </si>
  <si>
    <t>Chi đầu tư XDCSHT</t>
  </si>
  <si>
    <t>Chi cân đối
NS</t>
  </si>
  <si>
    <t>Trong đó:</t>
  </si>
  <si>
    <t>Đã trừ tiết kiệm chi 10% để cải cách tiền lương</t>
  </si>
  <si>
    <t>Số bổ sung từ NS cấp tỉnh, thành phố
cho NS Xã -phường</t>
  </si>
  <si>
    <t>Chi 
thường
 xuyên</t>
  </si>
  <si>
    <t>Chi khen
thưởng</t>
  </si>
  <si>
    <t>Dự phòng chi</t>
  </si>
  <si>
    <t>Tổng
số</t>
  </si>
  <si>
    <t>Bổ sung
 cân đối</t>
  </si>
  <si>
    <t>Bổ sung
có
mục tiêu</t>
  </si>
  <si>
    <t>Bổ sung
 có MT đã 
phân bổ</t>
  </si>
  <si>
    <t>Bổ sung
 có MT chưa 
phân bổ</t>
  </si>
  <si>
    <t>5=6+7+8
+9-10</t>
  </si>
  <si>
    <t>11=12+13</t>
  </si>
  <si>
    <t>12=5-4</t>
  </si>
  <si>
    <t>13= 14+15</t>
  </si>
  <si>
    <t>Phần các đơn vị và xã, phường</t>
  </si>
  <si>
    <t>Chi tạo nguồn CCTL năm 2025</t>
  </si>
  <si>
    <t>70% Tăng thu dự toán 2025 so với dự toán tỉnh giao</t>
  </si>
  <si>
    <t>Chính sách phát triển giáo dục mầm non</t>
  </si>
  <si>
    <t>NĐ 81</t>
  </si>
  <si>
    <t>Khuyết tật (Cân đối+ mục tiêu)</t>
  </si>
  <si>
    <t>Chúc thọ</t>
  </si>
  <si>
    <t>QĐ 931</t>
  </si>
  <si>
    <t>Tập huấn theo KH số 166</t>
  </si>
  <si>
    <t>mục tiêu</t>
  </si>
  <si>
    <t>Dồn điền</t>
  </si>
  <si>
    <t>Các ngày lễ lớn</t>
  </si>
  <si>
    <t xml:space="preserve">xã </t>
  </si>
  <si>
    <t>htx</t>
  </si>
  <si>
    <t>tp+ xã</t>
  </si>
  <si>
    <t>Trừ 10% tiết kiệm chi thường xuyên dự toán năm 2024</t>
  </si>
  <si>
    <t xml:space="preserve">Chi phòng chống dịch bệnh gia súc gia cầm </t>
  </si>
  <si>
    <t>50% Tăng thu dự toán 2025 so với dự toán tỉnh giao 2023</t>
  </si>
  <si>
    <t>Các nội dung khác</t>
  </si>
  <si>
    <t>Trả nợ trang trí tết năm 2026</t>
  </si>
  <si>
    <t>Tăng lương cơ sở 1,7 tỷ nhưng hỗ trợ hoàn trả 500tr</t>
  </si>
  <si>
    <t xml:space="preserve">chi hoạt động: vpp,thuê nhà, điện, trang phục, vật dụng, tập huấn… </t>
  </si>
  <si>
    <t>Sửa chữa tài sản cố định</t>
  </si>
  <si>
    <t>Sử dụng kinh phí Đào tạo của thành phố giao 4,297 tỷ, còn lại 1,409 và đtao xã 690 tỷ bố trí cho Phòng Nội vụ chi KP đào tạo thành phố</t>
  </si>
  <si>
    <t>Chi gạo đỏ lửa giáp hạt năm 2025,2026</t>
  </si>
  <si>
    <t>Hoạt động của Thường trực Hội đồng giá đất cụ thể và Hội đổng thẩm định đơn giá cây trồng, quản lý công sản,…</t>
  </si>
  <si>
    <t>nhớ bên tổng hợp phần SN Kinh tế</t>
  </si>
  <si>
    <t xml:space="preserve">Chi quản lý nhà nước về môi trường </t>
  </si>
  <si>
    <t>Chi sự nghiệp Môi trường</t>
  </si>
  <si>
    <t>02 bộ bàn ghế</t>
  </si>
  <si>
    <t>Tỉnh bs mục tiêu</t>
  </si>
  <si>
    <t>06 kệ</t>
  </si>
  <si>
    <t>Mua sắm 06 kệ tài liệu</t>
  </si>
  <si>
    <t>ĐV Đề xuất 100tr,</t>
  </si>
  <si>
    <t xml:space="preserve"> 2025:Tỉnh cấp 577,473 tỷ (nhớ trừ 2,8 tỷ sự nghiệp giáo dục- 373 phòng lao động)</t>
  </si>
  <si>
    <t>(Kèm theo Quyết định số          /QĐ-UBND ngày         /12/2024 của UBND thành phố Quảng Ngãi)</t>
  </si>
  <si>
    <t>ĐVT: 1000 đồng</t>
  </si>
  <si>
    <t>Chi theo sự nghiệp</t>
  </si>
  <si>
    <t>Quỹ lương và Hoạt động năm 2025</t>
  </si>
  <si>
    <t>Kinh phí thực hiện CCTL</t>
  </si>
  <si>
    <t>Kinh phí không tự chủ</t>
  </si>
  <si>
    <t>Trong đó</t>
  </si>
  <si>
    <t>Tổng dự toán TP giao năm 2025</t>
  </si>
  <si>
    <t>Nguồn đơn vị
 tự đảm bảo
 (từ nguồn thu học phí các đơn vị thực hiện CCTL 2023 sang 2024)</t>
  </si>
  <si>
    <t>Tổng dự toán được sử dụng năm 2025</t>
  </si>
  <si>
    <t>Tổng cộng</t>
  </si>
  <si>
    <t>Mức lương 1,49 trđ</t>
  </si>
  <si>
    <t>Kinh phí hoạt động theo định mức
 (Đã trừ 10%TKC)</t>
  </si>
  <si>
    <t>Từ nguồn
10% tiết kiệm chi</t>
  </si>
  <si>
    <t>Ngân sách TP bố trí từ  nguồn CCTL phân bổ  cho đơn vị</t>
  </si>
  <si>
    <t>Kinh phí thực hiện chính sách hỗ trợ ăn trưa cho trẻ em mầm non</t>
  </si>
  <si>
    <t>Kinh phí thực hiện chính sách miễn giảm học phí và hỗ trợ chi phí học tập</t>
  </si>
  <si>
    <t xml:space="preserve">KP thực hiện chính sách dành cho giáo viên dạy học sinh khuyết tật </t>
  </si>
  <si>
    <t>Kinh phí thực hiện chính sách dành cho học sinh khuyết tật</t>
  </si>
  <si>
    <t>Nguồn CCTL từ 40% thu học phí năm 20234 chuyển sang 2024</t>
  </si>
  <si>
    <t>Lương 850đ</t>
  </si>
  <si>
    <t>5=6+7</t>
  </si>
  <si>
    <t>8=7*90%</t>
  </si>
  <si>
    <t>10=7*10%</t>
  </si>
  <si>
    <t>(11)=(11.1+…11.4)</t>
  </si>
  <si>
    <t>11.1</t>
  </si>
  <si>
    <t>11.2</t>
  </si>
  <si>
    <t>11.3</t>
  </si>
  <si>
    <t>11.4</t>
  </si>
  <si>
    <t>(12)=(5)+(8)+(11)</t>
  </si>
  <si>
    <t>14=12+13</t>
  </si>
  <si>
    <t>Luong 234</t>
  </si>
  <si>
    <t>lương 1490</t>
  </si>
  <si>
    <t>luong 850</t>
  </si>
  <si>
    <t>hoạt động 19%</t>
  </si>
  <si>
    <t>10% tkc</t>
  </si>
  <si>
    <t>còn lại đc dùng</t>
  </si>
  <si>
    <t xml:space="preserve">học phí </t>
  </si>
  <si>
    <t>CCTL tp bổ sung</t>
  </si>
  <si>
    <t>Học phí chẵn</t>
  </si>
  <si>
    <t>Dạy khuyết tật</t>
  </si>
  <si>
    <t>Đơn vị sự nghiệp giáo dục</t>
  </si>
  <si>
    <t>Mầm non</t>
  </si>
  <si>
    <t>Trường Mầm non 2/9</t>
  </si>
  <si>
    <t>Trường Mầm non Hoa Hồng</t>
  </si>
  <si>
    <t>Trường MN Nguyễn nghiêm</t>
  </si>
  <si>
    <t>Trường Mầm non 19/5</t>
  </si>
  <si>
    <t>Trường MN Bình Minh</t>
  </si>
  <si>
    <t>Trường MN Chánh Lộ</t>
  </si>
  <si>
    <t>Trường MN Lê Hồng Phong</t>
  </si>
  <si>
    <t>Trường Mầm non Nghĩa Lộ</t>
  </si>
  <si>
    <t>Trường MN Quảng Phú</t>
  </si>
  <si>
    <t>Trường MN Trương Quang Trọng</t>
  </si>
  <si>
    <t>Trường Mầm non Nghĩa An</t>
  </si>
  <si>
    <t>Trường MN Nghĩa Dõng</t>
  </si>
  <si>
    <t>Trường MN Nghĩa Dũng</t>
  </si>
  <si>
    <t>Trường MN Nghĩa Hà</t>
  </si>
  <si>
    <t>Trường MN Nghĩa Phú</t>
  </si>
  <si>
    <t>Trường MN Tịnh An</t>
  </si>
  <si>
    <t>Trường MN Tịnh Ấn Đông</t>
  </si>
  <si>
    <t>Trường MN Tịnh Ấn Tây</t>
  </si>
  <si>
    <t>Trường MN Tịnh Châu</t>
  </si>
  <si>
    <t>Trường MN Tịnh Hòa</t>
  </si>
  <si>
    <t>Trường Mầm non Tịnh Khê</t>
  </si>
  <si>
    <t>Trường MN Tịnh Kỳ</t>
  </si>
  <si>
    <t>Trường Mầm non Tịnh Long</t>
  </si>
  <si>
    <t>Trường MN Tịnh Thiện</t>
  </si>
  <si>
    <t>Tiểu học</t>
  </si>
  <si>
    <t>Trường Tiểu học Trần Hưng Đạo</t>
  </si>
  <si>
    <t>Trường Tiểu học Nguyễn Nghiêm</t>
  </si>
  <si>
    <t>Trường Tiểu học Trần Phú</t>
  </si>
  <si>
    <t>Trường Tiểu học Lê Hồng Phong</t>
  </si>
  <si>
    <t>Trường Tiểu học Nghĩa Lộ</t>
  </si>
  <si>
    <t>Trường Tiểu học Chánh Lộ</t>
  </si>
  <si>
    <t>Trường Tiểu học Nghĩa Chánh</t>
  </si>
  <si>
    <t>Trường Tiểu học Quảng Phú 1</t>
  </si>
  <si>
    <t>Trường Tiểu học Quảng Phú 2</t>
  </si>
  <si>
    <t>Trường TH Số 1 Trương Quang Trọng</t>
  </si>
  <si>
    <t>Trường TH Số 2 Trương Quang Trọng</t>
  </si>
  <si>
    <t>Trường Tiểu học Nghĩa Dõng</t>
  </si>
  <si>
    <t>Trường Tiểu học Nghĩa Dũng</t>
  </si>
  <si>
    <t>Trường Tiểu học Nghĩa Hà</t>
  </si>
  <si>
    <t>Trường Tiểu học Phổ An</t>
  </si>
  <si>
    <t>Trường Tiểu học Tịnh Hòa</t>
  </si>
  <si>
    <t>Trường Tiểu học Tịnh Khê</t>
  </si>
  <si>
    <t>Trường Tiểu học Tân Mỹ</t>
  </si>
  <si>
    <t>Trường Tiểu học Tịnh An</t>
  </si>
  <si>
    <t>Trường Tiểu học Tịnh Ấn Tây</t>
  </si>
  <si>
    <t>Trường Tiểu học Tịnh Kỳ</t>
  </si>
  <si>
    <t xml:space="preserve">THCS </t>
  </si>
  <si>
    <t>Truường Trần Hưng Đạo</t>
  </si>
  <si>
    <t>THCS Nguyễn Nghiêm</t>
  </si>
  <si>
    <t>Trường THCS Trần Phú</t>
  </si>
  <si>
    <t>Trường THCS Lê Hồng Phong</t>
  </si>
  <si>
    <t>Trường THCS Nghĩa Lộ</t>
  </si>
  <si>
    <t>Trường THCS Chánh Lộ</t>
  </si>
  <si>
    <t>Trường THCS Nghĩa Chánh</t>
  </si>
  <si>
    <t>Trường THCS Quảng Phú</t>
  </si>
  <si>
    <t>Trường THCS Trương Quang Trọng</t>
  </si>
  <si>
    <t>Trường THCS Nghĩa Dõng</t>
  </si>
  <si>
    <t>Trường Thcs Nghĩa Dũng</t>
  </si>
  <si>
    <t>Trường THCS Nghĩa An</t>
  </si>
  <si>
    <t>Trường THCS Nghĩa Hà</t>
  </si>
  <si>
    <t>Trường THCS Võ Bẩm</t>
  </si>
  <si>
    <t>Trường THCS Nguyễn Cát</t>
  </si>
  <si>
    <t>Trường THCS Tịnh An</t>
  </si>
  <si>
    <t>Trường THCS Tịnh Ấn Tây</t>
  </si>
  <si>
    <t>Trường THCS Tịnh Kỳ</t>
  </si>
  <si>
    <t>TH và THCS</t>
  </si>
  <si>
    <t>Trường TH&amp;THCS Tịnh Thiện</t>
  </si>
  <si>
    <t>Trường TH&amp;THCS Trần Quý Hai</t>
  </si>
  <si>
    <t>Trường Tiểu học và THCS Trần Văn Trà</t>
  </si>
  <si>
    <t>Trường TH&amp;THCS Nghĩa Phú</t>
  </si>
  <si>
    <t>Trường TH&amp;THCSLê Trung Đình</t>
  </si>
  <si>
    <t>giáo dục, trường 438TR</t>
  </si>
  <si>
    <t>giáo dục, trường 121TR</t>
  </si>
  <si>
    <t>giáo dục, trường 5,021</t>
  </si>
  <si>
    <t>Biểu số 13.1</t>
  </si>
  <si>
    <t>Biểu số 13.2</t>
  </si>
  <si>
    <t>Biểu số 13.3</t>
  </si>
  <si>
    <t>BIỂU TỔNG HỢP PHÂN BỔ DỰ TOÁN CHI NGÂN SÁCH XÃ - PHƯỜNG NĂM 2025</t>
  </si>
  <si>
    <t>(Kèm theo Quyết định số …....../QĐ-UBND ngày 22/12/2024 của UBND thành phố Quảng Ngãi)</t>
  </si>
  <si>
    <t>Nguồn tỉnh</t>
  </si>
  <si>
    <t>Nguồn TP</t>
  </si>
  <si>
    <t>Nguồn Tỉnh</t>
  </si>
  <si>
    <t>Dân số</t>
  </si>
  <si>
    <t>Tổng chi cân đối NS</t>
  </si>
  <si>
    <t>Tổng chi NS địa phương</t>
  </si>
  <si>
    <t>I/ Chi đầu tư</t>
  </si>
  <si>
    <t>II/ Chi thường xuyên</t>
  </si>
  <si>
    <t>1/ Chi QLNN,
 Đảng, 
Đoàn thể</t>
  </si>
  <si>
    <t>2/ Chi SN P.Thanh</t>
  </si>
  <si>
    <t>3/SN
 VH-TT</t>
  </si>
  <si>
    <t>4/ Chi SNTDTT</t>
  </si>
  <si>
    <t>5/ Chi đảm 
bảo xã hội</t>
  </si>
  <si>
    <t>6/ Chi 
quốc phòng</t>
  </si>
  <si>
    <t>7/ Chi an ninh, trật tự,
 AT XH</t>
  </si>
  <si>
    <t>8/Chi SNKT + hoạt động chợ</t>
  </si>
  <si>
    <t>9/ Chi SN môi trường</t>
  </si>
  <si>
    <t>10/Chi TX khác 0.5%(từ mục 1 đến mục 9 + cộng 10tr TTCĐ+ thu phạt, tịch thu)</t>
  </si>
  <si>
    <t>III/Chi khen 
thưởng 1% chi TX</t>
  </si>
  <si>
    <t>IV/Dự phòng 2,31%</t>
  </si>
  <si>
    <t>1.1/ Phân bổ theo CBCC</t>
  </si>
  <si>
    <t>1.2/ Qũy lương theo NĐ 73/2024/NĐ-CP của chính phủ</t>
  </si>
  <si>
    <t>1.3/ Phân bổ những người không chuyên trách theo NĐ33/2023/NĐ-CP ngày 10/06/2023</t>
  </si>
  <si>
    <t xml:space="preserve">1.4/ Bổ sung đảm bảo chi hoạt đông ở xã.        </t>
  </si>
  <si>
    <t>1.5/ P.cấp ĐB
HĐND</t>
  </si>
  <si>
    <t>1.6/ P.cấp Cấp ủy</t>
  </si>
  <si>
    <t>3.1/ Chi 
TDĐK-KDC</t>
  </si>
  <si>
    <t>5.1/ Chi Đ.bảo XH</t>
  </si>
  <si>
    <t>5.2/ Hưu xã</t>
  </si>
  <si>
    <t>Cộng tác viên BV,CS&amp;GDTE QĐ 66/2016</t>
  </si>
  <si>
    <t>6.1/ Chi 
quốc phòng</t>
  </si>
  <si>
    <t>6.2/ Chi theo  NQ số 01/2020/NQ-HĐND ngày 10/12/2020  của HĐND tỉnh Quảng Ngãi (QĐ 931)</t>
  </si>
  <si>
    <t>6,3/ Thực hiện nhiệm vụ quốc phòng,.. Xã ven biển  
(500tr/xã)</t>
  </si>
  <si>
    <t>7.1/ Chi an ninh, trật tự,
 AT XH</t>
  </si>
  <si>
    <t>7.2/Chi HĐ Ban Thanh tra Nhân dân (QĐ số 76/2017QĐ-UBND ngày 21/11/2017)</t>
  </si>
  <si>
    <t>7.3/ Thực hiện nhiệm vụ AN-TT, Lễ cầu ngư, Lễ ra quân đánh bắt hải sản, hoạt động, an ninh bãi biển,…</t>
  </si>
  <si>
    <t>8.1/ Chi SNKT</t>
  </si>
  <si>
    <t xml:space="preserve">
8.2/ Hoạt động chợ (từ tiền thu Thu giá DV sử dụng diện tích bán hàng tại chợ)</t>
  </si>
  <si>
    <t>Hỗ trợ 10tr trung tâm học tập cộng đồng</t>
  </si>
  <si>
    <t xml:space="preserve">
Chi phạt</t>
  </si>
  <si>
    <t>B/chế</t>
  </si>
  <si>
    <t>ĐM</t>
  </si>
  <si>
    <t>T.Tiền/BC</t>
  </si>
  <si>
    <t>LCS: 1490</t>
  </si>
  <si>
    <t>LCS: 850</t>
  </si>
  <si>
    <t>Xã, phường</t>
  </si>
  <si>
    <t>Thôn, TDP</t>
  </si>
  <si>
    <t>KP hoạt động của các Hội</t>
  </si>
  <si>
    <t>T.Tiền</t>
  </si>
  <si>
    <t>ĐM/xã</t>
  </si>
  <si>
    <t>Cộng</t>
  </si>
  <si>
    <t>ĐM/DS</t>
  </si>
  <si>
    <t>T.Tiền/xã</t>
  </si>
  <si>
    <t>Số KDC</t>
  </si>
  <si>
    <t>Số người</t>
  </si>
  <si>
    <t>ĐM/Tổ</t>
  </si>
  <si>
    <t>D=E+F</t>
  </si>
  <si>
    <t>E=G+H+I</t>
  </si>
  <si>
    <t>F</t>
  </si>
  <si>
    <t>G=1+2+
…+55</t>
  </si>
  <si>
    <t>1=4+7+12+14+17+20</t>
  </si>
  <si>
    <t>2</t>
  </si>
  <si>
    <t>3</t>
  </si>
  <si>
    <t>4=2*3</t>
  </si>
  <si>
    <t>5</t>
  </si>
  <si>
    <t>6</t>
  </si>
  <si>
    <t>7=5+6</t>
  </si>
  <si>
    <t>8</t>
  </si>
  <si>
    <t>9</t>
  </si>
  <si>
    <t>10</t>
  </si>
  <si>
    <t>11</t>
  </si>
  <si>
    <t>12=8+9+10+11</t>
  </si>
  <si>
    <t>13</t>
  </si>
  <si>
    <t>14=13</t>
  </si>
  <si>
    <t>15</t>
  </si>
  <si>
    <t>16</t>
  </si>
  <si>
    <t>17=15+16</t>
  </si>
  <si>
    <t>18</t>
  </si>
  <si>
    <t>19</t>
  </si>
  <si>
    <t>20=18+19</t>
  </si>
  <si>
    <t>21</t>
  </si>
  <si>
    <t>22=21*C</t>
  </si>
  <si>
    <t>24=23*C</t>
  </si>
  <si>
    <t>25</t>
  </si>
  <si>
    <t>26=25*ĐM</t>
  </si>
  <si>
    <t>26=25*C</t>
  </si>
  <si>
    <t>27=29+31+32</t>
  </si>
  <si>
    <t>29=28*C</t>
  </si>
  <si>
    <t>30</t>
  </si>
  <si>
    <t>31</t>
  </si>
  <si>
    <t>32</t>
  </si>
  <si>
    <t>33=35+38+39</t>
  </si>
  <si>
    <t>34</t>
  </si>
  <si>
    <t>35=34*C</t>
  </si>
  <si>
    <t>36</t>
  </si>
  <si>
    <t>37</t>
  </si>
  <si>
    <t>38=36+37</t>
  </si>
  <si>
    <t>39</t>
  </si>
  <si>
    <t>40=42+43+44</t>
  </si>
  <si>
    <t>41</t>
  </si>
  <si>
    <t>42=40*C</t>
  </si>
  <si>
    <t>43</t>
  </si>
  <si>
    <t>44</t>
  </si>
  <si>
    <t>45=47+48</t>
  </si>
  <si>
    <t>46</t>
  </si>
  <si>
    <t>47=46*C</t>
  </si>
  <si>
    <t>48</t>
  </si>
  <si>
    <t>49</t>
  </si>
  <si>
    <t>50=49*C</t>
  </si>
  <si>
    <t>51</t>
  </si>
  <si>
    <t>52</t>
  </si>
  <si>
    <t>53</t>
  </si>
  <si>
    <t>H</t>
  </si>
  <si>
    <t>K</t>
  </si>
  <si>
    <t>con người</t>
  </si>
  <si>
    <t>hoạt động</t>
  </si>
  <si>
    <t>10% TIẾT KIỆM CH</t>
  </si>
  <si>
    <t>đc sử dụng</t>
  </si>
  <si>
    <t>5% TKC them</t>
  </si>
  <si>
    <t>1</t>
  </si>
  <si>
    <t>P.Nguyễn Nghiêm</t>
  </si>
  <si>
    <t>P.Lê Hồng Phong</t>
  </si>
  <si>
    <t>P.Quảng Phú</t>
  </si>
  <si>
    <t>4</t>
  </si>
  <si>
    <t>P.Nghĩa Lộ</t>
  </si>
  <si>
    <t>P.Trần Hưng Đạo</t>
  </si>
  <si>
    <t>P.Chánh Lộ</t>
  </si>
  <si>
    <t>7</t>
  </si>
  <si>
    <t>P.Nghĩa Chánh</t>
  </si>
  <si>
    <t>P.Trần Phú</t>
  </si>
  <si>
    <t>P.Trương Quang Trọng</t>
  </si>
  <si>
    <t>12</t>
  </si>
  <si>
    <t>14</t>
  </si>
  <si>
    <t>17</t>
  </si>
  <si>
    <t>20</t>
  </si>
  <si>
    <t>22</t>
  </si>
  <si>
    <t>23</t>
  </si>
  <si>
    <t>Ghi chú:</t>
  </si>
  <si>
    <t>(7) Quỹ lương bao gồm: HS lương, các hệ số phụ cấp, …+ BHXH, BHYT, KPCĐ…</t>
  </si>
  <si>
    <t>(14) BS 700 triệu để đảm bảo hoạt động ở các xã, phường: Chi hoạt động đề án, hoạt động HĐND, BCĐ, các đặc thù, tiếp công dân định kỳ, thường xuyên, công tác hoà giải cơ sở, Chi đội công tác xã hội tình nguyện theo QĐ 43, TDP, các ĐH hết nhiệm kỳ...</t>
  </si>
  <si>
    <t>TP</t>
  </si>
  <si>
    <t>TỈNH</t>
  </si>
  <si>
    <t>CL</t>
  </si>
  <si>
    <t>9 tỷ tp+ 1 tỷ 2 trường PTTH</t>
  </si>
  <si>
    <t>KH 211 TP: 840tr đã bố trí 439tr, còn bố trí 401tr (chưa tính 10%tkc)+ năm 2026: 200tr</t>
  </si>
  <si>
    <t>Đơn vị đề xuất 640tr đồng; đv đx 2,2 tỷ_tỉnh 600tr+ 400 tr</t>
  </si>
  <si>
    <t>Tổ chức giải Pickleball TP Quảng Ngãi mở rộng năm 2025; các nhiệm vụ phát sinh được UBND thành phố giao</t>
  </si>
  <si>
    <t>Không phân bổ</t>
  </si>
  <si>
    <t>Chi bên SNKT Phòng Kinh tế: 1,950+ phòng TNMT: 4,2 tỷ+ BQL Chợ: 5,434 tỷ; Đội QLĐT: 4,2 TỶ; TTDV 2,5 TỶ,…</t>
  </si>
  <si>
    <t>tăng thu 20 tỷ từ bán nhà TP KO CCTL; Tăng 20 tỷ các sắc thuế, tạo nguồn 14 tỷ, dc chi 6 tỷ</t>
  </si>
  <si>
    <t>Ban ATGT TP</t>
  </si>
  <si>
    <t>Hỗ trợ từ nguồn chi thường xuyên khác</t>
  </si>
  <si>
    <t xml:space="preserve"> giao Phòng Kinh tế</t>
  </si>
  <si>
    <t>Sửa chữa, bảo dưỡng và mua sắm trang thiết bị phục vụ công tác đào tạo</t>
  </si>
  <si>
    <t>DỰ TOÁN CÁC ĐƠN VỊ SỰ NGHIỆP GIÁO DỤC NĂM 2025</t>
  </si>
  <si>
    <t>Ra quân trồng cây đầu năm và tổ chức hoạt động Vườn hoa Ba Tơ</t>
  </si>
  <si>
    <t>Hoạt động thư viện</t>
  </si>
  <si>
    <t>Chủ trì và phối hợp tổ chức các hoạt động thể dục thể thao trên địa bàn thành phố, giao lưu với các đơn vị khác và tham gia hoạt động thể dục thể thao do tỉnh tổ chức; Kinh phí tham gia Đại hội TDTT cấp thành phố và cấp tỉnh và tổ chức các giải chào mừng ĐH Đảng các cấp.</t>
  </si>
  <si>
    <t>02 ghế xoay lãnh đạo</t>
  </si>
  <si>
    <t>BC được cấp thẩm quyền giao tại QĐ 1104/QĐ-UBND ngày 02/4/2024</t>
  </si>
  <si>
    <t xml:space="preserve">BC có mặt </t>
  </si>
  <si>
    <t>BC trống</t>
  </si>
  <si>
    <t>BC tạm giao</t>
  </si>
  <si>
    <t>9=10+11</t>
  </si>
  <si>
    <t>Chi tăng cường cơ sở vật chất, sửa chữa tài sản, mua sắm trang thiết bị dạy học; bổ sung tiền lương cho biên chế tuyển dụng mới, nâng lương trước hạn, chế độ nghỉ việc và các nội dung quản lý nhà nước khác</t>
  </si>
  <si>
    <t>chính lý tài liệu</t>
  </si>
  <si>
    <t>Hỗ trợ kinh phí hoàn trả chi phí quản lý và Hoàn trả chi phí do tăng lương tối thiểu</t>
  </si>
  <si>
    <t>Mua bảo hiểm cháy nổ cho Công trình chợ Quảng Ngãi và Chợ Tươi sống</t>
  </si>
  <si>
    <t>Chi sự nghiệp y tế (DPC)</t>
  </si>
  <si>
    <t>Chi phục vụ cấp giấy phép XD, biển số nhà, thẩm định thiết kế bản vẽ thi công và thẩm định quy hoạch</t>
  </si>
  <si>
    <t>Chương: 626 - 341-332</t>
  </si>
  <si>
    <t>Quản lý hành chính</t>
  </si>
  <si>
    <t>Sự nghiệp Kinh tế</t>
  </si>
  <si>
    <t>Thực hiện hành vi số hóa (hồ sơ điện tử) kết quả thủ tục hành chính thuộc thẩm quyền giải quyết của đơn vị; chỉnh lý tài liệu, số hoá tài liệu và các các nhiệm vụ có liên quan</t>
  </si>
  <si>
    <t>Kinh phí chỉnh lý tài liệu và số hoá tài liệu</t>
  </si>
  <si>
    <t>Chi phòng chống dịch bệnh gia súc, gia cầm và động vật thủy sản trên địa bàn thành phố Quảng Ngãi năm 2025</t>
  </si>
  <si>
    <t>Chương: 620 - 341-309-281-338</t>
  </si>
  <si>
    <t>Thực hiện theo Kế hoạch được UBND thành phố phê duyệt (281)</t>
  </si>
  <si>
    <t>Công thương (309)</t>
  </si>
  <si>
    <t>Nông nghiệp (281)</t>
  </si>
  <si>
    <t>Công nghệ (338)</t>
  </si>
  <si>
    <t>Hỗ trợ chương trình OCOP mỗi xã 01 sản phẩm (338)</t>
  </si>
  <si>
    <t>Chương: 635</t>
  </si>
  <si>
    <t>Chi cho công tác phòng cháy chữa cháy và thực hiện Chỉ thị 14/CT-UBND</t>
  </si>
  <si>
    <t>Chi xây dựng Nông thôn mới</t>
  </si>
  <si>
    <t xml:space="preserve">Tổ chức kỷ niệm 81 năm ngày Quân đội nhân dân Việt Nam </t>
  </si>
  <si>
    <t>Công tác phòng không nhân dân, quân báo và các nhiệm vụ khác của công tác quốc phòng theo qui định của pháp luật</t>
  </si>
  <si>
    <t>Đại hội  Đảng bộ cơ sở</t>
  </si>
  <si>
    <r>
      <rPr>
        <b/>
        <sz val="14"/>
        <rFont val="Times New Roman"/>
        <family val="1"/>
      </rPr>
      <t xml:space="preserve">Ghi chú: </t>
    </r>
    <r>
      <rPr>
        <sz val="14"/>
        <rFont val="Times New Roman"/>
        <family val="1"/>
      </rPr>
      <t>BCH Quân sự thành phố phân bổ và giao dự toán chi tiết gửi Phòng Tài chính - Kế hoạch thành phố theo quy định</t>
    </r>
  </si>
  <si>
    <t>Chi hoạt động của các BCĐ  do CA làm thường trực</t>
  </si>
  <si>
    <t>Đào tạo, huấn luyện lực lượng công an tại cơ sở.</t>
  </si>
  <si>
    <t xml:space="preserve">Chi  Dự án giải quyết điểm, tụ điểm và chuyển hoá trên địa bàn trọng điểm, phức tạp về ma tuý; Chi phòng, chống tội phạm theo QĐ số 2224/QĐ-UBND </t>
  </si>
  <si>
    <t>Chi tổ chức 80 năm ngày Truyền thống lực lượng Công an nhân dân; công tác đảm bảo ANTT: Đại hội Đảng, Kỷ niệm 20 năm ngày thành lập Thành phố,.. và các ngày Lễ lớn quan trọng trong năm</t>
  </si>
  <si>
    <t>Đảm bảo ANTT đêm hội giao thừa và chào năm mới; Lễ Húy Kị; Bước chạy chào xuân.</t>
  </si>
  <si>
    <t>Chi thực hiện Quy chế phối hợp: Công an, Quân sự; Biên phòng.</t>
  </si>
  <si>
    <t>Tuần tra vũ trang: Trước, trong và sau tết Nguyên đán</t>
  </si>
  <si>
    <t>Tổ chức hội nghị, tập huấn nghiệp vụ và triển khai các nhiệm vụ công tác quốc phòng trên địa bàn thành phố</t>
  </si>
  <si>
    <t>Công tác giáo dục, bồi dưỡng kiến thức cho các đối tượng theo quy định quốc phòng</t>
  </si>
  <si>
    <t>Đảm bảo vật chất, trang thiết bị, ANTT đêm hội giao thừa.</t>
  </si>
  <si>
    <t>Kinh phí phục vụ các cuộc họp Thành ủy; HĐND và UBND và các đoàn Thanh tra, Kiểm toán nhà nước, chi tiếp khách; Công tác xây dựng dự toán, thẩm tra quyết toán ngân sách nhà nước;...</t>
  </si>
  <si>
    <t>Kinh phí để thanh toán trả nợ chi phí tổ chức Chương trình Chào năm mới 2025 và thực hiện Tổ chức chương trình Chào năm mới 2026,…</t>
  </si>
  <si>
    <r>
      <t>Tổ chức chương trình Nghệ thuật Đêm hội giao thừa năm 2025 và năm 2026</t>
    </r>
    <r>
      <rPr>
        <i/>
        <sz val="14"/>
        <color rgb="FF000000"/>
        <rFont val="Times New Roman"/>
        <family val="1"/>
      </rPr>
      <t>(bao gồm cả kinh phí truyền hình trực tiếp trên PTQ)</t>
    </r>
  </si>
  <si>
    <t>Công tác đảm bảo Quốc phòng: Đại hội Đảng, Kỷ niệm 20 năm ngày thành lập Thành phố, Tết Nguyên đán,.... và các ngày Lễ lớn quan trọng trong năm.</t>
  </si>
  <si>
    <t>Công tác sẵn sàng chiến đấu, nhiệm vụ phòng thủ dân sự, phòng chống lụt bão, tìm kiếm cứu nạn, cháy nổ, cháy rừng</t>
  </si>
  <si>
    <t>Kinh phí bảo đảm trật tự an toàn giao thông theo Thông tư số 01/2018/TT-BTC ngày 02/01/2018 của Bộ Tài chính và được sửa đổi, bổ sung tại Thông tư số 28/2019/TT-BTC ngày 21/5/2019 của Bộ Tài chính,…</t>
  </si>
  <si>
    <t>Kinh phí tập huấn, tiêm phòng, tiêu độc, khử trùng do UBND thành phố giao nhiệm vụ, đặt hàng.</t>
  </si>
  <si>
    <t>Thực hiện đề án Nếp sống văn minh đô thị và in ấn tuyên truyền hướng dẫn chuyên môn nghiệp vụ</t>
  </si>
  <si>
    <t>Các khoản chi đặc thù: tiếp khách, các đoàn công tác, xăng, dầu, chi phí phục vụ hội nghị, điện, nước các phòng họp và hội trường UBND thành phố, sửa chữa, mua sắm tài sản và các khoản chi phục vụ hoạt đông chung của UBND thành phố,...</t>
  </si>
  <si>
    <t>Kinh phí để thanh toán trả nợ chi phí tổ chức chương trình Nghệ thuật Đêm hội giao thừa năm 2025 và năm 2026 (bao gồm cả kinh phí truyền hình trực tiếp trên PTQ)</t>
  </si>
  <si>
    <t>Kinh phí PCCC, PCLB, DQTV</t>
  </si>
  <si>
    <t>Chỉnh lý và số hoá tài liệu lưu trữ của Thành uỷ và các cơ quan tham mưu giúp việc, Mặt trận và các Hội đoàn thể</t>
  </si>
  <si>
    <t>Các khoản chi đặc thù của Thành uỷ gồm: Chi văn phòng phẩm; vật tư văn phòng; điện; nước; xăng xe ô tô; đi công tác; đối nội, đối ngoại; nghiên cứu học tập kinh nghiệm, các khoản chi phục vụ xe ô tô, hoa chúc mừng, viếng đám tang ngoài quy định 16, hỗ trợ các trường hợp thiên tai, hoả hoạn, bệnh hiểm nghèo,... và một số trường hợp đột xuất có Kết luận của Thường trực Thành uỷ, Sửa chữa, bảo dưỡng tài sản; mua sắm trang thiết bị và các khoản chi phục vụ hoạt đông chung của Thành uỷ.</t>
  </si>
  <si>
    <t>Chi theo Nghị quyết 38/2024/NQ-HĐND ngày 10/12/2024, các hoạt động đặc thù của mặt trận và các nhiệm vụ phát sinh trong năm</t>
  </si>
  <si>
    <t>Các nhiệm vụ đặc thù và nhiệm vụ khác được UBND thành phố giao nhiệm vụ trong năm</t>
  </si>
  <si>
    <t>Chi trả tiền nhuận bút và các hoạt động sửa chữa, mua sắm các hoạt động liên quan đến công tác truyền thanh</t>
  </si>
  <si>
    <t>Kinh phí trợ cấp cho trẻ em mầm non và giáo viên theo NQ số 32/2021/NQ-HĐND tỉnh ngày 10/12/2021</t>
  </si>
  <si>
    <t>Chi quản lý nhà nước về môi trường và kinh phí quản lý chất thải rắn sinh hoạt và công tác phân loại chất thải rắn tại nguồn.</t>
  </si>
  <si>
    <t>Công tác tuyển chọn công dân nhập ngũ năm 2025 và năm 2026</t>
  </si>
  <si>
    <t>Ban Tuyên giáo và Dân vận</t>
  </si>
  <si>
    <t>Điều chuyển</t>
  </si>
  <si>
    <t>Dự toán (điều chỉnh do sáp nhập)</t>
  </si>
  <si>
    <t>Huỷ</t>
  </si>
  <si>
    <t>Đơn vị: Phòng Văn hóa, Khoa học và Thông tin thành phố (sau khi HĐND thành phố ban hành đổi tên cơ quan)</t>
  </si>
  <si>
    <t>Đơn vị: Phòng Kinh tế, Hạ tầng và đô thị thành phố (sau khi HĐND thành phố ban hành đổi tên cơ quan)</t>
  </si>
  <si>
    <t>PHÒNG KINH TẾ, HẠ TẦNG VÀ ĐÔ THỊ THÀNH PHỐ</t>
  </si>
  <si>
    <t>PHÒNG VĂN HÓA, KHOA HỌC VÀ THÔNG TIN THÀNH PHỐ</t>
  </si>
  <si>
    <t>Nhập dự toán cho UBND các xã thực hiện chi khi được đơn vị ủy quyền chi trả</t>
  </si>
  <si>
    <t>ĐIỀU CHỈNH GIẢM DỰ TOÁN THU, CHI NGÂN SÁCH NHÀ NƯỚC NĂM 2025 (DO SÁP NHẬP)</t>
  </si>
  <si>
    <t>Lãnh đạo thành phố đi thăm và tặng quà cho các gia đình chính sách có công khó khăn trong cuộc sống và bà mẹ VNAH còn sống nhận dịp 27/7 và dịp tết.</t>
  </si>
  <si>
    <t>Chi thuê xe phục vụ đưa đón người có công đi điều dưỡng</t>
  </si>
  <si>
    <t>PHÒNG NỘI VỤ VÀ LAO ĐỘNG THÀNH PHỐ</t>
  </si>
  <si>
    <t>2.18</t>
  </si>
  <si>
    <t>2.19</t>
  </si>
  <si>
    <t>2.20</t>
  </si>
  <si>
    <t>2.21</t>
  </si>
  <si>
    <t>2.22</t>
  </si>
  <si>
    <t>2.23</t>
  </si>
  <si>
    <t>2.24</t>
  </si>
  <si>
    <t>2.25</t>
  </si>
  <si>
    <t>2.26</t>
  </si>
  <si>
    <t>2.27</t>
  </si>
  <si>
    <t>2.28</t>
  </si>
  <si>
    <t>2.29</t>
  </si>
  <si>
    <t>2.30</t>
  </si>
  <si>
    <t>2.31</t>
  </si>
  <si>
    <t>2.32</t>
  </si>
  <si>
    <t>ĐIỀU CHỈNH TĂNG DỰ TOÁN THU, CHI NGÂN SÁCH NHÀ NƯỚC NĂM 2025 (DO SÁP NHẬP)</t>
  </si>
  <si>
    <t xml:space="preserve">Ban Tuyên giáo </t>
  </si>
  <si>
    <t>Chi thực hiện Chỉ thị số 05-CT/TW ngày 15/5/2016 của Bộ Chính trị khoá XII</t>
  </si>
  <si>
    <t xml:space="preserve">Kinh phí thực hiện Quyết định số 238-QĐ/TW ngày 20/9/2021 của Ban Bí thư </t>
  </si>
  <si>
    <t>Kinh phí hoạt động của phần mềm sổ tay đảng viên điện tử và Bản tin nội bộ thành phố</t>
  </si>
  <si>
    <t>Chi phụ cấp và hoạt động của Đội ngũ cộng tác viên dư luận xã hội (CV số 2080-CV/TU ngày 14/8/2017 của Tỉnh ủy)</t>
  </si>
  <si>
    <t>In ấn và thẩm định tập sách lịch sử Đảng bộ thành phố Quảng Ngãi giai đoạn 1930-2020</t>
  </si>
  <si>
    <t>Phụ cấp và hoạt động của BCĐ thành phố về bảo vệ nền tảng tư tưởng Đảng; đấu tranh phản bác quan điểm sai trái, thù địch</t>
  </si>
  <si>
    <t>DỰ TOÁN THU, CHI NGÂN SÁCH NHÀ NƯỚC NĂM 2025_ ĐIỀU CHỈNH TĂNG VÀ NỘI DUNG CHI DO SÁP NHẬP)</t>
  </si>
  <si>
    <t>có cả cấp uỷ :05 ng</t>
  </si>
  <si>
    <t>DỰ TOÁN THU, CHI NGÂN SÁCH NHÀ NƯỚC NĂM 2025_ ĐIỀU CHỈNH TĂNG  DO SÁP NHẬP)</t>
  </si>
  <si>
    <t>DỰ TOÁN THU, CHI NGÂN SÁCH NHÀ NƯỚC NĂM 2025_ ĐIỀU CHỈNH GIẢM  DO SÁP NHẬP)</t>
  </si>
  <si>
    <t>DỰ TOÁN CHI THƯỜNG XUYÊN CỦA NGÂN SÁCH CẤP THÀNH PHỐ CHO TỪNG CƠ QUAN, TỔ CHỨC THEO LĨNH VỰC NĂM 2025</t>
  </si>
  <si>
    <t>Chi các hoạt động kinh tế</t>
  </si>
  <si>
    <t>Chi hoạt động của cơ quan quản lý nhà nước, đảng, đoàn thể</t>
  </si>
  <si>
    <t>Chi bảo đảm xã hội</t>
  </si>
  <si>
    <t>Bổ sung nguồn thực hiện Cải cách tiền lương</t>
  </si>
  <si>
    <t>Kinh phí đặc thù của thành phố</t>
  </si>
  <si>
    <t>TỈNH GIAO</t>
  </si>
  <si>
    <t>Cân đối trong thời kỳ ổn định ngân sách</t>
  </si>
  <si>
    <t>Cải cách tiền lương</t>
  </si>
  <si>
    <t>UBMTTQ VN thành phố</t>
  </si>
  <si>
    <t>Hội Liên hiệp Phụ nữ thành phố</t>
  </si>
  <si>
    <t>Hội Cựu chiến binh thành phố</t>
  </si>
  <si>
    <t>Phòng Y tế thành phố</t>
  </si>
  <si>
    <t xml:space="preserve">Phòng Kinh tế thành phố </t>
  </si>
  <si>
    <t>Kinh phí đào tạo</t>
  </si>
  <si>
    <t>Kinh phí công nghiệp, nông nghiệp, thương nghiệp, OCOP</t>
  </si>
  <si>
    <t>CHI NGÂN SÁCH CẤP XÃ</t>
  </si>
  <si>
    <t>Chi giáo dục - đào tạo và dạy nghề</t>
  </si>
  <si>
    <t>Phòng Kinh tế, Hạ tầng và đô thị (Phòng Quản lý đô thị thành phố cũ)</t>
  </si>
  <si>
    <t>Dự toán 2025 giao tại Quyết định số 6151/QĐ-UBND ngày 26/12/2024</t>
  </si>
  <si>
    <t>Dự toán điều chỉnh và giao dự toán (so sáp nhập và đổi tên cơ quan)</t>
  </si>
  <si>
    <t>Dự toán điều chỉnh tăng và giao dự toán do sáp nhập và đổi tên cơ quan</t>
  </si>
  <si>
    <t>sn kinh tế</t>
  </si>
  <si>
    <t>Phòng Nông nghiệp và Môi trường (Phòng Tài nguyên và Môi trường thành phố cũ)</t>
  </si>
  <si>
    <t>Phòng Văn hoá, khoa học và Thông tin (Phòng Văn hóa và Thông tin thành phố cũ)</t>
  </si>
  <si>
    <t>Kinh phí quản lý nhà nước+ SN Kinh tế+ Giáo dục+ đảm bảo xã hội</t>
  </si>
  <si>
    <t>vp</t>
  </si>
  <si>
    <t>vhtt</t>
  </si>
  <si>
    <t>cl</t>
  </si>
  <si>
    <t>Dự toán điều chỉnh giảm do sáp nhập (đã thanh toán)</t>
  </si>
  <si>
    <t>PHỤ LỤC</t>
  </si>
  <si>
    <t>(Kèm theo Tờ trình số         /TTr-TCKH ngày        /02/2025 của Phòng Tài chính - Kế hoạch thành phố)</t>
  </si>
  <si>
    <t>Thu hồi</t>
  </si>
  <si>
    <t>nv</t>
  </si>
  <si>
    <t>vh</t>
  </si>
  <si>
    <t>qlđt</t>
  </si>
  <si>
    <t>tn</t>
  </si>
  <si>
    <t>DPC</t>
  </si>
  <si>
    <t>Dự toán điều chỉnh và giao dự toán (so sáp nhập và thành lâp tên cơ quan trực thuộc)</t>
  </si>
  <si>
    <t>Dự toán điều chỉnh tăng và giao dự toán so sáp nhập và thành lâp tên cơ quan trực thuộc</t>
  </si>
  <si>
    <t>Dự toán điều chỉnh giảm do sáp nhập/</t>
  </si>
  <si>
    <t>Phòng Lao động - Thương binh và Xã hội chuyển DT</t>
  </si>
  <si>
    <t>Phòng Y tế chuyển DT</t>
  </si>
  <si>
    <t>Kinh tế chuyển DT</t>
  </si>
  <si>
    <t>Dự toán QLĐT</t>
  </si>
  <si>
    <t>Dự toán Văn phòng HĐND và UBND thành phố</t>
  </si>
  <si>
    <t>Phòng Kinh tế chuyển DT</t>
  </si>
  <si>
    <t xml:space="preserve">Dự toán Phòng Văn hóa và Thông tin </t>
  </si>
  <si>
    <t>Kinh phí còn lại</t>
  </si>
  <si>
    <t>còn lại</t>
  </si>
  <si>
    <t>7=8+15</t>
  </si>
  <si>
    <t>Kinh phí
 còn lại</t>
  </si>
  <si>
    <t xml:space="preserve">Phòng Y tế </t>
  </si>
  <si>
    <t>DT</t>
  </si>
  <si>
    <t>Đã thanh toán</t>
  </si>
  <si>
    <t>DT còn lại</t>
  </si>
  <si>
    <t>Hội Phụ nữ</t>
  </si>
  <si>
    <t>Thu hồi/đc giảm</t>
  </si>
  <si>
    <t xml:space="preserve">Phòng Văn hóa và Thông tin </t>
  </si>
  <si>
    <t>1=2+3+4+5+6</t>
  </si>
  <si>
    <t>15=16+17+18+19</t>
  </si>
  <si>
    <t>Dự toán điều chỉnh giảm do sáp nhập</t>
  </si>
  <si>
    <t>8=9+10+11+12</t>
  </si>
  <si>
    <t>Thu</t>
  </si>
  <si>
    <t>Chi</t>
  </si>
  <si>
    <t>Tồn</t>
  </si>
  <si>
    <t>BS chi QLNN khác</t>
  </si>
  <si>
    <t>Dự toán 2025 giao tại Nghị quyết số 28/NQ-HDND ngày 24/12/2024</t>
  </si>
  <si>
    <t>Phòng Kinh tế, Hạ tầng và đô thị</t>
  </si>
  <si>
    <t>QLĐT chuyển DT</t>
  </si>
  <si>
    <t>Phòng Văn hóa và Thông tin thành phố</t>
  </si>
  <si>
    <t>Phòng Văn hoá, khoa học và Thông tin</t>
  </si>
  <si>
    <t>PHÒNG TÀI NGUYÊN VÀ MÔI TRƯỜNG THÀNH PHỐ</t>
  </si>
  <si>
    <t xml:space="preserve">Đơn vị: Phòng Tài nguyên và Môi trường thành phố </t>
  </si>
  <si>
    <t xml:space="preserve">Phòng Tài nguyên và Môi trường thành phố </t>
  </si>
  <si>
    <t>TỔNG SỐ</t>
  </si>
  <si>
    <t>CÁC CƠ QUAN, TỔ CHỨC</t>
  </si>
  <si>
    <t>Dự toán đầu năm</t>
  </si>
  <si>
    <t>Dự toán bổ sung</t>
  </si>
  <si>
    <t>Dự toán đơn vị thành lập mới</t>
  </si>
  <si>
    <t>ĐIỀU CHỈNH VÀ GIAO DỰ TOÁN CHO CÁC ĐƠN VỊ NĂM 2025</t>
  </si>
  <si>
    <t>ĐVT: Triệu đồng</t>
  </si>
  <si>
    <t>PHỤ LỤC 02</t>
  </si>
  <si>
    <t>PHỤ LỤC 01</t>
  </si>
  <si>
    <t xml:space="preserve"> TỔNG HỢP DỰ TOÁN ĐIỀU CHỈNH VÀ GIAO DỰ TOÁN NĂM 2025</t>
  </si>
  <si>
    <t>(Kèm theo Tờ trình số         /TTr-UBND ngày        /02/2025 của UBND thành phố)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</si>
</sst>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5" formatCode="&quot;$&quot;#,##0_);\(&quot;$&quot;#,##0\)"/>
    <numFmt numFmtId="6" formatCode="&quot;$&quot;#,##0_);[Red]\(&quot;$&quot;#,##0\)"/>
    <numFmt numFmtId="41" formatCode="_(* #,##0_);_(* \(#,##0\);_(* &quot;-&quot;_);_(@_)"/>
    <numFmt numFmtId="43" formatCode="_(* #,##0.00_);_(* \(#,##0.00\);_(* &quot;-&quot;??_);_(@_)"/>
    <numFmt numFmtId="164" formatCode="_-* #,##0.00\ _₫_-;\-* #,##0.00\ _₫_-;_-* &quot;-&quot;??\ _₫_-;_-@_-"/>
    <numFmt numFmtId="165" formatCode="_-* #,##0_-;\-* #,##0_-;_-* &quot;-&quot;_-;_-@_-"/>
    <numFmt numFmtId="166" formatCode="_-* #,##0.00_-;\-* #,##0.00_-;_-* &quot;-&quot;??_-;_-@_-"/>
    <numFmt numFmtId="167" formatCode="#,##0.000"/>
    <numFmt numFmtId="168" formatCode="_(* #,##0_);_(* \(#,##0\);_(* &quot;-&quot;??_);_(@_)"/>
    <numFmt numFmtId="169" formatCode="_-* #,##0\ _₫_-;\-* #,##0\ _₫_-;_-* &quot;-&quot;??\ _₫_-;_-@_-"/>
    <numFmt numFmtId="170" formatCode="#,##0.0"/>
    <numFmt numFmtId="171" formatCode="#,##0.00000000"/>
    <numFmt numFmtId="172" formatCode="0.0"/>
    <numFmt numFmtId="173" formatCode="_ * #,##0_ ;_ * &quot;\&quot;&quot;\&quot;&quot;\&quot;&quot;\&quot;&quot;\&quot;&quot;\&quot;&quot;\&quot;&quot;\&quot;&quot;\&quot;&quot;\&quot;&quot;\&quot;&quot;\&quot;\-#,##0_ ;_ * &quot;-&quot;_ ;_ @_ "/>
    <numFmt numFmtId="174" formatCode="_ &quot;\&quot;* #,##0.00_ ;_ &quot;\&quot;* &quot;\&quot;&quot;\&quot;&quot;\&quot;&quot;\&quot;&quot;\&quot;&quot;\&quot;&quot;\&quot;&quot;\&quot;&quot;\&quot;&quot;\&quot;&quot;\&quot;&quot;\&quot;\-#,##0.00_ ;_ &quot;\&quot;* &quot;-&quot;??_ ;_ @_ "/>
    <numFmt numFmtId="175" formatCode="_ * #,##0.00_ ;_ * &quot;\&quot;&quot;\&quot;&quot;\&quot;&quot;\&quot;&quot;\&quot;&quot;\&quot;&quot;\&quot;&quot;\&quot;&quot;\&quot;&quot;\&quot;&quot;\&quot;&quot;\&quot;\-#,##0.00_ ;_ * &quot;-&quot;??_ ;_ @_ "/>
    <numFmt numFmtId="176" formatCode="&quot;\&quot;#,##0;&quot;\&quot;&quot;\&quot;&quot;\&quot;&quot;\&quot;&quot;\&quot;&quot;\&quot;&quot;\&quot;&quot;\&quot;&quot;\&quot;&quot;\&quot;&quot;\&quot;&quot;\&quot;&quot;\&quot;&quot;\&quot;\-#,##0"/>
    <numFmt numFmtId="177" formatCode="&quot;\&quot;#,##0;[Red]&quot;\&quot;&quot;\&quot;&quot;\&quot;&quot;\&quot;&quot;\&quot;&quot;\&quot;&quot;\&quot;&quot;\&quot;&quot;\&quot;&quot;\&quot;&quot;\&quot;&quot;\&quot;&quot;\&quot;&quot;\&quot;\-#,##0"/>
    <numFmt numFmtId="178" formatCode="&quot;\&quot;#,##0.00;&quot;\&quot;&quot;\&quot;&quot;\&quot;&quot;\&quot;&quot;\&quot;&quot;\&quot;&quot;\&quot;&quot;\&quot;&quot;\&quot;&quot;\&quot;&quot;\&quot;&quot;\&quot;&quot;\&quot;&quot;\&quot;\-#,##0.00"/>
    <numFmt numFmtId="179" formatCode="_ &quot;\&quot;* #,##0.00_ ;_ &quot;\&quot;* &quot;\&quot;&quot;\&quot;&quot;\&quot;&quot;\&quot;&quot;\&quot;&quot;\&quot;&quot;\&quot;&quot;\&quot;&quot;\&quot;\-#,##0.00_ ;_ &quot;\&quot;* &quot;-&quot;??_ ;_ @_ "/>
    <numFmt numFmtId="180" formatCode="#,##0\ &quot;$&quot;_);[Red]\(#,##0\ &quot;$&quot;\)"/>
    <numFmt numFmtId="181" formatCode="&quot;$&quot;###,0&quot;.&quot;00_);[Red]\(&quot;$&quot;###,0&quot;.&quot;00\)"/>
    <numFmt numFmtId="182" formatCode="&quot;\&quot;#,##0;[Red]&quot;\&quot;&quot;\&quot;&quot;\&quot;&quot;\&quot;&quot;\&quot;&quot;\&quot;&quot;\&quot;&quot;\&quot;&quot;\&quot;&quot;\&quot;\-#,##0"/>
    <numFmt numFmtId="183" formatCode="_ &quot;\&quot;* #,##0_ ;_ &quot;\&quot;* &quot;\&quot;&quot;\&quot;&quot;\&quot;&quot;\&quot;&quot;\&quot;&quot;\&quot;&quot;\&quot;&quot;\&quot;&quot;\&quot;&quot;\&quot;&quot;\&quot;&quot;\&quot;&quot;\&quot;&quot;\&quot;\-#,##0_ ;_ &quot;\&quot;* &quot;-&quot;_ ;_ @_ "/>
    <numFmt numFmtId="184" formatCode="&quot;\&quot;#,##0.00;[Red]&quot;\&quot;&quot;\&quot;&quot;\&quot;&quot;\&quot;&quot;\&quot;&quot;\&quot;&quot;\&quot;&quot;\&quot;&quot;\&quot;&quot;\&quot;&quot;\&quot;&quot;\&quot;&quot;\&quot;&quot;\&quot;\-#,##0.00"/>
    <numFmt numFmtId="185" formatCode="_ &quot;\&quot;* #,##0_ ;_ &quot;\&quot;* &quot;\&quot;&quot;\&quot;&quot;\&quot;&quot;\&quot;&quot;\&quot;&quot;\&quot;&quot;\&quot;&quot;\&quot;&quot;\&quot;&quot;\&quot;&quot;\&quot;&quot;\&quot;&quot;\&quot;\-#,##0_ ;_ &quot;\&quot;* &quot;-&quot;_ ;_ @_ "/>
    <numFmt numFmtId="186" formatCode="_-&quot;$&quot;* #,##0_-;\-&quot;$&quot;* #,##0_-;_-&quot;$&quot;* &quot;-&quot;_-;_-@_-"/>
    <numFmt numFmtId="187" formatCode="_-&quot;$&quot;* #,##0.00_-;\-&quot;$&quot;* #,##0.00_-;_-&quot;$&quot;* &quot;-&quot;??_-;_-@_-"/>
    <numFmt numFmtId="188" formatCode="#,##0\ &quot;DM&quot;;\-#,##0\ &quot;DM&quot;"/>
    <numFmt numFmtId="189" formatCode="0.000%"/>
    <numFmt numFmtId="190" formatCode="&quot;￥&quot;#,##0;&quot;￥&quot;\-#,##0"/>
    <numFmt numFmtId="191" formatCode="00.000"/>
    <numFmt numFmtId="192" formatCode="_(* #,##0.000_);_(* \(#,##0.000\);_(* &quot;-&quot;??_);_(@_)"/>
    <numFmt numFmtId="193" formatCode="#,##0;[Red]#,##0"/>
    <numFmt numFmtId="194" formatCode="0_);\(0\)"/>
    <numFmt numFmtId="195" formatCode="_(* #,##0.000_);_(* \(#,##0.000\);_(* &quot;-&quot;???_);_(@_)"/>
    <numFmt numFmtId="196" formatCode="_-* #,##0.000000\ _₫_-;\-* #,##0.000000\ _₫_-;_-* &quot;-&quot;??\ _₫_-;_-@_-"/>
  </numFmts>
  <fonts count="131">
    <font>
      <sz val="11"/>
      <color theme="1"/>
      <name val="Calibri"/>
      <family val="2"/>
      <charset val="163"/>
      <scheme val="minor"/>
    </font>
    <font>
      <b/>
      <sz val="14"/>
      <color rgb="FF000000"/>
      <name val="Times New Roman"/>
      <family val="1"/>
    </font>
    <font>
      <sz val="14"/>
      <color theme="1"/>
      <name val="Calibri"/>
      <family val="2"/>
      <charset val="163"/>
      <scheme val="minor"/>
    </font>
    <font>
      <sz val="14"/>
      <color rgb="FF000000"/>
      <name val="Times New Roman"/>
      <family val="1"/>
    </font>
    <font>
      <b/>
      <i/>
      <sz val="14"/>
      <color rgb="FF000000"/>
      <name val="Times New Roman"/>
      <family val="1"/>
    </font>
    <font>
      <i/>
      <sz val="14"/>
      <color rgb="FF000000"/>
      <name val="Times New Roman"/>
      <family val="1"/>
    </font>
    <font>
      <b/>
      <i/>
      <sz val="14"/>
      <color theme="1"/>
      <name val="Calibri"/>
      <family val="2"/>
      <charset val="163"/>
      <scheme val="minor"/>
    </font>
    <font>
      <sz val="14"/>
      <color theme="1"/>
      <name val="Times New Roman"/>
      <family val="1"/>
    </font>
    <font>
      <b/>
      <sz val="14"/>
      <color theme="1"/>
      <name val="Calibri"/>
      <family val="2"/>
      <charset val="163"/>
      <scheme val="minor"/>
    </font>
    <font>
      <sz val="11"/>
      <color theme="1"/>
      <name val="Calibri"/>
      <family val="2"/>
      <charset val="163"/>
      <scheme val="minor"/>
    </font>
    <font>
      <b/>
      <sz val="14"/>
      <color theme="1"/>
      <name val="Times New Roman"/>
      <family val="1"/>
    </font>
    <font>
      <b/>
      <u/>
      <sz val="14"/>
      <color theme="1"/>
      <name val="Times New Roman"/>
      <family val="1"/>
    </font>
    <font>
      <b/>
      <i/>
      <sz val="14"/>
      <color theme="1"/>
      <name val="Times New Roman"/>
      <family val="1"/>
    </font>
    <font>
      <i/>
      <sz val="14"/>
      <color theme="1"/>
      <name val="Times New Roman"/>
      <family val="1"/>
    </font>
    <font>
      <i/>
      <u/>
      <sz val="14"/>
      <color theme="1"/>
      <name val="Times New Roman"/>
      <family val="1"/>
    </font>
    <font>
      <u/>
      <sz val="14"/>
      <color theme="1"/>
      <name val="Times New Roman"/>
      <family val="1"/>
    </font>
    <font>
      <b/>
      <i/>
      <u/>
      <sz val="14"/>
      <color theme="1"/>
      <name val="Times New Roman"/>
      <family val="1"/>
    </font>
    <font>
      <b/>
      <sz val="8"/>
      <name val="Tahoma"/>
      <family val="2"/>
    </font>
    <font>
      <sz val="8"/>
      <name val="Tahoma"/>
      <family val="2"/>
    </font>
    <font>
      <i/>
      <sz val="14"/>
      <color theme="1"/>
      <name val="Calibri"/>
      <family val="2"/>
      <charset val="163"/>
      <scheme val="minor"/>
    </font>
    <font>
      <b/>
      <sz val="11"/>
      <color theme="1"/>
      <name val="Calibri"/>
      <family val="2"/>
      <scheme val="minor"/>
    </font>
    <font>
      <sz val="12"/>
      <name val="VNI-Times"/>
    </font>
    <font>
      <b/>
      <sz val="18"/>
      <name val="Times New Roman"/>
      <family val="1"/>
    </font>
    <font>
      <b/>
      <sz val="12"/>
      <name val="Times New Roman"/>
      <family val="1"/>
    </font>
    <font>
      <sz val="12"/>
      <name val="VNI-Times"/>
      <family val="2"/>
    </font>
    <font>
      <sz val="12"/>
      <name val="Times New Roman"/>
      <family val="1"/>
    </font>
    <font>
      <b/>
      <sz val="12"/>
      <name val="VNI-Times"/>
      <family val="2"/>
    </font>
    <font>
      <b/>
      <u/>
      <sz val="12"/>
      <name val="VNI-Times"/>
      <family val="2"/>
    </font>
    <font>
      <b/>
      <u/>
      <sz val="12"/>
      <name val="Times New Roman"/>
      <family val="1"/>
    </font>
    <font>
      <b/>
      <i/>
      <sz val="12"/>
      <name val="Times New Roman"/>
      <family val="1"/>
    </font>
    <font>
      <b/>
      <i/>
      <sz val="12"/>
      <name val="VNI-Times"/>
      <family val="2"/>
    </font>
    <font>
      <b/>
      <sz val="12"/>
      <color rgb="FFFF0000"/>
      <name val="Times New Roman"/>
      <family val="1"/>
    </font>
    <font>
      <b/>
      <i/>
      <sz val="12"/>
      <color rgb="FFFF0000"/>
      <name val="Times New Roman"/>
      <family val="1"/>
    </font>
    <font>
      <b/>
      <u/>
      <sz val="12"/>
      <color rgb="FFFF0000"/>
      <name val="Times New Roman"/>
      <family val="1"/>
    </font>
    <font>
      <b/>
      <sz val="12"/>
      <color rgb="FFFF0000"/>
      <name val="VNI-Times"/>
      <family val="2"/>
    </font>
    <font>
      <sz val="12"/>
      <color rgb="FFFF0000"/>
      <name val="Times New Roman"/>
      <family val="1"/>
    </font>
    <font>
      <b/>
      <i/>
      <sz val="12"/>
      <color rgb="FFFF0000"/>
      <name val="VNI-Times"/>
      <family val="2"/>
    </font>
    <font>
      <sz val="10"/>
      <name val="Arial"/>
      <family val="2"/>
    </font>
    <font>
      <b/>
      <sz val="10"/>
      <name val="Arial"/>
      <family val="2"/>
    </font>
    <font>
      <b/>
      <sz val="10"/>
      <color rgb="FFFF0000"/>
      <name val="Arial"/>
      <family val="2"/>
    </font>
    <font>
      <sz val="12"/>
      <color rgb="FFFF0000"/>
      <name val="VNI-Times"/>
      <family val="2"/>
    </font>
    <font>
      <i/>
      <sz val="12"/>
      <name val="Times New Roman"/>
      <family val="1"/>
    </font>
    <font>
      <i/>
      <sz val="12"/>
      <name val="VNI-Times"/>
      <family val="2"/>
    </font>
    <font>
      <i/>
      <u/>
      <sz val="12"/>
      <name val="Times New Roman"/>
      <family val="1"/>
    </font>
    <font>
      <i/>
      <sz val="12"/>
      <color rgb="FFFF0000"/>
      <name val="VNI-Times"/>
      <family val="2"/>
    </font>
    <font>
      <i/>
      <sz val="12"/>
      <color rgb="FFFF0000"/>
      <name val="Times New Roman"/>
      <family val="1"/>
    </font>
    <font>
      <sz val="14"/>
      <name val="Times New Roman"/>
      <family val="1"/>
    </font>
    <font>
      <u/>
      <sz val="12"/>
      <name val="Times New Roman"/>
      <family val="1"/>
    </font>
    <font>
      <b/>
      <i/>
      <u/>
      <sz val="12"/>
      <name val="Times New Roman"/>
      <family val="1"/>
    </font>
    <font>
      <u/>
      <sz val="12"/>
      <color rgb="FFFF0000"/>
      <name val="Times New Roman"/>
      <family val="1"/>
    </font>
    <font>
      <sz val="10"/>
      <color rgb="FFFF0000"/>
      <name val="Arial"/>
      <family val="2"/>
    </font>
    <font>
      <b/>
      <sz val="12"/>
      <color rgb="FF00B050"/>
      <name val="Times New Roman"/>
      <family val="1"/>
    </font>
    <font>
      <b/>
      <u/>
      <sz val="12"/>
      <color rgb="FF00B050"/>
      <name val="Times New Roman"/>
      <family val="1"/>
    </font>
    <font>
      <i/>
      <sz val="12"/>
      <color rgb="FF00B050"/>
      <name val="Times New Roman"/>
      <family val="1"/>
    </font>
    <font>
      <sz val="12"/>
      <color rgb="FF00B050"/>
      <name val="VNI-Times"/>
      <family val="2"/>
    </font>
    <font>
      <sz val="12"/>
      <color rgb="FF00B050"/>
      <name val="Times New Roman"/>
      <family val="1"/>
    </font>
    <font>
      <b/>
      <i/>
      <u/>
      <sz val="12"/>
      <color rgb="FF00B050"/>
      <name val="Times New Roman"/>
      <family val="1"/>
    </font>
    <font>
      <b/>
      <i/>
      <sz val="12"/>
      <color rgb="FF00B050"/>
      <name val="VNI-Times"/>
      <family val="2"/>
    </font>
    <font>
      <i/>
      <sz val="12"/>
      <color rgb="FF00B050"/>
      <name val="VNI-Times"/>
      <family val="2"/>
    </font>
    <font>
      <b/>
      <sz val="10"/>
      <color rgb="FF00B050"/>
      <name val="Arial"/>
      <family val="2"/>
    </font>
    <font>
      <b/>
      <sz val="12"/>
      <color rgb="FF00B050"/>
      <name val="VNI-Times"/>
      <family val="2"/>
    </font>
    <font>
      <u/>
      <sz val="10"/>
      <color indexed="12"/>
      <name val="Arial"/>
      <family val="2"/>
    </font>
    <font>
      <b/>
      <i/>
      <sz val="12"/>
      <color rgb="FF00B050"/>
      <name val="Times New Roman"/>
      <family val="1"/>
    </font>
    <font>
      <sz val="12"/>
      <name val="Arial"/>
      <family val="2"/>
    </font>
    <font>
      <b/>
      <sz val="9"/>
      <color indexed="81"/>
      <name val="Tahoma"/>
      <family val="2"/>
    </font>
    <font>
      <sz val="9"/>
      <color indexed="81"/>
      <name val="Tahoma"/>
      <family val="2"/>
    </font>
    <font>
      <sz val="12"/>
      <name val="¹UAAA¼"/>
      <family val="3"/>
      <charset val="129"/>
    </font>
    <font>
      <sz val="10"/>
      <color indexed="8"/>
      <name val="Arial"/>
      <family val="2"/>
    </font>
    <font>
      <sz val="8"/>
      <name val="Arial"/>
      <family val="2"/>
    </font>
    <font>
      <b/>
      <sz val="12"/>
      <name val="Arial"/>
      <family val="2"/>
    </font>
    <font>
      <b/>
      <sz val="14"/>
      <name val=".VnTimeH"/>
      <family val="2"/>
    </font>
    <font>
      <sz val="10"/>
      <name val="MS Sans Serif"/>
      <family val="2"/>
    </font>
    <font>
      <b/>
      <sz val="11"/>
      <name val="Times New Roman"/>
      <family val="1"/>
    </font>
    <font>
      <sz val="10"/>
      <name val=".VnTime"/>
      <family val="2"/>
    </font>
    <font>
      <sz val="10"/>
      <name val=" "/>
      <family val="1"/>
      <charset val="136"/>
    </font>
    <font>
      <sz val="14"/>
      <name val="뼻뮝"/>
      <family val="3"/>
    </font>
    <font>
      <sz val="12"/>
      <name val="바탕체"/>
      <family val="3"/>
    </font>
    <font>
      <sz val="12"/>
      <name val="뼻뮝"/>
      <family val="3"/>
    </font>
    <font>
      <sz val="11"/>
      <name val="돋움"/>
      <family val="3"/>
    </font>
    <font>
      <sz val="10"/>
      <name val="굴림체"/>
      <family val="3"/>
    </font>
    <font>
      <b/>
      <sz val="9"/>
      <name val="Arial"/>
      <family val="2"/>
    </font>
    <font>
      <sz val="12"/>
      <name val="新細明體"/>
      <charset val="136"/>
    </font>
    <font>
      <sz val="12"/>
      <name val="Courier"/>
      <family val="3"/>
    </font>
    <font>
      <sz val="8"/>
      <name val="Calibri"/>
      <family val="2"/>
      <charset val="163"/>
      <scheme val="minor"/>
    </font>
    <font>
      <b/>
      <sz val="11"/>
      <color theme="1"/>
      <name val="Calibri"/>
      <family val="2"/>
      <charset val="163"/>
      <scheme val="minor"/>
    </font>
    <font>
      <b/>
      <sz val="14"/>
      <color indexed="8"/>
      <name val="Times New Roman"/>
      <family val="1"/>
    </font>
    <font>
      <i/>
      <sz val="14"/>
      <color indexed="8"/>
      <name val="Times New Roman"/>
      <family val="1"/>
    </font>
    <font>
      <sz val="14"/>
      <color indexed="8"/>
      <name val="Times New Roman"/>
      <family val="1"/>
    </font>
    <font>
      <i/>
      <sz val="13"/>
      <name val="Times New Roman"/>
      <family val="1"/>
    </font>
    <font>
      <b/>
      <sz val="14"/>
      <name val="Times New Roman"/>
      <family val="1"/>
    </font>
    <font>
      <sz val="10"/>
      <name val="Times New Roman"/>
      <family val="1"/>
    </font>
    <font>
      <sz val="10"/>
      <name val="VNI-Times"/>
    </font>
    <font>
      <sz val="13"/>
      <name val="Times New Roman"/>
      <family val="1"/>
    </font>
    <font>
      <sz val="14"/>
      <name val="Calibri"/>
      <family val="2"/>
      <charset val="163"/>
      <scheme val="minor"/>
    </font>
    <font>
      <i/>
      <sz val="14"/>
      <name val="Times New Roman"/>
      <family val="1"/>
    </font>
    <font>
      <b/>
      <i/>
      <sz val="14"/>
      <name val="Times New Roman"/>
      <family val="1"/>
    </font>
    <font>
      <b/>
      <i/>
      <sz val="14"/>
      <name val="Calibri"/>
      <family val="2"/>
      <charset val="163"/>
      <scheme val="minor"/>
    </font>
    <font>
      <b/>
      <sz val="14"/>
      <name val="Calibri"/>
      <family val="2"/>
      <charset val="163"/>
      <scheme val="minor"/>
    </font>
    <font>
      <sz val="12"/>
      <color theme="0"/>
      <name val="Times New Roman"/>
      <family val="1"/>
    </font>
    <font>
      <u/>
      <sz val="10"/>
      <name val="Arial"/>
      <family val="2"/>
    </font>
    <font>
      <i/>
      <sz val="10"/>
      <name val="Times New Roman"/>
      <family val="1"/>
    </font>
    <font>
      <b/>
      <sz val="10"/>
      <name val="Times New Roman"/>
      <family val="1"/>
    </font>
    <font>
      <sz val="9"/>
      <name val="Times New Roman"/>
      <family val="1"/>
    </font>
    <font>
      <b/>
      <i/>
      <sz val="10"/>
      <name val="Times New Roman"/>
      <family val="1"/>
    </font>
    <font>
      <b/>
      <sz val="13"/>
      <name val="Times New Roman"/>
      <family val="1"/>
    </font>
    <font>
      <b/>
      <sz val="8"/>
      <name val="Times New Roman"/>
      <family val="1"/>
    </font>
    <font>
      <b/>
      <sz val="9"/>
      <name val="Times New Roman"/>
      <family val="1"/>
    </font>
    <font>
      <b/>
      <sz val="6"/>
      <name val="Times New Roman"/>
      <family val="1"/>
    </font>
    <font>
      <sz val="8"/>
      <name val="Times New Roman"/>
      <family val="1"/>
    </font>
    <font>
      <i/>
      <sz val="11"/>
      <name val="Times New Roman"/>
      <family val="1"/>
    </font>
    <font>
      <b/>
      <sz val="12"/>
      <color theme="0"/>
      <name val="Times New Roman"/>
      <family val="1"/>
    </font>
    <font>
      <b/>
      <i/>
      <sz val="9"/>
      <name val="Times New Roman"/>
      <family val="1"/>
    </font>
    <font>
      <i/>
      <sz val="9"/>
      <name val="Times New Roman"/>
      <family val="1"/>
    </font>
    <font>
      <i/>
      <sz val="8"/>
      <name val="Times New Roman"/>
      <family val="1"/>
    </font>
    <font>
      <sz val="7"/>
      <name val="Times New Roman"/>
      <family val="1"/>
    </font>
    <font>
      <b/>
      <sz val="7"/>
      <name val="Times New Roman"/>
      <family val="1"/>
    </font>
    <font>
      <sz val="8"/>
      <color rgb="FFFF0000"/>
      <name val="Times New Roman"/>
      <family val="1"/>
    </font>
    <font>
      <b/>
      <u/>
      <sz val="12"/>
      <color theme="0"/>
      <name val="Times New Roman"/>
      <family val="1"/>
    </font>
    <font>
      <sz val="10"/>
      <color theme="1"/>
      <name val="Times New Roman"/>
      <family val="1"/>
    </font>
    <font>
      <sz val="9"/>
      <color theme="1"/>
      <name val="Times New Roman"/>
      <family val="1"/>
    </font>
    <font>
      <b/>
      <i/>
      <u/>
      <sz val="12"/>
      <color rgb="FFFF0000"/>
      <name val="Times New Roman"/>
      <family val="1"/>
    </font>
    <font>
      <sz val="14"/>
      <color theme="0"/>
      <name val="Times New Roman"/>
      <family val="1"/>
    </font>
    <font>
      <b/>
      <i/>
      <sz val="14"/>
      <color theme="0"/>
      <name val="Times New Roman"/>
      <family val="1"/>
    </font>
    <font>
      <b/>
      <sz val="14"/>
      <color theme="0"/>
      <name val="Times New Roman"/>
      <family val="1"/>
    </font>
    <font>
      <sz val="11"/>
      <color indexed="8"/>
      <name val=".VnTime"/>
    </font>
    <font>
      <sz val="11"/>
      <color indexed="8"/>
      <name val="Times New Roman"/>
      <family val="1"/>
    </font>
    <font>
      <sz val="14"/>
      <color rgb="FFFF0000"/>
      <name val="Times New Roman"/>
      <family val="1"/>
    </font>
    <font>
      <i/>
      <sz val="14"/>
      <name val="Calibri"/>
      <family val="2"/>
      <charset val="163"/>
      <scheme val="minor"/>
    </font>
    <font>
      <b/>
      <sz val="14"/>
      <color rgb="FFFF0000"/>
      <name val="Times New Roman"/>
      <family val="1"/>
    </font>
    <font>
      <i/>
      <sz val="14"/>
      <color rgb="FFFF0000"/>
      <name val="Times New Roman"/>
      <family val="1"/>
    </font>
    <font>
      <i/>
      <sz val="14"/>
      <color theme="0"/>
      <name val="Times New Roman"/>
      <family val="1"/>
    </font>
  </fonts>
  <fills count="11">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92D05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diagonal/>
    </border>
    <border>
      <left/>
      <right style="medium">
        <color indexed="64"/>
      </right>
      <top/>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s>
  <cellStyleXfs count="86">
    <xf numFmtId="0" fontId="0" fillId="0" borderId="0"/>
    <xf numFmtId="164" fontId="9" fillId="0" borderId="0" applyFont="0" applyFill="0" applyBorder="0" applyAlignment="0" applyProtection="0"/>
    <xf numFmtId="0" fontId="21" fillId="0" borderId="0"/>
    <xf numFmtId="164" fontId="21" fillId="0" borderId="0" applyFont="0" applyFill="0" applyBorder="0" applyAlignment="0" applyProtection="0"/>
    <xf numFmtId="0" fontId="61" fillId="0" borderId="0" applyNumberFormat="0" applyFill="0" applyBorder="0" applyAlignment="0" applyProtection="0">
      <alignment vertical="top"/>
      <protection locked="0"/>
    </xf>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xf numFmtId="0" fontId="66" fillId="0" borderId="0"/>
    <xf numFmtId="173" fontId="37" fillId="0" borderId="0" applyFill="0" applyBorder="0" applyAlignment="0"/>
    <xf numFmtId="174" fontId="37" fillId="0" borderId="0" applyFill="0" applyBorder="0" applyAlignment="0"/>
    <xf numFmtId="175" fontId="37" fillId="0" borderId="0" applyFill="0" applyBorder="0" applyAlignment="0"/>
    <xf numFmtId="176" fontId="37" fillId="0" borderId="0" applyFill="0" applyBorder="0" applyAlignment="0"/>
    <xf numFmtId="177" fontId="37" fillId="0" borderId="0" applyFill="0" applyBorder="0" applyAlignment="0"/>
    <xf numFmtId="173" fontId="37" fillId="0" borderId="0" applyFill="0" applyBorder="0" applyAlignment="0"/>
    <xf numFmtId="178" fontId="37" fillId="0" borderId="0" applyFill="0" applyBorder="0" applyAlignment="0"/>
    <xf numFmtId="174" fontId="37" fillId="0" borderId="0" applyFill="0" applyBorder="0" applyAlignment="0"/>
    <xf numFmtId="173" fontId="37" fillId="0" borderId="0" applyFont="0" applyFill="0" applyBorder="0" applyAlignment="0" applyProtection="0"/>
    <xf numFmtId="3" fontId="37" fillId="0" borderId="0" applyFont="0" applyFill="0" applyBorder="0" applyAlignment="0" applyProtection="0"/>
    <xf numFmtId="174" fontId="37" fillId="0" borderId="0" applyFont="0" applyFill="0" applyBorder="0" applyAlignment="0" applyProtection="0"/>
    <xf numFmtId="179" fontId="21" fillId="0" borderId="0" applyFont="0" applyFill="0" applyBorder="0" applyAlignment="0" applyProtection="0"/>
    <xf numFmtId="0" fontId="37" fillId="0" borderId="0" applyFont="0" applyFill="0" applyBorder="0" applyAlignment="0" applyProtection="0"/>
    <xf numFmtId="14" fontId="67" fillId="0" borderId="0" applyFill="0" applyBorder="0" applyAlignment="0"/>
    <xf numFmtId="173" fontId="37" fillId="0" borderId="0" applyFill="0" applyBorder="0" applyAlignment="0"/>
    <xf numFmtId="174" fontId="37" fillId="0" borderId="0" applyFill="0" applyBorder="0" applyAlignment="0"/>
    <xf numFmtId="173" fontId="37" fillId="0" borderId="0" applyFill="0" applyBorder="0" applyAlignment="0"/>
    <xf numFmtId="178" fontId="37" fillId="0" borderId="0" applyFill="0" applyBorder="0" applyAlignment="0"/>
    <xf numFmtId="174" fontId="37" fillId="0" borderId="0" applyFill="0" applyBorder="0" applyAlignment="0"/>
    <xf numFmtId="2" fontId="37" fillId="0" borderId="0" applyFont="0" applyFill="0" applyBorder="0" applyAlignment="0" applyProtection="0"/>
    <xf numFmtId="38" fontId="68" fillId="3" borderId="0" applyNumberFormat="0" applyBorder="0" applyAlignment="0" applyProtection="0"/>
    <xf numFmtId="0" fontId="69" fillId="0" borderId="13" applyNumberFormat="0" applyAlignment="0" applyProtection="0">
      <alignment horizontal="left" vertical="center"/>
    </xf>
    <xf numFmtId="0" fontId="69" fillId="0" borderId="14">
      <alignment horizontal="left" vertical="center"/>
    </xf>
    <xf numFmtId="49" fontId="70" fillId="0" borderId="1">
      <alignment vertical="center"/>
    </xf>
    <xf numFmtId="10" fontId="68" fillId="4" borderId="1" applyNumberFormat="0" applyBorder="0" applyAlignment="0" applyProtection="0"/>
    <xf numFmtId="173" fontId="37" fillId="0" borderId="0" applyFill="0" applyBorder="0" applyAlignment="0"/>
    <xf numFmtId="174" fontId="37" fillId="0" borderId="0" applyFill="0" applyBorder="0" applyAlignment="0"/>
    <xf numFmtId="173" fontId="37" fillId="0" borderId="0" applyFill="0" applyBorder="0" applyAlignment="0"/>
    <xf numFmtId="178" fontId="37" fillId="0" borderId="0" applyFill="0" applyBorder="0" applyAlignment="0"/>
    <xf numFmtId="174" fontId="37" fillId="0" borderId="0" applyFill="0" applyBorder="0" applyAlignment="0"/>
    <xf numFmtId="38" fontId="71" fillId="0" borderId="0" applyFont="0" applyFill="0" applyBorder="0" applyAlignment="0" applyProtection="0"/>
    <xf numFmtId="40" fontId="71" fillId="0" borderId="0" applyFont="0" applyFill="0" applyBorder="0" applyAlignment="0" applyProtection="0"/>
    <xf numFmtId="180" fontId="71" fillId="0" borderId="0" applyFont="0" applyFill="0" applyBorder="0" applyAlignment="0" applyProtection="0"/>
    <xf numFmtId="181" fontId="71" fillId="0" borderId="0" applyFont="0" applyFill="0" applyBorder="0" applyAlignment="0" applyProtection="0"/>
    <xf numFmtId="0" fontId="63" fillId="0" borderId="0" applyNumberFormat="0" applyFont="0" applyFill="0" applyAlignment="0"/>
    <xf numFmtId="182" fontId="37" fillId="0" borderId="0"/>
    <xf numFmtId="177" fontId="37" fillId="0" borderId="0" applyFont="0" applyFill="0" applyBorder="0" applyAlignment="0" applyProtection="0"/>
    <xf numFmtId="183" fontId="37" fillId="0" borderId="0" applyFont="0" applyFill="0" applyBorder="0" applyAlignment="0" applyProtection="0"/>
    <xf numFmtId="10" fontId="37" fillId="0" borderId="0" applyFont="0" applyFill="0" applyBorder="0" applyAlignment="0" applyProtection="0"/>
    <xf numFmtId="173" fontId="37" fillId="0" borderId="0" applyFill="0" applyBorder="0" applyAlignment="0"/>
    <xf numFmtId="174" fontId="37" fillId="0" borderId="0" applyFill="0" applyBorder="0" applyAlignment="0"/>
    <xf numFmtId="173" fontId="37" fillId="0" borderId="0" applyFill="0" applyBorder="0" applyAlignment="0"/>
    <xf numFmtId="178" fontId="37" fillId="0" borderId="0" applyFill="0" applyBorder="0" applyAlignment="0"/>
    <xf numFmtId="174" fontId="37" fillId="0" borderId="0" applyFill="0" applyBorder="0" applyAlignment="0"/>
    <xf numFmtId="49" fontId="67" fillId="0" borderId="0" applyFill="0" applyBorder="0" applyAlignment="0"/>
    <xf numFmtId="184" fontId="37" fillId="0" borderId="0" applyFill="0" applyBorder="0" applyAlignment="0"/>
    <xf numFmtId="185" fontId="37" fillId="0" borderId="0" applyFill="0" applyBorder="0" applyAlignment="0"/>
    <xf numFmtId="40" fontId="72" fillId="0" borderId="0"/>
    <xf numFmtId="165" fontId="37" fillId="0" borderId="0" applyFont="0" applyFill="0" applyBorder="0" applyAlignment="0" applyProtection="0"/>
    <xf numFmtId="166" fontId="37" fillId="0" borderId="0" applyFont="0" applyFill="0" applyBorder="0" applyAlignment="0" applyProtection="0"/>
    <xf numFmtId="186" fontId="37" fillId="0" borderId="0" applyFont="0" applyFill="0" applyBorder="0" applyAlignment="0" applyProtection="0"/>
    <xf numFmtId="187" fontId="37" fillId="0" borderId="0" applyFont="0" applyFill="0" applyBorder="0" applyAlignment="0" applyProtection="0"/>
    <xf numFmtId="5" fontId="73" fillId="0" borderId="3">
      <alignment horizontal="left" vertical="top"/>
    </xf>
    <xf numFmtId="0" fontId="74" fillId="0" borderId="0" applyFont="0" applyFill="0" applyBorder="0" applyAlignment="0" applyProtection="0"/>
    <xf numFmtId="0" fontId="74" fillId="0" borderId="0" applyFont="0" applyFill="0" applyBorder="0" applyAlignment="0" applyProtection="0"/>
    <xf numFmtId="0" fontId="25" fillId="0" borderId="0">
      <alignment vertical="center"/>
    </xf>
    <xf numFmtId="40" fontId="75" fillId="0" borderId="0" applyFont="0" applyFill="0" applyBorder="0" applyAlignment="0" applyProtection="0"/>
    <xf numFmtId="38" fontId="75" fillId="0" borderId="0" applyFont="0" applyFill="0" applyBorder="0" applyAlignment="0" applyProtection="0"/>
    <xf numFmtId="0" fontId="75" fillId="0" borderId="0" applyFont="0" applyFill="0" applyBorder="0" applyAlignment="0" applyProtection="0"/>
    <xf numFmtId="0" fontId="75" fillId="0" borderId="0" applyFont="0" applyFill="0" applyBorder="0" applyAlignment="0" applyProtection="0"/>
    <xf numFmtId="9" fontId="76" fillId="0" borderId="0" applyFont="0" applyFill="0" applyBorder="0" applyAlignment="0" applyProtection="0"/>
    <xf numFmtId="0" fontId="77" fillId="0" borderId="0"/>
    <xf numFmtId="188" fontId="78" fillId="0" borderId="0" applyFont="0" applyFill="0" applyBorder="0" applyAlignment="0" applyProtection="0"/>
    <xf numFmtId="189" fontId="78" fillId="0" borderId="0" applyFont="0" applyFill="0" applyBorder="0" applyAlignment="0" applyProtection="0"/>
    <xf numFmtId="190" fontId="78" fillId="0" borderId="0" applyFont="0" applyFill="0" applyBorder="0" applyAlignment="0" applyProtection="0"/>
    <xf numFmtId="191" fontId="78" fillId="0" borderId="0" applyFont="0" applyFill="0" applyBorder="0" applyAlignment="0" applyProtection="0"/>
    <xf numFmtId="0" fontId="79" fillId="0" borderId="0"/>
    <xf numFmtId="0" fontId="80" fillId="0" borderId="0" applyProtection="0"/>
    <xf numFmtId="165" fontId="81" fillId="0" borderId="0" applyFont="0" applyFill="0" applyBorder="0" applyAlignment="0" applyProtection="0"/>
    <xf numFmtId="40" fontId="82" fillId="0" borderId="0" applyFont="0" applyFill="0" applyBorder="0" applyAlignment="0" applyProtection="0"/>
    <xf numFmtId="186" fontId="81" fillId="0" borderId="0" applyFont="0" applyFill="0" applyBorder="0" applyAlignment="0" applyProtection="0"/>
    <xf numFmtId="6" fontId="82" fillId="0" borderId="0" applyFont="0" applyFill="0" applyBorder="0" applyAlignment="0" applyProtection="0"/>
    <xf numFmtId="187" fontId="81" fillId="0" borderId="0" applyFont="0" applyFill="0" applyBorder="0" applyAlignment="0" applyProtection="0"/>
    <xf numFmtId="43" fontId="37" fillId="0" borderId="0" applyFont="0" applyFill="0" applyBorder="0" applyAlignment="0" applyProtection="0"/>
    <xf numFmtId="41" fontId="9" fillId="0" borderId="0" applyFont="0" applyFill="0" applyBorder="0" applyAlignment="0" applyProtection="0"/>
  </cellStyleXfs>
  <cellXfs count="1853">
    <xf numFmtId="0" fontId="0" fillId="0" borderId="0" xfId="0"/>
    <xf numFmtId="0" fontId="1" fillId="0" borderId="0" xfId="0" applyFont="1" applyAlignment="1">
      <alignment vertical="center"/>
    </xf>
    <xf numFmtId="0" fontId="2" fillId="0" borderId="0" xfId="0" applyFont="1"/>
    <xf numFmtId="0" fontId="1" fillId="0" borderId="0" xfId="0" applyFont="1" applyAlignment="1">
      <alignment horizontal="right" vertical="center" wrapText="1"/>
    </xf>
    <xf numFmtId="0" fontId="1" fillId="0" borderId="0" xfId="0" applyFont="1" applyAlignment="1">
      <alignment horizontal="right" vertical="center"/>
    </xf>
    <xf numFmtId="0" fontId="3" fillId="0" borderId="0" xfId="0" applyFont="1" applyAlignment="1">
      <alignment vertical="center"/>
    </xf>
    <xf numFmtId="0" fontId="5" fillId="0" borderId="0" xfId="0" applyFont="1" applyAlignment="1">
      <alignment horizontal="right" vertical="center"/>
    </xf>
    <xf numFmtId="0" fontId="1" fillId="0" borderId="1" xfId="0" applyFont="1" applyBorder="1" applyAlignment="1">
      <alignment horizontal="center" vertical="center" wrapText="1"/>
    </xf>
    <xf numFmtId="0" fontId="1" fillId="0" borderId="1" xfId="0" quotePrefix="1" applyFont="1" applyBorder="1" applyAlignment="1">
      <alignment horizontal="center" vertical="center" wrapText="1"/>
    </xf>
    <xf numFmtId="0" fontId="1" fillId="0" borderId="1" xfId="0" applyFont="1" applyBorder="1" applyAlignment="1">
      <alignment horizontal="justify" vertical="center" wrapText="1"/>
    </xf>
    <xf numFmtId="3" fontId="1" fillId="0" borderId="1" xfId="0" applyNumberFormat="1" applyFont="1" applyBorder="1" applyAlignment="1">
      <alignment vertical="center" wrapText="1"/>
    </xf>
    <xf numFmtId="3" fontId="3"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3" fontId="4"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0" fontId="6"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3" fontId="3" fillId="0" borderId="1" xfId="0" applyNumberFormat="1" applyFont="1" applyBorder="1" applyAlignment="1">
      <alignment vertical="center" wrapText="1"/>
    </xf>
    <xf numFmtId="3" fontId="3" fillId="0" borderId="1" xfId="0" applyNumberFormat="1" applyFont="1" applyBorder="1" applyAlignment="1">
      <alignment horizontal="justify" vertical="center" wrapText="1"/>
    </xf>
    <xf numFmtId="0" fontId="7" fillId="0" borderId="1" xfId="0" quotePrefix="1" applyFont="1" applyBorder="1" applyAlignment="1">
      <alignment horizontal="center" vertical="center" wrapText="1"/>
    </xf>
    <xf numFmtId="0" fontId="7" fillId="0" borderId="1" xfId="0" applyFont="1" applyBorder="1" applyAlignment="1">
      <alignment horizontal="justify" vertical="center" wrapText="1"/>
    </xf>
    <xf numFmtId="3" fontId="7" fillId="0" borderId="1" xfId="0" applyNumberFormat="1" applyFont="1" applyBorder="1" applyAlignment="1">
      <alignment vertical="center" wrapText="1"/>
    </xf>
    <xf numFmtId="3" fontId="1" fillId="0" borderId="1" xfId="0" applyNumberFormat="1" applyFont="1" applyBorder="1" applyAlignment="1">
      <alignment horizontal="center" vertical="center" wrapText="1"/>
    </xf>
    <xf numFmtId="0" fontId="8" fillId="0" borderId="0" xfId="0" applyFont="1"/>
    <xf numFmtId="167" fontId="10" fillId="0" borderId="0" xfId="0" applyNumberFormat="1" applyFont="1" applyAlignment="1">
      <alignment horizontal="center" vertical="center"/>
    </xf>
    <xf numFmtId="0" fontId="7" fillId="0" borderId="0" xfId="0" applyFont="1"/>
    <xf numFmtId="0" fontId="7" fillId="0" borderId="0" xfId="0" applyFont="1" applyAlignment="1">
      <alignment horizontal="center" vertical="center"/>
    </xf>
    <xf numFmtId="0" fontId="7" fillId="0" borderId="0" xfId="0" applyFont="1" applyAlignment="1">
      <alignment vertical="center" wrapText="1"/>
    </xf>
    <xf numFmtId="3" fontId="7" fillId="0" borderId="0" xfId="0" applyNumberFormat="1"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3" fontId="10" fillId="0" borderId="0" xfId="0" applyNumberFormat="1" applyFont="1" applyAlignment="1">
      <alignment horizontal="center" vertical="center" wrapText="1"/>
    </xf>
    <xf numFmtId="0" fontId="10" fillId="0" borderId="0" xfId="0" applyFont="1" applyAlignment="1">
      <alignment horizontal="center"/>
    </xf>
    <xf numFmtId="0" fontId="11" fillId="0" borderId="1" xfId="0" applyFont="1" applyBorder="1" applyAlignment="1">
      <alignment horizontal="center" vertical="center" wrapText="1"/>
    </xf>
    <xf numFmtId="3" fontId="11" fillId="0" borderId="1" xfId="0" applyNumberFormat="1" applyFont="1" applyBorder="1" applyAlignment="1">
      <alignment vertical="center" wrapText="1"/>
    </xf>
    <xf numFmtId="3" fontId="11" fillId="0" borderId="1" xfId="0" applyNumberFormat="1" applyFont="1" applyBorder="1" applyAlignment="1">
      <alignment horizontal="justify" vertical="center" wrapText="1"/>
    </xf>
    <xf numFmtId="3" fontId="11" fillId="0" borderId="0" xfId="0" applyNumberFormat="1" applyFont="1" applyAlignment="1">
      <alignment vertical="center" wrapText="1"/>
    </xf>
    <xf numFmtId="0" fontId="11" fillId="0" borderId="0" xfId="0" applyFont="1" applyAlignment="1">
      <alignment vertical="center" wrapText="1"/>
    </xf>
    <xf numFmtId="0" fontId="10" fillId="0" borderId="1" xfId="0" applyFont="1" applyBorder="1" applyAlignment="1">
      <alignment vertical="center" wrapText="1"/>
    </xf>
    <xf numFmtId="3" fontId="10" fillId="0" borderId="1" xfId="0" applyNumberFormat="1" applyFont="1" applyBorder="1" applyAlignment="1">
      <alignment vertical="center" wrapText="1"/>
    </xf>
    <xf numFmtId="0" fontId="10" fillId="0" borderId="0" xfId="0" applyFont="1" applyAlignment="1">
      <alignment vertical="center" wrapText="1"/>
    </xf>
    <xf numFmtId="0" fontId="12" fillId="0" borderId="1" xfId="0" applyFont="1" applyBorder="1" applyAlignment="1">
      <alignment horizontal="center" vertical="center" wrapText="1"/>
    </xf>
    <xf numFmtId="3" fontId="12" fillId="0" borderId="1" xfId="0" applyNumberFormat="1" applyFont="1" applyBorder="1" applyAlignment="1">
      <alignment vertical="center" wrapText="1"/>
    </xf>
    <xf numFmtId="3" fontId="10" fillId="0" borderId="0" xfId="0" applyNumberFormat="1" applyFont="1" applyAlignment="1">
      <alignment horizontal="right" vertical="center" wrapText="1"/>
    </xf>
    <xf numFmtId="0" fontId="12" fillId="0" borderId="0" xfId="0" applyFont="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center" vertical="center" wrapText="1"/>
    </xf>
    <xf numFmtId="3" fontId="7" fillId="0" borderId="1" xfId="0" applyNumberFormat="1" applyFont="1" applyBorder="1" applyAlignment="1">
      <alignment horizontal="justify" vertical="center" wrapText="1"/>
    </xf>
    <xf numFmtId="3" fontId="7" fillId="0" borderId="0" xfId="0" applyNumberFormat="1" applyFont="1" applyAlignment="1">
      <alignment vertical="center" wrapText="1"/>
    </xf>
    <xf numFmtId="3" fontId="7" fillId="0" borderId="0" xfId="0" applyNumberFormat="1" applyFont="1" applyAlignment="1">
      <alignment horizontal="right" vertical="center" wrapText="1"/>
    </xf>
    <xf numFmtId="3" fontId="7" fillId="0" borderId="1" xfId="0" applyNumberFormat="1" applyFont="1" applyBorder="1" applyAlignment="1">
      <alignment horizontal="right" vertical="center" wrapText="1"/>
    </xf>
    <xf numFmtId="3" fontId="7" fillId="0" borderId="0" xfId="0" applyNumberFormat="1" applyFont="1" applyAlignment="1">
      <alignment horizontal="left" vertical="center" wrapText="1"/>
    </xf>
    <xf numFmtId="0" fontId="7" fillId="0" borderId="1" xfId="0" applyFont="1" applyBorder="1" applyAlignment="1">
      <alignment wrapText="1"/>
    </xf>
    <xf numFmtId="3" fontId="10" fillId="0" borderId="1" xfId="0" applyNumberFormat="1" applyFont="1" applyBorder="1" applyAlignment="1">
      <alignment horizontal="justify" vertical="center" wrapText="1"/>
    </xf>
    <xf numFmtId="3" fontId="10" fillId="0" borderId="0" xfId="0" applyNumberFormat="1" applyFont="1" applyAlignment="1">
      <alignment vertical="center" wrapText="1"/>
    </xf>
    <xf numFmtId="0" fontId="10" fillId="0" borderId="1" xfId="0" applyFont="1" applyBorder="1" applyAlignment="1">
      <alignment horizontal="left" vertical="center" wrapText="1"/>
    </xf>
    <xf numFmtId="0" fontId="7" fillId="0" borderId="1" xfId="0" applyFont="1" applyBorder="1" applyAlignment="1">
      <alignment horizontal="left" vertical="center" wrapText="1"/>
    </xf>
    <xf numFmtId="3" fontId="7" fillId="0" borderId="0" xfId="0" applyNumberFormat="1" applyFont="1" applyAlignment="1">
      <alignment horizontal="center" vertical="center" wrapText="1"/>
    </xf>
    <xf numFmtId="0" fontId="13" fillId="0" borderId="0" xfId="0" applyFont="1" applyAlignment="1">
      <alignment vertical="center" wrapText="1"/>
    </xf>
    <xf numFmtId="0" fontId="13" fillId="0" borderId="0" xfId="0" applyFont="1"/>
    <xf numFmtId="0" fontId="13" fillId="0" borderId="1" xfId="0" applyFont="1" applyBorder="1" applyAlignment="1">
      <alignment horizontal="center" vertical="center" wrapText="1"/>
    </xf>
    <xf numFmtId="0" fontId="13" fillId="0" borderId="1" xfId="0" quotePrefix="1" applyFont="1" applyBorder="1" applyAlignment="1">
      <alignment vertical="center" wrapText="1"/>
    </xf>
    <xf numFmtId="3" fontId="13" fillId="0" borderId="1" xfId="0" applyNumberFormat="1" applyFont="1" applyBorder="1" applyAlignment="1">
      <alignment vertical="center" wrapText="1"/>
    </xf>
    <xf numFmtId="3" fontId="14" fillId="0" borderId="1" xfId="0" applyNumberFormat="1" applyFont="1" applyBorder="1" applyAlignment="1">
      <alignment horizontal="justify" vertical="center" wrapText="1"/>
    </xf>
    <xf numFmtId="3" fontId="14" fillId="0" borderId="0" xfId="0" applyNumberFormat="1" applyFont="1" applyAlignment="1">
      <alignment vertical="center" wrapText="1"/>
    </xf>
    <xf numFmtId="3" fontId="13" fillId="0" borderId="0" xfId="0" applyNumberFormat="1" applyFont="1" applyAlignment="1">
      <alignment horizontal="center" vertical="center" wrapText="1"/>
    </xf>
    <xf numFmtId="3" fontId="10" fillId="0" borderId="1" xfId="0" applyNumberFormat="1" applyFont="1" applyBorder="1" applyAlignment="1">
      <alignment vertical="center"/>
    </xf>
    <xf numFmtId="3" fontId="10" fillId="0" borderId="0" xfId="0" applyNumberFormat="1" applyFont="1" applyAlignment="1">
      <alignment horizontal="left" vertical="center" wrapText="1"/>
    </xf>
    <xf numFmtId="0" fontId="10" fillId="0" borderId="0" xfId="0" applyFont="1"/>
    <xf numFmtId="0" fontId="7" fillId="0" borderId="1" xfId="0" applyFont="1" applyBorder="1" applyAlignment="1">
      <alignment horizontal="center" vertical="center"/>
    </xf>
    <xf numFmtId="3" fontId="7" fillId="0" borderId="1" xfId="0" applyNumberFormat="1" applyFont="1" applyBorder="1" applyAlignment="1">
      <alignment horizontal="left" vertical="center" wrapText="1"/>
    </xf>
    <xf numFmtId="3" fontId="7" fillId="0" borderId="1" xfId="0" applyNumberFormat="1" applyFont="1" applyBorder="1" applyAlignment="1">
      <alignment vertical="center"/>
    </xf>
    <xf numFmtId="3" fontId="15" fillId="0" borderId="1" xfId="0" applyNumberFormat="1" applyFont="1" applyBorder="1" applyAlignment="1">
      <alignment vertical="center" wrapText="1"/>
    </xf>
    <xf numFmtId="3" fontId="15" fillId="0" borderId="1" xfId="0" applyNumberFormat="1" applyFont="1" applyBorder="1" applyAlignment="1">
      <alignment horizontal="justify" vertical="center" wrapText="1"/>
    </xf>
    <xf numFmtId="3" fontId="15" fillId="0" borderId="0" xfId="0" applyNumberFormat="1" applyFont="1" applyAlignment="1">
      <alignment vertical="center" wrapText="1"/>
    </xf>
    <xf numFmtId="3" fontId="13" fillId="0" borderId="1" xfId="0" applyNumberFormat="1" applyFont="1" applyBorder="1" applyAlignment="1">
      <alignment horizontal="left" vertical="center" wrapText="1"/>
    </xf>
    <xf numFmtId="3" fontId="13" fillId="0" borderId="1" xfId="0" applyNumberFormat="1" applyFont="1" applyBorder="1" applyAlignment="1">
      <alignment horizontal="justify" vertical="center" wrapText="1"/>
    </xf>
    <xf numFmtId="3" fontId="13" fillId="0" borderId="0" xfId="0" applyNumberFormat="1" applyFont="1" applyAlignment="1">
      <alignment horizontal="left" vertical="center" wrapText="1"/>
    </xf>
    <xf numFmtId="0" fontId="7" fillId="0" borderId="0" xfId="0" applyFont="1" applyAlignment="1">
      <alignment wrapText="1"/>
    </xf>
    <xf numFmtId="0" fontId="12" fillId="0" borderId="1" xfId="0" applyFont="1" applyBorder="1" applyAlignment="1">
      <alignment horizontal="center" vertical="center"/>
    </xf>
    <xf numFmtId="0" fontId="12" fillId="0" borderId="1" xfId="0" applyFont="1" applyBorder="1" applyAlignment="1">
      <alignment horizontal="left" vertical="center" wrapText="1"/>
    </xf>
    <xf numFmtId="3" fontId="12" fillId="0" borderId="1" xfId="0" applyNumberFormat="1" applyFont="1" applyBorder="1" applyAlignment="1">
      <alignment vertical="center"/>
    </xf>
    <xf numFmtId="3" fontId="16" fillId="0" borderId="1" xfId="0" applyNumberFormat="1" applyFont="1" applyBorder="1" applyAlignment="1">
      <alignment horizontal="justify" vertical="center" wrapText="1"/>
    </xf>
    <xf numFmtId="3" fontId="16" fillId="0" borderId="0" xfId="0" applyNumberFormat="1" applyFont="1" applyAlignment="1">
      <alignment vertical="center" wrapText="1"/>
    </xf>
    <xf numFmtId="3" fontId="12" fillId="0" borderId="0" xfId="0" applyNumberFormat="1" applyFont="1" applyAlignment="1">
      <alignment horizontal="left" vertical="center" wrapText="1"/>
    </xf>
    <xf numFmtId="0" fontId="12" fillId="0" borderId="0" xfId="0" applyFont="1"/>
    <xf numFmtId="0" fontId="13" fillId="0" borderId="1" xfId="0" applyFont="1" applyBorder="1" applyAlignment="1">
      <alignment horizontal="center" vertical="center"/>
    </xf>
    <xf numFmtId="0" fontId="13" fillId="0" borderId="1" xfId="0" applyFont="1" applyBorder="1" applyAlignment="1">
      <alignment horizontal="left" vertical="center" wrapText="1"/>
    </xf>
    <xf numFmtId="3" fontId="13" fillId="0" borderId="1" xfId="0" applyNumberFormat="1" applyFont="1" applyBorder="1" applyAlignment="1">
      <alignment vertical="center"/>
    </xf>
    <xf numFmtId="3" fontId="12" fillId="0" borderId="1" xfId="0" applyNumberFormat="1" applyFont="1" applyBorder="1" applyAlignment="1">
      <alignment horizontal="justify" vertical="center" wrapText="1"/>
    </xf>
    <xf numFmtId="3" fontId="12" fillId="0" borderId="0" xfId="0" applyNumberFormat="1" applyFont="1" applyAlignment="1">
      <alignment vertical="center" wrapText="1"/>
    </xf>
    <xf numFmtId="3" fontId="13" fillId="0" borderId="0" xfId="0" applyNumberFormat="1" applyFont="1" applyAlignment="1">
      <alignment vertical="center" wrapText="1"/>
    </xf>
    <xf numFmtId="3" fontId="7" fillId="0" borderId="0" xfId="0" applyNumberFormat="1" applyFont="1" applyAlignment="1">
      <alignment horizontal="center" vertical="center"/>
    </xf>
    <xf numFmtId="3" fontId="10" fillId="0" borderId="0" xfId="0" applyNumberFormat="1" applyFont="1" applyAlignment="1">
      <alignment horizontal="right" vertical="center"/>
    </xf>
    <xf numFmtId="3" fontId="7" fillId="0" borderId="0" xfId="0" applyNumberFormat="1" applyFont="1" applyAlignment="1">
      <alignment horizontal="right" vertical="center"/>
    </xf>
    <xf numFmtId="3" fontId="13" fillId="0" borderId="0" xfId="0" applyNumberFormat="1" applyFont="1" applyAlignment="1">
      <alignment vertical="center"/>
    </xf>
    <xf numFmtId="0" fontId="10" fillId="0" borderId="1" xfId="0" quotePrefix="1" applyFont="1" applyBorder="1" applyAlignment="1">
      <alignment horizontal="center" vertical="center" wrapText="1"/>
    </xf>
    <xf numFmtId="0" fontId="7" fillId="0" borderId="0" xfId="0" applyFont="1" applyAlignment="1">
      <alignment vertical="center"/>
    </xf>
    <xf numFmtId="0" fontId="11" fillId="0" borderId="1" xfId="0" applyFont="1" applyBorder="1" applyAlignment="1">
      <alignment vertical="center" wrapText="1"/>
    </xf>
    <xf numFmtId="3" fontId="11" fillId="0" borderId="1" xfId="0" applyNumberFormat="1" applyFont="1" applyBorder="1" applyAlignment="1">
      <alignment vertical="center"/>
    </xf>
    <xf numFmtId="3" fontId="11" fillId="0" borderId="0" xfId="0" applyNumberFormat="1" applyFont="1" applyAlignment="1">
      <alignment vertical="center"/>
    </xf>
    <xf numFmtId="3" fontId="10" fillId="0" borderId="0" xfId="0" applyNumberFormat="1" applyFont="1" applyAlignment="1">
      <alignment vertical="center"/>
    </xf>
    <xf numFmtId="0" fontId="15" fillId="0" borderId="1" xfId="0" applyFont="1" applyBorder="1" applyAlignment="1">
      <alignment vertical="center" wrapText="1"/>
    </xf>
    <xf numFmtId="0" fontId="7" fillId="0" borderId="1" xfId="0" quotePrefix="1" applyFont="1" applyBorder="1" applyAlignment="1">
      <alignment horizontal="center" vertical="center"/>
    </xf>
    <xf numFmtId="3" fontId="15" fillId="0" borderId="1" xfId="0" applyNumberFormat="1" applyFont="1" applyBorder="1" applyAlignment="1">
      <alignment vertical="center"/>
    </xf>
    <xf numFmtId="3" fontId="15" fillId="0" borderId="0" xfId="0" applyNumberFormat="1" applyFont="1" applyAlignment="1">
      <alignment vertical="center"/>
    </xf>
    <xf numFmtId="0" fontId="13" fillId="0" borderId="1" xfId="0" quotePrefix="1" applyFont="1" applyBorder="1" applyAlignment="1">
      <alignment horizontal="center" vertical="center"/>
    </xf>
    <xf numFmtId="0" fontId="13" fillId="0" borderId="1" xfId="0" applyFont="1" applyBorder="1" applyAlignment="1">
      <alignment vertical="center" wrapText="1"/>
    </xf>
    <xf numFmtId="3" fontId="12" fillId="0" borderId="0" xfId="0" applyNumberFormat="1" applyFont="1" applyAlignment="1">
      <alignment vertical="center"/>
    </xf>
    <xf numFmtId="3" fontId="7" fillId="0" borderId="1" xfId="0" applyNumberFormat="1" applyFont="1" applyBorder="1" applyAlignment="1">
      <alignment horizontal="right" vertical="center"/>
    </xf>
    <xf numFmtId="3" fontId="7" fillId="0" borderId="6" xfId="0" applyNumberFormat="1" applyFont="1" applyBorder="1" applyAlignment="1">
      <alignment horizontal="right" vertical="center"/>
    </xf>
    <xf numFmtId="3" fontId="7" fillId="0" borderId="6" xfId="0" applyNumberFormat="1" applyFont="1" applyBorder="1" applyAlignment="1">
      <alignment vertical="center"/>
    </xf>
    <xf numFmtId="3" fontId="7" fillId="0" borderId="6" xfId="0" applyNumberFormat="1" applyFont="1" applyBorder="1" applyAlignment="1">
      <alignment vertical="center" wrapText="1"/>
    </xf>
    <xf numFmtId="3" fontId="11" fillId="0" borderId="6" xfId="0" applyNumberFormat="1" applyFont="1" applyBorder="1" applyAlignment="1">
      <alignment vertical="center"/>
    </xf>
    <xf numFmtId="3" fontId="10" fillId="0" borderId="6" xfId="0" applyNumberFormat="1" applyFont="1" applyBorder="1" applyAlignment="1">
      <alignment vertical="center"/>
    </xf>
    <xf numFmtId="3" fontId="13" fillId="0" borderId="6" xfId="0" applyNumberFormat="1" applyFont="1" applyBorder="1" applyAlignment="1">
      <alignment vertical="center" wrapText="1"/>
    </xf>
    <xf numFmtId="3" fontId="10" fillId="0" borderId="6" xfId="0" applyNumberFormat="1" applyFont="1" applyBorder="1" applyAlignment="1">
      <alignment vertical="center" wrapText="1"/>
    </xf>
    <xf numFmtId="3" fontId="16" fillId="0" borderId="6" xfId="0" applyNumberFormat="1" applyFont="1" applyBorder="1" applyAlignment="1">
      <alignment vertical="center" wrapText="1"/>
    </xf>
    <xf numFmtId="0" fontId="15" fillId="0" borderId="1" xfId="0" applyFont="1" applyBorder="1" applyAlignment="1">
      <alignment horizontal="center" vertical="center"/>
    </xf>
    <xf numFmtId="3" fontId="12" fillId="0" borderId="0" xfId="0" applyNumberFormat="1" applyFont="1" applyAlignment="1">
      <alignment horizontal="right" vertical="center" wrapText="1"/>
    </xf>
    <xf numFmtId="3" fontId="11" fillId="0" borderId="6" xfId="0" applyNumberFormat="1" applyFont="1" applyBorder="1" applyAlignment="1">
      <alignment vertical="center" wrapText="1"/>
    </xf>
    <xf numFmtId="0" fontId="12" fillId="0" borderId="6" xfId="0" applyFont="1" applyBorder="1" applyAlignment="1">
      <alignment vertical="center" wrapText="1"/>
    </xf>
    <xf numFmtId="3" fontId="10" fillId="0" borderId="1" xfId="0" applyNumberFormat="1" applyFont="1" applyBorder="1" applyAlignment="1">
      <alignment horizontal="right" vertical="center" wrapText="1"/>
    </xf>
    <xf numFmtId="3" fontId="10" fillId="0" borderId="6" xfId="0" applyNumberFormat="1" applyFont="1" applyBorder="1" applyAlignment="1">
      <alignment horizontal="center" vertical="center" wrapText="1"/>
    </xf>
    <xf numFmtId="3" fontId="13" fillId="0" borderId="6" xfId="0" applyNumberFormat="1" applyFont="1" applyBorder="1" applyAlignment="1">
      <alignment vertical="center"/>
    </xf>
    <xf numFmtId="0" fontId="13" fillId="0" borderId="0" xfId="0" applyFont="1" applyAlignment="1">
      <alignment vertical="center"/>
    </xf>
    <xf numFmtId="3" fontId="7" fillId="0" borderId="0" xfId="0" applyNumberFormat="1" applyFont="1" applyAlignment="1">
      <alignment horizontal="left" vertical="center"/>
    </xf>
    <xf numFmtId="3" fontId="10" fillId="0" borderId="0" xfId="0" applyNumberFormat="1" applyFont="1" applyAlignment="1">
      <alignment horizontal="center" vertical="center"/>
    </xf>
    <xf numFmtId="3" fontId="12" fillId="0" borderId="6" xfId="0" applyNumberFormat="1" applyFont="1" applyBorder="1" applyAlignment="1">
      <alignment vertical="center"/>
    </xf>
    <xf numFmtId="3" fontId="10" fillId="0" borderId="6" xfId="0" applyNumberFormat="1" applyFont="1" applyBorder="1" applyAlignment="1">
      <alignment horizontal="right" vertical="center" wrapText="1"/>
    </xf>
    <xf numFmtId="3" fontId="10" fillId="0" borderId="6" xfId="0" applyNumberFormat="1" applyFont="1" applyBorder="1" applyAlignment="1">
      <alignment horizontal="right" vertical="center"/>
    </xf>
    <xf numFmtId="0" fontId="10" fillId="0" borderId="1" xfId="0" applyFont="1" applyBorder="1"/>
    <xf numFmtId="168" fontId="10" fillId="0" borderId="1" xfId="1" applyNumberFormat="1" applyFont="1" applyFill="1" applyBorder="1"/>
    <xf numFmtId="168" fontId="10" fillId="0" borderId="1" xfId="1" applyNumberFormat="1" applyFont="1" applyFill="1" applyBorder="1" applyAlignment="1">
      <alignment horizontal="justify" wrapText="1"/>
    </xf>
    <xf numFmtId="168" fontId="10" fillId="0" borderId="6" xfId="1" applyNumberFormat="1" applyFont="1" applyFill="1" applyBorder="1"/>
    <xf numFmtId="3" fontId="10" fillId="0" borderId="6" xfId="0" applyNumberFormat="1" applyFont="1" applyBorder="1" applyAlignment="1">
      <alignment horizontal="center" vertical="center"/>
    </xf>
    <xf numFmtId="3" fontId="7" fillId="0" borderId="6" xfId="0" applyNumberFormat="1" applyFont="1" applyBorder="1" applyAlignment="1">
      <alignment horizontal="center" vertical="center"/>
    </xf>
    <xf numFmtId="3" fontId="13" fillId="0" borderId="6" xfId="0" applyNumberFormat="1" applyFont="1" applyBorder="1" applyAlignment="1">
      <alignment horizontal="right" vertical="center"/>
    </xf>
    <xf numFmtId="3" fontId="13" fillId="0" borderId="6" xfId="0" applyNumberFormat="1" applyFont="1" applyBorder="1" applyAlignment="1">
      <alignment horizontal="left" vertical="center"/>
    </xf>
    <xf numFmtId="3" fontId="12" fillId="0" borderId="1" xfId="0" applyNumberFormat="1" applyFont="1" applyBorder="1" applyAlignment="1">
      <alignment horizontal="right" vertical="center"/>
    </xf>
    <xf numFmtId="3" fontId="11" fillId="0" borderId="1" xfId="0" applyNumberFormat="1" applyFont="1" applyBorder="1" applyAlignment="1">
      <alignment horizontal="right" vertical="center"/>
    </xf>
    <xf numFmtId="3" fontId="11" fillId="0" borderId="6" xfId="0" applyNumberFormat="1" applyFont="1" applyBorder="1" applyAlignment="1">
      <alignment horizontal="right" vertical="center"/>
    </xf>
    <xf numFmtId="3" fontId="15" fillId="0" borderId="6" xfId="0" applyNumberFormat="1" applyFont="1" applyBorder="1" applyAlignment="1">
      <alignment vertical="center"/>
    </xf>
    <xf numFmtId="3" fontId="13" fillId="0" borderId="6" xfId="0" applyNumberFormat="1" applyFont="1" applyBorder="1" applyAlignment="1">
      <alignment horizontal="center" vertical="center" wrapText="1"/>
    </xf>
    <xf numFmtId="0" fontId="12" fillId="0" borderId="1" xfId="0" applyFont="1" applyBorder="1" applyAlignment="1">
      <alignment vertical="center" wrapText="1"/>
    </xf>
    <xf numFmtId="3" fontId="10" fillId="0" borderId="6" xfId="0" applyNumberFormat="1" applyFont="1" applyBorder="1" applyAlignment="1">
      <alignment horizontal="left"/>
    </xf>
    <xf numFmtId="3" fontId="7" fillId="0" borderId="6" xfId="0" applyNumberFormat="1" applyFont="1" applyBorder="1" applyAlignment="1">
      <alignment horizontal="left" vertical="center" wrapText="1"/>
    </xf>
    <xf numFmtId="0" fontId="11" fillId="0" borderId="1" xfId="0" applyFont="1" applyBorder="1" applyAlignment="1">
      <alignment vertical="center"/>
    </xf>
    <xf numFmtId="0" fontId="15" fillId="0" borderId="1" xfId="0" applyFont="1" applyBorder="1" applyAlignment="1">
      <alignment vertical="center"/>
    </xf>
    <xf numFmtId="0" fontId="13" fillId="0" borderId="1" xfId="0" applyFont="1" applyBorder="1" applyAlignment="1">
      <alignment vertical="center"/>
    </xf>
    <xf numFmtId="3" fontId="12" fillId="0" borderId="6" xfId="0" applyNumberFormat="1" applyFont="1" applyBorder="1" applyAlignment="1">
      <alignment vertical="center" wrapText="1"/>
    </xf>
    <xf numFmtId="3" fontId="12" fillId="0" borderId="6" xfId="0" applyNumberFormat="1" applyFont="1" applyBorder="1" applyAlignment="1">
      <alignment horizontal="right" vertical="center"/>
    </xf>
    <xf numFmtId="0" fontId="12" fillId="0" borderId="1" xfId="0" quotePrefix="1" applyFont="1" applyBorder="1" applyAlignment="1">
      <alignment horizontal="center" vertical="center"/>
    </xf>
    <xf numFmtId="3" fontId="7" fillId="0" borderId="6" xfId="0" applyNumberFormat="1" applyFont="1" applyBorder="1" applyAlignment="1">
      <alignment horizontal="center" vertical="center" wrapText="1"/>
    </xf>
    <xf numFmtId="3" fontId="12" fillId="0" borderId="6" xfId="0" applyNumberFormat="1" applyFont="1" applyBorder="1" applyAlignment="1">
      <alignment horizontal="left" vertical="center"/>
    </xf>
    <xf numFmtId="0" fontId="13" fillId="0" borderId="1" xfId="0" applyFont="1" applyBorder="1" applyAlignment="1">
      <alignment horizontal="left" vertical="center"/>
    </xf>
    <xf numFmtId="3" fontId="13" fillId="0" borderId="6" xfId="0" applyNumberFormat="1" applyFont="1" applyBorder="1" applyAlignment="1">
      <alignment horizontal="left" vertical="center" wrapText="1"/>
    </xf>
    <xf numFmtId="3" fontId="13" fillId="0" borderId="6" xfId="0" quotePrefix="1" applyNumberFormat="1" applyFont="1" applyBorder="1" applyAlignment="1">
      <alignment horizontal="left" vertical="center"/>
    </xf>
    <xf numFmtId="3" fontId="7" fillId="0" borderId="7" xfId="0" applyNumberFormat="1" applyFont="1" applyBorder="1" applyAlignment="1">
      <alignment vertical="center"/>
    </xf>
    <xf numFmtId="0" fontId="10" fillId="0" borderId="0" xfId="0" applyFont="1" applyAlignment="1">
      <alignment wrapText="1"/>
    </xf>
    <xf numFmtId="3" fontId="10" fillId="0" borderId="8" xfId="0" applyNumberFormat="1" applyFont="1" applyBorder="1" applyAlignment="1">
      <alignment horizontal="right" vertical="center" wrapText="1"/>
    </xf>
    <xf numFmtId="3" fontId="10" fillId="0" borderId="8" xfId="0" applyNumberFormat="1" applyFont="1" applyBorder="1" applyAlignment="1">
      <alignment horizontal="center" vertical="center" wrapText="1"/>
    </xf>
    <xf numFmtId="3" fontId="7" fillId="0" borderId="6" xfId="0" applyNumberFormat="1" applyFont="1" applyBorder="1" applyAlignment="1">
      <alignment horizontal="left" vertical="center"/>
    </xf>
    <xf numFmtId="3" fontId="10" fillId="0" borderId="1" xfId="0" applyNumberFormat="1" applyFont="1" applyBorder="1" applyAlignment="1">
      <alignment horizontal="right" vertical="center"/>
    </xf>
    <xf numFmtId="3" fontId="10" fillId="0" borderId="6" xfId="0" applyNumberFormat="1" applyFont="1" applyBorder="1" applyAlignment="1">
      <alignment horizontal="left" vertical="center"/>
    </xf>
    <xf numFmtId="3" fontId="10" fillId="0" borderId="6" xfId="0" quotePrefix="1" applyNumberFormat="1" applyFont="1" applyBorder="1" applyAlignment="1">
      <alignment horizontal="left" vertical="center" wrapText="1"/>
    </xf>
    <xf numFmtId="3" fontId="7" fillId="0" borderId="6" xfId="0" quotePrefix="1" applyNumberFormat="1" applyFont="1" applyBorder="1" applyAlignment="1">
      <alignment horizontal="left" vertical="center" wrapText="1"/>
    </xf>
    <xf numFmtId="0" fontId="7" fillId="0" borderId="6" xfId="0" applyFont="1" applyBorder="1" applyAlignment="1">
      <alignment vertical="center" wrapText="1"/>
    </xf>
    <xf numFmtId="0" fontId="7" fillId="0" borderId="6" xfId="0" applyFont="1" applyBorder="1" applyAlignment="1">
      <alignment vertical="center"/>
    </xf>
    <xf numFmtId="3" fontId="10" fillId="0" borderId="1" xfId="0" applyNumberFormat="1" applyFont="1" applyBorder="1" applyAlignment="1">
      <alignment horizontal="left" vertical="center" wrapText="1"/>
    </xf>
    <xf numFmtId="0" fontId="10" fillId="0" borderId="6" xfId="0" applyFont="1" applyBorder="1" applyAlignment="1">
      <alignment vertical="center"/>
    </xf>
    <xf numFmtId="0" fontId="10" fillId="0" borderId="0" xfId="0" applyFont="1" applyAlignment="1">
      <alignment vertical="center" wrapText="1" shrinkToFit="1"/>
    </xf>
    <xf numFmtId="0" fontId="7" fillId="0" borderId="0" xfId="0" applyFont="1" applyAlignment="1">
      <alignment vertical="center" wrapText="1" shrinkToFit="1"/>
    </xf>
    <xf numFmtId="0" fontId="13" fillId="0" borderId="6" xfId="0" applyFont="1" applyBorder="1" applyAlignment="1">
      <alignment vertical="center"/>
    </xf>
    <xf numFmtId="0" fontId="10" fillId="0" borderId="6" xfId="0" applyFont="1" applyBorder="1" applyAlignment="1">
      <alignment vertical="center" wrapText="1"/>
    </xf>
    <xf numFmtId="0" fontId="10" fillId="0" borderId="1" xfId="0" applyFont="1" applyBorder="1" applyAlignment="1">
      <alignment horizontal="center" vertical="center" wrapText="1" shrinkToFit="1"/>
    </xf>
    <xf numFmtId="0" fontId="10" fillId="0" borderId="1" xfId="0" applyFont="1" applyBorder="1" applyAlignment="1">
      <alignment vertical="center" wrapText="1" shrinkToFit="1"/>
    </xf>
    <xf numFmtId="3" fontId="10" fillId="0" borderId="1" xfId="0" applyNumberFormat="1" applyFont="1" applyBorder="1" applyAlignment="1">
      <alignment vertical="center" wrapText="1" shrinkToFit="1"/>
    </xf>
    <xf numFmtId="3" fontId="10" fillId="0" borderId="1" xfId="0" applyNumberFormat="1" applyFont="1" applyBorder="1" applyAlignment="1">
      <alignment horizontal="justify" vertical="center" wrapText="1" shrinkToFit="1"/>
    </xf>
    <xf numFmtId="3" fontId="10" fillId="0" borderId="6" xfId="0" applyNumberFormat="1" applyFont="1" applyBorder="1" applyAlignment="1">
      <alignment vertical="center" wrapText="1" shrinkToFit="1"/>
    </xf>
    <xf numFmtId="3" fontId="11" fillId="0" borderId="1" xfId="0" applyNumberFormat="1" applyFont="1" applyBorder="1" applyAlignment="1">
      <alignment vertical="center" wrapText="1" shrinkToFit="1"/>
    </xf>
    <xf numFmtId="3" fontId="11" fillId="0" borderId="1" xfId="0" applyNumberFormat="1" applyFont="1" applyBorder="1" applyAlignment="1">
      <alignment horizontal="justify" vertical="center" wrapText="1" shrinkToFit="1"/>
    </xf>
    <xf numFmtId="3" fontId="11" fillId="0" borderId="6" xfId="0" applyNumberFormat="1" applyFont="1" applyBorder="1" applyAlignment="1">
      <alignment vertical="center" wrapText="1" shrinkToFit="1"/>
    </xf>
    <xf numFmtId="3" fontId="7" fillId="0" borderId="6" xfId="0" applyNumberFormat="1" applyFont="1" applyBorder="1" applyAlignment="1">
      <alignment horizontal="center" vertical="center" wrapText="1" shrinkToFit="1"/>
    </xf>
    <xf numFmtId="0" fontId="12" fillId="0" borderId="6" xfId="0" applyFont="1" applyBorder="1" applyAlignment="1">
      <alignment vertical="center"/>
    </xf>
    <xf numFmtId="3" fontId="15" fillId="0" borderId="1" xfId="0" applyNumberFormat="1" applyFont="1" applyBorder="1" applyAlignment="1">
      <alignment horizontal="right" vertical="center"/>
    </xf>
    <xf numFmtId="3" fontId="15" fillId="0" borderId="6" xfId="0" applyNumberFormat="1" applyFont="1" applyBorder="1" applyAlignment="1">
      <alignment horizontal="right" vertical="center"/>
    </xf>
    <xf numFmtId="3" fontId="13" fillId="0" borderId="6" xfId="0" quotePrefix="1" applyNumberFormat="1" applyFont="1" applyBorder="1" applyAlignment="1">
      <alignment vertical="center"/>
    </xf>
    <xf numFmtId="2" fontId="13" fillId="0" borderId="0" xfId="0" applyNumberFormat="1" applyFont="1" applyAlignment="1">
      <alignment vertical="center" wrapText="1"/>
    </xf>
    <xf numFmtId="3" fontId="16" fillId="0" borderId="1" xfId="0" applyNumberFormat="1" applyFont="1" applyBorder="1" applyAlignment="1">
      <alignment vertical="center"/>
    </xf>
    <xf numFmtId="3" fontId="16" fillId="0" borderId="6" xfId="0" applyNumberFormat="1" applyFont="1" applyBorder="1" applyAlignment="1">
      <alignment vertical="center"/>
    </xf>
    <xf numFmtId="0" fontId="7" fillId="0" borderId="1" xfId="0" quotePrefix="1" applyFont="1" applyBorder="1" applyAlignment="1">
      <alignment vertical="center" wrapText="1"/>
    </xf>
    <xf numFmtId="3" fontId="10" fillId="0" borderId="6" xfId="0" applyNumberFormat="1" applyFont="1" applyBorder="1" applyAlignment="1">
      <alignment horizontal="right" vertical="center" wrapText="1" shrinkToFit="1"/>
    </xf>
    <xf numFmtId="3" fontId="7" fillId="0" borderId="1" xfId="0" applyNumberFormat="1" applyFont="1" applyBorder="1"/>
    <xf numFmtId="3" fontId="7" fillId="0" borderId="1" xfId="0" applyNumberFormat="1" applyFont="1" applyBorder="1" applyAlignment="1">
      <alignment horizontal="justify" wrapText="1"/>
    </xf>
    <xf numFmtId="3" fontId="7" fillId="0" borderId="6" xfId="0" applyNumberFormat="1" applyFont="1" applyBorder="1"/>
    <xf numFmtId="3" fontId="11" fillId="0" borderId="1" xfId="0" applyNumberFormat="1" applyFont="1" applyBorder="1"/>
    <xf numFmtId="3" fontId="11" fillId="0" borderId="1" xfId="0" applyNumberFormat="1" applyFont="1" applyBorder="1" applyAlignment="1">
      <alignment horizontal="justify" wrapText="1"/>
    </xf>
    <xf numFmtId="3" fontId="11" fillId="0" borderId="6" xfId="0" applyNumberFormat="1" applyFont="1" applyBorder="1"/>
    <xf numFmtId="3" fontId="13" fillId="0" borderId="1" xfId="0" applyNumberFormat="1" applyFont="1" applyBorder="1" applyAlignment="1">
      <alignment horizontal="right" vertical="center" wrapText="1"/>
    </xf>
    <xf numFmtId="3" fontId="13" fillId="0" borderId="6" xfId="0" applyNumberFormat="1" applyFont="1" applyBorder="1" applyAlignment="1">
      <alignment horizontal="right" vertical="center" wrapText="1"/>
    </xf>
    <xf numFmtId="0" fontId="13" fillId="0" borderId="1" xfId="0" quotePrefix="1" applyFont="1" applyBorder="1" applyAlignment="1">
      <alignment wrapText="1"/>
    </xf>
    <xf numFmtId="0" fontId="10" fillId="0" borderId="1" xfId="0" applyFont="1" applyBorder="1" applyAlignment="1">
      <alignment horizontal="center"/>
    </xf>
    <xf numFmtId="0" fontId="11" fillId="0" borderId="1" xfId="0" applyFont="1" applyBorder="1" applyAlignment="1">
      <alignment wrapText="1"/>
    </xf>
    <xf numFmtId="3" fontId="10" fillId="0" borderId="1" xfId="0" applyNumberFormat="1" applyFont="1" applyBorder="1"/>
    <xf numFmtId="3" fontId="10" fillId="0" borderId="1" xfId="0" applyNumberFormat="1" applyFont="1" applyBorder="1" applyAlignment="1">
      <alignment horizontal="justify" wrapText="1"/>
    </xf>
    <xf numFmtId="3" fontId="10" fillId="0" borderId="6" xfId="0" applyNumberFormat="1" applyFont="1" applyBorder="1"/>
    <xf numFmtId="3" fontId="13" fillId="0" borderId="7" xfId="0" applyNumberFormat="1" applyFont="1" applyBorder="1" applyAlignment="1">
      <alignment vertical="center" wrapText="1"/>
    </xf>
    <xf numFmtId="3" fontId="12" fillId="0" borderId="7" xfId="0" applyNumberFormat="1" applyFont="1" applyBorder="1" applyAlignment="1">
      <alignment vertical="center" wrapText="1"/>
    </xf>
    <xf numFmtId="0" fontId="13" fillId="0" borderId="6" xfId="0" applyFont="1" applyBorder="1" applyAlignment="1">
      <alignment vertical="center" wrapText="1"/>
    </xf>
    <xf numFmtId="0" fontId="13" fillId="0" borderId="1" xfId="0" applyFont="1" applyBorder="1" applyAlignment="1">
      <alignment wrapText="1"/>
    </xf>
    <xf numFmtId="0" fontId="7" fillId="0" borderId="6" xfId="0" applyFont="1" applyBorder="1"/>
    <xf numFmtId="0" fontId="12" fillId="0" borderId="0" xfId="0" applyFont="1" applyAlignment="1">
      <alignment horizontal="center" vertical="center" wrapText="1"/>
    </xf>
    <xf numFmtId="0" fontId="13" fillId="0" borderId="1" xfId="0" quotePrefix="1" applyFont="1" applyBorder="1" applyAlignment="1">
      <alignment horizontal="center" vertical="center" wrapText="1"/>
    </xf>
    <xf numFmtId="3" fontId="13" fillId="0" borderId="0" xfId="0" applyNumberFormat="1" applyFont="1" applyAlignment="1">
      <alignment horizontal="right" vertical="center" wrapText="1"/>
    </xf>
    <xf numFmtId="3" fontId="13" fillId="0" borderId="8" xfId="0" applyNumberFormat="1" applyFont="1" applyBorder="1" applyAlignment="1">
      <alignment vertical="center" wrapText="1"/>
    </xf>
    <xf numFmtId="3" fontId="10" fillId="0" borderId="8" xfId="0" applyNumberFormat="1" applyFont="1" applyBorder="1" applyAlignment="1">
      <alignment vertical="center" wrapText="1"/>
    </xf>
    <xf numFmtId="3" fontId="7" fillId="0" borderId="8" xfId="0" applyNumberFormat="1" applyFont="1" applyBorder="1" applyAlignment="1">
      <alignment horizontal="left" vertical="center" wrapText="1"/>
    </xf>
    <xf numFmtId="3" fontId="12" fillId="0" borderId="1" xfId="0" applyNumberFormat="1" applyFont="1" applyBorder="1" applyAlignment="1">
      <alignment horizontal="right" vertical="center" wrapText="1"/>
    </xf>
    <xf numFmtId="3" fontId="12" fillId="0" borderId="0" xfId="0" applyNumberFormat="1" applyFont="1" applyAlignment="1">
      <alignment horizontal="center" vertical="center" wrapText="1"/>
    </xf>
    <xf numFmtId="167" fontId="7" fillId="0" borderId="0" xfId="0" applyNumberFormat="1" applyFont="1"/>
    <xf numFmtId="0" fontId="1" fillId="0" borderId="0" xfId="0" applyFont="1" applyAlignment="1">
      <alignment vertical="center" wrapText="1"/>
    </xf>
    <xf numFmtId="0" fontId="10" fillId="0" borderId="1" xfId="0" applyFont="1" applyBorder="1" applyAlignment="1">
      <alignment horizontal="justify" vertical="center" wrapText="1"/>
    </xf>
    <xf numFmtId="0" fontId="7" fillId="0" borderId="1" xfId="0" applyFont="1" applyBorder="1"/>
    <xf numFmtId="0" fontId="7" fillId="0" borderId="1" xfId="0" applyFont="1" applyBorder="1" applyAlignment="1">
      <alignment vertical="center"/>
    </xf>
    <xf numFmtId="0" fontId="13" fillId="0" borderId="1" xfId="0" applyFont="1" applyBorder="1" applyAlignment="1">
      <alignment horizontal="justify" vertical="center" wrapText="1"/>
    </xf>
    <xf numFmtId="0" fontId="19" fillId="0" borderId="0" xfId="0" applyFont="1"/>
    <xf numFmtId="0" fontId="10" fillId="0" borderId="1" xfId="0" applyFont="1" applyBorder="1" applyAlignment="1">
      <alignment horizontal="justify"/>
    </xf>
    <xf numFmtId="0" fontId="5" fillId="0" borderId="1" xfId="0" applyFont="1" applyBorder="1" applyAlignment="1">
      <alignment horizontal="center" vertical="center" wrapText="1"/>
    </xf>
    <xf numFmtId="3" fontId="5" fillId="0" borderId="1" xfId="0" applyNumberFormat="1" applyFont="1" applyBorder="1" applyAlignment="1">
      <alignment vertical="center" wrapText="1"/>
    </xf>
    <xf numFmtId="3" fontId="5" fillId="0" borderId="1" xfId="0" applyNumberFormat="1" applyFont="1" applyBorder="1" applyAlignment="1">
      <alignment horizontal="center" vertical="center" wrapText="1"/>
    </xf>
    <xf numFmtId="3" fontId="5" fillId="0" borderId="1" xfId="0" applyNumberFormat="1" applyFont="1" applyBorder="1" applyAlignment="1">
      <alignment horizontal="justify" vertical="center" wrapText="1"/>
    </xf>
    <xf numFmtId="0" fontId="1" fillId="0" borderId="1" xfId="0" quotePrefix="1" applyFont="1" applyBorder="1" applyAlignment="1">
      <alignment horizontal="left" vertical="center" wrapText="1"/>
    </xf>
    <xf numFmtId="3" fontId="1" fillId="0" borderId="1" xfId="0" quotePrefix="1" applyNumberFormat="1" applyFont="1" applyBorder="1" applyAlignment="1">
      <alignment horizontal="right" vertical="center" wrapText="1"/>
    </xf>
    <xf numFmtId="0" fontId="1" fillId="0" borderId="0" xfId="0" applyFont="1" applyAlignment="1">
      <alignment horizontal="center" vertical="center"/>
    </xf>
    <xf numFmtId="0" fontId="5" fillId="0" borderId="0" xfId="0" applyFont="1" applyAlignment="1">
      <alignment horizontal="center" vertical="center"/>
    </xf>
    <xf numFmtId="3" fontId="7" fillId="0" borderId="0" xfId="0" applyNumberFormat="1" applyFont="1"/>
    <xf numFmtId="3" fontId="2" fillId="0" borderId="0" xfId="0" applyNumberFormat="1" applyFont="1"/>
    <xf numFmtId="0" fontId="7" fillId="0" borderId="1" xfId="0" applyFont="1" applyBorder="1" applyAlignment="1">
      <alignment horizontal="center"/>
    </xf>
    <xf numFmtId="3" fontId="7" fillId="0" borderId="1" xfId="1" applyNumberFormat="1" applyFont="1" applyBorder="1" applyAlignment="1">
      <alignment horizontal="right" vertical="center"/>
    </xf>
    <xf numFmtId="169" fontId="2" fillId="0" borderId="0" xfId="1" applyNumberFormat="1" applyFont="1" applyAlignment="1">
      <alignment horizontal="right"/>
    </xf>
    <xf numFmtId="0" fontId="20" fillId="0" borderId="0" xfId="0" applyFont="1"/>
    <xf numFmtId="3" fontId="20" fillId="0" borderId="0" xfId="0" applyNumberFormat="1" applyFont="1"/>
    <xf numFmtId="0" fontId="0" fillId="0" borderId="1" xfId="0" applyBorder="1"/>
    <xf numFmtId="0" fontId="20" fillId="0" borderId="1" xfId="0" applyFont="1" applyBorder="1"/>
    <xf numFmtId="3" fontId="20" fillId="0" borderId="1" xfId="0" applyNumberFormat="1" applyFont="1" applyBorder="1"/>
    <xf numFmtId="3" fontId="0" fillId="0" borderId="1" xfId="0" applyNumberFormat="1" applyBorder="1"/>
    <xf numFmtId="0" fontId="20" fillId="0" borderId="1" xfId="0" applyFont="1" applyBorder="1" applyAlignment="1">
      <alignment horizontal="center"/>
    </xf>
    <xf numFmtId="0" fontId="20" fillId="0" borderId="0" xfId="0" applyFont="1" applyAlignment="1">
      <alignment horizontal="center"/>
    </xf>
    <xf numFmtId="0" fontId="2" fillId="0" borderId="1" xfId="0" applyFont="1" applyBorder="1"/>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quotePrefix="1" applyFont="1" applyBorder="1" applyAlignment="1">
      <alignment horizontal="center" vertical="center" wrapText="1"/>
    </xf>
    <xf numFmtId="0" fontId="1" fillId="0" borderId="19" xfId="0" quotePrefix="1" applyFont="1" applyBorder="1" applyAlignment="1">
      <alignment horizontal="center" vertical="center" wrapText="1"/>
    </xf>
    <xf numFmtId="0" fontId="1" fillId="0" borderId="18" xfId="0" applyFont="1" applyBorder="1" applyAlignment="1">
      <alignment horizontal="center" vertical="center" wrapText="1"/>
    </xf>
    <xf numFmtId="3" fontId="3" fillId="0" borderId="19" xfId="0" applyNumberFormat="1" applyFont="1" applyBorder="1" applyAlignment="1">
      <alignment horizontal="center" vertical="center" wrapText="1"/>
    </xf>
    <xf numFmtId="0" fontId="4" fillId="0" borderId="18" xfId="0" applyFont="1" applyBorder="1" applyAlignment="1">
      <alignment horizontal="center" vertical="center" wrapText="1"/>
    </xf>
    <xf numFmtId="3" fontId="4" fillId="0" borderId="19" xfId="0" applyNumberFormat="1" applyFont="1" applyBorder="1" applyAlignment="1">
      <alignment horizontal="center" vertical="center" wrapText="1"/>
    </xf>
    <xf numFmtId="0" fontId="3" fillId="0" borderId="18" xfId="0" applyFont="1" applyBorder="1" applyAlignment="1">
      <alignment horizontal="center" vertical="center" wrapText="1"/>
    </xf>
    <xf numFmtId="0" fontId="2" fillId="0" borderId="19" xfId="0" applyFont="1" applyBorder="1"/>
    <xf numFmtId="3" fontId="3" fillId="0" borderId="20" xfId="0" applyNumberFormat="1" applyFont="1" applyBorder="1" applyAlignment="1">
      <alignment vertical="center" wrapText="1"/>
    </xf>
    <xf numFmtId="3" fontId="3" fillId="0" borderId="21" xfId="0" applyNumberFormat="1" applyFont="1" applyBorder="1" applyAlignment="1">
      <alignment horizontal="center" vertical="center" wrapText="1"/>
    </xf>
    <xf numFmtId="0" fontId="1" fillId="0" borderId="0" xfId="0" applyFont="1" applyAlignment="1">
      <alignment horizontal="center" vertical="center" wrapText="1"/>
    </xf>
    <xf numFmtId="3" fontId="10" fillId="0" borderId="0" xfId="0" applyNumberFormat="1" applyFont="1"/>
    <xf numFmtId="0" fontId="87" fillId="5" borderId="0" xfId="0" applyFont="1" applyFill="1" applyAlignment="1">
      <alignment horizontal="center" vertical="center"/>
    </xf>
    <xf numFmtId="0" fontId="87" fillId="5" borderId="0" xfId="0" applyFont="1" applyFill="1" applyAlignment="1">
      <alignment vertical="center"/>
    </xf>
    <xf numFmtId="0" fontId="88" fillId="5" borderId="1" xfId="0" quotePrefix="1" applyFont="1" applyFill="1" applyBorder="1" applyAlignment="1">
      <alignment horizontal="center" vertical="center" wrapText="1"/>
    </xf>
    <xf numFmtId="0" fontId="85" fillId="5" borderId="22" xfId="0" applyFont="1" applyFill="1" applyBorder="1" applyAlignment="1">
      <alignment horizontal="center" vertical="center" wrapText="1"/>
    </xf>
    <xf numFmtId="0" fontId="85" fillId="0" borderId="22" xfId="0" applyFont="1" applyBorder="1" applyAlignment="1">
      <alignment horizontal="justify" vertical="center" wrapText="1"/>
    </xf>
    <xf numFmtId="0" fontId="87" fillId="5" borderId="5" xfId="0" applyFont="1" applyFill="1" applyBorder="1" applyAlignment="1">
      <alignment horizontal="center" vertical="center"/>
    </xf>
    <xf numFmtId="169" fontId="87" fillId="5" borderId="22" xfId="1" applyNumberFormat="1" applyFont="1" applyFill="1" applyBorder="1" applyAlignment="1">
      <alignment horizontal="right" vertical="center" wrapText="1"/>
    </xf>
    <xf numFmtId="169" fontId="87" fillId="5" borderId="22" xfId="1" applyNumberFormat="1" applyFont="1" applyFill="1" applyBorder="1" applyAlignment="1">
      <alignment horizontal="justify" vertical="center" wrapText="1"/>
    </xf>
    <xf numFmtId="3" fontId="85" fillId="5" borderId="22" xfId="1" applyNumberFormat="1" applyFont="1" applyFill="1" applyBorder="1" applyAlignment="1">
      <alignment horizontal="right" vertical="center" wrapText="1"/>
    </xf>
    <xf numFmtId="0" fontId="85" fillId="5" borderId="1" xfId="0" applyFont="1" applyFill="1" applyBorder="1" applyAlignment="1">
      <alignment horizontal="center" vertical="center" wrapText="1"/>
    </xf>
    <xf numFmtId="0" fontId="85" fillId="0" borderId="1" xfId="0" applyFont="1" applyBorder="1" applyAlignment="1">
      <alignment horizontal="justify" vertical="center" wrapText="1"/>
    </xf>
    <xf numFmtId="3" fontId="85" fillId="5" borderId="1" xfId="1" applyNumberFormat="1" applyFont="1" applyFill="1" applyBorder="1" applyAlignment="1">
      <alignment horizontal="right" vertical="center" wrapText="1"/>
    </xf>
    <xf numFmtId="169" fontId="87" fillId="5" borderId="1" xfId="1" applyNumberFormat="1" applyFont="1" applyFill="1" applyBorder="1" applyAlignment="1">
      <alignment horizontal="right" vertical="center" wrapText="1"/>
    </xf>
    <xf numFmtId="169" fontId="87" fillId="5" borderId="1" xfId="1" applyNumberFormat="1" applyFont="1" applyFill="1" applyBorder="1" applyAlignment="1">
      <alignment horizontal="justify" vertical="center" wrapText="1"/>
    </xf>
    <xf numFmtId="0" fontId="89" fillId="5" borderId="1" xfId="0" applyFont="1" applyFill="1" applyBorder="1" applyAlignment="1">
      <alignment horizontal="center" vertical="center" wrapText="1"/>
    </xf>
    <xf numFmtId="168" fontId="89" fillId="5" borderId="1" xfId="84" applyNumberFormat="1" applyFont="1" applyFill="1" applyBorder="1" applyAlignment="1">
      <alignment horizontal="center" vertical="center" wrapText="1"/>
    </xf>
    <xf numFmtId="0" fontId="84" fillId="0" borderId="0" xfId="0" applyFont="1"/>
    <xf numFmtId="3" fontId="0" fillId="0" borderId="0" xfId="0" applyNumberFormat="1"/>
    <xf numFmtId="0" fontId="10" fillId="0" borderId="1" xfId="0" applyFont="1" applyBorder="1" applyAlignment="1">
      <alignment wrapText="1"/>
    </xf>
    <xf numFmtId="0" fontId="2" fillId="6" borderId="0" xfId="0" applyFont="1" applyFill="1"/>
    <xf numFmtId="0" fontId="2" fillId="5" borderId="0" xfId="0" applyFont="1" applyFill="1"/>
    <xf numFmtId="0" fontId="5" fillId="5" borderId="0" xfId="0" applyFont="1" applyFill="1" applyAlignment="1">
      <alignment horizontal="right" vertical="center"/>
    </xf>
    <xf numFmtId="0" fontId="1" fillId="5" borderId="1" xfId="0" applyFont="1" applyFill="1" applyBorder="1" applyAlignment="1">
      <alignment horizontal="center" vertical="center" wrapText="1"/>
    </xf>
    <xf numFmtId="0" fontId="1" fillId="5" borderId="1" xfId="0" quotePrefix="1" applyFont="1" applyFill="1" applyBorder="1" applyAlignment="1">
      <alignment horizontal="center" vertical="center" wrapText="1"/>
    </xf>
    <xf numFmtId="0" fontId="1" fillId="5" borderId="1" xfId="0" applyFont="1" applyFill="1" applyBorder="1" applyAlignment="1">
      <alignment horizontal="justify" vertical="center" wrapText="1"/>
    </xf>
    <xf numFmtId="3" fontId="1" fillId="5" borderId="1" xfId="0" applyNumberFormat="1" applyFont="1" applyFill="1" applyBorder="1" applyAlignment="1">
      <alignment vertical="center" wrapText="1"/>
    </xf>
    <xf numFmtId="3" fontId="3" fillId="5"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0" applyFont="1" applyFill="1" applyBorder="1" applyAlignment="1">
      <alignment horizontal="justify" vertical="center" wrapText="1"/>
    </xf>
    <xf numFmtId="3" fontId="3" fillId="5" borderId="1" xfId="0" applyNumberFormat="1" applyFont="1" applyFill="1" applyBorder="1" applyAlignment="1">
      <alignment vertical="center" wrapText="1"/>
    </xf>
    <xf numFmtId="3" fontId="2" fillId="5" borderId="0" xfId="0" applyNumberFormat="1" applyFont="1" applyFill="1"/>
    <xf numFmtId="0" fontId="4" fillId="5" borderId="1" xfId="0" applyFont="1" applyFill="1" applyBorder="1" applyAlignment="1">
      <alignment horizontal="center" vertical="center" wrapText="1"/>
    </xf>
    <xf numFmtId="0" fontId="4" fillId="5" borderId="1" xfId="0" applyFont="1" applyFill="1" applyBorder="1" applyAlignment="1">
      <alignment horizontal="justify" vertical="center" wrapText="1"/>
    </xf>
    <xf numFmtId="3" fontId="4" fillId="5" borderId="1" xfId="0" applyNumberFormat="1" applyFont="1" applyFill="1" applyBorder="1" applyAlignment="1">
      <alignment vertical="center" wrapText="1"/>
    </xf>
    <xf numFmtId="3" fontId="4" fillId="5" borderId="1" xfId="0" applyNumberFormat="1" applyFont="1" applyFill="1" applyBorder="1" applyAlignment="1">
      <alignment horizontal="center" vertical="center" wrapText="1"/>
    </xf>
    <xf numFmtId="0" fontId="7" fillId="5" borderId="1" xfId="0" applyFont="1" applyFill="1" applyBorder="1" applyAlignment="1">
      <alignment horizontal="justify" vertical="center" wrapText="1"/>
    </xf>
    <xf numFmtId="3" fontId="3" fillId="5" borderId="1" xfId="0" applyNumberFormat="1" applyFont="1" applyFill="1" applyBorder="1" applyAlignment="1">
      <alignment horizontal="justify" vertical="center" wrapText="1"/>
    </xf>
    <xf numFmtId="0" fontId="5" fillId="5" borderId="1" xfId="0" applyFont="1" applyFill="1" applyBorder="1" applyAlignment="1">
      <alignment horizontal="center" vertical="center" wrapText="1"/>
    </xf>
    <xf numFmtId="0" fontId="13" fillId="5" borderId="1" xfId="0" applyFont="1" applyFill="1" applyBorder="1" applyAlignment="1">
      <alignment horizontal="justify" vertical="center" wrapText="1"/>
    </xf>
    <xf numFmtId="3" fontId="5" fillId="5" borderId="1" xfId="0" applyNumberFormat="1" applyFont="1" applyFill="1" applyBorder="1" applyAlignment="1">
      <alignment vertical="center" wrapText="1"/>
    </xf>
    <xf numFmtId="3" fontId="5" fillId="5" borderId="1" xfId="0" applyNumberFormat="1" applyFont="1" applyFill="1" applyBorder="1" applyAlignment="1">
      <alignment horizontal="center" vertical="center" wrapText="1"/>
    </xf>
    <xf numFmtId="3" fontId="5" fillId="5" borderId="1" xfId="0" applyNumberFormat="1" applyFont="1" applyFill="1" applyBorder="1" applyAlignment="1">
      <alignment horizontal="justify" vertical="center" wrapText="1"/>
    </xf>
    <xf numFmtId="3" fontId="7" fillId="6" borderId="0" xfId="0" applyNumberFormat="1" applyFont="1" applyFill="1"/>
    <xf numFmtId="3" fontId="6" fillId="0" borderId="0" xfId="0" applyNumberFormat="1" applyFont="1"/>
    <xf numFmtId="3" fontId="46" fillId="0" borderId="1" xfId="0" applyNumberFormat="1" applyFont="1" applyBorder="1" applyAlignment="1">
      <alignment vertical="center" wrapText="1"/>
    </xf>
    <xf numFmtId="0" fontId="93" fillId="0" borderId="0" xfId="0" applyFont="1"/>
    <xf numFmtId="3" fontId="89" fillId="0" borderId="1" xfId="0" applyNumberFormat="1" applyFont="1" applyBorder="1" applyAlignment="1">
      <alignment vertical="center" wrapText="1"/>
    </xf>
    <xf numFmtId="0" fontId="46" fillId="5" borderId="1" xfId="0" applyFont="1" applyFill="1" applyBorder="1" applyAlignment="1">
      <alignment horizontal="center" vertical="center" wrapText="1"/>
    </xf>
    <xf numFmtId="0" fontId="46" fillId="5" borderId="1" xfId="0" applyFont="1" applyFill="1" applyBorder="1" applyAlignment="1">
      <alignment horizontal="justify" vertical="center" wrapText="1"/>
    </xf>
    <xf numFmtId="3" fontId="46" fillId="5" borderId="1" xfId="0" applyNumberFormat="1" applyFont="1" applyFill="1" applyBorder="1" applyAlignment="1">
      <alignment vertical="center" wrapText="1"/>
    </xf>
    <xf numFmtId="3" fontId="46" fillId="5" borderId="1" xfId="0" applyNumberFormat="1" applyFont="1" applyFill="1" applyBorder="1" applyAlignment="1">
      <alignment horizontal="center" vertical="center" wrapText="1"/>
    </xf>
    <xf numFmtId="0" fontId="93" fillId="5" borderId="0" xfId="0" applyFont="1" applyFill="1"/>
    <xf numFmtId="3" fontId="93" fillId="5" borderId="0" xfId="0" applyNumberFormat="1" applyFont="1" applyFill="1"/>
    <xf numFmtId="3" fontId="13" fillId="0" borderId="0" xfId="0" applyNumberFormat="1" applyFont="1"/>
    <xf numFmtId="192" fontId="25" fillId="0" borderId="0" xfId="1" applyNumberFormat="1" applyFont="1" applyFill="1"/>
    <xf numFmtId="168" fontId="25" fillId="0" borderId="0" xfId="1" applyNumberFormat="1" applyFont="1" applyFill="1"/>
    <xf numFmtId="192" fontId="29" fillId="0" borderId="0" xfId="1" applyNumberFormat="1" applyFont="1" applyFill="1"/>
    <xf numFmtId="0" fontId="25" fillId="0" borderId="0" xfId="0" applyFont="1"/>
    <xf numFmtId="192" fontId="100" fillId="0" borderId="0" xfId="1" applyNumberFormat="1" applyFont="1" applyFill="1"/>
    <xf numFmtId="0" fontId="101" fillId="0" borderId="0" xfId="0" applyFont="1"/>
    <xf numFmtId="168" fontId="101" fillId="0" borderId="0" xfId="1" applyNumberFormat="1" applyFont="1" applyFill="1"/>
    <xf numFmtId="168" fontId="101" fillId="0" borderId="1" xfId="1" applyNumberFormat="1" applyFont="1" applyFill="1" applyBorder="1" applyAlignment="1">
      <alignment horizontal="center" vertical="center" wrapText="1"/>
    </xf>
    <xf numFmtId="1" fontId="101" fillId="0" borderId="1" xfId="0" applyNumberFormat="1" applyFont="1" applyBorder="1" applyAlignment="1">
      <alignment horizontal="center"/>
    </xf>
    <xf numFmtId="3" fontId="101" fillId="0" borderId="1" xfId="1" applyNumberFormat="1" applyFont="1" applyFill="1" applyBorder="1" applyAlignment="1">
      <alignment horizontal="center"/>
    </xf>
    <xf numFmtId="192" fontId="101" fillId="0" borderId="1" xfId="1" applyNumberFormat="1" applyFont="1" applyFill="1" applyBorder="1" applyAlignment="1">
      <alignment horizontal="center"/>
    </xf>
    <xf numFmtId="168" fontId="101" fillId="0" borderId="1" xfId="1" applyNumberFormat="1" applyFont="1" applyFill="1" applyBorder="1" applyAlignment="1">
      <alignment horizontal="center"/>
    </xf>
    <xf numFmtId="168" fontId="101" fillId="0" borderId="2" xfId="1" applyNumberFormat="1" applyFont="1" applyFill="1" applyBorder="1" applyAlignment="1">
      <alignment horizontal="center" vertical="center"/>
    </xf>
    <xf numFmtId="192" fontId="101" fillId="0" borderId="2" xfId="1" applyNumberFormat="1" applyFont="1" applyFill="1" applyBorder="1" applyAlignment="1">
      <alignment horizontal="center" vertical="center"/>
    </xf>
    <xf numFmtId="0" fontId="101" fillId="0" borderId="0" xfId="0" applyFont="1" applyAlignment="1">
      <alignment vertical="center"/>
    </xf>
    <xf numFmtId="168" fontId="101" fillId="0" borderId="0" xfId="1" applyNumberFormat="1" applyFont="1" applyFill="1" applyAlignment="1">
      <alignment vertical="center"/>
    </xf>
    <xf numFmtId="0" fontId="102" fillId="0" borderId="25" xfId="0" applyFont="1" applyBorder="1" applyAlignment="1">
      <alignment horizontal="center" vertical="center"/>
    </xf>
    <xf numFmtId="0" fontId="102" fillId="0" borderId="25" xfId="0" applyFont="1" applyBorder="1" applyAlignment="1">
      <alignment horizontal="left" vertical="center" wrapText="1"/>
    </xf>
    <xf numFmtId="168" fontId="0" fillId="0" borderId="25" xfId="1" applyNumberFormat="1" applyFont="1" applyFill="1" applyBorder="1" applyAlignment="1">
      <alignment horizontal="right" vertical="center"/>
    </xf>
    <xf numFmtId="192" fontId="0" fillId="0" borderId="25" xfId="1" applyNumberFormat="1" applyFont="1" applyFill="1" applyBorder="1" applyAlignment="1">
      <alignment horizontal="right" vertical="center"/>
    </xf>
    <xf numFmtId="192" fontId="0" fillId="0" borderId="25" xfId="1" applyNumberFormat="1" applyFont="1" applyFill="1" applyBorder="1" applyAlignment="1">
      <alignment vertical="center"/>
    </xf>
    <xf numFmtId="168" fontId="0" fillId="0" borderId="3" xfId="1" applyNumberFormat="1" applyFont="1" applyFill="1" applyBorder="1" applyAlignment="1">
      <alignment horizontal="right" vertical="center"/>
    </xf>
    <xf numFmtId="0" fontId="0" fillId="0" borderId="0" xfId="0" applyAlignment="1">
      <alignment vertical="center"/>
    </xf>
    <xf numFmtId="168" fontId="0" fillId="0" borderId="0" xfId="1" applyNumberFormat="1" applyFont="1" applyFill="1" applyAlignment="1">
      <alignment vertical="center"/>
    </xf>
    <xf numFmtId="0" fontId="102" fillId="0" borderId="22" xfId="0" applyFont="1" applyBorder="1" applyAlignment="1">
      <alignment horizontal="center" vertical="center"/>
    </xf>
    <xf numFmtId="0" fontId="102" fillId="0" borderId="22" xfId="0" applyFont="1" applyBorder="1" applyAlignment="1">
      <alignment vertical="center"/>
    </xf>
    <xf numFmtId="168" fontId="0" fillId="0" borderId="22" xfId="1" applyNumberFormat="1" applyFont="1" applyFill="1" applyBorder="1" applyAlignment="1">
      <alignment horizontal="right" vertical="center"/>
    </xf>
    <xf numFmtId="192" fontId="0" fillId="0" borderId="22" xfId="1" applyNumberFormat="1" applyFont="1" applyFill="1" applyBorder="1" applyAlignment="1">
      <alignment horizontal="right" vertical="center"/>
    </xf>
    <xf numFmtId="192" fontId="0" fillId="0" borderId="22" xfId="1" applyNumberFormat="1" applyFont="1" applyFill="1" applyBorder="1" applyAlignment="1">
      <alignment vertical="center"/>
    </xf>
    <xf numFmtId="168" fontId="90" fillId="0" borderId="22" xfId="1" applyNumberFormat="1" applyFont="1" applyFill="1" applyBorder="1" applyAlignment="1">
      <alignment horizontal="right" vertical="center"/>
    </xf>
    <xf numFmtId="192" fontId="90" fillId="0" borderId="22" xfId="1" applyNumberFormat="1" applyFont="1" applyFill="1" applyBorder="1" applyAlignment="1">
      <alignment horizontal="right" vertical="center"/>
    </xf>
    <xf numFmtId="192" fontId="90" fillId="0" borderId="22" xfId="1" applyNumberFormat="1" applyFont="1" applyFill="1" applyBorder="1" applyAlignment="1">
      <alignment vertical="center"/>
    </xf>
    <xf numFmtId="0" fontId="102" fillId="0" borderId="26" xfId="0" applyFont="1" applyBorder="1" applyAlignment="1">
      <alignment horizontal="center" vertical="center"/>
    </xf>
    <xf numFmtId="0" fontId="102" fillId="0" borderId="26" xfId="0" applyFont="1" applyBorder="1" applyAlignment="1">
      <alignment vertical="center"/>
    </xf>
    <xf numFmtId="168" fontId="0" fillId="0" borderId="26" xfId="1" applyNumberFormat="1" applyFont="1" applyFill="1" applyBorder="1" applyAlignment="1">
      <alignment horizontal="right" vertical="center"/>
    </xf>
    <xf numFmtId="192" fontId="0" fillId="0" borderId="26" xfId="1" applyNumberFormat="1" applyFont="1" applyFill="1" applyBorder="1" applyAlignment="1">
      <alignment horizontal="right" vertical="center"/>
    </xf>
    <xf numFmtId="192" fontId="0" fillId="0" borderId="26" xfId="1" applyNumberFormat="1" applyFont="1" applyFill="1" applyBorder="1" applyAlignment="1">
      <alignment vertical="center"/>
    </xf>
    <xf numFmtId="0" fontId="102" fillId="0" borderId="4" xfId="0" applyFont="1" applyBorder="1" applyAlignment="1">
      <alignment horizontal="center"/>
    </xf>
    <xf numFmtId="0" fontId="102" fillId="0" borderId="4" xfId="0" applyFont="1" applyBorder="1"/>
    <xf numFmtId="192" fontId="0" fillId="0" borderId="4" xfId="1" applyNumberFormat="1" applyFont="1" applyFill="1" applyBorder="1" applyAlignment="1">
      <alignment horizontal="right"/>
    </xf>
    <xf numFmtId="168" fontId="0" fillId="0" borderId="4" xfId="1" applyNumberFormat="1" applyFont="1" applyFill="1" applyBorder="1" applyAlignment="1">
      <alignment horizontal="right"/>
    </xf>
    <xf numFmtId="192" fontId="0" fillId="0" borderId="4" xfId="1" applyNumberFormat="1" applyFont="1" applyFill="1" applyBorder="1"/>
    <xf numFmtId="168" fontId="0" fillId="0" borderId="0" xfId="1" applyNumberFormat="1" applyFont="1" applyFill="1"/>
    <xf numFmtId="192" fontId="0" fillId="0" borderId="1" xfId="1" applyNumberFormat="1" applyFont="1" applyFill="1" applyBorder="1"/>
    <xf numFmtId="168" fontId="0" fillId="0" borderId="1" xfId="1" applyNumberFormat="1" applyFont="1" applyFill="1" applyBorder="1"/>
    <xf numFmtId="192" fontId="0" fillId="0" borderId="0" xfId="1" applyNumberFormat="1" applyFont="1" applyFill="1"/>
    <xf numFmtId="0" fontId="100" fillId="0" borderId="0" xfId="0" applyFont="1" applyAlignment="1">
      <alignment horizontal="center" vertical="center"/>
    </xf>
    <xf numFmtId="0" fontId="100" fillId="0" borderId="0" xfId="0" applyFont="1" applyAlignment="1">
      <alignment vertical="center"/>
    </xf>
    <xf numFmtId="168" fontId="100" fillId="0" borderId="0" xfId="1" applyNumberFormat="1" applyFont="1" applyFill="1" applyAlignment="1">
      <alignment horizontal="center" vertical="center"/>
    </xf>
    <xf numFmtId="168" fontId="100" fillId="0" borderId="0" xfId="0" applyNumberFormat="1" applyFont="1" applyAlignment="1">
      <alignment horizontal="center" vertical="center"/>
    </xf>
    <xf numFmtId="0" fontId="92" fillId="0" borderId="0" xfId="0" applyFont="1" applyAlignment="1">
      <alignment vertical="center"/>
    </xf>
    <xf numFmtId="0" fontId="88" fillId="0" borderId="0" xfId="0" applyFont="1" applyAlignment="1">
      <alignment vertical="center"/>
    </xf>
    <xf numFmtId="0" fontId="0" fillId="0" borderId="0" xfId="0" applyAlignment="1">
      <alignment horizontal="center" vertical="center"/>
    </xf>
    <xf numFmtId="168" fontId="0" fillId="0" borderId="0" xfId="0" applyNumberFormat="1" applyAlignment="1">
      <alignment vertical="center"/>
    </xf>
    <xf numFmtId="0" fontId="106" fillId="0" borderId="0" xfId="0" applyFont="1" applyAlignment="1">
      <alignment vertical="center"/>
    </xf>
    <xf numFmtId="0" fontId="105" fillId="0" borderId="0" xfId="0" applyFont="1" applyAlignment="1">
      <alignment vertical="center"/>
    </xf>
    <xf numFmtId="0" fontId="105" fillId="0" borderId="1" xfId="0" applyFont="1" applyBorder="1" applyAlignment="1">
      <alignment horizontal="center" vertical="center"/>
    </xf>
    <xf numFmtId="0" fontId="107" fillId="0" borderId="1" xfId="0" applyFont="1" applyBorder="1" applyAlignment="1">
      <alignment horizontal="center" vertical="center" wrapText="1"/>
    </xf>
    <xf numFmtId="0" fontId="105" fillId="0" borderId="1" xfId="0" applyFont="1" applyBorder="1" applyAlignment="1">
      <alignment horizontal="center" vertical="center" wrapText="1"/>
    </xf>
    <xf numFmtId="168" fontId="105" fillId="0" borderId="1" xfId="1" applyNumberFormat="1" applyFont="1" applyFill="1" applyBorder="1" applyAlignment="1">
      <alignment horizontal="center" vertical="center"/>
    </xf>
    <xf numFmtId="168" fontId="105" fillId="0" borderId="1" xfId="0" applyNumberFormat="1" applyFont="1" applyBorder="1" applyAlignment="1">
      <alignment horizontal="center" vertical="center"/>
    </xf>
    <xf numFmtId="168" fontId="105" fillId="0" borderId="2" xfId="1" applyNumberFormat="1" applyFont="1" applyFill="1" applyBorder="1" applyAlignment="1">
      <alignment horizontal="right" vertical="center"/>
    </xf>
    <xf numFmtId="168" fontId="105" fillId="0" borderId="1" xfId="1" applyNumberFormat="1" applyFont="1" applyFill="1" applyBorder="1" applyAlignment="1">
      <alignment horizontal="right" vertical="center"/>
    </xf>
    <xf numFmtId="0" fontId="106" fillId="0" borderId="25" xfId="0" applyFont="1" applyBorder="1" applyAlignment="1">
      <alignment horizontal="left" vertical="center" wrapText="1"/>
    </xf>
    <xf numFmtId="193" fontId="108" fillId="0" borderId="25" xfId="0" applyNumberFormat="1" applyFont="1" applyBorder="1" applyAlignment="1">
      <alignment vertical="center"/>
    </xf>
    <xf numFmtId="193" fontId="108" fillId="0" borderId="25" xfId="0" applyNumberFormat="1" applyFont="1" applyBorder="1" applyAlignment="1">
      <alignment horizontal="right" vertical="center"/>
    </xf>
    <xf numFmtId="3" fontId="108" fillId="0" borderId="25" xfId="0" applyNumberFormat="1" applyFont="1" applyBorder="1" applyAlignment="1">
      <alignment horizontal="right" vertical="center"/>
    </xf>
    <xf numFmtId="41" fontId="108" fillId="0" borderId="33" xfId="85" applyFont="1" applyFill="1" applyBorder="1" applyAlignment="1">
      <alignment horizontal="right" vertical="center"/>
    </xf>
    <xf numFmtId="168" fontId="108" fillId="0" borderId="25" xfId="1" applyNumberFormat="1" applyFont="1" applyFill="1" applyBorder="1" applyAlignment="1">
      <alignment vertical="center"/>
    </xf>
    <xf numFmtId="168" fontId="108" fillId="0" borderId="25" xfId="1" applyNumberFormat="1" applyFont="1" applyFill="1" applyBorder="1" applyAlignment="1">
      <alignment horizontal="right" vertical="center"/>
    </xf>
    <xf numFmtId="3" fontId="108" fillId="0" borderId="0" xfId="0" applyNumberFormat="1" applyFont="1" applyAlignment="1">
      <alignment vertical="center"/>
    </xf>
    <xf numFmtId="168" fontId="108" fillId="0" borderId="0" xfId="0" applyNumberFormat="1" applyFont="1" applyAlignment="1">
      <alignment vertical="center"/>
    </xf>
    <xf numFmtId="0" fontId="108" fillId="0" borderId="0" xfId="0" applyFont="1" applyAlignment="1">
      <alignment vertical="center"/>
    </xf>
    <xf numFmtId="0" fontId="106" fillId="0" borderId="22" xfId="0" applyFont="1" applyBorder="1" applyAlignment="1">
      <alignment vertical="center"/>
    </xf>
    <xf numFmtId="3" fontId="108" fillId="0" borderId="22" xfId="0" applyNumberFormat="1" applyFont="1" applyBorder="1" applyAlignment="1">
      <alignment horizontal="right" vertical="center"/>
    </xf>
    <xf numFmtId="193" fontId="108" fillId="0" borderId="22" xfId="0" applyNumberFormat="1" applyFont="1" applyBorder="1" applyAlignment="1">
      <alignment horizontal="right" vertical="center"/>
    </xf>
    <xf numFmtId="41" fontId="108" fillId="0" borderId="22" xfId="85" applyFont="1" applyFill="1" applyBorder="1" applyAlignment="1">
      <alignment horizontal="right" vertical="center"/>
    </xf>
    <xf numFmtId="193" fontId="108" fillId="0" borderId="22" xfId="0" applyNumberFormat="1" applyFont="1" applyBorder="1" applyAlignment="1">
      <alignment vertical="center"/>
    </xf>
    <xf numFmtId="168" fontId="108" fillId="0" borderId="22" xfId="1" applyNumberFormat="1" applyFont="1" applyFill="1" applyBorder="1" applyAlignment="1">
      <alignment vertical="center"/>
    </xf>
    <xf numFmtId="168" fontId="108" fillId="0" borderId="22" xfId="1" applyNumberFormat="1" applyFont="1" applyFill="1" applyBorder="1" applyAlignment="1">
      <alignment horizontal="right" vertical="center"/>
    </xf>
    <xf numFmtId="41" fontId="108" fillId="0" borderId="34" xfId="85" applyFont="1" applyFill="1" applyBorder="1" applyAlignment="1">
      <alignment horizontal="right" vertical="center"/>
    </xf>
    <xf numFmtId="0" fontId="106" fillId="0" borderId="26" xfId="0" applyFont="1" applyBorder="1" applyAlignment="1">
      <alignment vertical="center"/>
    </xf>
    <xf numFmtId="3" fontId="108" fillId="0" borderId="26" xfId="0" applyNumberFormat="1" applyFont="1" applyBorder="1" applyAlignment="1">
      <alignment horizontal="right" vertical="center"/>
    </xf>
    <xf numFmtId="193" fontId="108" fillId="0" borderId="26" xfId="0" applyNumberFormat="1" applyFont="1" applyBorder="1" applyAlignment="1">
      <alignment horizontal="right" vertical="center"/>
    </xf>
    <xf numFmtId="41" fontId="108" fillId="0" borderId="26" xfId="85" applyFont="1" applyFill="1" applyBorder="1" applyAlignment="1">
      <alignment horizontal="right" vertical="center"/>
    </xf>
    <xf numFmtId="168" fontId="108" fillId="0" borderId="26" xfId="1" applyNumberFormat="1" applyFont="1" applyFill="1" applyBorder="1" applyAlignment="1">
      <alignment vertical="center"/>
    </xf>
    <xf numFmtId="168" fontId="108" fillId="0" borderId="26" xfId="1" applyNumberFormat="1" applyFont="1" applyFill="1" applyBorder="1" applyAlignment="1">
      <alignment horizontal="right" vertical="center"/>
    </xf>
    <xf numFmtId="41" fontId="105" fillId="0" borderId="1" xfId="0" applyNumberFormat="1" applyFont="1" applyBorder="1" applyAlignment="1">
      <alignment horizontal="right" vertical="center"/>
    </xf>
    <xf numFmtId="41" fontId="105" fillId="0" borderId="0" xfId="0" applyNumberFormat="1" applyFont="1" applyAlignment="1">
      <alignment vertical="center"/>
    </xf>
    <xf numFmtId="0" fontId="92" fillId="0" borderId="0" xfId="0" applyFont="1" applyAlignment="1">
      <alignment horizontal="center" vertical="center"/>
    </xf>
    <xf numFmtId="41" fontId="0" fillId="0" borderId="0" xfId="0" applyNumberFormat="1" applyAlignment="1">
      <alignment vertical="center"/>
    </xf>
    <xf numFmtId="41" fontId="108" fillId="0" borderId="0" xfId="0" applyNumberFormat="1" applyFont="1" applyAlignment="1">
      <alignment vertical="center"/>
    </xf>
    <xf numFmtId="41" fontId="102" fillId="0" borderId="0" xfId="0" applyNumberFormat="1" applyFont="1" applyAlignment="1">
      <alignment vertical="center"/>
    </xf>
    <xf numFmtId="168" fontId="92" fillId="0" borderId="0" xfId="1" applyNumberFormat="1" applyFont="1" applyFill="1" applyBorder="1" applyAlignment="1">
      <alignment vertical="center"/>
    </xf>
    <xf numFmtId="168" fontId="92" fillId="0" borderId="0" xfId="0" applyNumberFormat="1" applyFont="1" applyAlignment="1">
      <alignment vertical="center"/>
    </xf>
    <xf numFmtId="41" fontId="101" fillId="0" borderId="0" xfId="0" applyNumberFormat="1" applyFont="1" applyAlignment="1">
      <alignment horizontal="center" vertical="center"/>
    </xf>
    <xf numFmtId="168" fontId="101" fillId="0" borderId="0" xfId="0" applyNumberFormat="1" applyFont="1" applyAlignment="1">
      <alignment vertical="center"/>
    </xf>
    <xf numFmtId="41" fontId="105" fillId="0" borderId="0" xfId="0" applyNumberFormat="1" applyFont="1" applyAlignment="1">
      <alignment horizontal="center" vertical="center" wrapText="1"/>
    </xf>
    <xf numFmtId="0" fontId="101" fillId="0" borderId="0" xfId="0" applyFont="1" applyAlignment="1">
      <alignment horizontal="center" vertical="center" wrapText="1"/>
    </xf>
    <xf numFmtId="41" fontId="105" fillId="0" borderId="0" xfId="0" applyNumberFormat="1" applyFont="1" applyAlignment="1">
      <alignment horizontal="center" vertical="center"/>
    </xf>
    <xf numFmtId="0" fontId="101" fillId="0" borderId="0" xfId="0" applyFont="1" applyAlignment="1">
      <alignment horizontal="center" vertical="center"/>
    </xf>
    <xf numFmtId="168" fontId="101" fillId="0" borderId="0" xfId="1" applyNumberFormat="1" applyFont="1" applyFill="1" applyBorder="1" applyAlignment="1">
      <alignment horizontal="center" vertical="center"/>
    </xf>
    <xf numFmtId="168" fontId="101" fillId="0" borderId="0" xfId="0" applyNumberFormat="1" applyFont="1" applyAlignment="1">
      <alignment horizontal="center" vertical="center"/>
    </xf>
    <xf numFmtId="3" fontId="0" fillId="0" borderId="0" xfId="0" applyNumberFormat="1" applyAlignment="1">
      <alignment horizontal="right" vertical="center"/>
    </xf>
    <xf numFmtId="168" fontId="0" fillId="0" borderId="0" xfId="1" applyNumberFormat="1" applyFont="1" applyFill="1" applyBorder="1" applyAlignment="1">
      <alignment horizontal="right" vertical="center"/>
    </xf>
    <xf numFmtId="168" fontId="0" fillId="0" borderId="0" xfId="1" applyNumberFormat="1" applyFont="1" applyFill="1" applyBorder="1" applyAlignment="1">
      <alignment vertical="center"/>
    </xf>
    <xf numFmtId="41" fontId="101" fillId="0" borderId="0" xfId="0" applyNumberFormat="1" applyFont="1" applyAlignment="1">
      <alignment horizontal="right" vertical="center"/>
    </xf>
    <xf numFmtId="168" fontId="101" fillId="0" borderId="0" xfId="1" applyNumberFormat="1" applyFont="1" applyFill="1" applyBorder="1" applyAlignment="1">
      <alignment horizontal="right" vertical="center"/>
    </xf>
    <xf numFmtId="168" fontId="92" fillId="0" borderId="0" xfId="1" applyNumberFormat="1" applyFont="1" applyFill="1" applyAlignment="1">
      <alignment vertical="center"/>
    </xf>
    <xf numFmtId="0" fontId="23" fillId="5" borderId="0" xfId="0" applyFont="1" applyFill="1" applyAlignment="1">
      <alignment vertical="center"/>
    </xf>
    <xf numFmtId="0" fontId="46" fillId="5" borderId="0" xfId="0" applyFont="1" applyFill="1" applyAlignment="1">
      <alignment horizontal="center" vertical="center"/>
    </xf>
    <xf numFmtId="0" fontId="46" fillId="5" borderId="0" xfId="0" applyFont="1" applyFill="1" applyAlignment="1">
      <alignment vertical="center"/>
    </xf>
    <xf numFmtId="169" fontId="46" fillId="5" borderId="0" xfId="1" applyNumberFormat="1" applyFont="1" applyFill="1" applyAlignment="1">
      <alignment vertical="center"/>
    </xf>
    <xf numFmtId="0" fontId="25" fillId="5" borderId="0" xfId="0" applyFont="1" applyFill="1" applyAlignment="1">
      <alignment vertical="center"/>
    </xf>
    <xf numFmtId="3" fontId="23" fillId="5" borderId="0" xfId="0" applyNumberFormat="1" applyFont="1" applyFill="1" applyAlignment="1">
      <alignment vertical="center"/>
    </xf>
    <xf numFmtId="0" fontId="41" fillId="5" borderId="0" xfId="0" applyFont="1" applyFill="1" applyAlignment="1">
      <alignment vertical="center"/>
    </xf>
    <xf numFmtId="0" fontId="41" fillId="5" borderId="1" xfId="0" applyFont="1" applyFill="1" applyBorder="1" applyAlignment="1">
      <alignment horizontal="center" vertical="center"/>
    </xf>
    <xf numFmtId="169" fontId="41" fillId="5" borderId="1" xfId="1" applyNumberFormat="1" applyFont="1" applyFill="1" applyBorder="1" applyAlignment="1">
      <alignment horizontal="center" vertical="center"/>
    </xf>
    <xf numFmtId="0" fontId="41" fillId="5" borderId="30" xfId="0" applyFont="1" applyFill="1" applyBorder="1" applyAlignment="1">
      <alignment horizontal="center" vertical="center"/>
    </xf>
    <xf numFmtId="0" fontId="31" fillId="5" borderId="35" xfId="0" applyFont="1" applyFill="1" applyBorder="1" applyAlignment="1">
      <alignment vertical="center"/>
    </xf>
    <xf numFmtId="0" fontId="31" fillId="5" borderId="36" xfId="0" applyFont="1" applyFill="1" applyBorder="1" applyAlignment="1">
      <alignment vertical="center"/>
    </xf>
    <xf numFmtId="0" fontId="31" fillId="5" borderId="0" xfId="0" applyFont="1" applyFill="1" applyAlignment="1">
      <alignment vertical="center"/>
    </xf>
    <xf numFmtId="169" fontId="31" fillId="2" borderId="1" xfId="1" applyNumberFormat="1" applyFont="1" applyFill="1" applyBorder="1" applyAlignment="1">
      <alignment horizontal="right" vertical="center" wrapText="1"/>
    </xf>
    <xf numFmtId="0" fontId="23" fillId="5" borderId="35" xfId="0" applyFont="1" applyFill="1" applyBorder="1" applyAlignment="1">
      <alignment vertical="center"/>
    </xf>
    <xf numFmtId="0" fontId="23" fillId="5" borderId="36" xfId="0" applyFont="1" applyFill="1" applyBorder="1" applyAlignment="1">
      <alignment vertical="center"/>
    </xf>
    <xf numFmtId="169" fontId="23" fillId="5" borderId="0" xfId="0" applyNumberFormat="1" applyFont="1" applyFill="1" applyAlignment="1">
      <alignment vertical="center"/>
    </xf>
    <xf numFmtId="0" fontId="31" fillId="2" borderId="1" xfId="0" applyFont="1" applyFill="1" applyBorder="1" applyAlignment="1">
      <alignment horizontal="center" vertical="center" shrinkToFit="1"/>
    </xf>
    <xf numFmtId="0" fontId="31" fillId="2" borderId="1" xfId="0" applyFont="1" applyFill="1" applyBorder="1" applyAlignment="1">
      <alignment vertical="center" shrinkToFit="1"/>
    </xf>
    <xf numFmtId="170" fontId="31" fillId="2" borderId="1" xfId="0" applyNumberFormat="1" applyFont="1" applyFill="1" applyBorder="1" applyAlignment="1">
      <alignment horizontal="right" vertical="center" wrapText="1"/>
    </xf>
    <xf numFmtId="0" fontId="25" fillId="5" borderId="1" xfId="0" applyFont="1" applyFill="1" applyBorder="1" applyAlignment="1">
      <alignment horizontal="center" vertical="center" wrapText="1"/>
    </xf>
    <xf numFmtId="0" fontId="25" fillId="5" borderId="1" xfId="0" applyFont="1" applyFill="1" applyBorder="1" applyAlignment="1">
      <alignment horizontal="left" vertical="center" wrapText="1"/>
    </xf>
    <xf numFmtId="169" fontId="25" fillId="5" borderId="1" xfId="1" applyNumberFormat="1" applyFont="1" applyFill="1" applyBorder="1" applyAlignment="1">
      <alignment horizontal="right" vertical="center" wrapText="1"/>
    </xf>
    <xf numFmtId="3" fontId="25" fillId="5" borderId="1" xfId="0" applyNumberFormat="1" applyFont="1" applyFill="1" applyBorder="1" applyAlignment="1">
      <alignment horizontal="right" vertical="center" wrapText="1" shrinkToFit="1"/>
    </xf>
    <xf numFmtId="3" fontId="25" fillId="5" borderId="1" xfId="0" applyNumberFormat="1" applyFont="1" applyFill="1" applyBorder="1" applyAlignment="1">
      <alignment horizontal="right" vertical="center" wrapText="1"/>
    </xf>
    <xf numFmtId="170" fontId="25" fillId="5" borderId="1" xfId="0" applyNumberFormat="1" applyFont="1" applyFill="1" applyBorder="1" applyAlignment="1">
      <alignment horizontal="right" vertical="center" wrapText="1" shrinkToFit="1"/>
    </xf>
    <xf numFmtId="170" fontId="25" fillId="5" borderId="1" xfId="0" applyNumberFormat="1" applyFont="1" applyFill="1" applyBorder="1" applyAlignment="1">
      <alignment horizontal="right" vertical="center" wrapText="1"/>
    </xf>
    <xf numFmtId="169" fontId="25" fillId="5" borderId="1" xfId="1" applyNumberFormat="1" applyFont="1" applyFill="1" applyBorder="1" applyAlignment="1">
      <alignment horizontal="right" vertical="center" wrapText="1" shrinkToFit="1"/>
    </xf>
    <xf numFmtId="169" fontId="25" fillId="5" borderId="30" xfId="1" applyNumberFormat="1" applyFont="1" applyFill="1" applyBorder="1" applyAlignment="1">
      <alignment horizontal="right" vertical="center" wrapText="1" shrinkToFit="1"/>
    </xf>
    <xf numFmtId="3" fontId="25" fillId="5" borderId="35" xfId="0" applyNumberFormat="1" applyFont="1" applyFill="1" applyBorder="1" applyAlignment="1">
      <alignment vertical="center"/>
    </xf>
    <xf numFmtId="3" fontId="25" fillId="5" borderId="36" xfId="0" applyNumberFormat="1" applyFont="1" applyFill="1" applyBorder="1" applyAlignment="1">
      <alignment vertical="center"/>
    </xf>
    <xf numFmtId="3" fontId="25" fillId="5" borderId="0" xfId="0" applyNumberFormat="1" applyFont="1" applyFill="1" applyAlignment="1">
      <alignment vertical="center"/>
    </xf>
    <xf numFmtId="0" fontId="31" fillId="2" borderId="1" xfId="0" applyFont="1" applyFill="1" applyBorder="1" applyAlignment="1">
      <alignment horizontal="left" vertical="center" shrinkToFit="1"/>
    </xf>
    <xf numFmtId="169" fontId="31" fillId="2" borderId="1" xfId="1" applyNumberFormat="1" applyFont="1" applyFill="1" applyBorder="1" applyAlignment="1">
      <alignment horizontal="right" vertical="center" wrapText="1" shrinkToFit="1"/>
    </xf>
    <xf numFmtId="170" fontId="31" fillId="2" borderId="1" xfId="0" applyNumberFormat="1" applyFont="1" applyFill="1" applyBorder="1" applyAlignment="1">
      <alignment horizontal="right" vertical="center" wrapText="1" shrinkToFit="1"/>
    </xf>
    <xf numFmtId="3" fontId="31" fillId="5" borderId="0" xfId="0" applyNumberFormat="1" applyFont="1" applyFill="1" applyAlignment="1">
      <alignment vertical="center"/>
    </xf>
    <xf numFmtId="0" fontId="25" fillId="5" borderId="1" xfId="0" applyFont="1" applyFill="1" applyBorder="1" applyAlignment="1">
      <alignment horizontal="center" vertical="center"/>
    </xf>
    <xf numFmtId="0" fontId="25" fillId="5" borderId="1" xfId="0" applyFont="1" applyFill="1" applyBorder="1" applyAlignment="1">
      <alignment horizontal="left" vertical="center"/>
    </xf>
    <xf numFmtId="0" fontId="25" fillId="5" borderId="1" xfId="0" applyFont="1" applyFill="1" applyBorder="1" applyAlignment="1">
      <alignment vertical="center"/>
    </xf>
    <xf numFmtId="172" fontId="25" fillId="5" borderId="1" xfId="0" applyNumberFormat="1" applyFont="1" applyFill="1" applyBorder="1" applyAlignment="1">
      <alignment horizontal="right" vertical="center" wrapText="1" shrinkToFit="1"/>
    </xf>
    <xf numFmtId="0" fontId="25" fillId="5" borderId="0" xfId="0" applyFont="1" applyFill="1" applyAlignment="1">
      <alignment horizontal="center" vertical="center"/>
    </xf>
    <xf numFmtId="169" fontId="25" fillId="5" borderId="0" xfId="1" applyNumberFormat="1" applyFont="1" applyFill="1" applyAlignment="1">
      <alignment vertical="center"/>
    </xf>
    <xf numFmtId="0" fontId="102" fillId="0" borderId="0" xfId="0" applyFont="1"/>
    <xf numFmtId="43" fontId="102" fillId="0" borderId="0" xfId="3" applyNumberFormat="1" applyFont="1" applyFill="1"/>
    <xf numFmtId="168" fontId="106" fillId="0" borderId="0" xfId="3" applyNumberFormat="1" applyFont="1" applyFill="1"/>
    <xf numFmtId="168" fontId="102" fillId="0" borderId="0" xfId="3" applyNumberFormat="1" applyFont="1" applyFill="1"/>
    <xf numFmtId="0" fontId="111" fillId="0" borderId="0" xfId="0" applyFont="1"/>
    <xf numFmtId="0" fontId="112" fillId="0" borderId="0" xfId="0" applyFont="1"/>
    <xf numFmtId="192" fontId="102" fillId="0" borderId="0" xfId="3" applyNumberFormat="1" applyFont="1" applyFill="1"/>
    <xf numFmtId="192" fontId="102" fillId="0" borderId="0" xfId="0" applyNumberFormat="1" applyFont="1"/>
    <xf numFmtId="0" fontId="102" fillId="0" borderId="0" xfId="0" applyFont="1" applyAlignment="1">
      <alignment horizontal="center" vertical="center"/>
    </xf>
    <xf numFmtId="0" fontId="112" fillId="0" borderId="0" xfId="0" applyFont="1" applyAlignment="1">
      <alignment horizontal="center"/>
    </xf>
    <xf numFmtId="0" fontId="102" fillId="0" borderId="0" xfId="0" applyFont="1" applyAlignment="1">
      <alignment horizontal="center"/>
    </xf>
    <xf numFmtId="0" fontId="89" fillId="0" borderId="0" xfId="0" applyFont="1"/>
    <xf numFmtId="0" fontId="41" fillId="0" borderId="0" xfId="0" applyFont="1"/>
    <xf numFmtId="168" fontId="108" fillId="0" borderId="0" xfId="3" applyNumberFormat="1" applyFont="1" applyFill="1"/>
    <xf numFmtId="168" fontId="108" fillId="0" borderId="0" xfId="0" applyNumberFormat="1" applyFont="1"/>
    <xf numFmtId="0" fontId="112" fillId="0" borderId="5" xfId="0" applyFont="1" applyBorder="1"/>
    <xf numFmtId="168" fontId="102" fillId="0" borderId="0" xfId="0" applyNumberFormat="1" applyFont="1"/>
    <xf numFmtId="41" fontId="108" fillId="0" borderId="1" xfId="85" applyFont="1" applyFill="1" applyBorder="1"/>
    <xf numFmtId="168" fontId="108" fillId="0" borderId="1" xfId="3" applyNumberFormat="1" applyFont="1" applyFill="1" applyBorder="1"/>
    <xf numFmtId="41" fontId="113" fillId="0" borderId="1" xfId="85" applyFont="1" applyFill="1" applyBorder="1" applyAlignment="1">
      <alignment horizontal="center"/>
    </xf>
    <xf numFmtId="192" fontId="108" fillId="0" borderId="1" xfId="3" applyNumberFormat="1" applyFont="1" applyFill="1" applyBorder="1"/>
    <xf numFmtId="192" fontId="108" fillId="0" borderId="1" xfId="85" applyNumberFormat="1" applyFont="1" applyFill="1" applyBorder="1"/>
    <xf numFmtId="41" fontId="108" fillId="0" borderId="1" xfId="85" applyFont="1" applyFill="1" applyBorder="1" applyAlignment="1">
      <alignment horizontal="center" vertical="center"/>
    </xf>
    <xf numFmtId="41" fontId="113" fillId="0" borderId="1" xfId="85" applyFont="1" applyFill="1" applyBorder="1" applyAlignment="1">
      <alignment horizontal="right"/>
    </xf>
    <xf numFmtId="41" fontId="108" fillId="0" borderId="0" xfId="85" applyFont="1" applyFill="1" applyAlignment="1">
      <alignment vertical="center"/>
    </xf>
    <xf numFmtId="41" fontId="108" fillId="0" borderId="0" xfId="85" applyFont="1" applyFill="1"/>
    <xf numFmtId="168" fontId="108" fillId="0" borderId="0" xfId="1" applyNumberFormat="1" applyFont="1" applyFill="1"/>
    <xf numFmtId="0" fontId="108" fillId="0" borderId="1" xfId="0" applyFont="1" applyBorder="1"/>
    <xf numFmtId="43" fontId="108" fillId="0" borderId="1" xfId="3" applyNumberFormat="1" applyFont="1" applyFill="1" applyBorder="1"/>
    <xf numFmtId="168" fontId="108" fillId="0" borderId="1" xfId="0" applyNumberFormat="1" applyFont="1" applyBorder="1"/>
    <xf numFmtId="41" fontId="108" fillId="0" borderId="1" xfId="0" applyNumberFormat="1" applyFont="1" applyBorder="1"/>
    <xf numFmtId="168" fontId="114" fillId="0" borderId="1" xfId="0" applyNumberFormat="1" applyFont="1" applyBorder="1"/>
    <xf numFmtId="192" fontId="108" fillId="0" borderId="1" xfId="0" applyNumberFormat="1" applyFont="1" applyBorder="1"/>
    <xf numFmtId="0" fontId="108" fillId="0" borderId="0" xfId="0" applyFont="1"/>
    <xf numFmtId="168" fontId="108" fillId="0" borderId="2" xfId="3" applyNumberFormat="1" applyFont="1" applyFill="1" applyBorder="1"/>
    <xf numFmtId="168" fontId="108" fillId="0" borderId="2" xfId="0" applyNumberFormat="1" applyFont="1" applyBorder="1"/>
    <xf numFmtId="0" fontId="108" fillId="0" borderId="2" xfId="0" applyFont="1" applyBorder="1"/>
    <xf numFmtId="43" fontId="108" fillId="0" borderId="2" xfId="3" applyNumberFormat="1" applyFont="1" applyFill="1" applyBorder="1"/>
    <xf numFmtId="168" fontId="105" fillId="0" borderId="2" xfId="3" applyNumberFormat="1" applyFont="1" applyFill="1" applyBorder="1" applyAlignment="1">
      <alignment horizontal="center" vertical="center" wrapText="1"/>
    </xf>
    <xf numFmtId="41" fontId="108" fillId="0" borderId="2" xfId="0" applyNumberFormat="1" applyFont="1" applyBorder="1"/>
    <xf numFmtId="168" fontId="114" fillId="0" borderId="2" xfId="0" applyNumberFormat="1" applyFont="1" applyBorder="1"/>
    <xf numFmtId="192" fontId="108" fillId="0" borderId="2" xfId="3" applyNumberFormat="1" applyFont="1" applyFill="1" applyBorder="1"/>
    <xf numFmtId="192" fontId="108" fillId="0" borderId="27" xfId="3" applyNumberFormat="1" applyFont="1" applyFill="1" applyBorder="1"/>
    <xf numFmtId="168" fontId="108" fillId="0" borderId="29" xfId="0" applyNumberFormat="1" applyFont="1" applyBorder="1"/>
    <xf numFmtId="168" fontId="108" fillId="0" borderId="28" xfId="0" applyNumberFormat="1" applyFont="1" applyBorder="1"/>
    <xf numFmtId="192" fontId="108" fillId="0" borderId="2" xfId="0" applyNumberFormat="1" applyFont="1" applyBorder="1"/>
    <xf numFmtId="168" fontId="108" fillId="0" borderId="27" xfId="0" applyNumberFormat="1" applyFont="1" applyBorder="1"/>
    <xf numFmtId="49" fontId="102" fillId="0" borderId="1" xfId="3" applyNumberFormat="1" applyFont="1" applyFill="1" applyBorder="1" applyAlignment="1">
      <alignment horizontal="center" vertical="center" wrapText="1"/>
    </xf>
    <xf numFmtId="192" fontId="102" fillId="0" borderId="1" xfId="3" applyNumberFormat="1" applyFont="1" applyFill="1" applyBorder="1" applyAlignment="1">
      <alignment horizontal="center" vertical="center" wrapText="1"/>
    </xf>
    <xf numFmtId="49" fontId="114" fillId="0" borderId="18" xfId="3" applyNumberFormat="1" applyFont="1" applyFill="1" applyBorder="1" applyAlignment="1">
      <alignment horizontal="center" vertical="center" wrapText="1"/>
    </xf>
    <xf numFmtId="49" fontId="114" fillId="0" borderId="1" xfId="3" applyNumberFormat="1" applyFont="1" applyFill="1" applyBorder="1" applyAlignment="1">
      <alignment horizontal="center" vertical="center" wrapText="1"/>
    </xf>
    <xf numFmtId="43" fontId="114" fillId="0" borderId="1" xfId="3" applyNumberFormat="1" applyFont="1" applyFill="1" applyBorder="1" applyAlignment="1">
      <alignment horizontal="center" vertical="center" wrapText="1"/>
    </xf>
    <xf numFmtId="168" fontId="115" fillId="0" borderId="1" xfId="3" applyNumberFormat="1" applyFont="1" applyFill="1" applyBorder="1" applyAlignment="1">
      <alignment horizontal="center" vertical="center" wrapText="1"/>
    </xf>
    <xf numFmtId="168" fontId="114" fillId="0" borderId="1" xfId="3" applyNumberFormat="1" applyFont="1" applyFill="1" applyBorder="1" applyAlignment="1">
      <alignment horizontal="center" vertical="center" wrapText="1"/>
    </xf>
    <xf numFmtId="1" fontId="114" fillId="0" borderId="1" xfId="3" applyNumberFormat="1" applyFont="1" applyFill="1" applyBorder="1" applyAlignment="1">
      <alignment horizontal="center" vertical="center" wrapText="1"/>
    </xf>
    <xf numFmtId="49" fontId="114" fillId="0" borderId="19" xfId="3" applyNumberFormat="1" applyFont="1" applyFill="1" applyBorder="1" applyAlignment="1">
      <alignment horizontal="center" vertical="center" wrapText="1"/>
    </xf>
    <xf numFmtId="9" fontId="115" fillId="0" borderId="0" xfId="0" applyNumberFormat="1" applyFont="1" applyAlignment="1">
      <alignment horizontal="center" vertical="center" wrapText="1"/>
    </xf>
    <xf numFmtId="0" fontId="105" fillId="0" borderId="0" xfId="0" applyFont="1" applyAlignment="1">
      <alignment horizontal="center" vertical="center" wrapText="1"/>
    </xf>
    <xf numFmtId="168" fontId="105" fillId="0" borderId="0" xfId="1" applyNumberFormat="1" applyFont="1" applyFill="1" applyAlignment="1">
      <alignment horizontal="center" vertical="center" wrapText="1"/>
    </xf>
    <xf numFmtId="0" fontId="114" fillId="0" borderId="0" xfId="0" applyFont="1"/>
    <xf numFmtId="49" fontId="105" fillId="0" borderId="44" xfId="3" applyNumberFormat="1" applyFont="1" applyFill="1" applyBorder="1" applyAlignment="1">
      <alignment horizontal="center" vertical="center" shrinkToFit="1"/>
    </xf>
    <xf numFmtId="49" fontId="105" fillId="0" borderId="25" xfId="3" applyNumberFormat="1" applyFont="1" applyFill="1" applyBorder="1" applyAlignment="1">
      <alignment horizontal="center" vertical="center" shrinkToFit="1"/>
    </xf>
    <xf numFmtId="168" fontId="105" fillId="0" borderId="25" xfId="3" applyNumberFormat="1" applyFont="1" applyFill="1" applyBorder="1" applyAlignment="1">
      <alignment horizontal="center" vertical="center" shrinkToFit="1"/>
    </xf>
    <xf numFmtId="3" fontId="105" fillId="0" borderId="25" xfId="3" applyNumberFormat="1" applyFont="1" applyFill="1" applyBorder="1" applyAlignment="1">
      <alignment horizontal="center" vertical="center" shrinkToFit="1"/>
    </xf>
    <xf numFmtId="3" fontId="105" fillId="0" borderId="25" xfId="3" applyNumberFormat="1" applyFont="1" applyFill="1" applyBorder="1" applyAlignment="1">
      <alignment horizontal="right" vertical="center" shrinkToFit="1"/>
    </xf>
    <xf numFmtId="192" fontId="105" fillId="0" borderId="25" xfId="3" applyNumberFormat="1" applyFont="1" applyFill="1" applyBorder="1" applyAlignment="1">
      <alignment horizontal="center" vertical="center" shrinkToFit="1"/>
    </xf>
    <xf numFmtId="168" fontId="105" fillId="0" borderId="25" xfId="3" applyNumberFormat="1" applyFont="1" applyFill="1" applyBorder="1" applyAlignment="1">
      <alignment vertical="center" shrinkToFit="1"/>
    </xf>
    <xf numFmtId="192" fontId="105" fillId="0" borderId="25" xfId="3" applyNumberFormat="1" applyFont="1" applyFill="1" applyBorder="1" applyAlignment="1">
      <alignment vertical="center" shrinkToFit="1"/>
    </xf>
    <xf numFmtId="168" fontId="105" fillId="0" borderId="45" xfId="3" applyNumberFormat="1" applyFont="1" applyFill="1" applyBorder="1" applyAlignment="1">
      <alignment horizontal="center" vertical="center" shrinkToFit="1"/>
    </xf>
    <xf numFmtId="168" fontId="105" fillId="0" borderId="25" xfId="3" applyNumberFormat="1" applyFont="1" applyFill="1" applyBorder="1" applyAlignment="1">
      <alignment horizontal="center" vertical="center" wrapText="1"/>
    </xf>
    <xf numFmtId="49" fontId="108" fillId="0" borderId="46" xfId="3" applyNumberFormat="1" applyFont="1" applyFill="1" applyBorder="1" applyAlignment="1">
      <alignment horizontal="center" vertical="center" shrinkToFit="1"/>
    </xf>
    <xf numFmtId="168" fontId="108" fillId="0" borderId="22" xfId="3" applyNumberFormat="1" applyFont="1" applyFill="1" applyBorder="1" applyAlignment="1">
      <alignment horizontal="left" vertical="center" shrinkToFit="1"/>
    </xf>
    <xf numFmtId="168" fontId="105" fillId="0" borderId="22" xfId="3" applyNumberFormat="1" applyFont="1" applyFill="1" applyBorder="1" applyAlignment="1">
      <alignment horizontal="center" vertical="center" shrinkToFit="1"/>
    </xf>
    <xf numFmtId="168" fontId="105" fillId="0" borderId="22" xfId="3" applyNumberFormat="1" applyFont="1" applyFill="1" applyBorder="1" applyAlignment="1">
      <alignment horizontal="right" vertical="center" shrinkToFit="1"/>
    </xf>
    <xf numFmtId="168" fontId="108" fillId="0" borderId="22" xfId="1" applyNumberFormat="1" applyFont="1" applyFill="1" applyBorder="1" applyAlignment="1">
      <alignment horizontal="right" vertical="center" shrinkToFit="1"/>
    </xf>
    <xf numFmtId="193" fontId="108" fillId="0" borderId="22" xfId="3" applyNumberFormat="1" applyFont="1" applyFill="1" applyBorder="1" applyAlignment="1">
      <alignment horizontal="right" vertical="center" shrinkToFit="1"/>
    </xf>
    <xf numFmtId="168" fontId="108" fillId="0" borderId="22" xfId="3" applyNumberFormat="1" applyFont="1" applyFill="1" applyBorder="1" applyAlignment="1">
      <alignment horizontal="right" vertical="center" shrinkToFit="1"/>
    </xf>
    <xf numFmtId="3" fontId="108" fillId="0" borderId="22" xfId="3" applyNumberFormat="1" applyFont="1" applyFill="1" applyBorder="1" applyAlignment="1">
      <alignment horizontal="center" vertical="center" shrinkToFit="1"/>
    </xf>
    <xf numFmtId="3" fontId="108" fillId="0" borderId="22" xfId="3" applyNumberFormat="1" applyFont="1" applyFill="1" applyBorder="1" applyAlignment="1">
      <alignment horizontal="right" vertical="center" shrinkToFit="1"/>
    </xf>
    <xf numFmtId="192" fontId="108" fillId="0" borderId="22" xfId="3" applyNumberFormat="1" applyFont="1" applyFill="1" applyBorder="1" applyAlignment="1">
      <alignment horizontal="right" vertical="center" shrinkToFit="1"/>
    </xf>
    <xf numFmtId="1" fontId="108" fillId="0" borderId="22" xfId="3" applyNumberFormat="1" applyFont="1" applyFill="1" applyBorder="1" applyAlignment="1">
      <alignment horizontal="center" vertical="center" shrinkToFit="1"/>
    </xf>
    <xf numFmtId="193" fontId="108" fillId="0" borderId="22" xfId="3" applyNumberFormat="1" applyFont="1" applyFill="1" applyBorder="1" applyAlignment="1">
      <alignment horizontal="center" vertical="center" shrinkToFit="1"/>
    </xf>
    <xf numFmtId="167" fontId="108" fillId="0" borderId="22" xfId="3" applyNumberFormat="1" applyFont="1" applyFill="1" applyBorder="1" applyAlignment="1">
      <alignment horizontal="right" vertical="center" shrinkToFit="1"/>
    </xf>
    <xf numFmtId="168" fontId="108" fillId="0" borderId="47" xfId="3" applyNumberFormat="1" applyFont="1" applyFill="1" applyBorder="1" applyAlignment="1">
      <alignment horizontal="right" vertical="center" shrinkToFit="1"/>
    </xf>
    <xf numFmtId="168" fontId="116" fillId="0" borderId="0" xfId="1" applyNumberFormat="1" applyFont="1" applyFill="1"/>
    <xf numFmtId="3" fontId="108" fillId="2" borderId="22" xfId="3" applyNumberFormat="1" applyFont="1" applyFill="1" applyBorder="1" applyAlignment="1">
      <alignment horizontal="center" vertical="center" shrinkToFit="1"/>
    </xf>
    <xf numFmtId="49" fontId="108" fillId="0" borderId="48" xfId="3" applyNumberFormat="1" applyFont="1" applyFill="1" applyBorder="1" applyAlignment="1">
      <alignment horizontal="center" vertical="center" shrinkToFit="1"/>
    </xf>
    <xf numFmtId="168" fontId="108" fillId="0" borderId="49" xfId="3" applyNumberFormat="1" applyFont="1" applyFill="1" applyBorder="1" applyAlignment="1">
      <alignment horizontal="left" vertical="center" shrinkToFit="1"/>
    </xf>
    <xf numFmtId="168" fontId="105" fillId="0" borderId="49" xfId="3" applyNumberFormat="1" applyFont="1" applyFill="1" applyBorder="1" applyAlignment="1">
      <alignment horizontal="center" vertical="center" shrinkToFit="1"/>
    </xf>
    <xf numFmtId="168" fontId="108" fillId="0" borderId="49" xfId="1" applyNumberFormat="1" applyFont="1" applyFill="1" applyBorder="1" applyAlignment="1">
      <alignment horizontal="right" vertical="center" shrinkToFit="1"/>
    </xf>
    <xf numFmtId="193" fontId="108" fillId="0" borderId="49" xfId="3" applyNumberFormat="1" applyFont="1" applyFill="1" applyBorder="1" applyAlignment="1">
      <alignment horizontal="right" vertical="center" shrinkToFit="1"/>
    </xf>
    <xf numFmtId="168" fontId="108" fillId="0" borderId="49" xfId="3" applyNumberFormat="1" applyFont="1" applyFill="1" applyBorder="1" applyAlignment="1">
      <alignment horizontal="right" vertical="center" shrinkToFit="1"/>
    </xf>
    <xf numFmtId="3" fontId="108" fillId="0" borderId="49" xfId="3" applyNumberFormat="1" applyFont="1" applyFill="1" applyBorder="1" applyAlignment="1">
      <alignment horizontal="center" vertical="center" shrinkToFit="1"/>
    </xf>
    <xf numFmtId="3" fontId="108" fillId="0" borderId="49" xfId="3" applyNumberFormat="1" applyFont="1" applyFill="1" applyBorder="1" applyAlignment="1">
      <alignment horizontal="right" vertical="center" shrinkToFit="1"/>
    </xf>
    <xf numFmtId="192" fontId="108" fillId="0" borderId="49" xfId="3" applyNumberFormat="1" applyFont="1" applyFill="1" applyBorder="1" applyAlignment="1">
      <alignment horizontal="right" vertical="center" shrinkToFit="1"/>
    </xf>
    <xf numFmtId="1" fontId="108" fillId="0" borderId="49" xfId="3" applyNumberFormat="1" applyFont="1" applyFill="1" applyBorder="1" applyAlignment="1">
      <alignment horizontal="center" vertical="center" shrinkToFit="1"/>
    </xf>
    <xf numFmtId="193" fontId="108" fillId="0" borderId="49" xfId="3" applyNumberFormat="1" applyFont="1" applyFill="1" applyBorder="1" applyAlignment="1">
      <alignment horizontal="center" vertical="center" shrinkToFit="1"/>
    </xf>
    <xf numFmtId="167" fontId="108" fillId="0" borderId="49" xfId="3" applyNumberFormat="1" applyFont="1" applyFill="1" applyBorder="1" applyAlignment="1">
      <alignment horizontal="right" vertical="center" shrinkToFit="1"/>
    </xf>
    <xf numFmtId="168" fontId="108" fillId="0" borderId="50" xfId="3" applyNumberFormat="1" applyFont="1" applyFill="1" applyBorder="1" applyAlignment="1">
      <alignment horizontal="right" vertical="center" shrinkToFit="1"/>
    </xf>
    <xf numFmtId="43" fontId="106" fillId="0" borderId="0" xfId="3" applyNumberFormat="1" applyFont="1" applyFill="1"/>
    <xf numFmtId="3" fontId="102" fillId="0" borderId="0" xfId="0" applyNumberFormat="1" applyFont="1"/>
    <xf numFmtId="168" fontId="114" fillId="0" borderId="0" xfId="1" applyNumberFormat="1" applyFont="1" applyFill="1"/>
    <xf numFmtId="168" fontId="102" fillId="0" borderId="0" xfId="3" applyNumberFormat="1" applyFont="1" applyFill="1" applyBorder="1"/>
    <xf numFmtId="167" fontId="23" fillId="5" borderId="0" xfId="2" applyNumberFormat="1" applyFont="1" applyFill="1" applyAlignment="1">
      <alignment horizontal="center" vertical="center"/>
    </xf>
    <xf numFmtId="3" fontId="23" fillId="5" borderId="0" xfId="2" applyNumberFormat="1" applyFont="1" applyFill="1"/>
    <xf numFmtId="3" fontId="24" fillId="5" borderId="0" xfId="2" applyNumberFormat="1" applyFont="1" applyFill="1"/>
    <xf numFmtId="0" fontId="25" fillId="5" borderId="0" xfId="2" applyFont="1" applyFill="1"/>
    <xf numFmtId="3" fontId="25" fillId="5" borderId="0" xfId="2" applyNumberFormat="1" applyFont="1" applyFill="1"/>
    <xf numFmtId="167" fontId="24" fillId="5" borderId="0" xfId="2" applyNumberFormat="1" applyFont="1" applyFill="1"/>
    <xf numFmtId="0" fontId="24" fillId="5" borderId="0" xfId="2" applyFont="1" applyFill="1"/>
    <xf numFmtId="0" fontId="25" fillId="5" borderId="0" xfId="2" applyFont="1" applyFill="1" applyAlignment="1">
      <alignment horizontal="center" vertical="center"/>
    </xf>
    <xf numFmtId="0" fontId="25" fillId="5" borderId="0" xfId="2" applyFont="1" applyFill="1" applyAlignment="1">
      <alignment vertical="center" wrapText="1"/>
    </xf>
    <xf numFmtId="3" fontId="25" fillId="5" borderId="0" xfId="2" applyNumberFormat="1" applyFont="1" applyFill="1" applyAlignment="1">
      <alignment vertical="center"/>
    </xf>
    <xf numFmtId="3" fontId="26" fillId="5" borderId="0" xfId="2" applyNumberFormat="1" applyFont="1" applyFill="1" applyAlignment="1">
      <alignment horizontal="right"/>
    </xf>
    <xf numFmtId="170" fontId="27" fillId="5" borderId="0" xfId="2" applyNumberFormat="1" applyFont="1" applyFill="1" applyAlignment="1">
      <alignment vertical="center" wrapText="1"/>
    </xf>
    <xf numFmtId="3" fontId="23" fillId="5" borderId="0" xfId="2" applyNumberFormat="1" applyFont="1" applyFill="1" applyAlignment="1">
      <alignment horizontal="center"/>
    </xf>
    <xf numFmtId="0" fontId="23" fillId="5" borderId="1" xfId="2" applyFont="1" applyFill="1" applyBorder="1" applyAlignment="1">
      <alignment horizontal="center" vertical="center"/>
    </xf>
    <xf numFmtId="0" fontId="23" fillId="5" borderId="1" xfId="2" applyFont="1" applyFill="1" applyBorder="1" applyAlignment="1">
      <alignment horizontal="center" vertical="center" wrapText="1"/>
    </xf>
    <xf numFmtId="3" fontId="23" fillId="5" borderId="1" xfId="2" applyNumberFormat="1" applyFont="1" applyFill="1" applyBorder="1" applyAlignment="1">
      <alignment horizontal="center" vertical="center"/>
    </xf>
    <xf numFmtId="3" fontId="23" fillId="5" borderId="1" xfId="2" applyNumberFormat="1" applyFont="1" applyFill="1" applyBorder="1" applyAlignment="1">
      <alignment horizontal="center" vertical="center" wrapText="1"/>
    </xf>
    <xf numFmtId="3" fontId="23" fillId="5" borderId="0" xfId="2" applyNumberFormat="1" applyFont="1" applyFill="1" applyAlignment="1">
      <alignment horizontal="center" vertical="center" wrapText="1"/>
    </xf>
    <xf numFmtId="3" fontId="23" fillId="5" borderId="0" xfId="2" applyNumberFormat="1" applyFont="1" applyFill="1" applyAlignment="1">
      <alignment horizontal="right" vertical="center" wrapText="1"/>
    </xf>
    <xf numFmtId="3" fontId="27" fillId="5" borderId="0" xfId="2" applyNumberFormat="1" applyFont="1" applyFill="1" applyAlignment="1">
      <alignment vertical="center" wrapText="1"/>
    </xf>
    <xf numFmtId="3" fontId="28" fillId="5" borderId="0" xfId="2" applyNumberFormat="1" applyFont="1" applyFill="1" applyAlignment="1">
      <alignment vertical="center" wrapText="1"/>
    </xf>
    <xf numFmtId="167" fontId="26" fillId="5" borderId="0" xfId="2" applyNumberFormat="1" applyFont="1" applyFill="1" applyAlignment="1">
      <alignment horizontal="center"/>
    </xf>
    <xf numFmtId="3" fontId="26" fillId="5" borderId="0" xfId="2" applyNumberFormat="1" applyFont="1" applyFill="1" applyAlignment="1">
      <alignment horizontal="center"/>
    </xf>
    <xf numFmtId="0" fontId="26" fillId="5" borderId="0" xfId="2" applyFont="1" applyFill="1" applyAlignment="1">
      <alignment horizontal="center"/>
    </xf>
    <xf numFmtId="0" fontId="26" fillId="5" borderId="1" xfId="2" applyFont="1" applyFill="1" applyBorder="1" applyAlignment="1">
      <alignment horizontal="center" vertical="center" wrapText="1"/>
    </xf>
    <xf numFmtId="168" fontId="26" fillId="5" borderId="1" xfId="3" applyNumberFormat="1" applyFont="1" applyFill="1" applyBorder="1" applyAlignment="1">
      <alignment horizontal="center" vertical="center"/>
    </xf>
    <xf numFmtId="0" fontId="28" fillId="5" borderId="1" xfId="2" applyFont="1" applyFill="1" applyBorder="1" applyAlignment="1">
      <alignment horizontal="center" vertical="center" wrapText="1"/>
    </xf>
    <xf numFmtId="3" fontId="28" fillId="5" borderId="1" xfId="2" applyNumberFormat="1" applyFont="1" applyFill="1" applyBorder="1" applyAlignment="1">
      <alignment vertical="center" wrapText="1"/>
    </xf>
    <xf numFmtId="171" fontId="28" fillId="5" borderId="0" xfId="2" applyNumberFormat="1" applyFont="1" applyFill="1" applyAlignment="1">
      <alignment vertical="center" wrapText="1"/>
    </xf>
    <xf numFmtId="167" fontId="27" fillId="5" borderId="0" xfId="2" applyNumberFormat="1" applyFont="1" applyFill="1" applyAlignment="1">
      <alignment vertical="center" wrapText="1"/>
    </xf>
    <xf numFmtId="0" fontId="27" fillId="5" borderId="0" xfId="2" applyFont="1" applyFill="1" applyAlignment="1">
      <alignment vertical="center" wrapText="1"/>
    </xf>
    <xf numFmtId="0" fontId="23" fillId="5" borderId="1" xfId="2" applyFont="1" applyFill="1" applyBorder="1" applyAlignment="1">
      <alignment vertical="center" wrapText="1"/>
    </xf>
    <xf numFmtId="168" fontId="26" fillId="5" borderId="1" xfId="3" applyNumberFormat="1" applyFont="1" applyFill="1" applyBorder="1" applyAlignment="1">
      <alignment horizontal="center"/>
    </xf>
    <xf numFmtId="3" fontId="23" fillId="5" borderId="1" xfId="2" applyNumberFormat="1" applyFont="1" applyFill="1" applyBorder="1" applyAlignment="1">
      <alignment vertical="center" wrapText="1"/>
    </xf>
    <xf numFmtId="3" fontId="23" fillId="5" borderId="0" xfId="2" applyNumberFormat="1" applyFont="1" applyFill="1" applyAlignment="1">
      <alignment horizontal="left" vertical="center" wrapText="1"/>
    </xf>
    <xf numFmtId="3" fontId="26" fillId="5" borderId="0" xfId="2" applyNumberFormat="1" applyFont="1" applyFill="1" applyAlignment="1">
      <alignment vertical="center" wrapText="1"/>
    </xf>
    <xf numFmtId="10" fontId="26" fillId="5" borderId="0" xfId="2" applyNumberFormat="1" applyFont="1" applyFill="1" applyAlignment="1">
      <alignment vertical="center" wrapText="1"/>
    </xf>
    <xf numFmtId="167" fontId="26" fillId="5" borderId="0" xfId="2" applyNumberFormat="1" applyFont="1" applyFill="1" applyAlignment="1">
      <alignment vertical="center" wrapText="1"/>
    </xf>
    <xf numFmtId="0" fontId="26" fillId="5" borderId="0" xfId="2" applyFont="1" applyFill="1" applyAlignment="1">
      <alignment vertical="center" wrapText="1"/>
    </xf>
    <xf numFmtId="0" fontId="26" fillId="5" borderId="1" xfId="2" applyFont="1" applyFill="1" applyBorder="1" applyAlignment="1">
      <alignment vertical="center" wrapText="1"/>
    </xf>
    <xf numFmtId="168" fontId="26" fillId="5" borderId="1" xfId="2" applyNumberFormat="1" applyFont="1" applyFill="1" applyBorder="1" applyAlignment="1">
      <alignment vertical="center" wrapText="1"/>
    </xf>
    <xf numFmtId="0" fontId="29" fillId="5" borderId="1" xfId="2" applyFont="1" applyFill="1" applyBorder="1" applyAlignment="1">
      <alignment horizontal="center" vertical="center" wrapText="1"/>
    </xf>
    <xf numFmtId="3" fontId="29" fillId="5" borderId="1" xfId="2" applyNumberFormat="1" applyFont="1" applyFill="1" applyBorder="1" applyAlignment="1">
      <alignment vertical="center" wrapText="1"/>
    </xf>
    <xf numFmtId="167" fontId="30" fillId="5" borderId="0" xfId="2" applyNumberFormat="1" applyFont="1" applyFill="1" applyAlignment="1">
      <alignment vertical="center" wrapText="1"/>
    </xf>
    <xf numFmtId="3" fontId="30" fillId="5" borderId="0" xfId="2" applyNumberFormat="1" applyFont="1" applyFill="1" applyAlignment="1">
      <alignment vertical="center" wrapText="1"/>
    </xf>
    <xf numFmtId="0" fontId="30" fillId="5" borderId="0" xfId="2" applyFont="1" applyFill="1" applyAlignment="1">
      <alignment vertical="center" wrapText="1"/>
    </xf>
    <xf numFmtId="0" fontId="31" fillId="5" borderId="1" xfId="2" applyFont="1" applyFill="1" applyBorder="1" applyAlignment="1">
      <alignment horizontal="center" vertical="center" wrapText="1"/>
    </xf>
    <xf numFmtId="0" fontId="31" fillId="5" borderId="1" xfId="2" applyFont="1" applyFill="1" applyBorder="1" applyAlignment="1">
      <alignment vertical="center" wrapText="1"/>
    </xf>
    <xf numFmtId="0" fontId="32" fillId="5" borderId="1" xfId="2" applyFont="1" applyFill="1" applyBorder="1" applyAlignment="1">
      <alignment horizontal="center" vertical="center" wrapText="1"/>
    </xf>
    <xf numFmtId="3" fontId="32" fillId="5" borderId="1" xfId="2" applyNumberFormat="1" applyFont="1" applyFill="1" applyBorder="1" applyAlignment="1">
      <alignment vertical="center" wrapText="1"/>
    </xf>
    <xf numFmtId="3" fontId="33" fillId="5" borderId="1" xfId="2" applyNumberFormat="1" applyFont="1" applyFill="1" applyBorder="1" applyAlignment="1">
      <alignment vertical="center" wrapText="1"/>
    </xf>
    <xf numFmtId="3" fontId="33" fillId="5" borderId="0" xfId="2" applyNumberFormat="1" applyFont="1" applyFill="1" applyAlignment="1">
      <alignment vertical="center" wrapText="1"/>
    </xf>
    <xf numFmtId="3" fontId="31" fillId="5" borderId="0" xfId="2" applyNumberFormat="1" applyFont="1" applyFill="1" applyAlignment="1">
      <alignment horizontal="right" vertical="center" wrapText="1"/>
    </xf>
    <xf numFmtId="3" fontId="31" fillId="5" borderId="0" xfId="2" applyNumberFormat="1" applyFont="1" applyFill="1" applyAlignment="1">
      <alignment horizontal="left" vertical="center" wrapText="1"/>
    </xf>
    <xf numFmtId="3" fontId="34" fillId="5" borderId="0" xfId="2" applyNumberFormat="1" applyFont="1" applyFill="1" applyAlignment="1">
      <alignment vertical="center" wrapText="1"/>
    </xf>
    <xf numFmtId="0" fontId="35" fillId="5" borderId="0" xfId="2" applyFont="1" applyFill="1" applyAlignment="1">
      <alignment vertical="center" wrapText="1"/>
    </xf>
    <xf numFmtId="167" fontId="36" fillId="5" borderId="0" xfId="2" applyNumberFormat="1" applyFont="1" applyFill="1" applyAlignment="1">
      <alignment vertical="center" wrapText="1"/>
    </xf>
    <xf numFmtId="3" fontId="36" fillId="5" borderId="0" xfId="2" applyNumberFormat="1" applyFont="1" applyFill="1" applyAlignment="1">
      <alignment vertical="center" wrapText="1"/>
    </xf>
    <xf numFmtId="0" fontId="36" fillId="5" borderId="0" xfId="2" applyFont="1" applyFill="1" applyAlignment="1">
      <alignment vertical="center" wrapText="1"/>
    </xf>
    <xf numFmtId="0" fontId="25" fillId="5" borderId="1" xfId="2" applyFont="1" applyFill="1" applyBorder="1" applyAlignment="1">
      <alignment horizontal="center" vertical="center" wrapText="1"/>
    </xf>
    <xf numFmtId="3" fontId="23" fillId="5" borderId="1" xfId="2" applyNumberFormat="1" applyFont="1" applyFill="1" applyBorder="1" applyAlignment="1">
      <alignment horizontal="left" vertical="center" wrapText="1"/>
    </xf>
    <xf numFmtId="3" fontId="23" fillId="5" borderId="0" xfId="2" applyNumberFormat="1" applyFont="1" applyFill="1" applyAlignment="1">
      <alignment vertical="center" wrapText="1"/>
    </xf>
    <xf numFmtId="3" fontId="23" fillId="5" borderId="1" xfId="2" applyNumberFormat="1" applyFont="1" applyFill="1" applyBorder="1" applyAlignment="1">
      <alignment horizontal="right" vertical="center" wrapText="1"/>
    </xf>
    <xf numFmtId="167" fontId="24" fillId="5" borderId="0" xfId="2" applyNumberFormat="1" applyFont="1" applyFill="1" applyAlignment="1">
      <alignment vertical="center" wrapText="1"/>
    </xf>
    <xf numFmtId="3" fontId="24" fillId="5" borderId="0" xfId="2" applyNumberFormat="1" applyFont="1" applyFill="1" applyAlignment="1">
      <alignment vertical="center" wrapText="1"/>
    </xf>
    <xf numFmtId="0" fontId="24" fillId="5" borderId="0" xfId="2" applyFont="1" applyFill="1" applyAlignment="1">
      <alignment vertical="center" wrapText="1"/>
    </xf>
    <xf numFmtId="0" fontId="37" fillId="5" borderId="1" xfId="2" applyFont="1" applyFill="1" applyBorder="1"/>
    <xf numFmtId="3" fontId="23" fillId="5" borderId="0" xfId="2" quotePrefix="1" applyNumberFormat="1" applyFont="1" applyFill="1" applyAlignment="1">
      <alignment vertical="center" wrapText="1"/>
    </xf>
    <xf numFmtId="0" fontId="37" fillId="5" borderId="0" xfId="2" applyFont="1" applyFill="1"/>
    <xf numFmtId="3" fontId="25" fillId="5" borderId="1" xfId="2" applyNumberFormat="1" applyFont="1" applyFill="1" applyBorder="1" applyAlignment="1">
      <alignment horizontal="center" vertical="center" wrapText="1"/>
    </xf>
    <xf numFmtId="0" fontId="38" fillId="5" borderId="1" xfId="2" applyFont="1" applyFill="1" applyBorder="1" applyAlignment="1">
      <alignment vertical="center" wrapText="1"/>
    </xf>
    <xf numFmtId="0" fontId="38" fillId="5" borderId="1" xfId="2" applyFont="1" applyFill="1" applyBorder="1" applyAlignment="1">
      <alignment wrapText="1"/>
    </xf>
    <xf numFmtId="3" fontId="31" fillId="5" borderId="0" xfId="2" applyNumberFormat="1" applyFont="1" applyFill="1" applyAlignment="1">
      <alignment vertical="center" wrapText="1"/>
    </xf>
    <xf numFmtId="167" fontId="25" fillId="5" borderId="0" xfId="2" applyNumberFormat="1" applyFont="1" applyFill="1" applyAlignment="1">
      <alignment vertical="center"/>
    </xf>
    <xf numFmtId="0" fontId="37" fillId="5" borderId="1" xfId="2" applyFont="1" applyFill="1" applyBorder="1" applyAlignment="1">
      <alignment vertical="center" wrapText="1"/>
    </xf>
    <xf numFmtId="3" fontId="25" fillId="5" borderId="1" xfId="2" applyNumberFormat="1" applyFont="1" applyFill="1" applyBorder="1" applyAlignment="1">
      <alignment vertical="center" wrapText="1"/>
    </xf>
    <xf numFmtId="3" fontId="25" fillId="5" borderId="0" xfId="2" quotePrefix="1" applyNumberFormat="1" applyFont="1" applyFill="1" applyAlignment="1">
      <alignment vertical="center" wrapText="1"/>
    </xf>
    <xf numFmtId="3" fontId="21" fillId="5" borderId="0" xfId="2" applyNumberFormat="1" applyFill="1" applyAlignment="1">
      <alignment vertical="center" wrapText="1"/>
    </xf>
    <xf numFmtId="0" fontId="23" fillId="5" borderId="0" xfId="2" applyFont="1" applyFill="1" applyAlignment="1">
      <alignment vertical="center" wrapText="1"/>
    </xf>
    <xf numFmtId="3" fontId="25" fillId="5" borderId="0" xfId="2" applyNumberFormat="1" applyFont="1" applyFill="1" applyAlignment="1">
      <alignment vertical="center" wrapText="1"/>
    </xf>
    <xf numFmtId="0" fontId="38" fillId="5" borderId="1" xfId="2" applyFont="1" applyFill="1" applyBorder="1"/>
    <xf numFmtId="0" fontId="39" fillId="5" borderId="1" xfId="2" applyFont="1" applyFill="1" applyBorder="1" applyAlignment="1">
      <alignment vertical="center" wrapText="1"/>
    </xf>
    <xf numFmtId="0" fontId="39" fillId="5" borderId="1" xfId="2" applyFont="1" applyFill="1" applyBorder="1" applyAlignment="1">
      <alignment wrapText="1"/>
    </xf>
    <xf numFmtId="0" fontId="39" fillId="5" borderId="1" xfId="2" applyFont="1" applyFill="1" applyBorder="1"/>
    <xf numFmtId="3" fontId="31" fillId="5" borderId="1" xfId="2" applyNumberFormat="1" applyFont="1" applyFill="1" applyBorder="1" applyAlignment="1">
      <alignment vertical="center" wrapText="1"/>
    </xf>
    <xf numFmtId="3" fontId="31" fillId="5" borderId="1" xfId="2" applyNumberFormat="1" applyFont="1" applyFill="1" applyBorder="1" applyAlignment="1">
      <alignment horizontal="center" vertical="center" wrapText="1"/>
    </xf>
    <xf numFmtId="3" fontId="35" fillId="5" borderId="0" xfId="2" quotePrefix="1" applyNumberFormat="1" applyFont="1" applyFill="1" applyAlignment="1">
      <alignment vertical="center" wrapText="1"/>
    </xf>
    <xf numFmtId="3" fontId="40" fillId="5" borderId="0" xfId="2" applyNumberFormat="1" applyFont="1" applyFill="1" applyAlignment="1">
      <alignment vertical="center" wrapText="1"/>
    </xf>
    <xf numFmtId="167" fontId="34" fillId="5" borderId="0" xfId="2" applyNumberFormat="1" applyFont="1" applyFill="1" applyAlignment="1">
      <alignment vertical="center" wrapText="1"/>
    </xf>
    <xf numFmtId="0" fontId="34" fillId="5" borderId="0" xfId="2" applyFont="1" applyFill="1" applyAlignment="1">
      <alignment vertical="center" wrapText="1"/>
    </xf>
    <xf numFmtId="0" fontId="38" fillId="5" borderId="1" xfId="2" applyFont="1" applyFill="1" applyBorder="1" applyAlignment="1">
      <alignment horizontal="center" vertical="center"/>
    </xf>
    <xf numFmtId="3" fontId="29" fillId="5" borderId="0" xfId="2" applyNumberFormat="1" applyFont="1" applyFill="1" applyAlignment="1">
      <alignment vertical="center" wrapText="1"/>
    </xf>
    <xf numFmtId="0" fontId="41" fillId="5" borderId="1" xfId="2" applyFont="1" applyFill="1" applyBorder="1" applyAlignment="1">
      <alignment horizontal="left" vertical="center" wrapText="1"/>
    </xf>
    <xf numFmtId="3" fontId="41" fillId="5" borderId="1" xfId="2" applyNumberFormat="1" applyFont="1" applyFill="1" applyBorder="1" applyAlignment="1">
      <alignment vertical="center" wrapText="1"/>
    </xf>
    <xf numFmtId="3" fontId="41" fillId="5" borderId="0" xfId="2" applyNumberFormat="1" applyFont="1" applyFill="1" applyAlignment="1">
      <alignment vertical="center" wrapText="1"/>
    </xf>
    <xf numFmtId="0" fontId="23" fillId="5" borderId="1" xfId="2" applyFont="1" applyFill="1" applyBorder="1" applyAlignment="1">
      <alignment horizontal="left" vertical="center" wrapText="1"/>
    </xf>
    <xf numFmtId="0" fontId="25" fillId="5" borderId="1" xfId="2" quotePrefix="1" applyFont="1" applyFill="1" applyBorder="1" applyAlignment="1">
      <alignment horizontal="center" vertical="center" wrapText="1"/>
    </xf>
    <xf numFmtId="0" fontId="25" fillId="5" borderId="1" xfId="2" applyFont="1" applyFill="1" applyBorder="1" applyAlignment="1">
      <alignment horizontal="left" vertical="center" wrapText="1"/>
    </xf>
    <xf numFmtId="3" fontId="25" fillId="5" borderId="0" xfId="2" applyNumberFormat="1" applyFont="1" applyFill="1" applyAlignment="1">
      <alignment horizontal="center" vertical="center" wrapText="1"/>
    </xf>
    <xf numFmtId="0" fontId="29" fillId="5" borderId="0" xfId="2" applyFont="1" applyFill="1" applyAlignment="1">
      <alignment vertical="center" wrapText="1"/>
    </xf>
    <xf numFmtId="3" fontId="35" fillId="5" borderId="1" xfId="2" applyNumberFormat="1" applyFont="1" applyFill="1" applyBorder="1" applyAlignment="1">
      <alignment vertical="center" wrapText="1"/>
    </xf>
    <xf numFmtId="3" fontId="42" fillId="5" borderId="0" xfId="2" applyNumberFormat="1" applyFont="1" applyFill="1" applyAlignment="1">
      <alignment vertical="center" wrapText="1"/>
    </xf>
    <xf numFmtId="0" fontId="41" fillId="5" borderId="0" xfId="2" applyFont="1" applyFill="1" applyAlignment="1">
      <alignment vertical="center" wrapText="1"/>
    </xf>
    <xf numFmtId="167" fontId="23" fillId="5" borderId="0" xfId="2" applyNumberFormat="1" applyFont="1" applyFill="1" applyAlignment="1">
      <alignment vertical="center" wrapText="1"/>
    </xf>
    <xf numFmtId="167" fontId="42" fillId="5" borderId="0" xfId="2" applyNumberFormat="1" applyFont="1" applyFill="1" applyAlignment="1">
      <alignment vertical="center" wrapText="1"/>
    </xf>
    <xf numFmtId="0" fontId="42" fillId="5" borderId="0" xfId="2" applyFont="1" applyFill="1" applyAlignment="1">
      <alignment vertical="center" wrapText="1"/>
    </xf>
    <xf numFmtId="0" fontId="42" fillId="5" borderId="0" xfId="2" applyFont="1" applyFill="1"/>
    <xf numFmtId="0" fontId="41" fillId="5" borderId="1" xfId="2" applyFont="1" applyFill="1" applyBorder="1" applyAlignment="1">
      <alignment horizontal="center" vertical="center" wrapText="1"/>
    </xf>
    <xf numFmtId="0" fontId="41" fillId="5" borderId="1" xfId="2" quotePrefix="1" applyFont="1" applyFill="1" applyBorder="1" applyAlignment="1">
      <alignment vertical="center" wrapText="1"/>
    </xf>
    <xf numFmtId="3" fontId="43" fillId="5" borderId="1" xfId="2" applyNumberFormat="1" applyFont="1" applyFill="1" applyBorder="1" applyAlignment="1">
      <alignment vertical="center" wrapText="1"/>
    </xf>
    <xf numFmtId="3" fontId="41" fillId="5" borderId="1" xfId="2" applyNumberFormat="1" applyFont="1" applyFill="1" applyBorder="1" applyAlignment="1">
      <alignment horizontal="center" vertical="center" wrapText="1"/>
    </xf>
    <xf numFmtId="3" fontId="43" fillId="5" borderId="0" xfId="2" applyNumberFormat="1" applyFont="1" applyFill="1" applyAlignment="1">
      <alignment vertical="center" wrapText="1"/>
    </xf>
    <xf numFmtId="3" fontId="41" fillId="5" borderId="0" xfId="2" applyNumberFormat="1" applyFont="1" applyFill="1" applyAlignment="1">
      <alignment horizontal="center" vertical="center" wrapText="1"/>
    </xf>
    <xf numFmtId="167" fontId="41" fillId="5" borderId="0" xfId="2" applyNumberFormat="1" applyFont="1" applyFill="1" applyAlignment="1">
      <alignment vertical="center" wrapText="1"/>
    </xf>
    <xf numFmtId="3" fontId="44" fillId="5" borderId="0" xfId="2" applyNumberFormat="1" applyFont="1" applyFill="1" applyAlignment="1">
      <alignment vertical="center" wrapText="1"/>
    </xf>
    <xf numFmtId="0" fontId="45" fillId="5" borderId="0" xfId="2" applyFont="1" applyFill="1" applyAlignment="1">
      <alignment vertical="center" wrapText="1"/>
    </xf>
    <xf numFmtId="167" fontId="31" fillId="5" borderId="0" xfId="2" applyNumberFormat="1" applyFont="1" applyFill="1" applyAlignment="1">
      <alignment vertical="center" wrapText="1"/>
    </xf>
    <xf numFmtId="167" fontId="44" fillId="5" borderId="0" xfId="2" applyNumberFormat="1" applyFont="1" applyFill="1" applyAlignment="1">
      <alignment vertical="center" wrapText="1"/>
    </xf>
    <xf numFmtId="0" fontId="44" fillId="5" borderId="0" xfId="2" applyFont="1" applyFill="1" applyAlignment="1">
      <alignment vertical="center" wrapText="1"/>
    </xf>
    <xf numFmtId="0" fontId="44" fillId="5" borderId="0" xfId="2" applyFont="1" applyFill="1"/>
    <xf numFmtId="0" fontId="25" fillId="5" borderId="1" xfId="2" applyFont="1" applyFill="1" applyBorder="1" applyAlignment="1">
      <alignment vertical="center" wrapText="1"/>
    </xf>
    <xf numFmtId="0" fontId="41" fillId="5" borderId="1" xfId="2" quotePrefix="1" applyFont="1" applyFill="1" applyBorder="1" applyAlignment="1">
      <alignment horizontal="center" vertical="center" wrapText="1"/>
    </xf>
    <xf numFmtId="0" fontId="46" fillId="5" borderId="1" xfId="2" applyFont="1" applyFill="1" applyBorder="1" applyAlignment="1">
      <alignment vertical="center" wrapText="1"/>
    </xf>
    <xf numFmtId="0" fontId="25" fillId="5" borderId="1" xfId="2" applyFont="1" applyFill="1" applyBorder="1" applyAlignment="1">
      <alignment horizontal="center" vertical="center"/>
    </xf>
    <xf numFmtId="3" fontId="25" fillId="5" borderId="1" xfId="2" applyNumberFormat="1" applyFont="1" applyFill="1" applyBorder="1" applyAlignment="1">
      <alignment vertical="center"/>
    </xf>
    <xf numFmtId="167" fontId="26" fillId="5" borderId="0" xfId="2" applyNumberFormat="1" applyFont="1" applyFill="1"/>
    <xf numFmtId="3" fontId="26" fillId="5" borderId="0" xfId="2" applyNumberFormat="1" applyFont="1" applyFill="1"/>
    <xf numFmtId="0" fontId="26" fillId="5" borderId="0" xfId="2" applyFont="1" applyFill="1"/>
    <xf numFmtId="3" fontId="23" fillId="5" borderId="1" xfId="2" applyNumberFormat="1" applyFont="1" applyFill="1" applyBorder="1" applyAlignment="1">
      <alignment vertical="center"/>
    </xf>
    <xf numFmtId="3" fontId="25" fillId="5" borderId="1" xfId="2" applyNumberFormat="1" applyFont="1" applyFill="1" applyBorder="1" applyAlignment="1">
      <alignment horizontal="left" vertical="center" wrapText="1"/>
    </xf>
    <xf numFmtId="3" fontId="25" fillId="5" borderId="0" xfId="2" applyNumberFormat="1" applyFont="1" applyFill="1" applyAlignment="1">
      <alignment horizontal="left" vertical="center" wrapText="1"/>
    </xf>
    <xf numFmtId="3" fontId="47" fillId="5" borderId="1" xfId="2" applyNumberFormat="1" applyFont="1" applyFill="1" applyBorder="1" applyAlignment="1">
      <alignment vertical="center" wrapText="1"/>
    </xf>
    <xf numFmtId="3" fontId="47" fillId="5" borderId="0" xfId="2" applyNumberFormat="1" applyFont="1" applyFill="1" applyAlignment="1">
      <alignment vertical="center" wrapText="1"/>
    </xf>
    <xf numFmtId="3" fontId="41" fillId="5" borderId="1" xfId="2" applyNumberFormat="1" applyFont="1" applyFill="1" applyBorder="1" applyAlignment="1">
      <alignment horizontal="left" vertical="center" wrapText="1"/>
    </xf>
    <xf numFmtId="3" fontId="41" fillId="5" borderId="0" xfId="2" applyNumberFormat="1" applyFont="1" applyFill="1" applyAlignment="1">
      <alignment horizontal="left" vertical="center" wrapText="1"/>
    </xf>
    <xf numFmtId="0" fontId="25" fillId="5" borderId="1" xfId="2" applyFont="1" applyFill="1" applyBorder="1" applyAlignment="1">
      <alignment wrapText="1"/>
    </xf>
    <xf numFmtId="0" fontId="25" fillId="5" borderId="0" xfId="2" applyFont="1" applyFill="1" applyAlignment="1">
      <alignment wrapText="1"/>
    </xf>
    <xf numFmtId="0" fontId="41" fillId="5" borderId="1" xfId="2" applyFont="1" applyFill="1" applyBorder="1" applyAlignment="1">
      <alignment horizontal="center" vertical="center"/>
    </xf>
    <xf numFmtId="0" fontId="29" fillId="5" borderId="1" xfId="2" applyFont="1" applyFill="1" applyBorder="1" applyAlignment="1">
      <alignment horizontal="left" vertical="center" wrapText="1"/>
    </xf>
    <xf numFmtId="0" fontId="29" fillId="5" borderId="1" xfId="2" applyFont="1" applyFill="1" applyBorder="1" applyAlignment="1">
      <alignment horizontal="center" vertical="center"/>
    </xf>
    <xf numFmtId="3" fontId="29" fillId="5" borderId="1" xfId="2" applyNumberFormat="1" applyFont="1" applyFill="1" applyBorder="1" applyAlignment="1">
      <alignment vertical="center"/>
    </xf>
    <xf numFmtId="3" fontId="48" fillId="5" borderId="1" xfId="2" applyNumberFormat="1" applyFont="1" applyFill="1" applyBorder="1" applyAlignment="1">
      <alignment vertical="center" wrapText="1"/>
    </xf>
    <xf numFmtId="3" fontId="29" fillId="5" borderId="1" xfId="2" applyNumberFormat="1" applyFont="1" applyFill="1" applyBorder="1" applyAlignment="1">
      <alignment horizontal="left" vertical="center" wrapText="1"/>
    </xf>
    <xf numFmtId="3" fontId="48" fillId="5" borderId="0" xfId="2" applyNumberFormat="1" applyFont="1" applyFill="1" applyAlignment="1">
      <alignment vertical="center" wrapText="1"/>
    </xf>
    <xf numFmtId="3" fontId="29" fillId="5" borderId="0" xfId="2" applyNumberFormat="1" applyFont="1" applyFill="1" applyAlignment="1">
      <alignment horizontal="left" vertical="center" wrapText="1"/>
    </xf>
    <xf numFmtId="3" fontId="29" fillId="5" borderId="0" xfId="2" applyNumberFormat="1" applyFont="1" applyFill="1"/>
    <xf numFmtId="167" fontId="30" fillId="5" borderId="0" xfId="2" applyNumberFormat="1" applyFont="1" applyFill="1"/>
    <xf numFmtId="3" fontId="30" fillId="5" borderId="0" xfId="2" applyNumberFormat="1" applyFont="1" applyFill="1"/>
    <xf numFmtId="0" fontId="30" fillId="5" borderId="0" xfId="2" applyFont="1" applyFill="1"/>
    <xf numFmtId="3" fontId="41" fillId="5" borderId="1" xfId="2" applyNumberFormat="1" applyFont="1" applyFill="1" applyBorder="1" applyAlignment="1">
      <alignment vertical="center"/>
    </xf>
    <xf numFmtId="3" fontId="41" fillId="5" borderId="0" xfId="2" applyNumberFormat="1" applyFont="1" applyFill="1"/>
    <xf numFmtId="167" fontId="42" fillId="5" borderId="0" xfId="2" applyNumberFormat="1" applyFont="1" applyFill="1"/>
    <xf numFmtId="3" fontId="42" fillId="5" borderId="0" xfId="2" applyNumberFormat="1" applyFont="1" applyFill="1"/>
    <xf numFmtId="0" fontId="31" fillId="5" borderId="1" xfId="2" applyFont="1" applyFill="1" applyBorder="1" applyAlignment="1">
      <alignment horizontal="center" vertical="center"/>
    </xf>
    <xf numFmtId="0" fontId="31" fillId="5" borderId="1" xfId="2" applyFont="1" applyFill="1" applyBorder="1" applyAlignment="1">
      <alignment horizontal="left" vertical="center" wrapText="1"/>
    </xf>
    <xf numFmtId="3" fontId="31" fillId="5" borderId="1" xfId="2" applyNumberFormat="1" applyFont="1" applyFill="1" applyBorder="1" applyAlignment="1">
      <alignment vertical="center"/>
    </xf>
    <xf numFmtId="3" fontId="31" fillId="5" borderId="1" xfId="2" applyNumberFormat="1" applyFont="1" applyFill="1" applyBorder="1" applyAlignment="1">
      <alignment horizontal="left" vertical="center" wrapText="1"/>
    </xf>
    <xf numFmtId="0" fontId="32" fillId="5" borderId="0" xfId="2" applyFont="1" applyFill="1" applyAlignment="1">
      <alignment vertical="center" wrapText="1"/>
    </xf>
    <xf numFmtId="3" fontId="31" fillId="5" borderId="0" xfId="2" applyNumberFormat="1" applyFont="1" applyFill="1"/>
    <xf numFmtId="167" fontId="34" fillId="5" borderId="0" xfId="2" applyNumberFormat="1" applyFont="1" applyFill="1"/>
    <xf numFmtId="3" fontId="34" fillId="5" borderId="0" xfId="2" applyNumberFormat="1" applyFont="1" applyFill="1"/>
    <xf numFmtId="0" fontId="34" fillId="5" borderId="0" xfId="2" applyFont="1" applyFill="1"/>
    <xf numFmtId="0" fontId="35" fillId="5" borderId="1" xfId="2" applyFont="1" applyFill="1" applyBorder="1" applyAlignment="1">
      <alignment horizontal="center" vertical="center"/>
    </xf>
    <xf numFmtId="0" fontId="35" fillId="5" borderId="1" xfId="2" applyFont="1" applyFill="1" applyBorder="1" applyAlignment="1">
      <alignment horizontal="left" vertical="center" wrapText="1"/>
    </xf>
    <xf numFmtId="3" fontId="35" fillId="5" borderId="1" xfId="2" applyNumberFormat="1" applyFont="1" applyFill="1" applyBorder="1" applyAlignment="1">
      <alignment vertical="center"/>
    </xf>
    <xf numFmtId="3" fontId="49" fillId="5" borderId="1" xfId="2" applyNumberFormat="1" applyFont="1" applyFill="1" applyBorder="1" applyAlignment="1">
      <alignment vertical="center" wrapText="1"/>
    </xf>
    <xf numFmtId="3" fontId="35" fillId="5" borderId="1" xfId="2" applyNumberFormat="1" applyFont="1" applyFill="1" applyBorder="1" applyAlignment="1">
      <alignment horizontal="left" vertical="center" wrapText="1"/>
    </xf>
    <xf numFmtId="3" fontId="49" fillId="5" borderId="0" xfId="2" applyNumberFormat="1" applyFont="1" applyFill="1" applyAlignment="1">
      <alignment vertical="center" wrapText="1"/>
    </xf>
    <xf numFmtId="3" fontId="35" fillId="5" borderId="0" xfId="2" applyNumberFormat="1" applyFont="1" applyFill="1" applyAlignment="1">
      <alignment horizontal="left" vertical="center" wrapText="1"/>
    </xf>
    <xf numFmtId="3" fontId="35" fillId="5" borderId="0" xfId="2" applyNumberFormat="1" applyFont="1" applyFill="1"/>
    <xf numFmtId="167" fontId="40" fillId="5" borderId="0" xfId="2" applyNumberFormat="1" applyFont="1" applyFill="1"/>
    <xf numFmtId="3" fontId="40" fillId="5" borderId="0" xfId="2" applyNumberFormat="1" applyFont="1" applyFill="1"/>
    <xf numFmtId="0" fontId="40" fillId="5" borderId="0" xfId="2" applyFont="1" applyFill="1"/>
    <xf numFmtId="0" fontId="40" fillId="5" borderId="0" xfId="2" applyFont="1" applyFill="1" applyAlignment="1">
      <alignment vertical="center" wrapText="1"/>
    </xf>
    <xf numFmtId="167" fontId="25" fillId="5" borderId="0" xfId="2" applyNumberFormat="1" applyFont="1" applyFill="1" applyAlignment="1">
      <alignment horizontal="left" vertical="center" wrapText="1"/>
    </xf>
    <xf numFmtId="3" fontId="24" fillId="5" borderId="0" xfId="2" applyNumberFormat="1" applyFont="1" applyFill="1" applyAlignment="1">
      <alignment vertical="center"/>
    </xf>
    <xf numFmtId="167" fontId="23" fillId="5" borderId="0" xfId="2" applyNumberFormat="1" applyFont="1" applyFill="1" applyAlignment="1">
      <alignment horizontal="left" vertical="center" wrapText="1"/>
    </xf>
    <xf numFmtId="3" fontId="26" fillId="5" borderId="0" xfId="2" applyNumberFormat="1" applyFont="1" applyFill="1" applyAlignment="1">
      <alignment vertical="center"/>
    </xf>
    <xf numFmtId="0" fontId="23" fillId="5" borderId="0" xfId="2" applyFont="1" applyFill="1"/>
    <xf numFmtId="3" fontId="45" fillId="5" borderId="0" xfId="2" applyNumberFormat="1" applyFont="1" applyFill="1"/>
    <xf numFmtId="167" fontId="44" fillId="5" borderId="0" xfId="2" applyNumberFormat="1" applyFont="1" applyFill="1"/>
    <xf numFmtId="3" fontId="44" fillId="5" borderId="0" xfId="2" applyNumberFormat="1" applyFont="1" applyFill="1"/>
    <xf numFmtId="0" fontId="45" fillId="5" borderId="1" xfId="2" applyFont="1" applyFill="1" applyBorder="1" applyAlignment="1">
      <alignment horizontal="center" vertical="center"/>
    </xf>
    <xf numFmtId="0" fontId="45" fillId="5" borderId="1" xfId="2" applyFont="1" applyFill="1" applyBorder="1" applyAlignment="1">
      <alignment horizontal="left" vertical="center" wrapText="1"/>
    </xf>
    <xf numFmtId="3" fontId="45" fillId="5" borderId="1" xfId="2" applyNumberFormat="1" applyFont="1" applyFill="1" applyBorder="1" applyAlignment="1">
      <alignment vertical="center"/>
    </xf>
    <xf numFmtId="3" fontId="45" fillId="5" borderId="1" xfId="2" applyNumberFormat="1" applyFont="1" applyFill="1" applyBorder="1" applyAlignment="1">
      <alignment vertical="center" wrapText="1"/>
    </xf>
    <xf numFmtId="3" fontId="45" fillId="5" borderId="0" xfId="2" applyNumberFormat="1" applyFont="1" applyFill="1" applyAlignment="1">
      <alignment vertical="center" wrapText="1"/>
    </xf>
    <xf numFmtId="3" fontId="35" fillId="5" borderId="0" xfId="2" applyNumberFormat="1" applyFont="1" applyFill="1" applyAlignment="1">
      <alignment horizontal="left" vertical="center"/>
    </xf>
    <xf numFmtId="0" fontId="45" fillId="5" borderId="0" xfId="2" applyFont="1" applyFill="1"/>
    <xf numFmtId="3" fontId="35" fillId="5" borderId="1" xfId="2" applyNumberFormat="1" applyFont="1" applyFill="1" applyBorder="1" applyAlignment="1">
      <alignment horizontal="center" vertical="center"/>
    </xf>
    <xf numFmtId="3" fontId="35" fillId="5" borderId="0" xfId="2" applyNumberFormat="1" applyFont="1" applyFill="1" applyAlignment="1">
      <alignment horizontal="center" vertical="center"/>
    </xf>
    <xf numFmtId="3" fontId="31" fillId="5" borderId="0" xfId="2" applyNumberFormat="1" applyFont="1" applyFill="1" applyAlignment="1">
      <alignment horizontal="center" vertical="center" wrapText="1"/>
    </xf>
    <xf numFmtId="0" fontId="31" fillId="5" borderId="0" xfId="2" applyFont="1" applyFill="1" applyAlignment="1">
      <alignment vertical="center" wrapText="1"/>
    </xf>
    <xf numFmtId="3" fontId="36" fillId="5" borderId="0" xfId="2" applyNumberFormat="1" applyFont="1" applyFill="1"/>
    <xf numFmtId="3" fontId="23" fillId="5" borderId="0" xfId="2" applyNumberFormat="1" applyFont="1" applyFill="1" applyAlignment="1">
      <alignment vertical="center"/>
    </xf>
    <xf numFmtId="3" fontId="28" fillId="5" borderId="0" xfId="2" applyNumberFormat="1" applyFont="1" applyFill="1" applyAlignment="1">
      <alignment horizontal="center" vertical="center" wrapText="1"/>
    </xf>
    <xf numFmtId="0" fontId="41" fillId="5" borderId="0" xfId="2" applyFont="1" applyFill="1"/>
    <xf numFmtId="3" fontId="31" fillId="5" borderId="0" xfId="2" applyNumberFormat="1" applyFont="1" applyFill="1" applyAlignment="1">
      <alignment horizontal="right" vertical="center"/>
    </xf>
    <xf numFmtId="0" fontId="35" fillId="5" borderId="1" xfId="2" applyFont="1" applyFill="1" applyBorder="1" applyAlignment="1">
      <alignment horizontal="center" vertical="center" wrapText="1"/>
    </xf>
    <xf numFmtId="3" fontId="35" fillId="5" borderId="1" xfId="2" applyNumberFormat="1" applyFont="1" applyFill="1" applyBorder="1" applyAlignment="1">
      <alignment horizontal="right" vertical="center"/>
    </xf>
    <xf numFmtId="3" fontId="35" fillId="5" borderId="0" xfId="2" applyNumberFormat="1" applyFont="1" applyFill="1" applyAlignment="1">
      <alignment vertical="center" wrapText="1"/>
    </xf>
    <xf numFmtId="3" fontId="35" fillId="5" borderId="0" xfId="2" applyNumberFormat="1" applyFont="1" applyFill="1" applyAlignment="1">
      <alignment horizontal="right" vertical="center"/>
    </xf>
    <xf numFmtId="3" fontId="35" fillId="5" borderId="0" xfId="2" applyNumberFormat="1" applyFont="1" applyFill="1" applyAlignment="1">
      <alignment horizontal="center" vertical="center" wrapText="1"/>
    </xf>
    <xf numFmtId="3" fontId="35" fillId="5" borderId="1" xfId="2" applyNumberFormat="1" applyFont="1" applyFill="1" applyBorder="1" applyAlignment="1">
      <alignment horizontal="left" vertical="center"/>
    </xf>
    <xf numFmtId="0" fontId="50" fillId="5" borderId="0" xfId="2" applyFont="1" applyFill="1"/>
    <xf numFmtId="3" fontId="25" fillId="5" borderId="1" xfId="2" applyNumberFormat="1" applyFont="1" applyFill="1" applyBorder="1" applyAlignment="1">
      <alignment horizontal="center" vertical="center"/>
    </xf>
    <xf numFmtId="3" fontId="41" fillId="5" borderId="0" xfId="2" applyNumberFormat="1" applyFont="1" applyFill="1" applyAlignment="1">
      <alignment vertical="center"/>
    </xf>
    <xf numFmtId="3" fontId="25" fillId="5" borderId="0" xfId="2" applyNumberFormat="1" applyFont="1" applyFill="1" applyAlignment="1">
      <alignment horizontal="center" vertical="center"/>
    </xf>
    <xf numFmtId="167" fontId="40" fillId="5" borderId="0" xfId="2" applyNumberFormat="1" applyFont="1" applyFill="1" applyAlignment="1">
      <alignment vertical="center" wrapText="1"/>
    </xf>
    <xf numFmtId="169" fontId="50" fillId="5" borderId="0" xfId="3" applyNumberFormat="1" applyFont="1" applyFill="1" applyAlignment="1">
      <alignment vertical="center"/>
    </xf>
    <xf numFmtId="3" fontId="110" fillId="5" borderId="1" xfId="2" applyNumberFormat="1" applyFont="1" applyFill="1" applyBorder="1" applyAlignment="1">
      <alignment vertical="center" wrapText="1"/>
    </xf>
    <xf numFmtId="0" fontId="23" fillId="5" borderId="1" xfId="2" quotePrefix="1" applyFont="1" applyFill="1" applyBorder="1" applyAlignment="1">
      <alignment horizontal="center" vertical="center" wrapText="1"/>
    </xf>
    <xf numFmtId="0" fontId="37" fillId="5" borderId="1" xfId="2" applyFont="1" applyFill="1" applyBorder="1" applyAlignment="1">
      <alignment vertical="center"/>
    </xf>
    <xf numFmtId="0" fontId="37" fillId="5" borderId="0" xfId="2" applyFont="1" applyFill="1" applyAlignment="1">
      <alignment vertical="center"/>
    </xf>
    <xf numFmtId="167" fontId="25" fillId="5" borderId="0" xfId="2" applyNumberFormat="1" applyFont="1" applyFill="1"/>
    <xf numFmtId="0" fontId="51" fillId="5" borderId="1" xfId="2" applyFont="1" applyFill="1" applyBorder="1" applyAlignment="1">
      <alignment horizontal="center" vertical="center" wrapText="1"/>
    </xf>
    <xf numFmtId="3" fontId="51" fillId="5" borderId="1" xfId="2" applyNumberFormat="1" applyFont="1" applyFill="1" applyBorder="1" applyAlignment="1">
      <alignment vertical="center" wrapText="1"/>
    </xf>
    <xf numFmtId="3" fontId="52" fillId="5" borderId="1" xfId="2" applyNumberFormat="1" applyFont="1" applyFill="1" applyBorder="1" applyAlignment="1">
      <alignment vertical="center" wrapText="1"/>
    </xf>
    <xf numFmtId="3" fontId="52" fillId="5" borderId="0" xfId="2" applyNumberFormat="1" applyFont="1" applyFill="1" applyAlignment="1">
      <alignment vertical="center" wrapText="1"/>
    </xf>
    <xf numFmtId="3" fontId="51" fillId="5" borderId="0" xfId="2" applyNumberFormat="1" applyFont="1" applyFill="1" applyAlignment="1">
      <alignment horizontal="left" vertical="center" wrapText="1"/>
    </xf>
    <xf numFmtId="3" fontId="51" fillId="5" borderId="0" xfId="2" applyNumberFormat="1" applyFont="1" applyFill="1" applyAlignment="1">
      <alignment horizontal="center" vertical="center" wrapText="1"/>
    </xf>
    <xf numFmtId="3" fontId="51" fillId="5" borderId="0" xfId="2" applyNumberFormat="1" applyFont="1" applyFill="1" applyAlignment="1">
      <alignment vertical="center" wrapText="1"/>
    </xf>
    <xf numFmtId="0" fontId="51" fillId="5" borderId="0" xfId="2" applyFont="1" applyFill="1" applyAlignment="1">
      <alignment vertical="center" wrapText="1"/>
    </xf>
    <xf numFmtId="3" fontId="53" fillId="5" borderId="0" xfId="2" applyNumberFormat="1" applyFont="1" applyFill="1"/>
    <xf numFmtId="167" fontId="54" fillId="5" borderId="0" xfId="2" applyNumberFormat="1" applyFont="1" applyFill="1"/>
    <xf numFmtId="167" fontId="55" fillId="5" borderId="0" xfId="2" applyNumberFormat="1" applyFont="1" applyFill="1"/>
    <xf numFmtId="3" fontId="55" fillId="5" borderId="0" xfId="2" applyNumberFormat="1" applyFont="1" applyFill="1"/>
    <xf numFmtId="0" fontId="55" fillId="5" borderId="0" xfId="2" applyFont="1" applyFill="1"/>
    <xf numFmtId="0" fontId="28" fillId="5" borderId="1" xfId="2" applyFont="1" applyFill="1" applyBorder="1" applyAlignment="1">
      <alignment vertical="center" wrapText="1"/>
    </xf>
    <xf numFmtId="3" fontId="28" fillId="5" borderId="1" xfId="2" applyNumberFormat="1" applyFont="1" applyFill="1" applyBorder="1" applyAlignment="1">
      <alignment vertical="center"/>
    </xf>
    <xf numFmtId="3" fontId="28" fillId="5" borderId="0" xfId="2" applyNumberFormat="1" applyFont="1" applyFill="1" applyAlignment="1">
      <alignment vertical="center"/>
    </xf>
    <xf numFmtId="167" fontId="23" fillId="5" borderId="0" xfId="2" applyNumberFormat="1" applyFont="1" applyFill="1"/>
    <xf numFmtId="0" fontId="47" fillId="5" borderId="1" xfId="2" applyFont="1" applyFill="1" applyBorder="1" applyAlignment="1">
      <alignment vertical="center" wrapText="1"/>
    </xf>
    <xf numFmtId="0" fontId="25" fillId="5" borderId="1" xfId="2" quotePrefix="1" applyFont="1" applyFill="1" applyBorder="1" applyAlignment="1">
      <alignment horizontal="center" vertical="center"/>
    </xf>
    <xf numFmtId="3" fontId="47" fillId="5" borderId="1" xfId="2" applyNumberFormat="1" applyFont="1" applyFill="1" applyBorder="1" applyAlignment="1">
      <alignment vertical="center"/>
    </xf>
    <xf numFmtId="3" fontId="47" fillId="5" borderId="0" xfId="2" applyNumberFormat="1" applyFont="1" applyFill="1" applyAlignment="1">
      <alignment vertical="center"/>
    </xf>
    <xf numFmtId="0" fontId="41" fillId="5" borderId="1" xfId="2" quotePrefix="1" applyFont="1" applyFill="1" applyBorder="1" applyAlignment="1">
      <alignment horizontal="center" vertical="center"/>
    </xf>
    <xf numFmtId="0" fontId="41" fillId="5" borderId="1" xfId="2" applyFont="1" applyFill="1" applyBorder="1" applyAlignment="1">
      <alignment vertical="center" wrapText="1"/>
    </xf>
    <xf numFmtId="3" fontId="47" fillId="5" borderId="0" xfId="2" applyNumberFormat="1" applyFont="1" applyFill="1"/>
    <xf numFmtId="3" fontId="29" fillId="5" borderId="0" xfId="2" applyNumberFormat="1" applyFont="1" applyFill="1" applyAlignment="1">
      <alignment vertical="center"/>
    </xf>
    <xf numFmtId="3" fontId="41" fillId="5" borderId="1" xfId="2" applyNumberFormat="1" applyFont="1" applyFill="1" applyBorder="1" applyAlignment="1">
      <alignment horizontal="right" vertical="center"/>
    </xf>
    <xf numFmtId="3" fontId="25" fillId="5" borderId="1" xfId="2" applyNumberFormat="1" applyFont="1" applyFill="1" applyBorder="1" applyAlignment="1">
      <alignment horizontal="right" vertical="center"/>
    </xf>
    <xf numFmtId="3" fontId="25" fillId="5" borderId="1" xfId="2" applyNumberFormat="1" applyFont="1" applyFill="1" applyBorder="1" applyAlignment="1">
      <alignment horizontal="right" vertical="center" wrapText="1"/>
    </xf>
    <xf numFmtId="3" fontId="25" fillId="5" borderId="6" xfId="2" applyNumberFormat="1" applyFont="1" applyFill="1" applyBorder="1" applyAlignment="1">
      <alignment horizontal="right" vertical="center"/>
    </xf>
    <xf numFmtId="3" fontId="25" fillId="5" borderId="6" xfId="2" applyNumberFormat="1" applyFont="1" applyFill="1" applyBorder="1" applyAlignment="1">
      <alignment vertical="center"/>
    </xf>
    <xf numFmtId="3" fontId="23" fillId="5" borderId="6" xfId="2" applyNumberFormat="1" applyFont="1" applyFill="1" applyBorder="1"/>
    <xf numFmtId="0" fontId="23" fillId="5" borderId="6" xfId="2" applyFont="1" applyFill="1" applyBorder="1"/>
    <xf numFmtId="3" fontId="41" fillId="5" borderId="6" xfId="2" applyNumberFormat="1" applyFont="1" applyFill="1" applyBorder="1"/>
    <xf numFmtId="0" fontId="41" fillId="5" borderId="6" xfId="2" applyFont="1" applyFill="1" applyBorder="1"/>
    <xf numFmtId="167" fontId="41" fillId="5" borderId="0" xfId="2" applyNumberFormat="1" applyFont="1" applyFill="1"/>
    <xf numFmtId="3" fontId="25" fillId="5" borderId="6" xfId="2" applyNumberFormat="1" applyFont="1" applyFill="1" applyBorder="1" applyAlignment="1">
      <alignment vertical="center" wrapText="1"/>
    </xf>
    <xf numFmtId="3" fontId="28" fillId="5" borderId="0" xfId="2" applyNumberFormat="1" applyFont="1" applyFill="1"/>
    <xf numFmtId="3" fontId="23" fillId="5" borderId="1" xfId="2" applyNumberFormat="1" applyFont="1" applyFill="1" applyBorder="1" applyAlignment="1">
      <alignment horizontal="right" vertical="center"/>
    </xf>
    <xf numFmtId="3" fontId="23" fillId="5" borderId="6" xfId="2" applyNumberFormat="1" applyFont="1" applyFill="1" applyBorder="1" applyAlignment="1">
      <alignment vertical="center"/>
    </xf>
    <xf numFmtId="3" fontId="23" fillId="5" borderId="6" xfId="2" applyNumberFormat="1" applyFont="1" applyFill="1" applyBorder="1" applyAlignment="1">
      <alignment vertical="center" wrapText="1"/>
    </xf>
    <xf numFmtId="3" fontId="29" fillId="5" borderId="6" xfId="2" applyNumberFormat="1" applyFont="1" applyFill="1" applyBorder="1"/>
    <xf numFmtId="0" fontId="29" fillId="5" borderId="6" xfId="2" applyFont="1" applyFill="1" applyBorder="1"/>
    <xf numFmtId="0" fontId="33" fillId="5" borderId="1" xfId="2" applyFont="1" applyFill="1" applyBorder="1" applyAlignment="1">
      <alignment vertical="center" wrapText="1"/>
    </xf>
    <xf numFmtId="3" fontId="33" fillId="5" borderId="1" xfId="2" applyNumberFormat="1" applyFont="1" applyFill="1" applyBorder="1" applyAlignment="1">
      <alignment vertical="center"/>
    </xf>
    <xf numFmtId="3" fontId="28" fillId="5" borderId="6" xfId="2" applyNumberFormat="1" applyFont="1" applyFill="1" applyBorder="1" applyAlignment="1">
      <alignment vertical="center"/>
    </xf>
    <xf numFmtId="167" fontId="29" fillId="5" borderId="0" xfId="2" applyNumberFormat="1" applyFont="1" applyFill="1"/>
    <xf numFmtId="3" fontId="41" fillId="5" borderId="6" xfId="2" applyNumberFormat="1" applyFont="1" applyFill="1" applyBorder="1" applyAlignment="1">
      <alignment vertical="center" wrapText="1"/>
    </xf>
    <xf numFmtId="3" fontId="25" fillId="5" borderId="6" xfId="2" applyNumberFormat="1" applyFont="1" applyFill="1" applyBorder="1"/>
    <xf numFmtId="0" fontId="25" fillId="5" borderId="6" xfId="2" applyFont="1" applyFill="1" applyBorder="1"/>
    <xf numFmtId="0" fontId="51" fillId="5" borderId="1" xfId="2" applyFont="1" applyFill="1" applyBorder="1" applyAlignment="1">
      <alignment vertical="center" wrapText="1"/>
    </xf>
    <xf numFmtId="3" fontId="51" fillId="5" borderId="6" xfId="2" applyNumberFormat="1" applyFont="1" applyFill="1" applyBorder="1" applyAlignment="1">
      <alignment vertical="center" wrapText="1"/>
    </xf>
    <xf numFmtId="3" fontId="56" fillId="5" borderId="6" xfId="2" applyNumberFormat="1" applyFont="1" applyFill="1" applyBorder="1" applyAlignment="1">
      <alignment vertical="center" wrapText="1"/>
    </xf>
    <xf numFmtId="3" fontId="55" fillId="5" borderId="6" xfId="2" applyNumberFormat="1" applyFont="1" applyFill="1" applyBorder="1"/>
    <xf numFmtId="3" fontId="53" fillId="5" borderId="6" xfId="2" applyNumberFormat="1" applyFont="1" applyFill="1" applyBorder="1"/>
    <xf numFmtId="0" fontId="53" fillId="5" borderId="6" xfId="2" applyFont="1" applyFill="1" applyBorder="1"/>
    <xf numFmtId="0" fontId="57" fillId="5" borderId="0" xfId="2" applyFont="1" applyFill="1"/>
    <xf numFmtId="3" fontId="23" fillId="5" borderId="0" xfId="2" applyNumberFormat="1" applyFont="1" applyFill="1" applyAlignment="1">
      <alignment horizontal="right" vertical="center"/>
    </xf>
    <xf numFmtId="0" fontId="47" fillId="5" borderId="1" xfId="2" applyFont="1" applyFill="1" applyBorder="1" applyAlignment="1">
      <alignment horizontal="center" vertical="center"/>
    </xf>
    <xf numFmtId="3" fontId="29" fillId="5" borderId="0" xfId="2" applyNumberFormat="1" applyFont="1" applyFill="1" applyAlignment="1">
      <alignment horizontal="right" vertical="center" wrapText="1"/>
    </xf>
    <xf numFmtId="0" fontId="25" fillId="5" borderId="6" xfId="2" applyFont="1" applyFill="1" applyBorder="1" applyAlignment="1">
      <alignment vertical="center" wrapText="1"/>
    </xf>
    <xf numFmtId="167" fontId="25" fillId="5" borderId="0" xfId="2" applyNumberFormat="1" applyFont="1" applyFill="1" applyAlignment="1">
      <alignment vertical="center" wrapText="1"/>
    </xf>
    <xf numFmtId="0" fontId="23" fillId="5" borderId="6" xfId="2" applyFont="1" applyFill="1" applyBorder="1" applyAlignment="1">
      <alignment vertical="center" wrapText="1"/>
    </xf>
    <xf numFmtId="3" fontId="41" fillId="5" borderId="9" xfId="2" applyNumberFormat="1" applyFont="1" applyFill="1" applyBorder="1" applyAlignment="1">
      <alignment vertical="center" wrapText="1"/>
    </xf>
    <xf numFmtId="3" fontId="25" fillId="5" borderId="9" xfId="2" applyNumberFormat="1" applyFont="1" applyFill="1" applyBorder="1" applyAlignment="1">
      <alignment vertical="center" wrapText="1"/>
    </xf>
    <xf numFmtId="3" fontId="28" fillId="5" borderId="6" xfId="2" applyNumberFormat="1" applyFont="1" applyFill="1" applyBorder="1" applyAlignment="1">
      <alignment vertical="center" wrapText="1"/>
    </xf>
    <xf numFmtId="0" fontId="29" fillId="5" borderId="6" xfId="2" applyFont="1" applyFill="1" applyBorder="1" applyAlignment="1">
      <alignment vertical="center" wrapText="1"/>
    </xf>
    <xf numFmtId="167" fontId="29" fillId="5" borderId="0" xfId="2" applyNumberFormat="1" applyFont="1" applyFill="1" applyAlignment="1">
      <alignment vertical="center" wrapText="1"/>
    </xf>
    <xf numFmtId="3" fontId="31" fillId="5" borderId="1" xfId="2" applyNumberFormat="1" applyFont="1" applyFill="1" applyBorder="1" applyAlignment="1">
      <alignment horizontal="right" vertical="center" wrapText="1"/>
    </xf>
    <xf numFmtId="3" fontId="33" fillId="5" borderId="6" xfId="2" applyNumberFormat="1" applyFont="1" applyFill="1" applyBorder="1" applyAlignment="1">
      <alignment vertical="center" wrapText="1"/>
    </xf>
    <xf numFmtId="3" fontId="31" fillId="5" borderId="6" xfId="2" applyNumberFormat="1" applyFont="1" applyFill="1" applyBorder="1" applyAlignment="1">
      <alignment vertical="center" wrapText="1"/>
    </xf>
    <xf numFmtId="3" fontId="40" fillId="5" borderId="6" xfId="2" applyNumberFormat="1" applyFont="1" applyFill="1" applyBorder="1"/>
    <xf numFmtId="0" fontId="35" fillId="5" borderId="6" xfId="2" applyFont="1" applyFill="1" applyBorder="1"/>
    <xf numFmtId="167" fontId="45" fillId="5" borderId="0" xfId="2" applyNumberFormat="1" applyFont="1" applyFill="1" applyAlignment="1">
      <alignment vertical="center" wrapText="1"/>
    </xf>
    <xf numFmtId="0" fontId="35" fillId="5" borderId="0" xfId="2" applyFont="1" applyFill="1"/>
    <xf numFmtId="3" fontId="23" fillId="5" borderId="6" xfId="2" applyNumberFormat="1" applyFont="1" applyFill="1" applyBorder="1" applyAlignment="1">
      <alignment horizontal="center" vertical="center" wrapText="1"/>
    </xf>
    <xf numFmtId="3" fontId="24" fillId="5" borderId="6" xfId="2" applyNumberFormat="1" applyFont="1" applyFill="1" applyBorder="1"/>
    <xf numFmtId="3" fontId="30" fillId="5" borderId="6" xfId="2" applyNumberFormat="1" applyFont="1" applyFill="1" applyBorder="1" applyAlignment="1">
      <alignment vertical="center" wrapText="1"/>
    </xf>
    <xf numFmtId="3" fontId="41" fillId="5" borderId="6" xfId="2" applyNumberFormat="1" applyFont="1" applyFill="1" applyBorder="1" applyAlignment="1">
      <alignment vertical="center"/>
    </xf>
    <xf numFmtId="3" fontId="24" fillId="5" borderId="6" xfId="2" applyNumberFormat="1" applyFont="1" applyFill="1" applyBorder="1" applyAlignment="1">
      <alignment vertical="center" wrapText="1"/>
    </xf>
    <xf numFmtId="3" fontId="24" fillId="5" borderId="6" xfId="2" applyNumberFormat="1" applyFont="1" applyFill="1" applyBorder="1" applyAlignment="1">
      <alignment horizontal="right"/>
    </xf>
    <xf numFmtId="3" fontId="42" fillId="5" borderId="6" xfId="2" applyNumberFormat="1" applyFont="1" applyFill="1" applyBorder="1"/>
    <xf numFmtId="167" fontId="24" fillId="5" borderId="0" xfId="2" applyNumberFormat="1" applyFont="1" applyFill="1" applyAlignment="1">
      <alignment vertical="center"/>
    </xf>
    <xf numFmtId="0" fontId="24" fillId="5" borderId="0" xfId="2" applyFont="1" applyFill="1" applyAlignment="1">
      <alignment vertical="center"/>
    </xf>
    <xf numFmtId="0" fontId="42" fillId="5" borderId="0" xfId="2" applyFont="1" applyFill="1" applyAlignment="1">
      <alignment vertical="center"/>
    </xf>
    <xf numFmtId="3" fontId="24" fillId="5" borderId="6" xfId="2" applyNumberFormat="1" applyFont="1" applyFill="1" applyBorder="1" applyAlignment="1">
      <alignment vertical="center"/>
    </xf>
    <xf numFmtId="0" fontId="25" fillId="5" borderId="6" xfId="2" applyFont="1" applyFill="1" applyBorder="1" applyAlignment="1">
      <alignment vertical="center"/>
    </xf>
    <xf numFmtId="3" fontId="25" fillId="5" borderId="1" xfId="2" applyNumberFormat="1" applyFont="1" applyFill="1" applyBorder="1" applyAlignment="1">
      <alignment horizontal="left" vertical="center"/>
    </xf>
    <xf numFmtId="3" fontId="25" fillId="5" borderId="0" xfId="2" applyNumberFormat="1" applyFont="1" applyFill="1" applyAlignment="1">
      <alignment horizontal="left" vertical="center"/>
    </xf>
    <xf numFmtId="3" fontId="23" fillId="5" borderId="0" xfId="2" applyNumberFormat="1" applyFont="1" applyFill="1" applyAlignment="1">
      <alignment horizontal="left"/>
    </xf>
    <xf numFmtId="0" fontId="32" fillId="5" borderId="1" xfId="2" applyFont="1" applyFill="1" applyBorder="1" applyAlignment="1">
      <alignment horizontal="center" vertical="center"/>
    </xf>
    <xf numFmtId="0" fontId="32" fillId="5" borderId="1" xfId="2" applyFont="1" applyFill="1" applyBorder="1" applyAlignment="1">
      <alignment horizontal="left" vertical="center" wrapText="1"/>
    </xf>
    <xf numFmtId="3" fontId="32" fillId="5" borderId="1" xfId="2" applyNumberFormat="1" applyFont="1" applyFill="1" applyBorder="1" applyAlignment="1">
      <alignment vertical="center"/>
    </xf>
    <xf numFmtId="3" fontId="31" fillId="5" borderId="1" xfId="2" applyNumberFormat="1" applyFont="1" applyFill="1" applyBorder="1" applyAlignment="1">
      <alignment horizontal="center" vertical="center"/>
    </xf>
    <xf numFmtId="3" fontId="32" fillId="5" borderId="0" xfId="2" applyNumberFormat="1" applyFont="1" applyFill="1" applyAlignment="1">
      <alignment vertical="center"/>
    </xf>
    <xf numFmtId="3" fontId="31" fillId="5" borderId="0" xfId="2" applyNumberFormat="1" applyFont="1" applyFill="1" applyAlignment="1">
      <alignment horizontal="center" vertical="center"/>
    </xf>
    <xf numFmtId="3" fontId="31" fillId="5" borderId="0" xfId="2" applyNumberFormat="1" applyFont="1" applyFill="1" applyAlignment="1">
      <alignment horizontal="left"/>
    </xf>
    <xf numFmtId="3" fontId="45" fillId="5" borderId="0" xfId="2" applyNumberFormat="1" applyFont="1" applyFill="1" applyAlignment="1">
      <alignment vertical="center"/>
    </xf>
    <xf numFmtId="3" fontId="31" fillId="5" borderId="0" xfId="2" applyNumberFormat="1" applyFont="1" applyFill="1" applyAlignment="1">
      <alignment vertical="center"/>
    </xf>
    <xf numFmtId="0" fontId="36" fillId="5" borderId="0" xfId="2" applyFont="1" applyFill="1"/>
    <xf numFmtId="3" fontId="29" fillId="5" borderId="6" xfId="2" applyNumberFormat="1" applyFont="1" applyFill="1" applyBorder="1" applyAlignment="1">
      <alignment vertical="center"/>
    </xf>
    <xf numFmtId="3" fontId="30" fillId="5" borderId="6" xfId="2" applyNumberFormat="1" applyFont="1" applyFill="1" applyBorder="1"/>
    <xf numFmtId="3" fontId="51" fillId="5" borderId="6" xfId="2" applyNumberFormat="1" applyFont="1" applyFill="1" applyBorder="1" applyAlignment="1">
      <alignment horizontal="right" vertical="center" wrapText="1"/>
    </xf>
    <xf numFmtId="3" fontId="57" fillId="5" borderId="6" xfId="2" applyNumberFormat="1" applyFont="1" applyFill="1" applyBorder="1" applyAlignment="1">
      <alignment horizontal="left" vertical="center" wrapText="1"/>
    </xf>
    <xf numFmtId="3" fontId="58" fillId="5" borderId="6" xfId="2" applyNumberFormat="1" applyFont="1" applyFill="1" applyBorder="1"/>
    <xf numFmtId="167" fontId="58" fillId="5" borderId="0" xfId="2" applyNumberFormat="1" applyFont="1" applyFill="1"/>
    <xf numFmtId="167" fontId="57" fillId="5" borderId="0" xfId="2" applyNumberFormat="1" applyFont="1" applyFill="1"/>
    <xf numFmtId="3" fontId="57" fillId="5" borderId="0" xfId="2" applyNumberFormat="1" applyFont="1" applyFill="1"/>
    <xf numFmtId="0" fontId="57" fillId="5" borderId="0" xfId="2" applyFont="1" applyFill="1" applyAlignment="1">
      <alignment vertical="center" wrapText="1"/>
    </xf>
    <xf numFmtId="3" fontId="23" fillId="5" borderId="6" xfId="2" applyNumberFormat="1" applyFont="1" applyFill="1" applyBorder="1" applyAlignment="1">
      <alignment horizontal="right" vertical="center"/>
    </xf>
    <xf numFmtId="3" fontId="26" fillId="5" borderId="6" xfId="2" applyNumberFormat="1" applyFont="1" applyFill="1" applyBorder="1"/>
    <xf numFmtId="0" fontId="35" fillId="5" borderId="1" xfId="2" quotePrefix="1" applyFont="1" applyFill="1" applyBorder="1" applyAlignment="1">
      <alignment horizontal="center" vertical="center"/>
    </xf>
    <xf numFmtId="0" fontId="35" fillId="5" borderId="1" xfId="2" applyFont="1" applyFill="1" applyBorder="1" applyAlignment="1">
      <alignment vertical="center" wrapText="1"/>
    </xf>
    <xf numFmtId="3" fontId="35" fillId="5" borderId="6" xfId="2" applyNumberFormat="1" applyFont="1" applyFill="1" applyBorder="1" applyAlignment="1">
      <alignment vertical="center"/>
    </xf>
    <xf numFmtId="3" fontId="45" fillId="5" borderId="6" xfId="2" applyNumberFormat="1" applyFont="1" applyFill="1" applyBorder="1" applyAlignment="1">
      <alignment vertical="center"/>
    </xf>
    <xf numFmtId="3" fontId="44" fillId="5" borderId="6" xfId="2" applyNumberFormat="1" applyFont="1" applyFill="1" applyBorder="1"/>
    <xf numFmtId="0" fontId="45" fillId="5" borderId="6" xfId="2" applyFont="1" applyFill="1" applyBorder="1"/>
    <xf numFmtId="167" fontId="36" fillId="5" borderId="0" xfId="2" applyNumberFormat="1" applyFont="1" applyFill="1"/>
    <xf numFmtId="3" fontId="42" fillId="5" borderId="6" xfId="2" applyNumberFormat="1" applyFont="1" applyFill="1" applyBorder="1" applyAlignment="1">
      <alignment vertical="center" wrapText="1"/>
    </xf>
    <xf numFmtId="3" fontId="30" fillId="5" borderId="6" xfId="2" applyNumberFormat="1" applyFont="1" applyFill="1" applyBorder="1" applyAlignment="1">
      <alignment horizontal="center"/>
    </xf>
    <xf numFmtId="3" fontId="25" fillId="5" borderId="6" xfId="2" applyNumberFormat="1" applyFont="1" applyFill="1" applyBorder="1" applyAlignment="1">
      <alignment horizontal="left"/>
    </xf>
    <xf numFmtId="0" fontId="59" fillId="5" borderId="1" xfId="2" applyFont="1" applyFill="1" applyBorder="1"/>
    <xf numFmtId="0" fontId="51" fillId="5" borderId="1" xfId="2" applyFont="1" applyFill="1" applyBorder="1"/>
    <xf numFmtId="168" fontId="51" fillId="5" borderId="1" xfId="3" applyNumberFormat="1" applyFont="1" applyFill="1" applyBorder="1"/>
    <xf numFmtId="168" fontId="59" fillId="5" borderId="1" xfId="3" applyNumberFormat="1" applyFont="1" applyFill="1" applyBorder="1" applyAlignment="1">
      <alignment wrapText="1"/>
    </xf>
    <xf numFmtId="168" fontId="59" fillId="5" borderId="6" xfId="3" applyNumberFormat="1" applyFont="1" applyFill="1" applyBorder="1"/>
    <xf numFmtId="3" fontId="57" fillId="5" borderId="6" xfId="2" applyNumberFormat="1" applyFont="1" applyFill="1" applyBorder="1"/>
    <xf numFmtId="3" fontId="60" fillId="5" borderId="6" xfId="2" applyNumberFormat="1" applyFont="1" applyFill="1" applyBorder="1"/>
    <xf numFmtId="0" fontId="51" fillId="5" borderId="6" xfId="2" applyFont="1" applyFill="1" applyBorder="1"/>
    <xf numFmtId="3" fontId="51" fillId="5" borderId="0" xfId="2" applyNumberFormat="1" applyFont="1" applyFill="1"/>
    <xf numFmtId="167" fontId="60" fillId="5" borderId="0" xfId="2" applyNumberFormat="1" applyFont="1" applyFill="1"/>
    <xf numFmtId="3" fontId="60" fillId="5" borderId="0" xfId="2" applyNumberFormat="1" applyFont="1" applyFill="1"/>
    <xf numFmtId="0" fontId="60" fillId="5" borderId="0" xfId="2" applyFont="1" applyFill="1"/>
    <xf numFmtId="3" fontId="23" fillId="5" borderId="6" xfId="2" applyNumberFormat="1" applyFont="1" applyFill="1" applyBorder="1" applyAlignment="1">
      <alignment horizontal="center" vertical="center"/>
    </xf>
    <xf numFmtId="3" fontId="25" fillId="5" borderId="6" xfId="2" applyNumberFormat="1" applyFont="1" applyFill="1" applyBorder="1" applyAlignment="1">
      <alignment horizontal="center" vertical="center"/>
    </xf>
    <xf numFmtId="3" fontId="23" fillId="5" borderId="6" xfId="2" applyNumberFormat="1" applyFont="1" applyFill="1" applyBorder="1" applyAlignment="1">
      <alignment horizontal="left"/>
    </xf>
    <xf numFmtId="3" fontId="41" fillId="5" borderId="1" xfId="2" applyNumberFormat="1" applyFont="1" applyFill="1" applyBorder="1" applyAlignment="1">
      <alignment horizontal="center" vertical="center"/>
    </xf>
    <xf numFmtId="3" fontId="41" fillId="5" borderId="6" xfId="2" applyNumberFormat="1" applyFont="1" applyFill="1" applyBorder="1" applyAlignment="1">
      <alignment horizontal="right" vertical="center"/>
    </xf>
    <xf numFmtId="3" fontId="41" fillId="5" borderId="6" xfId="2" applyNumberFormat="1" applyFont="1" applyFill="1" applyBorder="1" applyAlignment="1">
      <alignment horizontal="left" vertical="center"/>
    </xf>
    <xf numFmtId="3" fontId="42" fillId="5" borderId="6" xfId="2" applyNumberFormat="1" applyFont="1" applyFill="1" applyBorder="1" applyAlignment="1">
      <alignment horizontal="center"/>
    </xf>
    <xf numFmtId="3" fontId="29" fillId="5" borderId="1" xfId="2" applyNumberFormat="1" applyFont="1" applyFill="1" applyBorder="1" applyAlignment="1">
      <alignment horizontal="right" vertical="center"/>
    </xf>
    <xf numFmtId="3" fontId="28" fillId="5" borderId="1" xfId="2" applyNumberFormat="1" applyFont="1" applyFill="1" applyBorder="1" applyAlignment="1">
      <alignment horizontal="right" vertical="center"/>
    </xf>
    <xf numFmtId="3" fontId="28" fillId="5" borderId="1" xfId="2" applyNumberFormat="1" applyFont="1" applyFill="1" applyBorder="1" applyAlignment="1">
      <alignment horizontal="right" vertical="center" wrapText="1"/>
    </xf>
    <xf numFmtId="3" fontId="28" fillId="5" borderId="6" xfId="2" applyNumberFormat="1" applyFont="1" applyFill="1" applyBorder="1" applyAlignment="1">
      <alignment horizontal="right" vertical="center"/>
    </xf>
    <xf numFmtId="3" fontId="47" fillId="5" borderId="6" xfId="2" applyNumberFormat="1" applyFont="1" applyFill="1" applyBorder="1" applyAlignment="1">
      <alignment vertical="center"/>
    </xf>
    <xf numFmtId="3" fontId="41" fillId="5" borderId="6" xfId="2" applyNumberFormat="1" applyFont="1" applyFill="1" applyBorder="1" applyAlignment="1">
      <alignment horizontal="center" vertical="center" wrapText="1"/>
    </xf>
    <xf numFmtId="0" fontId="29" fillId="5" borderId="1" xfId="2" applyFont="1" applyFill="1" applyBorder="1" applyAlignment="1">
      <alignment vertical="center" wrapText="1"/>
    </xf>
    <xf numFmtId="3" fontId="25" fillId="5" borderId="6" xfId="2" applyNumberFormat="1" applyFont="1" applyFill="1" applyBorder="1" applyAlignment="1">
      <alignment horizontal="left" vertical="center" wrapText="1"/>
    </xf>
    <xf numFmtId="3" fontId="99" fillId="5" borderId="6" xfId="4" applyNumberFormat="1" applyFont="1" applyFill="1" applyBorder="1" applyAlignment="1" applyProtection="1">
      <alignment vertical="center" wrapText="1"/>
    </xf>
    <xf numFmtId="0" fontId="35" fillId="5" borderId="1" xfId="2" quotePrefix="1" applyFont="1" applyFill="1" applyBorder="1" applyAlignment="1">
      <alignment horizontal="center" vertical="center" wrapText="1"/>
    </xf>
    <xf numFmtId="3" fontId="35" fillId="5" borderId="6" xfId="2" applyNumberFormat="1" applyFont="1" applyFill="1" applyBorder="1" applyAlignment="1">
      <alignment vertical="center" wrapText="1"/>
    </xf>
    <xf numFmtId="3" fontId="40" fillId="5" borderId="6" xfId="2" applyNumberFormat="1" applyFont="1" applyFill="1" applyBorder="1" applyAlignment="1">
      <alignment vertical="center" wrapText="1"/>
    </xf>
    <xf numFmtId="0" fontId="35" fillId="5" borderId="6" xfId="2" applyFont="1" applyFill="1" applyBorder="1" applyAlignment="1">
      <alignment vertical="center" wrapText="1"/>
    </xf>
    <xf numFmtId="3" fontId="25" fillId="5" borderId="1" xfId="2" quotePrefix="1" applyNumberFormat="1" applyFont="1" applyFill="1" applyBorder="1" applyAlignment="1">
      <alignment horizontal="center" vertical="center" wrapText="1"/>
    </xf>
    <xf numFmtId="3" fontId="29" fillId="5" borderId="6" xfId="2" applyNumberFormat="1" applyFont="1" applyFill="1" applyBorder="1" applyAlignment="1">
      <alignment vertical="center" wrapText="1"/>
    </xf>
    <xf numFmtId="3" fontId="26" fillId="5" borderId="6" xfId="2" applyNumberFormat="1" applyFont="1" applyFill="1" applyBorder="1" applyAlignment="1">
      <alignment vertical="center" wrapText="1"/>
    </xf>
    <xf numFmtId="3" fontId="52" fillId="5" borderId="6" xfId="2" applyNumberFormat="1" applyFont="1" applyFill="1" applyBorder="1" applyAlignment="1">
      <alignment vertical="center" wrapText="1"/>
    </xf>
    <xf numFmtId="3" fontId="54" fillId="5" borderId="6" xfId="2" applyNumberFormat="1" applyFont="1" applyFill="1" applyBorder="1"/>
    <xf numFmtId="0" fontId="55" fillId="5" borderId="6" xfId="2" applyFont="1" applyFill="1" applyBorder="1"/>
    <xf numFmtId="0" fontId="33" fillId="5" borderId="1" xfId="2" applyFont="1" applyFill="1" applyBorder="1" applyAlignment="1">
      <alignment vertical="center"/>
    </xf>
    <xf numFmtId="3" fontId="33" fillId="5" borderId="6" xfId="2" applyNumberFormat="1" applyFont="1" applyFill="1" applyBorder="1" applyAlignment="1">
      <alignment vertical="center"/>
    </xf>
    <xf numFmtId="3" fontId="31" fillId="5" borderId="6" xfId="2" applyNumberFormat="1" applyFont="1" applyFill="1" applyBorder="1" applyAlignment="1">
      <alignment vertical="center"/>
    </xf>
    <xf numFmtId="3" fontId="34" fillId="5" borderId="6" xfId="2" applyNumberFormat="1" applyFont="1" applyFill="1" applyBorder="1"/>
    <xf numFmtId="0" fontId="31" fillId="5" borderId="6" xfId="2" applyFont="1" applyFill="1" applyBorder="1"/>
    <xf numFmtId="3" fontId="32" fillId="5" borderId="0" xfId="2" applyNumberFormat="1" applyFont="1" applyFill="1"/>
    <xf numFmtId="0" fontId="49" fillId="5" borderId="1" xfId="2" applyFont="1" applyFill="1" applyBorder="1" applyAlignment="1">
      <alignment vertical="center"/>
    </xf>
    <xf numFmtId="3" fontId="45" fillId="5" borderId="1" xfId="2" applyNumberFormat="1" applyFont="1" applyFill="1" applyBorder="1" applyAlignment="1">
      <alignment horizontal="center" vertical="center"/>
    </xf>
    <xf numFmtId="3" fontId="45" fillId="5" borderId="6" xfId="2" applyNumberFormat="1" applyFont="1" applyFill="1" applyBorder="1" applyAlignment="1">
      <alignment horizontal="left" vertical="center"/>
    </xf>
    <xf numFmtId="3" fontId="45" fillId="5" borderId="1" xfId="2" applyNumberFormat="1" applyFont="1" applyFill="1" applyBorder="1" applyAlignment="1">
      <alignment horizontal="right" vertical="center"/>
    </xf>
    <xf numFmtId="3" fontId="45" fillId="5" borderId="6" xfId="2" applyNumberFormat="1" applyFont="1" applyFill="1" applyBorder="1" applyAlignment="1">
      <alignment horizontal="right" vertical="center"/>
    </xf>
    <xf numFmtId="0" fontId="45" fillId="5" borderId="1" xfId="2" applyFont="1" applyFill="1" applyBorder="1" applyAlignment="1">
      <alignment vertical="center"/>
    </xf>
    <xf numFmtId="3" fontId="45" fillId="5" borderId="1" xfId="2" applyNumberFormat="1" applyFont="1" applyFill="1" applyBorder="1" applyAlignment="1">
      <alignment horizontal="left" vertical="center"/>
    </xf>
    <xf numFmtId="3" fontId="32" fillId="5" borderId="1" xfId="2" applyNumberFormat="1" applyFont="1" applyFill="1" applyBorder="1" applyAlignment="1">
      <alignment horizontal="right" vertical="center"/>
    </xf>
    <xf numFmtId="3" fontId="35" fillId="5" borderId="1" xfId="2" applyNumberFormat="1" applyFont="1" applyFill="1" applyBorder="1" applyAlignment="1">
      <alignment horizontal="right" vertical="center" wrapText="1"/>
    </xf>
    <xf numFmtId="3" fontId="35" fillId="5" borderId="6" xfId="2" applyNumberFormat="1" applyFont="1" applyFill="1" applyBorder="1" applyAlignment="1">
      <alignment horizontal="right" vertical="center"/>
    </xf>
    <xf numFmtId="0" fontId="49" fillId="5" borderId="1" xfId="2" applyFont="1" applyFill="1" applyBorder="1" applyAlignment="1">
      <alignment vertical="center" wrapText="1"/>
    </xf>
    <xf numFmtId="3" fontId="49" fillId="5" borderId="1" xfId="2" applyNumberFormat="1" applyFont="1" applyFill="1" applyBorder="1" applyAlignment="1">
      <alignment vertical="center"/>
    </xf>
    <xf numFmtId="3" fontId="49" fillId="5" borderId="6" xfId="2" applyNumberFormat="1" applyFont="1" applyFill="1" applyBorder="1" applyAlignment="1">
      <alignment vertical="center"/>
    </xf>
    <xf numFmtId="0" fontId="45" fillId="5" borderId="1" xfId="2" quotePrefix="1" applyFont="1" applyFill="1" applyBorder="1" applyAlignment="1">
      <alignment horizontal="center" vertical="center"/>
    </xf>
    <xf numFmtId="0" fontId="45" fillId="5" borderId="1" xfId="2" applyFont="1" applyFill="1" applyBorder="1" applyAlignment="1">
      <alignment vertical="center" wrapText="1"/>
    </xf>
    <xf numFmtId="3" fontId="45" fillId="5" borderId="1" xfId="2" applyNumberFormat="1" applyFont="1" applyFill="1" applyBorder="1" applyAlignment="1">
      <alignment horizontal="center" vertical="center" wrapText="1"/>
    </xf>
    <xf numFmtId="3" fontId="45" fillId="5" borderId="6" xfId="2" applyNumberFormat="1" applyFont="1" applyFill="1" applyBorder="1" applyAlignment="1">
      <alignment horizontal="center" vertical="center" wrapText="1"/>
    </xf>
    <xf numFmtId="3" fontId="35" fillId="5" borderId="1" xfId="2" applyNumberFormat="1" applyFont="1" applyFill="1" applyBorder="1" applyAlignment="1">
      <alignment horizontal="center" vertical="center" wrapText="1"/>
    </xf>
    <xf numFmtId="3" fontId="25" fillId="5" borderId="6" xfId="2" applyNumberFormat="1" applyFont="1" applyFill="1" applyBorder="1" applyAlignment="1">
      <alignment horizontal="center" vertical="center" wrapText="1"/>
    </xf>
    <xf numFmtId="3" fontId="62" fillId="5" borderId="6" xfId="2" applyNumberFormat="1" applyFont="1" applyFill="1" applyBorder="1" applyAlignment="1">
      <alignment vertical="center" wrapText="1"/>
    </xf>
    <xf numFmtId="3" fontId="54" fillId="5" borderId="0" xfId="2" applyNumberFormat="1" applyFont="1" applyFill="1"/>
    <xf numFmtId="0" fontId="54" fillId="5" borderId="0" xfId="2" applyFont="1" applyFill="1"/>
    <xf numFmtId="3" fontId="32" fillId="5" borderId="1" xfId="2" applyNumberFormat="1" applyFont="1" applyFill="1" applyBorder="1" applyAlignment="1">
      <alignment horizontal="right" vertical="center" wrapText="1"/>
    </xf>
    <xf numFmtId="3" fontId="32" fillId="5" borderId="6" xfId="2" applyNumberFormat="1" applyFont="1" applyFill="1" applyBorder="1" applyAlignment="1">
      <alignment horizontal="right" vertical="center"/>
    </xf>
    <xf numFmtId="167" fontId="40" fillId="5" borderId="0" xfId="2" applyNumberFormat="1" applyFont="1" applyFill="1" applyAlignment="1">
      <alignment vertical="center"/>
    </xf>
    <xf numFmtId="3" fontId="40" fillId="5" borderId="0" xfId="2" applyNumberFormat="1" applyFont="1" applyFill="1" applyAlignment="1">
      <alignment vertical="center"/>
    </xf>
    <xf numFmtId="0" fontId="40" fillId="5" borderId="0" xfId="2" applyFont="1" applyFill="1" applyAlignment="1">
      <alignment vertical="center"/>
    </xf>
    <xf numFmtId="0" fontId="32" fillId="5" borderId="1" xfId="2" quotePrefix="1" applyFont="1" applyFill="1" applyBorder="1" applyAlignment="1">
      <alignment horizontal="center" vertical="center"/>
    </xf>
    <xf numFmtId="0" fontId="32" fillId="5" borderId="1" xfId="2" applyFont="1" applyFill="1" applyBorder="1" applyAlignment="1">
      <alignment vertical="center" wrapText="1"/>
    </xf>
    <xf numFmtId="3" fontId="32" fillId="5" borderId="6" xfId="2" applyNumberFormat="1" applyFont="1" applyFill="1" applyBorder="1" applyAlignment="1">
      <alignment vertical="center"/>
    </xf>
    <xf numFmtId="3" fontId="35" fillId="5" borderId="6" xfId="2" applyNumberFormat="1" applyFont="1" applyFill="1" applyBorder="1" applyAlignment="1">
      <alignment horizontal="center" vertical="center" wrapText="1"/>
    </xf>
    <xf numFmtId="3" fontId="31" fillId="5" borderId="6" xfId="2" applyNumberFormat="1" applyFont="1" applyFill="1" applyBorder="1"/>
    <xf numFmtId="3" fontId="33" fillId="5" borderId="0" xfId="2" applyNumberFormat="1" applyFont="1" applyFill="1"/>
    <xf numFmtId="0" fontId="35" fillId="5" borderId="1" xfId="2" applyFont="1" applyFill="1" applyBorder="1" applyAlignment="1">
      <alignment vertical="center"/>
    </xf>
    <xf numFmtId="3" fontId="40" fillId="5" borderId="6" xfId="2" applyNumberFormat="1" applyFont="1" applyFill="1" applyBorder="1" applyAlignment="1">
      <alignment vertical="center"/>
    </xf>
    <xf numFmtId="3" fontId="98" fillId="5" borderId="1" xfId="2" applyNumberFormat="1" applyFont="1" applyFill="1" applyBorder="1" applyAlignment="1">
      <alignment vertical="center" wrapText="1"/>
    </xf>
    <xf numFmtId="3" fontId="36" fillId="5" borderId="6" xfId="2" applyNumberFormat="1" applyFont="1" applyFill="1" applyBorder="1" applyAlignment="1">
      <alignment vertical="center" wrapText="1"/>
    </xf>
    <xf numFmtId="0" fontId="32" fillId="5" borderId="6" xfId="2" applyFont="1" applyFill="1" applyBorder="1" applyAlignment="1">
      <alignment vertical="center" wrapText="1"/>
    </xf>
    <xf numFmtId="3" fontId="44" fillId="5" borderId="6" xfId="2" applyNumberFormat="1" applyFont="1" applyFill="1" applyBorder="1" applyAlignment="1">
      <alignment horizontal="left" vertical="center" wrapText="1"/>
    </xf>
    <xf numFmtId="167" fontId="35" fillId="5" borderId="0" xfId="2" applyNumberFormat="1" applyFont="1" applyFill="1"/>
    <xf numFmtId="3" fontId="30" fillId="5" borderId="6" xfId="2" applyNumberFormat="1" applyFont="1" applyFill="1" applyBorder="1" applyAlignment="1">
      <alignment horizontal="left" vertical="center" wrapText="1"/>
    </xf>
    <xf numFmtId="3" fontId="42" fillId="5" borderId="6" xfId="2" applyNumberFormat="1" applyFont="1" applyFill="1" applyBorder="1" applyAlignment="1">
      <alignment horizontal="left" vertical="center" wrapText="1"/>
    </xf>
    <xf numFmtId="3" fontId="32" fillId="5" borderId="6" xfId="2" applyNumberFormat="1" applyFont="1" applyFill="1" applyBorder="1" applyAlignment="1">
      <alignment horizontal="left" vertical="center"/>
    </xf>
    <xf numFmtId="3" fontId="32" fillId="5" borderId="0" xfId="2" applyNumberFormat="1" applyFont="1" applyFill="1" applyAlignment="1">
      <alignment vertical="center" wrapText="1"/>
    </xf>
    <xf numFmtId="0" fontId="45" fillId="5" borderId="1" xfId="2" applyFont="1" applyFill="1" applyBorder="1" applyAlignment="1">
      <alignment horizontal="left" vertical="center"/>
    </xf>
    <xf numFmtId="3" fontId="45" fillId="5" borderId="6" xfId="2" applyNumberFormat="1" applyFont="1" applyFill="1" applyBorder="1" applyAlignment="1">
      <alignment vertical="center" wrapText="1"/>
    </xf>
    <xf numFmtId="3" fontId="36" fillId="5" borderId="6" xfId="2" applyNumberFormat="1" applyFont="1" applyFill="1" applyBorder="1"/>
    <xf numFmtId="0" fontId="28" fillId="5" borderId="1" xfId="2" applyFont="1" applyFill="1" applyBorder="1" applyAlignment="1">
      <alignment vertical="center"/>
    </xf>
    <xf numFmtId="3" fontId="25" fillId="5" borderId="6" xfId="2" applyNumberFormat="1" applyFont="1" applyFill="1" applyBorder="1" applyAlignment="1">
      <alignment wrapText="1"/>
    </xf>
    <xf numFmtId="3" fontId="41" fillId="5" borderId="6" xfId="2" applyNumberFormat="1" applyFont="1" applyFill="1" applyBorder="1" applyAlignment="1">
      <alignment horizontal="left" vertical="center" wrapText="1"/>
    </xf>
    <xf numFmtId="3" fontId="25" fillId="5" borderId="10" xfId="2" applyNumberFormat="1" applyFont="1" applyFill="1" applyBorder="1" applyAlignment="1">
      <alignment horizontal="left" vertical="center" wrapText="1"/>
    </xf>
    <xf numFmtId="3" fontId="41" fillId="5" borderId="1" xfId="2" quotePrefix="1" applyNumberFormat="1" applyFont="1" applyFill="1" applyBorder="1" applyAlignment="1">
      <alignment horizontal="left" vertical="center"/>
    </xf>
    <xf numFmtId="3" fontId="41" fillId="5" borderId="6" xfId="2" quotePrefix="1" applyNumberFormat="1" applyFont="1" applyFill="1" applyBorder="1" applyAlignment="1">
      <alignment horizontal="left" vertical="center"/>
    </xf>
    <xf numFmtId="0" fontId="45" fillId="5" borderId="1" xfId="2" applyFont="1" applyFill="1" applyBorder="1" applyAlignment="1">
      <alignment horizontal="center" vertical="center" wrapText="1"/>
    </xf>
    <xf numFmtId="3" fontId="45" fillId="5" borderId="1" xfId="2" quotePrefix="1" applyNumberFormat="1" applyFont="1" applyFill="1" applyBorder="1" applyAlignment="1">
      <alignment horizontal="left" vertical="center"/>
    </xf>
    <xf numFmtId="3" fontId="45" fillId="5" borderId="6" xfId="2" quotePrefix="1" applyNumberFormat="1" applyFont="1" applyFill="1" applyBorder="1" applyAlignment="1">
      <alignment horizontal="left" vertical="center"/>
    </xf>
    <xf numFmtId="169" fontId="23" fillId="5" borderId="6" xfId="2" applyNumberFormat="1" applyFont="1" applyFill="1" applyBorder="1"/>
    <xf numFmtId="3" fontId="25" fillId="5" borderId="7" xfId="2" applyNumberFormat="1" applyFont="1" applyFill="1" applyBorder="1" applyAlignment="1">
      <alignment vertical="center"/>
    </xf>
    <xf numFmtId="3" fontId="41" fillId="5" borderId="7" xfId="2" applyNumberFormat="1" applyFont="1" applyFill="1" applyBorder="1" applyAlignment="1">
      <alignment horizontal="left" vertical="center"/>
    </xf>
    <xf numFmtId="169" fontId="23" fillId="5" borderId="6" xfId="3" applyNumberFormat="1" applyFont="1" applyFill="1" applyBorder="1"/>
    <xf numFmtId="3" fontId="26" fillId="5" borderId="0" xfId="2" applyNumberFormat="1" applyFont="1" applyFill="1" applyAlignment="1">
      <alignment wrapText="1"/>
    </xf>
    <xf numFmtId="0" fontId="26" fillId="5" borderId="0" xfId="2" applyFont="1" applyFill="1" applyAlignment="1">
      <alignment wrapText="1"/>
    </xf>
    <xf numFmtId="0" fontId="41" fillId="5" borderId="6" xfId="2" applyFont="1" applyFill="1" applyBorder="1" applyAlignment="1">
      <alignment vertical="center" wrapText="1"/>
    </xf>
    <xf numFmtId="3" fontId="24" fillId="5" borderId="0" xfId="2" applyNumberFormat="1" applyFont="1" applyFill="1" applyAlignment="1">
      <alignment wrapText="1"/>
    </xf>
    <xf numFmtId="0" fontId="24" fillId="5" borderId="0" xfId="2" applyFont="1" applyFill="1" applyAlignment="1">
      <alignment wrapText="1"/>
    </xf>
    <xf numFmtId="3" fontId="31" fillId="5" borderId="8" xfId="2" applyNumberFormat="1" applyFont="1" applyFill="1" applyBorder="1" applyAlignment="1">
      <alignment horizontal="right" vertical="center" wrapText="1"/>
    </xf>
    <xf numFmtId="3" fontId="31" fillId="5" borderId="8" xfId="2" applyNumberFormat="1" applyFont="1" applyFill="1" applyBorder="1" applyAlignment="1">
      <alignment horizontal="center" vertical="center" wrapText="1"/>
    </xf>
    <xf numFmtId="3" fontId="31" fillId="5" borderId="11" xfId="2" applyNumberFormat="1" applyFont="1" applyFill="1" applyBorder="1" applyAlignment="1">
      <alignment horizontal="right" vertical="center" wrapText="1"/>
    </xf>
    <xf numFmtId="167" fontId="40" fillId="5" borderId="0" xfId="2" applyNumberFormat="1" applyFont="1" applyFill="1" applyAlignment="1">
      <alignment wrapText="1"/>
    </xf>
    <xf numFmtId="3" fontId="40" fillId="5" borderId="0" xfId="2" applyNumberFormat="1" applyFont="1" applyFill="1" applyAlignment="1">
      <alignment wrapText="1"/>
    </xf>
    <xf numFmtId="0" fontId="40" fillId="5" borderId="0" xfId="2" applyFont="1" applyFill="1" applyAlignment="1">
      <alignment wrapText="1"/>
    </xf>
    <xf numFmtId="3" fontId="24" fillId="5" borderId="6" xfId="2" applyNumberFormat="1" applyFont="1" applyFill="1" applyBorder="1" applyAlignment="1">
      <alignment wrapText="1"/>
    </xf>
    <xf numFmtId="0" fontId="25" fillId="5" borderId="6" xfId="2" applyFont="1" applyFill="1" applyBorder="1" applyAlignment="1">
      <alignment wrapText="1"/>
    </xf>
    <xf numFmtId="3" fontId="23" fillId="5" borderId="0" xfId="2" applyNumberFormat="1" applyFont="1" applyFill="1" applyAlignment="1">
      <alignment wrapText="1"/>
    </xf>
    <xf numFmtId="167" fontId="24" fillId="5" borderId="0" xfId="2" applyNumberFormat="1" applyFont="1" applyFill="1" applyAlignment="1">
      <alignment wrapText="1"/>
    </xf>
    <xf numFmtId="3" fontId="25" fillId="5" borderId="0" xfId="2" applyNumberFormat="1" applyFont="1" applyFill="1" applyAlignment="1">
      <alignment wrapText="1"/>
    </xf>
    <xf numFmtId="4" fontId="41" fillId="5" borderId="1" xfId="2" applyNumberFormat="1" applyFont="1" applyFill="1" applyBorder="1" applyAlignment="1">
      <alignment vertical="center" wrapText="1"/>
    </xf>
    <xf numFmtId="3" fontId="42" fillId="5" borderId="6" xfId="2" applyNumberFormat="1" applyFont="1" applyFill="1" applyBorder="1" applyAlignment="1">
      <alignment wrapText="1"/>
    </xf>
    <xf numFmtId="0" fontId="41" fillId="5" borderId="6" xfId="2" applyFont="1" applyFill="1" applyBorder="1" applyAlignment="1">
      <alignment wrapText="1"/>
    </xf>
    <xf numFmtId="3" fontId="41" fillId="5" borderId="0" xfId="2" applyNumberFormat="1" applyFont="1" applyFill="1" applyAlignment="1">
      <alignment wrapText="1"/>
    </xf>
    <xf numFmtId="0" fontId="25" fillId="5" borderId="1" xfId="2" applyFont="1" applyFill="1" applyBorder="1" applyAlignment="1">
      <alignment vertical="center"/>
    </xf>
    <xf numFmtId="3" fontId="25" fillId="5" borderId="0" xfId="2" applyNumberFormat="1" applyFont="1" applyFill="1" applyAlignment="1">
      <alignment horizontal="right"/>
    </xf>
    <xf numFmtId="3" fontId="25" fillId="5" borderId="6" xfId="2" applyNumberFormat="1" applyFont="1" applyFill="1" applyBorder="1" applyAlignment="1">
      <alignment horizontal="left" vertical="center"/>
    </xf>
    <xf numFmtId="3" fontId="41" fillId="5" borderId="1" xfId="2" applyNumberFormat="1" applyFont="1" applyFill="1" applyBorder="1" applyAlignment="1">
      <alignment horizontal="right" vertical="center" wrapText="1"/>
    </xf>
    <xf numFmtId="3" fontId="41" fillId="5" borderId="0" xfId="2" applyNumberFormat="1" applyFont="1" applyFill="1" applyAlignment="1">
      <alignment horizontal="right"/>
    </xf>
    <xf numFmtId="0" fontId="23" fillId="5" borderId="1" xfId="2" applyFont="1" applyFill="1" applyBorder="1" applyAlignment="1">
      <alignment vertical="center"/>
    </xf>
    <xf numFmtId="3" fontId="23" fillId="5" borderId="1" xfId="2" applyNumberFormat="1" applyFont="1" applyFill="1" applyBorder="1" applyAlignment="1">
      <alignment horizontal="left" vertical="center"/>
    </xf>
    <xf numFmtId="3" fontId="23" fillId="5" borderId="6" xfId="2" applyNumberFormat="1" applyFont="1" applyFill="1" applyBorder="1" applyAlignment="1">
      <alignment horizontal="left" vertical="center"/>
    </xf>
    <xf numFmtId="3" fontId="23" fillId="5" borderId="0" xfId="2" applyNumberFormat="1" applyFont="1" applyFill="1" applyAlignment="1">
      <alignment horizontal="right"/>
    </xf>
    <xf numFmtId="3" fontId="23" fillId="5" borderId="6" xfId="2" quotePrefix="1" applyNumberFormat="1" applyFont="1" applyFill="1" applyBorder="1" applyAlignment="1">
      <alignment horizontal="left" vertical="center" wrapText="1"/>
    </xf>
    <xf numFmtId="3" fontId="25" fillId="5" borderId="1" xfId="2" quotePrefix="1" applyNumberFormat="1" applyFont="1" applyFill="1" applyBorder="1" applyAlignment="1">
      <alignment horizontal="left" vertical="center" wrapText="1"/>
    </xf>
    <xf numFmtId="3" fontId="25" fillId="5" borderId="6" xfId="2" quotePrefix="1" applyNumberFormat="1" applyFont="1" applyFill="1" applyBorder="1" applyAlignment="1">
      <alignment horizontal="left" vertical="center" wrapText="1"/>
    </xf>
    <xf numFmtId="0" fontId="23" fillId="5" borderId="6" xfId="2" applyFont="1" applyFill="1" applyBorder="1" applyAlignment="1">
      <alignment vertical="center"/>
    </xf>
    <xf numFmtId="3" fontId="45" fillId="5" borderId="1" xfId="2" applyNumberFormat="1" applyFont="1" applyFill="1" applyBorder="1" applyAlignment="1">
      <alignment horizontal="left" vertical="center" wrapText="1"/>
    </xf>
    <xf numFmtId="0" fontId="31" fillId="5" borderId="1" xfId="2" applyFont="1" applyFill="1" applyBorder="1" applyAlignment="1">
      <alignment vertical="center"/>
    </xf>
    <xf numFmtId="0" fontId="26" fillId="5" borderId="0" xfId="2" applyFont="1" applyFill="1" applyAlignment="1">
      <alignment vertical="center" wrapText="1" shrinkToFit="1"/>
    </xf>
    <xf numFmtId="0" fontId="24" fillId="5" borderId="0" xfId="2" applyFont="1" applyFill="1" applyAlignment="1">
      <alignment vertical="center" wrapText="1" shrinkToFit="1"/>
    </xf>
    <xf numFmtId="0" fontId="41" fillId="5" borderId="6" xfId="2" applyFont="1" applyFill="1" applyBorder="1" applyAlignment="1">
      <alignment vertical="center"/>
    </xf>
    <xf numFmtId="167" fontId="26" fillId="5" borderId="0" xfId="2" applyNumberFormat="1" applyFont="1" applyFill="1" applyAlignment="1">
      <alignment vertical="center" wrapText="1" shrinkToFit="1"/>
    </xf>
    <xf numFmtId="3" fontId="26" fillId="5" borderId="0" xfId="2" applyNumberFormat="1" applyFont="1" applyFill="1" applyAlignment="1">
      <alignment vertical="center" wrapText="1" shrinkToFit="1"/>
    </xf>
    <xf numFmtId="167" fontId="24" fillId="5" borderId="0" xfId="2" applyNumberFormat="1" applyFont="1" applyFill="1" applyAlignment="1">
      <alignment vertical="center" wrapText="1" shrinkToFit="1"/>
    </xf>
    <xf numFmtId="3" fontId="24" fillId="5" borderId="0" xfId="2" applyNumberFormat="1" applyFont="1" applyFill="1" applyAlignment="1">
      <alignment vertical="center" wrapText="1" shrinkToFit="1"/>
    </xf>
    <xf numFmtId="3" fontId="26" fillId="5" borderId="6" xfId="2" applyNumberFormat="1" applyFont="1" applyFill="1" applyBorder="1" applyAlignment="1">
      <alignment vertical="center" wrapText="1" shrinkToFit="1"/>
    </xf>
    <xf numFmtId="0" fontId="23" fillId="5" borderId="6" xfId="2" applyFont="1" applyFill="1" applyBorder="1" applyAlignment="1">
      <alignment vertical="center" wrapText="1" shrinkToFit="1"/>
    </xf>
    <xf numFmtId="3" fontId="24" fillId="5" borderId="6" xfId="2" applyNumberFormat="1" applyFont="1" applyFill="1" applyBorder="1" applyAlignment="1">
      <alignment vertical="center" wrapText="1" shrinkToFit="1"/>
    </xf>
    <xf numFmtId="0" fontId="25" fillId="5" borderId="6" xfId="2" applyFont="1" applyFill="1" applyBorder="1" applyAlignment="1">
      <alignment vertical="center" wrapText="1" shrinkToFit="1"/>
    </xf>
    <xf numFmtId="0" fontId="31" fillId="5" borderId="1" xfId="2" applyFont="1" applyFill="1" applyBorder="1" applyAlignment="1">
      <alignment horizontal="center" vertical="center" wrapText="1" shrinkToFit="1"/>
    </xf>
    <xf numFmtId="0" fontId="31" fillId="5" borderId="1" xfId="2" applyFont="1" applyFill="1" applyBorder="1" applyAlignment="1">
      <alignment vertical="center" wrapText="1" shrinkToFit="1"/>
    </xf>
    <xf numFmtId="3" fontId="31" fillId="5" borderId="1" xfId="2" applyNumberFormat="1" applyFont="1" applyFill="1" applyBorder="1" applyAlignment="1">
      <alignment vertical="center" wrapText="1" shrinkToFit="1"/>
    </xf>
    <xf numFmtId="3" fontId="23" fillId="5" borderId="6" xfId="2" applyNumberFormat="1" applyFont="1" applyFill="1" applyBorder="1" applyAlignment="1">
      <alignment vertical="center" wrapText="1" shrinkToFit="1"/>
    </xf>
    <xf numFmtId="3" fontId="28" fillId="5" borderId="0" xfId="2" applyNumberFormat="1" applyFont="1" applyFill="1" applyAlignment="1">
      <alignment vertical="center" wrapText="1" shrinkToFit="1"/>
    </xf>
    <xf numFmtId="4" fontId="42" fillId="5" borderId="0" xfId="2" applyNumberFormat="1" applyFont="1" applyFill="1"/>
    <xf numFmtId="3" fontId="33" fillId="5" borderId="1" xfId="2" applyNumberFormat="1" applyFont="1" applyFill="1" applyBorder="1" applyAlignment="1">
      <alignment vertical="center" wrapText="1" shrinkToFit="1"/>
    </xf>
    <xf numFmtId="3" fontId="28" fillId="5" borderId="6" xfId="2" applyNumberFormat="1" applyFont="1" applyFill="1" applyBorder="1" applyAlignment="1">
      <alignment vertical="center" wrapText="1" shrinkToFit="1"/>
    </xf>
    <xf numFmtId="3" fontId="25" fillId="5" borderId="6" xfId="2" applyNumberFormat="1" applyFont="1" applyFill="1" applyBorder="1" applyAlignment="1">
      <alignment horizontal="center" vertical="center" wrapText="1" shrinkToFit="1"/>
    </xf>
    <xf numFmtId="3" fontId="23" fillId="5" borderId="0" xfId="2" applyNumberFormat="1" applyFont="1" applyFill="1" applyAlignment="1">
      <alignment vertical="center" wrapText="1" shrinkToFit="1"/>
    </xf>
    <xf numFmtId="3" fontId="23" fillId="5" borderId="6" xfId="2" applyNumberFormat="1" applyFont="1" applyFill="1" applyBorder="1" applyAlignment="1">
      <alignment horizontal="right" vertical="center" wrapText="1"/>
    </xf>
    <xf numFmtId="3" fontId="54" fillId="5" borderId="6" xfId="2" applyNumberFormat="1" applyFont="1" applyFill="1" applyBorder="1" applyAlignment="1">
      <alignment wrapText="1"/>
    </xf>
    <xf numFmtId="3" fontId="53" fillId="5" borderId="0" xfId="2" applyNumberFormat="1" applyFont="1" applyFill="1" applyAlignment="1">
      <alignment vertical="center" wrapText="1"/>
    </xf>
    <xf numFmtId="0" fontId="29" fillId="5" borderId="6" xfId="2" applyFont="1" applyFill="1" applyBorder="1" applyAlignment="1">
      <alignment vertical="center"/>
    </xf>
    <xf numFmtId="167" fontId="28" fillId="5" borderId="0" xfId="2" applyNumberFormat="1" applyFont="1" applyFill="1"/>
    <xf numFmtId="3" fontId="23" fillId="5" borderId="6" xfId="2" applyNumberFormat="1" applyFont="1" applyFill="1" applyBorder="1" applyAlignment="1">
      <alignment horizontal="center"/>
    </xf>
    <xf numFmtId="3" fontId="24" fillId="5" borderId="6" xfId="2" applyNumberFormat="1" applyFont="1" applyFill="1" applyBorder="1" applyAlignment="1">
      <alignment horizontal="center" vertical="center"/>
    </xf>
    <xf numFmtId="0" fontId="41" fillId="5" borderId="1" xfId="2" applyFont="1" applyFill="1" applyBorder="1" applyAlignment="1">
      <alignment horizontal="center" wrapText="1"/>
    </xf>
    <xf numFmtId="0" fontId="41" fillId="5" borderId="1" xfId="2" applyFont="1" applyFill="1" applyBorder="1" applyAlignment="1">
      <alignment wrapText="1"/>
    </xf>
    <xf numFmtId="0" fontId="24" fillId="5" borderId="6" xfId="2" applyFont="1" applyFill="1" applyBorder="1" applyAlignment="1">
      <alignment wrapText="1"/>
    </xf>
    <xf numFmtId="3" fontId="41" fillId="5" borderId="1" xfId="2" applyNumberFormat="1" applyFont="1" applyFill="1" applyBorder="1" applyAlignment="1">
      <alignment wrapText="1"/>
    </xf>
    <xf numFmtId="0" fontId="92" fillId="5" borderId="1" xfId="2" applyFont="1" applyFill="1" applyBorder="1" applyAlignment="1">
      <alignment horizontal="justify" vertical="center" wrapText="1"/>
    </xf>
    <xf numFmtId="3" fontId="47" fillId="5" borderId="1" xfId="2" applyNumberFormat="1" applyFont="1" applyFill="1" applyBorder="1" applyAlignment="1">
      <alignment horizontal="right" vertical="center"/>
    </xf>
    <xf numFmtId="3" fontId="47" fillId="5" borderId="1" xfId="2" applyNumberFormat="1" applyFont="1" applyFill="1" applyBorder="1" applyAlignment="1">
      <alignment horizontal="right" vertical="center" wrapText="1"/>
    </xf>
    <xf numFmtId="3" fontId="47" fillId="5" borderId="6" xfId="2" applyNumberFormat="1" applyFont="1" applyFill="1" applyBorder="1" applyAlignment="1">
      <alignment horizontal="right" vertical="center"/>
    </xf>
    <xf numFmtId="3" fontId="51" fillId="5" borderId="6" xfId="2" applyNumberFormat="1" applyFont="1" applyFill="1" applyBorder="1" applyAlignment="1">
      <alignment horizontal="center" vertical="center" wrapText="1"/>
    </xf>
    <xf numFmtId="0" fontId="54" fillId="5" borderId="0" xfId="2" applyFont="1" applyFill="1" applyAlignment="1">
      <alignment vertical="center" wrapText="1"/>
    </xf>
    <xf numFmtId="0" fontId="41" fillId="5" borderId="1" xfId="2" applyFont="1" applyFill="1" applyBorder="1" applyAlignment="1">
      <alignment vertical="center"/>
    </xf>
    <xf numFmtId="3" fontId="43" fillId="5" borderId="0" xfId="2" applyNumberFormat="1" applyFont="1" applyFill="1"/>
    <xf numFmtId="3" fontId="51" fillId="5" borderId="1" xfId="2" applyNumberFormat="1" applyFont="1" applyFill="1" applyBorder="1" applyAlignment="1">
      <alignment horizontal="center" vertical="center" wrapText="1"/>
    </xf>
    <xf numFmtId="3" fontId="55" fillId="5" borderId="6" xfId="2" applyNumberFormat="1" applyFont="1" applyFill="1" applyBorder="1" applyAlignment="1">
      <alignment horizontal="center"/>
    </xf>
    <xf numFmtId="3" fontId="58" fillId="5" borderId="0" xfId="2" applyNumberFormat="1" applyFont="1" applyFill="1"/>
    <xf numFmtId="0" fontId="58" fillId="5" borderId="0" xfId="2" applyFont="1" applyFill="1"/>
    <xf numFmtId="0" fontId="58" fillId="5" borderId="0" xfId="2" applyFont="1" applyFill="1" applyAlignment="1">
      <alignment vertical="center" wrapText="1"/>
    </xf>
    <xf numFmtId="167" fontId="47" fillId="5" borderId="0" xfId="2" applyNumberFormat="1" applyFont="1" applyFill="1"/>
    <xf numFmtId="3" fontId="41" fillId="5" borderId="1" xfId="2" quotePrefix="1" applyNumberFormat="1" applyFont="1" applyFill="1" applyBorder="1" applyAlignment="1">
      <alignment vertical="center"/>
    </xf>
    <xf numFmtId="3" fontId="41" fillId="5" borderId="6" xfId="2" quotePrefix="1" applyNumberFormat="1" applyFont="1" applyFill="1" applyBorder="1" applyAlignment="1">
      <alignment vertical="center"/>
    </xf>
    <xf numFmtId="2" fontId="42" fillId="5" borderId="0" xfId="2" applyNumberFormat="1" applyFont="1" applyFill="1" applyAlignment="1">
      <alignment vertical="center" wrapText="1"/>
    </xf>
    <xf numFmtId="3" fontId="48" fillId="5" borderId="1" xfId="2" applyNumberFormat="1" applyFont="1" applyFill="1" applyBorder="1" applyAlignment="1">
      <alignment vertical="center"/>
    </xf>
    <xf numFmtId="3" fontId="48" fillId="5" borderId="6" xfId="2" applyNumberFormat="1" applyFont="1" applyFill="1" applyBorder="1" applyAlignment="1">
      <alignment vertical="center"/>
    </xf>
    <xf numFmtId="0" fontId="29" fillId="5" borderId="1" xfId="2" applyFont="1" applyFill="1" applyBorder="1" applyAlignment="1">
      <alignment vertical="center"/>
    </xf>
    <xf numFmtId="0" fontId="25" fillId="5" borderId="1" xfId="2" quotePrefix="1" applyFont="1" applyFill="1" applyBorder="1" applyAlignment="1">
      <alignment vertical="center" wrapText="1"/>
    </xf>
    <xf numFmtId="0" fontId="51" fillId="5" borderId="1" xfId="2" applyFont="1" applyFill="1" applyBorder="1" applyAlignment="1">
      <alignment horizontal="center" vertical="center" wrapText="1" shrinkToFit="1"/>
    </xf>
    <xf numFmtId="0" fontId="51" fillId="5" borderId="1" xfId="2" applyFont="1" applyFill="1" applyBorder="1" applyAlignment="1">
      <alignment vertical="center" wrapText="1" shrinkToFit="1"/>
    </xf>
    <xf numFmtId="3" fontId="51" fillId="5" borderId="1" xfId="2" applyNumberFormat="1" applyFont="1" applyFill="1" applyBorder="1" applyAlignment="1">
      <alignment vertical="center" wrapText="1" shrinkToFit="1"/>
    </xf>
    <xf numFmtId="3" fontId="51" fillId="5" borderId="1" xfId="2" applyNumberFormat="1" applyFont="1" applyFill="1" applyBorder="1" applyAlignment="1">
      <alignment horizontal="right" vertical="center" wrapText="1" shrinkToFit="1"/>
    </xf>
    <xf numFmtId="3" fontId="51" fillId="5" borderId="6" xfId="2" applyNumberFormat="1" applyFont="1" applyFill="1" applyBorder="1" applyAlignment="1">
      <alignment vertical="center" wrapText="1" shrinkToFit="1"/>
    </xf>
    <xf numFmtId="3" fontId="51" fillId="5" borderId="6" xfId="2" applyNumberFormat="1" applyFont="1" applyFill="1" applyBorder="1" applyAlignment="1">
      <alignment horizontal="right" vertical="center" wrapText="1" shrinkToFit="1"/>
    </xf>
    <xf numFmtId="0" fontId="21" fillId="5" borderId="1" xfId="2" applyFill="1" applyBorder="1"/>
    <xf numFmtId="0" fontId="91" fillId="5" borderId="1" xfId="2" applyFont="1" applyFill="1" applyBorder="1"/>
    <xf numFmtId="0" fontId="21" fillId="5" borderId="0" xfId="2" applyFill="1"/>
    <xf numFmtId="3" fontId="41" fillId="5" borderId="1" xfId="2" quotePrefix="1" applyNumberFormat="1" applyFont="1" applyFill="1" applyBorder="1" applyAlignment="1">
      <alignment vertical="center" wrapText="1"/>
    </xf>
    <xf numFmtId="3" fontId="41" fillId="5" borderId="6" xfId="2" quotePrefix="1" applyNumberFormat="1" applyFont="1" applyFill="1" applyBorder="1" applyAlignment="1">
      <alignment vertical="center" wrapText="1"/>
    </xf>
    <xf numFmtId="3" fontId="42" fillId="5" borderId="6" xfId="2" applyNumberFormat="1" applyFont="1" applyFill="1" applyBorder="1" applyAlignment="1">
      <alignment vertical="center"/>
    </xf>
    <xf numFmtId="0" fontId="51" fillId="5" borderId="1" xfId="2" applyFont="1" applyFill="1" applyBorder="1" applyAlignment="1">
      <alignment horizontal="center" vertical="center"/>
    </xf>
    <xf numFmtId="0" fontId="52" fillId="5" borderId="1" xfId="2" applyFont="1" applyFill="1" applyBorder="1" applyAlignment="1">
      <alignment vertical="center" wrapText="1"/>
    </xf>
    <xf numFmtId="3" fontId="51" fillId="5" borderId="1" xfId="2" applyNumberFormat="1" applyFont="1" applyFill="1" applyBorder="1" applyAlignment="1">
      <alignment vertical="center"/>
    </xf>
    <xf numFmtId="3" fontId="51" fillId="5" borderId="1" xfId="2" applyNumberFormat="1" applyFont="1" applyFill="1" applyBorder="1" applyAlignment="1">
      <alignment horizontal="right" vertical="center"/>
    </xf>
    <xf numFmtId="3" fontId="51" fillId="5" borderId="6" xfId="2" applyNumberFormat="1" applyFont="1" applyFill="1" applyBorder="1" applyAlignment="1">
      <alignment vertical="center"/>
    </xf>
    <xf numFmtId="3" fontId="51" fillId="5" borderId="6" xfId="2" applyNumberFormat="1" applyFont="1" applyFill="1" applyBorder="1" applyAlignment="1">
      <alignment horizontal="right" vertical="center"/>
    </xf>
    <xf numFmtId="0" fontId="62" fillId="5" borderId="6" xfId="2" applyFont="1" applyFill="1" applyBorder="1"/>
    <xf numFmtId="0" fontId="48" fillId="5" borderId="1" xfId="2" applyFont="1" applyFill="1" applyBorder="1" applyAlignment="1">
      <alignment vertical="center" wrapText="1"/>
    </xf>
    <xf numFmtId="0" fontId="25" fillId="5" borderId="1" xfId="2" applyFont="1" applyFill="1" applyBorder="1" applyAlignment="1">
      <alignment horizontal="center"/>
    </xf>
    <xf numFmtId="3" fontId="25" fillId="5" borderId="1" xfId="2" applyNumberFormat="1" applyFont="1" applyFill="1" applyBorder="1"/>
    <xf numFmtId="3" fontId="25" fillId="5" borderId="1" xfId="2" applyNumberFormat="1" applyFont="1" applyFill="1" applyBorder="1" applyAlignment="1">
      <alignment wrapText="1"/>
    </xf>
    <xf numFmtId="167" fontId="30" fillId="5" borderId="0" xfId="2" applyNumberFormat="1" applyFont="1" applyFill="1" applyAlignment="1">
      <alignment vertical="center"/>
    </xf>
    <xf numFmtId="0" fontId="32" fillId="5" borderId="6" xfId="2" applyFont="1" applyFill="1" applyBorder="1"/>
    <xf numFmtId="3" fontId="30" fillId="5" borderId="6" xfId="2" applyNumberFormat="1" applyFont="1" applyFill="1" applyBorder="1" applyAlignment="1">
      <alignment vertical="center"/>
    </xf>
    <xf numFmtId="3" fontId="28" fillId="5" borderId="1" xfId="2" applyNumberFormat="1" applyFont="1" applyFill="1" applyBorder="1"/>
    <xf numFmtId="3" fontId="28" fillId="5" borderId="1" xfId="2" applyNumberFormat="1" applyFont="1" applyFill="1" applyBorder="1" applyAlignment="1">
      <alignment wrapText="1"/>
    </xf>
    <xf numFmtId="3" fontId="28" fillId="5" borderId="6" xfId="2" applyNumberFormat="1" applyFont="1" applyFill="1" applyBorder="1"/>
    <xf numFmtId="3" fontId="41" fillId="5" borderId="6" xfId="2" applyNumberFormat="1" applyFont="1" applyFill="1" applyBorder="1" applyAlignment="1">
      <alignment horizontal="right" vertical="center" wrapText="1"/>
    </xf>
    <xf numFmtId="0" fontId="90" fillId="5" borderId="1" xfId="2" applyFont="1" applyFill="1" applyBorder="1" applyAlignment="1">
      <alignment horizontal="justify" vertical="center" wrapText="1"/>
    </xf>
    <xf numFmtId="167" fontId="42" fillId="5" borderId="0" xfId="2" applyNumberFormat="1" applyFont="1" applyFill="1" applyAlignment="1">
      <alignment vertical="center"/>
    </xf>
    <xf numFmtId="3" fontId="42" fillId="5" borderId="0" xfId="2" applyNumberFormat="1" applyFont="1" applyFill="1" applyAlignment="1">
      <alignment vertical="center"/>
    </xf>
    <xf numFmtId="0" fontId="41" fillId="5" borderId="1" xfId="2" quotePrefix="1" applyFont="1" applyFill="1" applyBorder="1" applyAlignment="1">
      <alignment wrapText="1"/>
    </xf>
    <xf numFmtId="0" fontId="90" fillId="5" borderId="1" xfId="2" quotePrefix="1" applyFont="1" applyFill="1" applyBorder="1" applyAlignment="1">
      <alignment horizontal="justify" vertical="center" wrapText="1"/>
    </xf>
    <xf numFmtId="3" fontId="53" fillId="5" borderId="6" xfId="2" applyNumberFormat="1" applyFont="1" applyFill="1" applyBorder="1" applyAlignment="1">
      <alignment vertical="center"/>
    </xf>
    <xf numFmtId="3" fontId="55" fillId="5" borderId="6" xfId="2" applyNumberFormat="1" applyFont="1" applyFill="1" applyBorder="1" applyAlignment="1">
      <alignment vertical="center"/>
    </xf>
    <xf numFmtId="4" fontId="42" fillId="5" borderId="6" xfId="2" applyNumberFormat="1" applyFont="1" applyFill="1" applyBorder="1"/>
    <xf numFmtId="3" fontId="51" fillId="5" borderId="1" xfId="2" applyNumberFormat="1" applyFont="1" applyFill="1" applyBorder="1" applyAlignment="1">
      <alignment horizontal="right" vertical="center" wrapText="1"/>
    </xf>
    <xf numFmtId="0" fontId="45" fillId="5" borderId="1" xfId="2" quotePrefix="1" applyFont="1" applyFill="1" applyBorder="1" applyAlignment="1">
      <alignment vertical="center" wrapText="1"/>
    </xf>
    <xf numFmtId="0" fontId="31" fillId="5" borderId="1" xfId="2" applyFont="1" applyFill="1" applyBorder="1" applyAlignment="1">
      <alignment horizontal="center"/>
    </xf>
    <xf numFmtId="0" fontId="33" fillId="5" borderId="1" xfId="2" applyFont="1" applyFill="1" applyBorder="1" applyAlignment="1">
      <alignment wrapText="1"/>
    </xf>
    <xf numFmtId="0" fontId="32" fillId="5" borderId="1" xfId="2" applyFont="1" applyFill="1" applyBorder="1" applyAlignment="1">
      <alignment horizontal="center"/>
    </xf>
    <xf numFmtId="3" fontId="35" fillId="5" borderId="1" xfId="2" applyNumberFormat="1" applyFont="1" applyFill="1" applyBorder="1"/>
    <xf numFmtId="0" fontId="31" fillId="5" borderId="1" xfId="2" quotePrefix="1" applyFont="1" applyFill="1" applyBorder="1" applyAlignment="1">
      <alignment horizontal="center" vertical="center" wrapText="1"/>
    </xf>
    <xf numFmtId="172" fontId="35" fillId="5" borderId="1" xfId="2" applyNumberFormat="1" applyFont="1" applyFill="1" applyBorder="1" applyAlignment="1">
      <alignment vertical="center" wrapText="1"/>
    </xf>
    <xf numFmtId="170" fontId="35" fillId="5" borderId="1" xfId="2" applyNumberFormat="1" applyFont="1" applyFill="1" applyBorder="1" applyAlignment="1">
      <alignment vertical="center" wrapText="1"/>
    </xf>
    <xf numFmtId="3" fontId="39" fillId="5" borderId="1" xfId="2" applyNumberFormat="1" applyFont="1" applyFill="1" applyBorder="1"/>
    <xf numFmtId="3" fontId="39" fillId="5" borderId="1" xfId="2" applyNumberFormat="1" applyFont="1" applyFill="1" applyBorder="1" applyAlignment="1">
      <alignment wrapText="1"/>
    </xf>
    <xf numFmtId="3" fontId="38" fillId="5" borderId="6" xfId="2" applyNumberFormat="1" applyFont="1" applyFill="1" applyBorder="1"/>
    <xf numFmtId="0" fontId="35" fillId="5" borderId="6" xfId="2" applyFont="1" applyFill="1" applyBorder="1" applyAlignment="1">
      <alignment vertical="center"/>
    </xf>
    <xf numFmtId="3" fontId="44" fillId="5" borderId="6" xfId="2" applyNumberFormat="1" applyFont="1" applyFill="1" applyBorder="1" applyAlignment="1">
      <alignment vertical="center" wrapText="1"/>
    </xf>
    <xf numFmtId="3" fontId="45" fillId="5" borderId="7" xfId="2" applyNumberFormat="1" applyFont="1" applyFill="1" applyBorder="1" applyAlignment="1">
      <alignment vertical="center" wrapText="1"/>
    </xf>
    <xf numFmtId="3" fontId="41" fillId="5" borderId="7" xfId="2" applyNumberFormat="1" applyFont="1" applyFill="1" applyBorder="1" applyAlignment="1">
      <alignment vertical="center" wrapText="1"/>
    </xf>
    <xf numFmtId="3" fontId="29" fillId="5" borderId="7" xfId="2" applyNumberFormat="1" applyFont="1" applyFill="1" applyBorder="1" applyAlignment="1">
      <alignment vertical="center" wrapText="1"/>
    </xf>
    <xf numFmtId="167" fontId="42" fillId="5" borderId="6" xfId="2" applyNumberFormat="1" applyFont="1" applyFill="1" applyBorder="1" applyAlignment="1">
      <alignment vertical="center" wrapText="1"/>
    </xf>
    <xf numFmtId="4" fontId="42" fillId="5" borderId="6" xfId="2" applyNumberFormat="1" applyFont="1" applyFill="1" applyBorder="1" applyAlignment="1">
      <alignment vertical="center" wrapText="1"/>
    </xf>
    <xf numFmtId="0" fontId="25" fillId="5" borderId="1" xfId="2" applyFont="1" applyFill="1" applyBorder="1" applyAlignment="1">
      <alignment horizontal="justify" vertical="center" wrapText="1"/>
    </xf>
    <xf numFmtId="3" fontId="26" fillId="5" borderId="6" xfId="2" applyNumberFormat="1" applyFont="1" applyFill="1" applyBorder="1" applyAlignment="1">
      <alignment vertical="center"/>
    </xf>
    <xf numFmtId="0" fontId="29" fillId="5" borderId="1" xfId="2" quotePrefix="1" applyFont="1" applyFill="1" applyBorder="1" applyAlignment="1">
      <alignment horizontal="center" vertical="center"/>
    </xf>
    <xf numFmtId="3" fontId="31" fillId="5" borderId="6" xfId="2" applyNumberFormat="1" applyFont="1" applyFill="1" applyBorder="1" applyAlignment="1">
      <alignment horizontal="center" vertical="center"/>
    </xf>
    <xf numFmtId="0" fontId="43" fillId="5" borderId="1" xfId="2" applyFont="1" applyFill="1" applyBorder="1" applyAlignment="1">
      <alignment vertical="center" wrapText="1"/>
    </xf>
    <xf numFmtId="0" fontId="37" fillId="5" borderId="6" xfId="2" applyFont="1" applyFill="1" applyBorder="1"/>
    <xf numFmtId="3" fontId="31" fillId="5" borderId="1" xfId="2" applyNumberFormat="1" applyFont="1" applyFill="1" applyBorder="1" applyAlignment="1">
      <alignment horizontal="right" vertical="center"/>
    </xf>
    <xf numFmtId="167" fontId="30" fillId="5" borderId="0" xfId="2" applyNumberFormat="1" applyFont="1" applyFill="1" applyAlignment="1">
      <alignment horizontal="center" vertical="center" wrapText="1"/>
    </xf>
    <xf numFmtId="3" fontId="30" fillId="5" borderId="0" xfId="2" applyNumberFormat="1" applyFont="1" applyFill="1" applyAlignment="1">
      <alignment horizontal="center" vertical="center" wrapText="1"/>
    </xf>
    <xf numFmtId="0" fontId="30" fillId="5" borderId="0" xfId="2" applyFont="1" applyFill="1" applyAlignment="1">
      <alignment horizontal="center" vertical="center" wrapText="1"/>
    </xf>
    <xf numFmtId="4" fontId="26" fillId="5" borderId="6" xfId="2" applyNumberFormat="1" applyFont="1" applyFill="1" applyBorder="1"/>
    <xf numFmtId="3" fontId="41" fillId="5" borderId="0" xfId="2" applyNumberFormat="1" applyFont="1" applyFill="1" applyAlignment="1">
      <alignment horizontal="right" vertical="center" wrapText="1"/>
    </xf>
    <xf numFmtId="3" fontId="35" fillId="5" borderId="8" xfId="2" applyNumberFormat="1" applyFont="1" applyFill="1" applyBorder="1" applyAlignment="1">
      <alignment vertical="center" wrapText="1"/>
    </xf>
    <xf numFmtId="3" fontId="34" fillId="5" borderId="8" xfId="2" applyNumberFormat="1" applyFont="1" applyFill="1" applyBorder="1" applyAlignment="1">
      <alignment vertical="center" wrapText="1"/>
    </xf>
    <xf numFmtId="3" fontId="40" fillId="5" borderId="8" xfId="2" applyNumberFormat="1" applyFont="1" applyFill="1" applyBorder="1" applyAlignment="1">
      <alignment vertical="center" wrapText="1"/>
    </xf>
    <xf numFmtId="0" fontId="35" fillId="5" borderId="8" xfId="2" applyFont="1" applyFill="1" applyBorder="1" applyAlignment="1">
      <alignment vertical="center" wrapText="1"/>
    </xf>
    <xf numFmtId="167" fontId="36" fillId="5" borderId="0" xfId="2" applyNumberFormat="1" applyFont="1" applyFill="1" applyAlignment="1">
      <alignment horizontal="center" vertical="center" wrapText="1"/>
    </xf>
    <xf numFmtId="3" fontId="25" fillId="5" borderId="8" xfId="2" applyNumberFormat="1" applyFont="1" applyFill="1" applyBorder="1" applyAlignment="1">
      <alignment vertical="center" wrapText="1"/>
    </xf>
    <xf numFmtId="3" fontId="26" fillId="5" borderId="8" xfId="2" applyNumberFormat="1" applyFont="1" applyFill="1" applyBorder="1" applyAlignment="1">
      <alignment vertical="center" wrapText="1"/>
    </xf>
    <xf numFmtId="3" fontId="24" fillId="5" borderId="8" xfId="2" applyNumberFormat="1" applyFont="1" applyFill="1" applyBorder="1" applyAlignment="1">
      <alignment vertical="center" wrapText="1"/>
    </xf>
    <xf numFmtId="0" fontId="25" fillId="5" borderId="8" xfId="2" applyFont="1" applyFill="1" applyBorder="1" applyAlignment="1">
      <alignment vertical="center" wrapText="1"/>
    </xf>
    <xf numFmtId="3" fontId="23" fillId="5" borderId="8" xfId="2" applyNumberFormat="1" applyFont="1" applyFill="1" applyBorder="1" applyAlignment="1">
      <alignment vertical="center" wrapText="1"/>
    </xf>
    <xf numFmtId="3" fontId="25" fillId="5" borderId="8" xfId="2" applyNumberFormat="1" applyFont="1" applyFill="1" applyBorder="1" applyAlignment="1">
      <alignment horizontal="left" vertical="center" wrapText="1"/>
    </xf>
    <xf numFmtId="3" fontId="26" fillId="5" borderId="8" xfId="2" applyNumberFormat="1" applyFont="1" applyFill="1" applyBorder="1" applyAlignment="1">
      <alignment horizontal="center" vertical="center" wrapText="1"/>
    </xf>
    <xf numFmtId="0" fontId="23" fillId="5" borderId="8" xfId="2" applyFont="1" applyFill="1" applyBorder="1" applyAlignment="1">
      <alignment horizontal="center" vertical="center" wrapText="1"/>
    </xf>
    <xf numFmtId="3" fontId="29" fillId="5" borderId="0" xfId="2" applyNumberFormat="1" applyFont="1" applyFill="1" applyAlignment="1">
      <alignment horizontal="center" vertical="center" wrapText="1"/>
    </xf>
    <xf numFmtId="3" fontId="23" fillId="5" borderId="12" xfId="2" applyNumberFormat="1" applyFont="1" applyFill="1" applyBorder="1" applyAlignment="1">
      <alignment vertical="center" wrapText="1"/>
    </xf>
    <xf numFmtId="3" fontId="29" fillId="5" borderId="12" xfId="2" applyNumberFormat="1" applyFont="1" applyFill="1" applyBorder="1" applyAlignment="1">
      <alignment horizontal="center" vertical="center" wrapText="1"/>
    </xf>
    <xf numFmtId="3" fontId="29" fillId="5" borderId="1" xfId="2" applyNumberFormat="1" applyFont="1" applyFill="1" applyBorder="1" applyAlignment="1">
      <alignment horizontal="center" vertical="center" wrapText="1"/>
    </xf>
    <xf numFmtId="3" fontId="29" fillId="5" borderId="1" xfId="2" applyNumberFormat="1" applyFont="1" applyFill="1" applyBorder="1" applyAlignment="1">
      <alignment horizontal="right" vertical="center" wrapText="1"/>
    </xf>
    <xf numFmtId="167" fontId="63" fillId="5" borderId="0" xfId="2" applyNumberFormat="1" applyFont="1" applyFill="1"/>
    <xf numFmtId="3" fontId="63" fillId="5" borderId="0" xfId="2" applyNumberFormat="1" applyFont="1" applyFill="1"/>
    <xf numFmtId="0" fontId="63" fillId="5" borderId="0" xfId="2" applyFont="1" applyFill="1"/>
    <xf numFmtId="0" fontId="25" fillId="5" borderId="0" xfId="2" applyFont="1" applyFill="1" applyAlignment="1">
      <alignment vertical="center"/>
    </xf>
    <xf numFmtId="0" fontId="23" fillId="5" borderId="1" xfId="0" applyFont="1" applyFill="1" applyBorder="1" applyAlignment="1">
      <alignment vertical="center"/>
    </xf>
    <xf numFmtId="169" fontId="23" fillId="5" borderId="1" xfId="1" applyNumberFormat="1" applyFont="1" applyFill="1" applyBorder="1" applyAlignment="1">
      <alignment vertical="center"/>
    </xf>
    <xf numFmtId="0" fontId="23" fillId="5" borderId="1" xfId="0" applyFont="1" applyFill="1" applyBorder="1" applyAlignment="1">
      <alignment horizontal="center" vertical="center" wrapText="1"/>
    </xf>
    <xf numFmtId="169" fontId="23" fillId="5" borderId="1" xfId="1" applyNumberFormat="1" applyFont="1" applyFill="1" applyBorder="1" applyAlignment="1">
      <alignment horizontal="center" vertical="center" wrapText="1"/>
    </xf>
    <xf numFmtId="0" fontId="89" fillId="5" borderId="0" xfId="0" applyFont="1" applyFill="1" applyAlignment="1">
      <alignment horizontal="center" vertical="center"/>
    </xf>
    <xf numFmtId="0" fontId="94" fillId="5" borderId="0" xfId="0" applyFont="1" applyFill="1" applyAlignment="1">
      <alignment horizontal="right" vertical="center"/>
    </xf>
    <xf numFmtId="0" fontId="23" fillId="5" borderId="1" xfId="0" applyFont="1" applyFill="1" applyBorder="1" applyAlignment="1">
      <alignment horizontal="center" vertical="center"/>
    </xf>
    <xf numFmtId="3" fontId="117" fillId="5" borderId="1" xfId="2" applyNumberFormat="1" applyFont="1" applyFill="1" applyBorder="1" applyAlignment="1">
      <alignment vertical="center" wrapText="1"/>
    </xf>
    <xf numFmtId="0" fontId="25" fillId="6" borderId="1" xfId="2" quotePrefix="1" applyFont="1" applyFill="1" applyBorder="1" applyAlignment="1">
      <alignment horizontal="center" vertical="center" wrapText="1"/>
    </xf>
    <xf numFmtId="0" fontId="25" fillId="6" borderId="1" xfId="2" applyFont="1" applyFill="1" applyBorder="1" applyAlignment="1">
      <alignment vertical="center" wrapText="1"/>
    </xf>
    <xf numFmtId="0" fontId="41" fillId="6" borderId="1" xfId="2" applyFont="1" applyFill="1" applyBorder="1" applyAlignment="1">
      <alignment horizontal="center" vertical="center" wrapText="1"/>
    </xf>
    <xf numFmtId="3" fontId="41" fillId="6" borderId="1" xfId="2" applyNumberFormat="1" applyFont="1" applyFill="1" applyBorder="1" applyAlignment="1">
      <alignment vertical="center" wrapText="1"/>
    </xf>
    <xf numFmtId="3" fontId="25" fillId="6" borderId="1" xfId="2" applyNumberFormat="1" applyFont="1" applyFill="1" applyBorder="1" applyAlignment="1">
      <alignment vertical="center" wrapText="1"/>
    </xf>
    <xf numFmtId="3" fontId="25" fillId="6" borderId="6" xfId="2" applyNumberFormat="1" applyFont="1" applyFill="1" applyBorder="1" applyAlignment="1">
      <alignment vertical="center" wrapText="1"/>
    </xf>
    <xf numFmtId="3" fontId="41" fillId="6" borderId="6" xfId="2" applyNumberFormat="1" applyFont="1" applyFill="1" applyBorder="1" applyAlignment="1">
      <alignment vertical="center" wrapText="1"/>
    </xf>
    <xf numFmtId="3" fontId="24" fillId="6" borderId="6" xfId="2" applyNumberFormat="1" applyFont="1" applyFill="1" applyBorder="1" applyAlignment="1">
      <alignment vertical="center" wrapText="1"/>
    </xf>
    <xf numFmtId="0" fontId="25" fillId="6" borderId="6" xfId="2" applyFont="1" applyFill="1" applyBorder="1" applyAlignment="1">
      <alignment vertical="center" wrapText="1"/>
    </xf>
    <xf numFmtId="3" fontId="25" fillId="6" borderId="0" xfId="2" applyNumberFormat="1" applyFont="1" applyFill="1" applyAlignment="1">
      <alignment vertical="center" wrapText="1"/>
    </xf>
    <xf numFmtId="167" fontId="24" fillId="6" borderId="0" xfId="2" applyNumberFormat="1" applyFont="1" applyFill="1"/>
    <xf numFmtId="3" fontId="24" fillId="6" borderId="0" xfId="2" applyNumberFormat="1" applyFont="1" applyFill="1"/>
    <xf numFmtId="0" fontId="24" fillId="6" borderId="0" xfId="2" applyFont="1" applyFill="1"/>
    <xf numFmtId="0" fontId="30" fillId="6" borderId="0" xfId="2" applyFont="1" applyFill="1" applyAlignment="1">
      <alignment vertical="center" wrapText="1"/>
    </xf>
    <xf numFmtId="0" fontId="25" fillId="6" borderId="1" xfId="2" quotePrefix="1" applyFont="1" applyFill="1" applyBorder="1" applyAlignment="1">
      <alignment horizontal="center" vertical="center"/>
    </xf>
    <xf numFmtId="0" fontId="25" fillId="6" borderId="1" xfId="2" applyFont="1" applyFill="1" applyBorder="1" applyAlignment="1">
      <alignment horizontal="center" vertical="center"/>
    </xf>
    <xf numFmtId="3" fontId="25" fillId="6" borderId="1" xfId="2" applyNumberFormat="1" applyFont="1" applyFill="1" applyBorder="1" applyAlignment="1">
      <alignment vertical="center"/>
    </xf>
    <xf numFmtId="3" fontId="98" fillId="6" borderId="1" xfId="2" applyNumberFormat="1" applyFont="1" applyFill="1" applyBorder="1" applyAlignment="1">
      <alignment vertical="center" wrapText="1"/>
    </xf>
    <xf numFmtId="3" fontId="25" fillId="6" borderId="6" xfId="2" applyNumberFormat="1" applyFont="1" applyFill="1" applyBorder="1" applyAlignment="1">
      <alignment vertical="center"/>
    </xf>
    <xf numFmtId="3" fontId="42" fillId="6" borderId="6" xfId="2" applyNumberFormat="1" applyFont="1" applyFill="1" applyBorder="1"/>
    <xf numFmtId="3" fontId="30" fillId="6" borderId="6" xfId="2" applyNumberFormat="1" applyFont="1" applyFill="1" applyBorder="1" applyAlignment="1">
      <alignment horizontal="center"/>
    </xf>
    <xf numFmtId="3" fontId="29" fillId="6" borderId="6" xfId="2" applyNumberFormat="1" applyFont="1" applyFill="1" applyBorder="1" applyAlignment="1">
      <alignment horizontal="center"/>
    </xf>
    <xf numFmtId="3" fontId="28" fillId="6" borderId="0" xfId="2" applyNumberFormat="1" applyFont="1" applyFill="1" applyAlignment="1">
      <alignment vertical="center" wrapText="1"/>
    </xf>
    <xf numFmtId="167" fontId="30" fillId="6" borderId="0" xfId="2" applyNumberFormat="1" applyFont="1" applyFill="1"/>
    <xf numFmtId="167" fontId="42" fillId="6" borderId="0" xfId="2" applyNumberFormat="1" applyFont="1" applyFill="1"/>
    <xf numFmtId="3" fontId="42" fillId="6" borderId="0" xfId="2" applyNumberFormat="1" applyFont="1" applyFill="1"/>
    <xf numFmtId="0" fontId="42" fillId="6" borderId="0" xfId="2" applyFont="1" applyFill="1"/>
    <xf numFmtId="0" fontId="31" fillId="6" borderId="1" xfId="2" applyFont="1" applyFill="1" applyBorder="1" applyAlignment="1">
      <alignment horizontal="center" vertical="center" wrapText="1"/>
    </xf>
    <xf numFmtId="3" fontId="31" fillId="6" borderId="1" xfId="2" applyNumberFormat="1" applyFont="1" applyFill="1" applyBorder="1" applyAlignment="1">
      <alignment vertical="center" wrapText="1"/>
    </xf>
    <xf numFmtId="3" fontId="31" fillId="6" borderId="1" xfId="2" applyNumberFormat="1" applyFont="1" applyFill="1" applyBorder="1" applyAlignment="1">
      <alignment horizontal="left" vertical="center" wrapText="1"/>
    </xf>
    <xf numFmtId="3" fontId="31" fillId="6" borderId="0" xfId="2" applyNumberFormat="1" applyFont="1" applyFill="1" applyAlignment="1">
      <alignment vertical="center" wrapText="1"/>
    </xf>
    <xf numFmtId="3" fontId="31" fillId="6" borderId="0" xfId="2" applyNumberFormat="1" applyFont="1" applyFill="1" applyAlignment="1">
      <alignment horizontal="left" vertical="center" wrapText="1"/>
    </xf>
    <xf numFmtId="3" fontId="34" fillId="6" borderId="0" xfId="2" applyNumberFormat="1" applyFont="1" applyFill="1"/>
    <xf numFmtId="0" fontId="31" fillId="6" borderId="0" xfId="2" applyFont="1" applyFill="1"/>
    <xf numFmtId="3" fontId="45" fillId="6" borderId="0" xfId="2" applyNumberFormat="1" applyFont="1" applyFill="1"/>
    <xf numFmtId="167" fontId="40" fillId="6" borderId="0" xfId="2" applyNumberFormat="1" applyFont="1" applyFill="1"/>
    <xf numFmtId="167" fontId="44" fillId="6" borderId="0" xfId="2" applyNumberFormat="1" applyFont="1" applyFill="1"/>
    <xf numFmtId="3" fontId="44" fillId="6" borderId="0" xfId="2" applyNumberFormat="1" applyFont="1" applyFill="1"/>
    <xf numFmtId="0" fontId="44" fillId="6" borderId="0" xfId="2" applyFont="1" applyFill="1"/>
    <xf numFmtId="0" fontId="35" fillId="6" borderId="1" xfId="2" quotePrefix="1" applyFont="1" applyFill="1" applyBorder="1" applyAlignment="1">
      <alignment horizontal="center" vertical="center" wrapText="1"/>
    </xf>
    <xf numFmtId="0" fontId="35" fillId="6" borderId="1" xfId="2" applyFont="1" applyFill="1" applyBorder="1" applyAlignment="1">
      <alignment vertical="center" wrapText="1"/>
    </xf>
    <xf numFmtId="0" fontId="35" fillId="6" borderId="1" xfId="2" applyFont="1" applyFill="1" applyBorder="1" applyAlignment="1">
      <alignment horizontal="center" vertical="center" wrapText="1"/>
    </xf>
    <xf numFmtId="3" fontId="35" fillId="6" borderId="1" xfId="2" applyNumberFormat="1" applyFont="1" applyFill="1" applyBorder="1" applyAlignment="1">
      <alignment vertical="center" wrapText="1"/>
    </xf>
    <xf numFmtId="3" fontId="24" fillId="6" borderId="6" xfId="2" applyNumberFormat="1" applyFont="1" applyFill="1" applyBorder="1"/>
    <xf numFmtId="0" fontId="25" fillId="6" borderId="6" xfId="2" applyFont="1" applyFill="1" applyBorder="1"/>
    <xf numFmtId="3" fontId="41" fillId="6" borderId="1" xfId="2" quotePrefix="1" applyNumberFormat="1" applyFont="1" applyFill="1" applyBorder="1" applyAlignment="1">
      <alignment vertical="center"/>
    </xf>
    <xf numFmtId="3" fontId="41" fillId="6" borderId="6" xfId="2" quotePrefix="1" applyNumberFormat="1" applyFont="1" applyFill="1" applyBorder="1" applyAlignment="1">
      <alignment vertical="center"/>
    </xf>
    <xf numFmtId="3" fontId="30" fillId="6" borderId="6" xfId="2" applyNumberFormat="1" applyFont="1" applyFill="1" applyBorder="1"/>
    <xf numFmtId="3" fontId="23" fillId="6" borderId="0" xfId="2" applyNumberFormat="1" applyFont="1" applyFill="1"/>
    <xf numFmtId="167" fontId="42" fillId="6" borderId="0" xfId="2" applyNumberFormat="1" applyFont="1" applyFill="1" applyAlignment="1">
      <alignment vertical="center" wrapText="1"/>
    </xf>
    <xf numFmtId="3" fontId="42" fillId="6" borderId="0" xfId="2" applyNumberFormat="1" applyFont="1" applyFill="1" applyAlignment="1">
      <alignment vertical="center" wrapText="1"/>
    </xf>
    <xf numFmtId="0" fontId="42" fillId="6" borderId="0" xfId="2" applyFont="1" applyFill="1" applyAlignment="1">
      <alignment vertical="center" wrapText="1"/>
    </xf>
    <xf numFmtId="0" fontId="41" fillId="6" borderId="6" xfId="2" applyFont="1" applyFill="1" applyBorder="1"/>
    <xf numFmtId="3" fontId="41" fillId="6" borderId="0" xfId="2" applyNumberFormat="1" applyFont="1" applyFill="1" applyAlignment="1">
      <alignment vertical="center" wrapText="1"/>
    </xf>
    <xf numFmtId="0" fontId="23" fillId="5" borderId="0" xfId="0" applyFont="1" applyFill="1" applyAlignment="1">
      <alignment horizontal="center" vertical="center" wrapText="1"/>
    </xf>
    <xf numFmtId="0" fontId="101" fillId="5" borderId="1" xfId="0" applyFont="1" applyFill="1" applyBorder="1" applyAlignment="1">
      <alignment horizontal="center" vertical="center" wrapText="1"/>
    </xf>
    <xf numFmtId="0" fontId="41" fillId="5" borderId="1" xfId="0" applyFont="1" applyFill="1" applyBorder="1" applyAlignment="1">
      <alignment horizontal="center" vertical="center" wrapText="1"/>
    </xf>
    <xf numFmtId="169" fontId="102" fillId="5" borderId="1" xfId="1" applyNumberFormat="1" applyFont="1" applyFill="1" applyBorder="1" applyAlignment="1">
      <alignment horizontal="right" vertical="center" wrapText="1"/>
    </xf>
    <xf numFmtId="169" fontId="118" fillId="0" borderId="1" xfId="0" applyNumberFormat="1" applyFont="1" applyBorder="1" applyAlignment="1">
      <alignment horizontal="center" vertical="center" wrapText="1"/>
    </xf>
    <xf numFmtId="0" fontId="118" fillId="0" borderId="1" xfId="0" applyFont="1" applyBorder="1" applyAlignment="1">
      <alignment vertical="center"/>
    </xf>
    <xf numFmtId="169" fontId="102" fillId="0" borderId="1" xfId="1" applyNumberFormat="1" applyFont="1" applyFill="1" applyBorder="1" applyAlignment="1">
      <alignment horizontal="right" vertical="center" wrapText="1"/>
    </xf>
    <xf numFmtId="3" fontId="25" fillId="0" borderId="1" xfId="0" applyNumberFormat="1" applyFont="1" applyBorder="1" applyAlignment="1">
      <alignment horizontal="right" vertical="center" wrapText="1" shrinkToFit="1"/>
    </xf>
    <xf numFmtId="169" fontId="90" fillId="0" borderId="1" xfId="0" applyNumberFormat="1" applyFont="1" applyBorder="1" applyAlignment="1">
      <alignment horizontal="center" vertical="center" wrapText="1"/>
    </xf>
    <xf numFmtId="0" fontId="90" fillId="0" borderId="1" xfId="0" applyFont="1" applyBorder="1" applyAlignment="1">
      <alignment vertical="center"/>
    </xf>
    <xf numFmtId="0" fontId="102" fillId="5" borderId="1" xfId="0" applyFont="1" applyFill="1" applyBorder="1" applyAlignment="1">
      <alignment horizontal="right" vertical="center" wrapText="1"/>
    </xf>
    <xf numFmtId="0" fontId="102" fillId="0" borderId="1" xfId="0" applyFont="1" applyBorder="1" applyAlignment="1">
      <alignment horizontal="right" vertical="center" wrapText="1"/>
    </xf>
    <xf numFmtId="0" fontId="119" fillId="5" borderId="1" xfId="0" applyFont="1" applyFill="1" applyBorder="1" applyAlignment="1">
      <alignment horizontal="right" vertical="center" wrapText="1"/>
    </xf>
    <xf numFmtId="169" fontId="41" fillId="7" borderId="1" xfId="1" applyNumberFormat="1" applyFont="1" applyFill="1" applyBorder="1" applyAlignment="1">
      <alignment horizontal="center" vertical="center"/>
    </xf>
    <xf numFmtId="169" fontId="31" fillId="7" borderId="1" xfId="1" applyNumberFormat="1" applyFont="1" applyFill="1" applyBorder="1" applyAlignment="1">
      <alignment horizontal="right" vertical="center" wrapText="1"/>
    </xf>
    <xf numFmtId="169" fontId="25" fillId="7" borderId="1" xfId="1" applyNumberFormat="1" applyFont="1" applyFill="1" applyBorder="1" applyAlignment="1">
      <alignment horizontal="right" vertical="center" wrapText="1" shrinkToFit="1"/>
    </xf>
    <xf numFmtId="170" fontId="31" fillId="7" borderId="1" xfId="0" applyNumberFormat="1" applyFont="1" applyFill="1" applyBorder="1" applyAlignment="1">
      <alignment horizontal="right" vertical="center" wrapText="1" shrinkToFit="1"/>
    </xf>
    <xf numFmtId="169" fontId="25" fillId="7" borderId="0" xfId="1" applyNumberFormat="1" applyFont="1" applyFill="1" applyAlignment="1">
      <alignment vertical="center"/>
    </xf>
    <xf numFmtId="169" fontId="25" fillId="5" borderId="0" xfId="1" applyNumberFormat="1" applyFont="1" applyFill="1" applyBorder="1" applyAlignment="1">
      <alignment horizontal="right" vertical="center" wrapText="1" shrinkToFit="1"/>
    </xf>
    <xf numFmtId="169" fontId="25" fillId="5" borderId="1" xfId="1" applyNumberFormat="1" applyFont="1" applyFill="1" applyBorder="1" applyAlignment="1">
      <alignment vertical="center"/>
    </xf>
    <xf numFmtId="0" fontId="25" fillId="5" borderId="1" xfId="0" applyFont="1" applyFill="1" applyBorder="1" applyAlignment="1">
      <alignment vertical="center" wrapText="1"/>
    </xf>
    <xf numFmtId="169" fontId="23" fillId="7" borderId="1" xfId="1" applyNumberFormat="1" applyFont="1" applyFill="1" applyBorder="1" applyAlignment="1">
      <alignment horizontal="right" vertical="center" wrapText="1" shrinkToFit="1"/>
    </xf>
    <xf numFmtId="0" fontId="31" fillId="2" borderId="1" xfId="2" applyFont="1" applyFill="1" applyBorder="1" applyAlignment="1">
      <alignment horizontal="center" vertical="center" wrapText="1"/>
    </xf>
    <xf numFmtId="0" fontId="31" fillId="2" borderId="1" xfId="2" applyFont="1" applyFill="1" applyBorder="1" applyAlignment="1">
      <alignment vertical="center" wrapText="1"/>
    </xf>
    <xf numFmtId="3" fontId="31" fillId="2" borderId="1" xfId="2" applyNumberFormat="1" applyFont="1" applyFill="1" applyBorder="1" applyAlignment="1">
      <alignment vertical="center" wrapText="1"/>
    </xf>
    <xf numFmtId="3" fontId="31" fillId="2" borderId="6" xfId="2" applyNumberFormat="1" applyFont="1" applyFill="1" applyBorder="1" applyAlignment="1">
      <alignment vertical="center" wrapText="1"/>
    </xf>
    <xf numFmtId="3" fontId="34" fillId="2" borderId="6" xfId="2" applyNumberFormat="1" applyFont="1" applyFill="1" applyBorder="1" applyAlignment="1">
      <alignment vertical="center" wrapText="1"/>
    </xf>
    <xf numFmtId="3" fontId="34" fillId="2" borderId="6" xfId="2" applyNumberFormat="1" applyFont="1" applyFill="1" applyBorder="1"/>
    <xf numFmtId="0" fontId="31" fillId="2" borderId="6" xfId="2" applyFont="1" applyFill="1" applyBorder="1"/>
    <xf numFmtId="3" fontId="31" fillId="2" borderId="0" xfId="2" applyNumberFormat="1" applyFont="1" applyFill="1"/>
    <xf numFmtId="167" fontId="34" fillId="2" borderId="0" xfId="2" applyNumberFormat="1" applyFont="1" applyFill="1"/>
    <xf numFmtId="3" fontId="34" fillId="2" borderId="0" xfId="2" applyNumberFormat="1" applyFont="1" applyFill="1"/>
    <xf numFmtId="0" fontId="34" fillId="2" borderId="0" xfId="2" applyFont="1" applyFill="1"/>
    <xf numFmtId="0" fontId="36" fillId="2" borderId="0" xfId="2" applyFont="1" applyFill="1"/>
    <xf numFmtId="0" fontId="31" fillId="2" borderId="1" xfId="2" applyFont="1" applyFill="1" applyBorder="1" applyAlignment="1">
      <alignment horizontal="center" vertical="center"/>
    </xf>
    <xf numFmtId="0" fontId="45" fillId="2" borderId="1" xfId="2" applyFont="1" applyFill="1" applyBorder="1" applyAlignment="1">
      <alignment vertical="center" wrapText="1"/>
    </xf>
    <xf numFmtId="0" fontId="45" fillId="2" borderId="1" xfId="2" applyFont="1" applyFill="1" applyBorder="1" applyAlignment="1">
      <alignment horizontal="center" vertical="center"/>
    </xf>
    <xf numFmtId="3" fontId="45" fillId="2" borderId="1" xfId="2" applyNumberFormat="1" applyFont="1" applyFill="1" applyBorder="1" applyAlignment="1">
      <alignment horizontal="center" vertical="center"/>
    </xf>
    <xf numFmtId="3" fontId="45" fillId="2" borderId="1" xfId="2" applyNumberFormat="1" applyFont="1" applyFill="1" applyBorder="1" applyAlignment="1">
      <alignment vertical="center"/>
    </xf>
    <xf numFmtId="3" fontId="31" fillId="2" borderId="1" xfId="2" applyNumberFormat="1" applyFont="1" applyFill="1" applyBorder="1" applyAlignment="1">
      <alignment vertical="center"/>
    </xf>
    <xf numFmtId="3" fontId="45" fillId="2" borderId="1" xfId="2" applyNumberFormat="1" applyFont="1" applyFill="1" applyBorder="1" applyAlignment="1">
      <alignment vertical="center" wrapText="1"/>
    </xf>
    <xf numFmtId="3" fontId="45" fillId="2" borderId="6" xfId="2" applyNumberFormat="1" applyFont="1" applyFill="1" applyBorder="1" applyAlignment="1">
      <alignment vertical="center"/>
    </xf>
    <xf numFmtId="3" fontId="31" fillId="2" borderId="6" xfId="2" applyNumberFormat="1" applyFont="1" applyFill="1" applyBorder="1" applyAlignment="1">
      <alignment vertical="center"/>
    </xf>
    <xf numFmtId="3" fontId="32" fillId="2" borderId="0" xfId="2" applyNumberFormat="1" applyFont="1" applyFill="1"/>
    <xf numFmtId="3" fontId="35" fillId="8" borderId="0" xfId="2" applyNumberFormat="1" applyFont="1" applyFill="1" applyAlignment="1">
      <alignment vertical="center"/>
    </xf>
    <xf numFmtId="3" fontId="31" fillId="8" borderId="1" xfId="2" applyNumberFormat="1" applyFont="1" applyFill="1" applyBorder="1" applyAlignment="1">
      <alignment horizontal="center" vertical="center" wrapText="1"/>
    </xf>
    <xf numFmtId="3" fontId="33" fillId="8" borderId="1" xfId="2" applyNumberFormat="1" applyFont="1" applyFill="1" applyBorder="1" applyAlignment="1">
      <alignment vertical="center" wrapText="1"/>
    </xf>
    <xf numFmtId="3" fontId="31" fillId="8" borderId="1" xfId="2" applyNumberFormat="1" applyFont="1" applyFill="1" applyBorder="1" applyAlignment="1">
      <alignment vertical="center" wrapText="1"/>
    </xf>
    <xf numFmtId="3" fontId="31" fillId="8" borderId="1" xfId="2" applyNumberFormat="1" applyFont="1" applyFill="1" applyBorder="1" applyAlignment="1">
      <alignment horizontal="right" vertical="center" wrapText="1"/>
    </xf>
    <xf numFmtId="3" fontId="35" fillId="8" borderId="1" xfId="2" applyNumberFormat="1" applyFont="1" applyFill="1" applyBorder="1" applyAlignment="1">
      <alignment vertical="center" wrapText="1"/>
    </xf>
    <xf numFmtId="3" fontId="45" fillId="8" borderId="1" xfId="2" applyNumberFormat="1" applyFont="1" applyFill="1" applyBorder="1" applyAlignment="1">
      <alignment vertical="center" wrapText="1"/>
    </xf>
    <xf numFmtId="3" fontId="32" fillId="8" borderId="1" xfId="2" applyNumberFormat="1" applyFont="1" applyFill="1" applyBorder="1" applyAlignment="1">
      <alignment vertical="center" wrapText="1"/>
    </xf>
    <xf numFmtId="3" fontId="49" fillId="8" borderId="1" xfId="2" applyNumberFormat="1" applyFont="1" applyFill="1" applyBorder="1" applyAlignment="1">
      <alignment vertical="center" wrapText="1"/>
    </xf>
    <xf numFmtId="3" fontId="45" fillId="8" borderId="1" xfId="2" applyNumberFormat="1" applyFont="1" applyFill="1" applyBorder="1" applyAlignment="1">
      <alignment horizontal="left" vertical="center" wrapText="1"/>
    </xf>
    <xf numFmtId="3" fontId="31" fillId="8" borderId="1" xfId="2" applyNumberFormat="1" applyFont="1" applyFill="1" applyBorder="1" applyAlignment="1">
      <alignment vertical="center"/>
    </xf>
    <xf numFmtId="3" fontId="45" fillId="8" borderId="1" xfId="2" applyNumberFormat="1" applyFont="1" applyFill="1" applyBorder="1" applyAlignment="1">
      <alignment vertical="center"/>
    </xf>
    <xf numFmtId="3" fontId="33" fillId="8" borderId="1" xfId="2" applyNumberFormat="1" applyFont="1" applyFill="1" applyBorder="1" applyAlignment="1">
      <alignment vertical="center"/>
    </xf>
    <xf numFmtId="3" fontId="49" fillId="8" borderId="1" xfId="2" applyNumberFormat="1" applyFont="1" applyFill="1" applyBorder="1" applyAlignment="1">
      <alignment vertical="center"/>
    </xf>
    <xf numFmtId="3" fontId="35" fillId="8" borderId="1" xfId="2" applyNumberFormat="1" applyFont="1" applyFill="1" applyBorder="1" applyAlignment="1">
      <alignment horizontal="right" vertical="center"/>
    </xf>
    <xf numFmtId="3" fontId="35" fillId="8" borderId="1" xfId="2" applyNumberFormat="1" applyFont="1" applyFill="1" applyBorder="1" applyAlignment="1">
      <alignment vertical="center"/>
    </xf>
    <xf numFmtId="3" fontId="32" fillId="8" borderId="1" xfId="2" applyNumberFormat="1" applyFont="1" applyFill="1" applyBorder="1" applyAlignment="1">
      <alignment vertical="center"/>
    </xf>
    <xf numFmtId="168" fontId="31" fillId="8" borderId="1" xfId="3" applyNumberFormat="1" applyFont="1" applyFill="1" applyBorder="1"/>
    <xf numFmtId="3" fontId="33" fillId="8" borderId="1" xfId="2" applyNumberFormat="1" applyFont="1" applyFill="1" applyBorder="1" applyAlignment="1">
      <alignment horizontal="right" vertical="center"/>
    </xf>
    <xf numFmtId="3" fontId="32" fillId="8" borderId="1" xfId="2" applyNumberFormat="1" applyFont="1" applyFill="1" applyBorder="1" applyAlignment="1">
      <alignment horizontal="right" vertical="center"/>
    </xf>
    <xf numFmtId="3" fontId="31" fillId="8" borderId="1" xfId="2" applyNumberFormat="1" applyFont="1" applyFill="1" applyBorder="1" applyAlignment="1">
      <alignment horizontal="right" vertical="center"/>
    </xf>
    <xf numFmtId="3" fontId="31" fillId="8" borderId="1" xfId="2" applyNumberFormat="1" applyFont="1" applyFill="1" applyBorder="1" applyAlignment="1">
      <alignment vertical="center" wrapText="1" shrinkToFit="1"/>
    </xf>
    <xf numFmtId="3" fontId="33" fillId="8" borderId="1" xfId="2" applyNumberFormat="1" applyFont="1" applyFill="1" applyBorder="1" applyAlignment="1">
      <alignment vertical="center" wrapText="1" shrinkToFit="1"/>
    </xf>
    <xf numFmtId="3" fontId="49" fillId="8" borderId="1" xfId="2" applyNumberFormat="1" applyFont="1" applyFill="1" applyBorder="1" applyAlignment="1">
      <alignment horizontal="right" vertical="center"/>
    </xf>
    <xf numFmtId="3" fontId="120" fillId="8" borderId="1" xfId="2" applyNumberFormat="1" applyFont="1" applyFill="1" applyBorder="1" applyAlignment="1">
      <alignment vertical="center"/>
    </xf>
    <xf numFmtId="3" fontId="35" fillId="8" borderId="1" xfId="2" applyNumberFormat="1" applyFont="1" applyFill="1" applyBorder="1" applyAlignment="1">
      <alignment horizontal="right" vertical="center" wrapText="1"/>
    </xf>
    <xf numFmtId="3" fontId="35" fillId="8" borderId="1" xfId="2" applyNumberFormat="1" applyFont="1" applyFill="1" applyBorder="1"/>
    <xf numFmtId="3" fontId="33" fillId="8" borderId="1" xfId="2" applyNumberFormat="1" applyFont="1" applyFill="1" applyBorder="1"/>
    <xf numFmtId="3" fontId="45" fillId="8" borderId="1" xfId="2" applyNumberFormat="1" applyFont="1" applyFill="1" applyBorder="1" applyAlignment="1">
      <alignment horizontal="right" vertical="center" wrapText="1"/>
    </xf>
    <xf numFmtId="3" fontId="39" fillId="8" borderId="1" xfId="2" applyNumberFormat="1" applyFont="1" applyFill="1" applyBorder="1"/>
    <xf numFmtId="3" fontId="32" fillId="8" borderId="1" xfId="2" applyNumberFormat="1" applyFont="1" applyFill="1" applyBorder="1" applyAlignment="1">
      <alignment horizontal="right" vertical="center" wrapText="1"/>
    </xf>
    <xf numFmtId="3" fontId="31" fillId="8" borderId="0" xfId="2" applyNumberFormat="1" applyFont="1" applyFill="1" applyAlignment="1">
      <alignment vertical="center"/>
    </xf>
    <xf numFmtId="0" fontId="50" fillId="8" borderId="0" xfId="2" applyFont="1" applyFill="1"/>
    <xf numFmtId="0" fontId="35" fillId="8" borderId="0" xfId="2" applyFont="1" applyFill="1" applyAlignment="1">
      <alignment vertical="center"/>
    </xf>
    <xf numFmtId="0" fontId="1" fillId="5" borderId="0" xfId="0" applyFont="1" applyFill="1" applyAlignment="1">
      <alignment horizontal="right" vertical="center" wrapText="1"/>
    </xf>
    <xf numFmtId="0" fontId="1" fillId="5" borderId="0" xfId="0" applyFont="1" applyFill="1" applyAlignment="1">
      <alignment horizontal="right" vertical="center"/>
    </xf>
    <xf numFmtId="0" fontId="3" fillId="5" borderId="0" xfId="0" applyFont="1" applyFill="1" applyAlignment="1">
      <alignment vertical="center"/>
    </xf>
    <xf numFmtId="0" fontId="6" fillId="5" borderId="0" xfId="0" applyFont="1" applyFill="1"/>
    <xf numFmtId="3" fontId="6" fillId="5" borderId="0" xfId="0" applyNumberFormat="1" applyFont="1" applyFill="1"/>
    <xf numFmtId="0" fontId="7" fillId="5" borderId="1" xfId="0" quotePrefix="1" applyFont="1" applyFill="1" applyBorder="1" applyAlignment="1">
      <alignment horizontal="center" vertical="center" wrapText="1"/>
    </xf>
    <xf numFmtId="3" fontId="7" fillId="5" borderId="1" xfId="0" applyNumberFormat="1" applyFont="1" applyFill="1" applyBorder="1" applyAlignment="1">
      <alignment vertical="center" wrapText="1"/>
    </xf>
    <xf numFmtId="3" fontId="1" fillId="5" borderId="1" xfId="0" applyNumberFormat="1" applyFont="1" applyFill="1" applyBorder="1" applyAlignment="1">
      <alignment horizontal="center" vertical="center" wrapText="1"/>
    </xf>
    <xf numFmtId="0" fontId="8" fillId="5" borderId="0" xfId="0" applyFont="1" applyFill="1"/>
    <xf numFmtId="0" fontId="12" fillId="0" borderId="1" xfId="0" applyFont="1" applyBorder="1" applyAlignment="1">
      <alignment horizontal="justify" vertical="center" wrapText="1"/>
    </xf>
    <xf numFmtId="0" fontId="6" fillId="0" borderId="1" xfId="0" applyFont="1" applyBorder="1"/>
    <xf numFmtId="3" fontId="121" fillId="5" borderId="1" xfId="0" applyNumberFormat="1" applyFont="1" applyFill="1" applyBorder="1" applyAlignment="1">
      <alignment vertical="center" wrapText="1"/>
    </xf>
    <xf numFmtId="0" fontId="46" fillId="0" borderId="1" xfId="0" applyFont="1" applyBorder="1" applyAlignment="1">
      <alignment horizontal="center" vertical="center"/>
    </xf>
    <xf numFmtId="3" fontId="46" fillId="0" borderId="1" xfId="0" applyNumberFormat="1" applyFont="1" applyBorder="1" applyAlignment="1">
      <alignment horizontal="justify" vertical="center" wrapText="1"/>
    </xf>
    <xf numFmtId="3" fontId="46" fillId="0" borderId="1" xfId="0" applyNumberFormat="1" applyFont="1" applyBorder="1" applyAlignment="1">
      <alignment vertical="center"/>
    </xf>
    <xf numFmtId="0" fontId="46" fillId="0" borderId="1" xfId="0" applyFont="1" applyBorder="1"/>
    <xf numFmtId="0" fontId="46" fillId="0" borderId="1" xfId="0" applyFont="1" applyBorder="1" applyAlignment="1">
      <alignment vertical="center" wrapText="1"/>
    </xf>
    <xf numFmtId="0" fontId="7" fillId="5" borderId="1" xfId="0" applyFont="1" applyFill="1" applyBorder="1"/>
    <xf numFmtId="0" fontId="7" fillId="5" borderId="1" xfId="0" applyFont="1" applyFill="1" applyBorder="1" applyAlignment="1">
      <alignment horizontal="justify"/>
    </xf>
    <xf numFmtId="3" fontId="121" fillId="5" borderId="1" xfId="0" applyNumberFormat="1" applyFont="1" applyFill="1" applyBorder="1" applyAlignment="1">
      <alignment horizontal="center" vertical="center" wrapText="1"/>
    </xf>
    <xf numFmtId="0" fontId="89" fillId="5" borderId="0" xfId="0" applyFont="1" applyFill="1" applyAlignment="1">
      <alignment vertical="center" wrapText="1"/>
    </xf>
    <xf numFmtId="0" fontId="89" fillId="5" borderId="0" xfId="0" applyFont="1" applyFill="1" applyAlignment="1">
      <alignment horizontal="right" vertical="center" wrapText="1"/>
    </xf>
    <xf numFmtId="0" fontId="89" fillId="5" borderId="0" xfId="0" applyFont="1" applyFill="1" applyAlignment="1">
      <alignment vertical="center"/>
    </xf>
    <xf numFmtId="0" fontId="89" fillId="5" borderId="0" xfId="0" applyFont="1" applyFill="1" applyAlignment="1">
      <alignment horizontal="right" vertical="center"/>
    </xf>
    <xf numFmtId="0" fontId="89" fillId="5" borderId="1" xfId="0" quotePrefix="1" applyFont="1" applyFill="1" applyBorder="1" applyAlignment="1">
      <alignment horizontal="center" vertical="center" wrapText="1"/>
    </xf>
    <xf numFmtId="0" fontId="89" fillId="5" borderId="1" xfId="0" applyFont="1" applyFill="1" applyBorder="1" applyAlignment="1">
      <alignment horizontal="justify" vertical="center" wrapText="1"/>
    </xf>
    <xf numFmtId="3" fontId="89" fillId="5" borderId="1" xfId="0" applyNumberFormat="1" applyFont="1" applyFill="1" applyBorder="1" applyAlignment="1">
      <alignment vertical="center" wrapText="1"/>
    </xf>
    <xf numFmtId="0" fontId="95" fillId="5" borderId="1" xfId="0" applyFont="1" applyFill="1" applyBorder="1" applyAlignment="1">
      <alignment horizontal="center" vertical="center" wrapText="1"/>
    </xf>
    <xf numFmtId="0" fontId="95" fillId="5" borderId="1" xfId="0" applyFont="1" applyFill="1" applyBorder="1" applyAlignment="1">
      <alignment horizontal="justify" vertical="center" wrapText="1"/>
    </xf>
    <xf numFmtId="3" fontId="95" fillId="5" borderId="1" xfId="0" applyNumberFormat="1" applyFont="1" applyFill="1" applyBorder="1" applyAlignment="1">
      <alignment vertical="center" wrapText="1"/>
    </xf>
    <xf numFmtId="3" fontId="95" fillId="5" borderId="1" xfId="0" applyNumberFormat="1" applyFont="1" applyFill="1" applyBorder="1" applyAlignment="1">
      <alignment horizontal="center" vertical="center" wrapText="1"/>
    </xf>
    <xf numFmtId="0" fontId="96" fillId="5" borderId="0" xfId="0" applyFont="1" applyFill="1"/>
    <xf numFmtId="3" fontId="89" fillId="5" borderId="1" xfId="0" applyNumberFormat="1" applyFont="1" applyFill="1" applyBorder="1" applyAlignment="1">
      <alignment horizontal="center" vertical="center" wrapText="1"/>
    </xf>
    <xf numFmtId="0" fontId="97" fillId="5" borderId="0" xfId="0" applyFont="1" applyFill="1"/>
    <xf numFmtId="3" fontId="97" fillId="5" borderId="0" xfId="0" applyNumberFormat="1" applyFont="1" applyFill="1"/>
    <xf numFmtId="194" fontId="88" fillId="5" borderId="1" xfId="0" quotePrefix="1" applyNumberFormat="1"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2" xfId="0" applyFont="1" applyBorder="1" applyAlignment="1">
      <alignment horizontal="justify" vertical="center" wrapText="1"/>
    </xf>
    <xf numFmtId="3" fontId="3" fillId="0" borderId="52" xfId="0" applyNumberFormat="1" applyFont="1" applyBorder="1" applyAlignment="1">
      <alignment vertical="center" wrapText="1"/>
    </xf>
    <xf numFmtId="3" fontId="3" fillId="0" borderId="53" xfId="0" applyNumberFormat="1" applyFont="1" applyBorder="1" applyAlignment="1">
      <alignment horizontal="center" vertical="center" wrapText="1"/>
    </xf>
    <xf numFmtId="0" fontId="3" fillId="0" borderId="54" xfId="0" applyFont="1" applyBorder="1" applyAlignment="1">
      <alignment horizontal="center" vertical="center" wrapText="1"/>
    </xf>
    <xf numFmtId="3" fontId="3" fillId="0" borderId="20" xfId="0" applyNumberFormat="1" applyFont="1" applyBorder="1" applyAlignment="1">
      <alignment horizontal="justify" vertical="center" wrapText="1"/>
    </xf>
    <xf numFmtId="3" fontId="122" fillId="0" borderId="1" xfId="0" applyNumberFormat="1" applyFont="1" applyBorder="1" applyAlignment="1">
      <alignment vertical="center" wrapText="1"/>
    </xf>
    <xf numFmtId="3" fontId="123" fillId="0" borderId="1" xfId="0" applyNumberFormat="1" applyFont="1" applyBorder="1" applyAlignment="1">
      <alignment vertical="center" wrapText="1"/>
    </xf>
    <xf numFmtId="3" fontId="122" fillId="5" borderId="1" xfId="0" applyNumberFormat="1" applyFont="1" applyFill="1" applyBorder="1" applyAlignment="1">
      <alignment vertical="center" wrapText="1"/>
    </xf>
    <xf numFmtId="3" fontId="121" fillId="0" borderId="1" xfId="0" applyNumberFormat="1" applyFont="1" applyBorder="1" applyAlignment="1">
      <alignment horizontal="center" vertical="center" wrapText="1"/>
    </xf>
    <xf numFmtId="0" fontId="1" fillId="5" borderId="0" xfId="0" applyFont="1" applyFill="1" applyAlignment="1">
      <alignment vertical="center" wrapText="1"/>
    </xf>
    <xf numFmtId="0" fontId="7" fillId="5" borderId="0" xfId="0" applyFont="1" applyFill="1"/>
    <xf numFmtId="0" fontId="1" fillId="5" borderId="0" xfId="0" applyFont="1" applyFill="1" applyAlignment="1">
      <alignment vertical="center"/>
    </xf>
    <xf numFmtId="3" fontId="7" fillId="5" borderId="0" xfId="0" applyNumberFormat="1" applyFont="1" applyFill="1"/>
    <xf numFmtId="3" fontId="10" fillId="5" borderId="0" xfId="0" applyNumberFormat="1" applyFont="1" applyFill="1"/>
    <xf numFmtId="0" fontId="12" fillId="5" borderId="0" xfId="0" applyFont="1" applyFill="1"/>
    <xf numFmtId="0" fontId="10" fillId="5" borderId="1" xfId="0" applyFont="1" applyFill="1" applyBorder="1" applyAlignment="1">
      <alignment horizontal="justify" vertical="center" wrapText="1"/>
    </xf>
    <xf numFmtId="0" fontId="10" fillId="5" borderId="0" xfId="0" applyFont="1" applyFill="1"/>
    <xf numFmtId="0" fontId="46" fillId="5" borderId="0" xfId="0" applyFont="1" applyFill="1"/>
    <xf numFmtId="3" fontId="46" fillId="5" borderId="0" xfId="0" applyNumberFormat="1" applyFont="1" applyFill="1"/>
    <xf numFmtId="0" fontId="95" fillId="5" borderId="0" xfId="0" applyFont="1" applyFill="1"/>
    <xf numFmtId="3" fontId="89" fillId="5" borderId="0" xfId="0" applyNumberFormat="1" applyFont="1" applyFill="1"/>
    <xf numFmtId="0" fontId="89" fillId="5" borderId="0" xfId="0" applyFont="1" applyFill="1"/>
    <xf numFmtId="0" fontId="94" fillId="5" borderId="1" xfId="0" applyFont="1" applyFill="1" applyBorder="1" applyAlignment="1">
      <alignment horizontal="center" vertical="center" wrapText="1"/>
    </xf>
    <xf numFmtId="0" fontId="94" fillId="5" borderId="1" xfId="0" applyFont="1" applyFill="1" applyBorder="1" applyAlignment="1">
      <alignment horizontal="justify" vertical="center" wrapText="1"/>
    </xf>
    <xf numFmtId="3" fontId="94" fillId="5" borderId="1" xfId="0" applyNumberFormat="1" applyFont="1" applyFill="1" applyBorder="1" applyAlignment="1">
      <alignment vertical="center" wrapText="1"/>
    </xf>
    <xf numFmtId="3" fontId="94" fillId="5" borderId="1" xfId="0" applyNumberFormat="1" applyFont="1" applyFill="1" applyBorder="1" applyAlignment="1">
      <alignment horizontal="center" vertical="center" wrapText="1"/>
    </xf>
    <xf numFmtId="0" fontId="94" fillId="5" borderId="0" xfId="0" applyFont="1" applyFill="1"/>
    <xf numFmtId="0" fontId="5" fillId="0" borderId="0" xfId="0" applyFont="1" applyAlignment="1">
      <alignment horizontal="center" vertical="center"/>
    </xf>
    <xf numFmtId="3" fontId="7" fillId="0" borderId="1" xfId="0" applyNumberFormat="1" applyFont="1" applyBorder="1" applyAlignment="1">
      <alignment horizontal="justify" vertical="center" wrapText="1"/>
    </xf>
    <xf numFmtId="41" fontId="25" fillId="2" borderId="1" xfId="85" applyFont="1" applyFill="1" applyBorder="1"/>
    <xf numFmtId="41" fontId="2" fillId="0" borderId="0" xfId="0" applyNumberFormat="1" applyFont="1"/>
    <xf numFmtId="0" fontId="1" fillId="0" borderId="0" xfId="0" applyFont="1" applyAlignment="1">
      <alignment horizontal="center" vertical="center"/>
    </xf>
    <xf numFmtId="0" fontId="2" fillId="2" borderId="0" xfId="0" applyFont="1" applyFill="1"/>
    <xf numFmtId="0" fontId="1" fillId="2" borderId="1" xfId="0" applyFont="1" applyFill="1" applyBorder="1" applyAlignment="1">
      <alignment horizontal="center" vertical="center" wrapText="1"/>
    </xf>
    <xf numFmtId="3" fontId="1" fillId="2" borderId="1" xfId="0" applyNumberFormat="1" applyFont="1" applyFill="1" applyBorder="1" applyAlignment="1">
      <alignment vertical="center" wrapText="1"/>
    </xf>
    <xf numFmtId="3" fontId="3" fillId="2" borderId="1" xfId="0" applyNumberFormat="1" applyFont="1" applyFill="1" applyBorder="1" applyAlignment="1">
      <alignment vertical="center" wrapText="1"/>
    </xf>
    <xf numFmtId="3" fontId="4" fillId="2" borderId="1" xfId="0" applyNumberFormat="1" applyFont="1" applyFill="1" applyBorder="1" applyAlignment="1">
      <alignment vertical="center" wrapText="1"/>
    </xf>
    <xf numFmtId="168" fontId="125" fillId="5" borderId="1" xfId="1" applyNumberFormat="1" applyFont="1" applyFill="1" applyBorder="1" applyAlignment="1">
      <alignment horizontal="right"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justify" vertical="center" wrapText="1"/>
    </xf>
    <xf numFmtId="3" fontId="3" fillId="2" borderId="1" xfId="0" applyNumberFormat="1" applyFont="1" applyFill="1" applyBorder="1" applyAlignment="1">
      <alignment horizontal="center" vertical="center" wrapText="1"/>
    </xf>
    <xf numFmtId="3" fontId="2" fillId="2" borderId="0" xfId="0" applyNumberFormat="1" applyFont="1" applyFill="1"/>
    <xf numFmtId="0" fontId="7" fillId="2" borderId="1" xfId="0" applyFont="1" applyFill="1" applyBorder="1" applyAlignment="1">
      <alignment horizontal="justify" vertical="center" wrapText="1"/>
    </xf>
    <xf numFmtId="0" fontId="2" fillId="2" borderId="1" xfId="0" applyFont="1" applyFill="1" applyBorder="1"/>
    <xf numFmtId="3" fontId="7" fillId="2" borderId="1" xfId="0" applyNumberFormat="1" applyFont="1" applyFill="1" applyBorder="1" applyAlignment="1">
      <alignment horizontal="justify" vertical="center" wrapText="1"/>
    </xf>
    <xf numFmtId="0" fontId="7" fillId="2" borderId="0" xfId="0" applyFont="1" applyFill="1"/>
    <xf numFmtId="3" fontId="7" fillId="2" borderId="0" xfId="0" applyNumberFormat="1" applyFont="1" applyFill="1"/>
    <xf numFmtId="0" fontId="3" fillId="2" borderId="1" xfId="0" quotePrefix="1" applyFont="1" applyFill="1" applyBorder="1" applyAlignment="1">
      <alignment horizontal="center" vertical="center" wrapText="1"/>
    </xf>
    <xf numFmtId="0" fontId="10" fillId="2" borderId="1" xfId="0" applyFont="1" applyFill="1" applyBorder="1" applyAlignment="1">
      <alignment wrapText="1"/>
    </xf>
    <xf numFmtId="3" fontId="10" fillId="2" borderId="1" xfId="0" applyNumberFormat="1" applyFont="1" applyFill="1" applyBorder="1"/>
    <xf numFmtId="0" fontId="10" fillId="2" borderId="0" xfId="0" applyFont="1" applyFill="1"/>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justify" vertical="center" wrapText="1"/>
    </xf>
    <xf numFmtId="3" fontId="4" fillId="2" borderId="1" xfId="0" applyNumberFormat="1" applyFont="1" applyFill="1" applyBorder="1" applyAlignment="1">
      <alignment horizontal="center" vertical="center" wrapText="1"/>
    </xf>
    <xf numFmtId="3" fontId="10" fillId="2" borderId="0" xfId="0" applyNumberFormat="1" applyFont="1" applyFill="1"/>
    <xf numFmtId="3" fontId="12" fillId="2" borderId="1" xfId="0" applyNumberFormat="1" applyFont="1" applyFill="1" applyBorder="1" applyAlignment="1">
      <alignment horizontal="justify" vertical="center" wrapText="1"/>
    </xf>
    <xf numFmtId="3" fontId="1" fillId="2" borderId="1" xfId="0" applyNumberFormat="1" applyFont="1" applyFill="1" applyBorder="1" applyAlignment="1">
      <alignment horizontal="center" vertical="center" wrapText="1"/>
    </xf>
    <xf numFmtId="0" fontId="12" fillId="0" borderId="1" xfId="0" applyFont="1" applyBorder="1"/>
    <xf numFmtId="3" fontId="12" fillId="0" borderId="1" xfId="0" applyNumberFormat="1" applyFont="1" applyBorder="1"/>
    <xf numFmtId="0" fontId="7" fillId="2" borderId="1" xfId="0" applyFont="1" applyFill="1" applyBorder="1"/>
    <xf numFmtId="0" fontId="1" fillId="2" borderId="1" xfId="0" applyFont="1" applyFill="1" applyBorder="1" applyAlignment="1">
      <alignment horizontal="justify" vertical="center" wrapText="1"/>
    </xf>
    <xf numFmtId="3" fontId="12" fillId="2" borderId="1" xfId="0" applyNumberFormat="1" applyFont="1" applyFill="1" applyBorder="1"/>
    <xf numFmtId="3" fontId="46" fillId="2" borderId="1" xfId="0" applyNumberFormat="1" applyFont="1" applyFill="1" applyBorder="1" applyAlignment="1">
      <alignment horizontal="justify" vertical="center" wrapText="1"/>
    </xf>
    <xf numFmtId="3" fontId="96" fillId="5" borderId="0" xfId="0" applyNumberFormat="1" applyFont="1" applyFill="1"/>
    <xf numFmtId="169" fontId="46" fillId="5" borderId="0" xfId="0" applyNumberFormat="1" applyFont="1" applyFill="1"/>
    <xf numFmtId="0" fontId="46" fillId="5" borderId="1" xfId="0" applyFont="1" applyFill="1" applyBorder="1"/>
    <xf numFmtId="3" fontId="89" fillId="5" borderId="1" xfId="3" applyNumberFormat="1" applyFont="1" applyFill="1" applyBorder="1" applyAlignment="1">
      <alignment horizontal="right" vertical="center" wrapText="1"/>
    </xf>
    <xf numFmtId="169" fontId="46" fillId="5" borderId="1" xfId="3" applyNumberFormat="1" applyFont="1" applyFill="1" applyBorder="1"/>
    <xf numFmtId="3" fontId="46" fillId="5" borderId="1" xfId="3" applyNumberFormat="1" applyFont="1" applyFill="1" applyBorder="1" applyAlignment="1">
      <alignment horizontal="right"/>
    </xf>
    <xf numFmtId="0" fontId="89" fillId="5" borderId="1" xfId="0" applyFont="1" applyFill="1" applyBorder="1"/>
    <xf numFmtId="0" fontId="89" fillId="5" borderId="1" xfId="0" applyFont="1" applyFill="1" applyBorder="1" applyAlignment="1">
      <alignment horizontal="center" vertical="center" wrapText="1"/>
    </xf>
    <xf numFmtId="0" fontId="88" fillId="5" borderId="0" xfId="0" applyFont="1" applyFill="1" applyAlignment="1">
      <alignment horizontal="right" vertical="center"/>
    </xf>
    <xf numFmtId="0" fontId="92" fillId="5" borderId="0" xfId="0" applyFont="1" applyFill="1"/>
    <xf numFmtId="164" fontId="2" fillId="0" borderId="0" xfId="1" applyFont="1"/>
    <xf numFmtId="3" fontId="12" fillId="0" borderId="0" xfId="0" applyNumberFormat="1" applyFont="1"/>
    <xf numFmtId="164" fontId="46" fillId="5" borderId="0" xfId="1" applyFont="1" applyFill="1"/>
    <xf numFmtId="195" fontId="46" fillId="5" borderId="0" xfId="0" applyNumberFormat="1" applyFont="1" applyFill="1"/>
    <xf numFmtId="164" fontId="6" fillId="0" borderId="0" xfId="1" applyFont="1"/>
    <xf numFmtId="0" fontId="7" fillId="9" borderId="0" xfId="0" applyFont="1" applyFill="1"/>
    <xf numFmtId="3" fontId="7" fillId="9" borderId="0" xfId="0" applyNumberFormat="1" applyFont="1" applyFill="1"/>
    <xf numFmtId="195" fontId="92" fillId="5" borderId="0" xfId="0" applyNumberFormat="1" applyFont="1" applyFill="1"/>
    <xf numFmtId="3" fontId="92" fillId="5" borderId="0" xfId="0" applyNumberFormat="1" applyFont="1" applyFill="1"/>
    <xf numFmtId="3" fontId="126" fillId="5" borderId="0" xfId="0" applyNumberFormat="1" applyFont="1" applyFill="1"/>
    <xf numFmtId="0" fontId="89" fillId="5" borderId="0" xfId="0" applyFont="1" applyFill="1" applyAlignment="1">
      <alignment horizontal="center" vertical="center"/>
    </xf>
    <xf numFmtId="0" fontId="94" fillId="5" borderId="0" xfId="0" applyFont="1" applyFill="1" applyAlignment="1">
      <alignment horizontal="center" vertical="center"/>
    </xf>
    <xf numFmtId="0" fontId="94" fillId="5" borderId="0" xfId="0" applyFont="1" applyFill="1" applyAlignment="1">
      <alignment horizontal="right" vertical="center"/>
    </xf>
    <xf numFmtId="0" fontId="5" fillId="5" borderId="0" xfId="0" applyFont="1" applyFill="1" applyAlignment="1">
      <alignment horizontal="center" vertical="center"/>
    </xf>
    <xf numFmtId="0" fontId="1" fillId="5" borderId="0" xfId="0" applyFont="1" applyFill="1" applyAlignment="1">
      <alignment horizontal="center" vertical="center"/>
    </xf>
    <xf numFmtId="0" fontId="89" fillId="5" borderId="0" xfId="0" applyFont="1" applyFill="1" applyAlignment="1">
      <alignment horizontal="right"/>
    </xf>
    <xf numFmtId="0" fontId="89" fillId="5" borderId="0" xfId="0" applyFont="1" applyFill="1" applyAlignment="1">
      <alignment horizontal="center" vertical="center" wrapText="1"/>
    </xf>
    <xf numFmtId="0" fontId="89" fillId="5" borderId="23" xfId="0" applyFont="1" applyFill="1" applyBorder="1" applyAlignment="1">
      <alignment horizontal="center" vertical="center" wrapText="1"/>
    </xf>
    <xf numFmtId="0" fontId="46" fillId="5" borderId="23" xfId="0" applyFont="1" applyFill="1" applyBorder="1" applyAlignment="1">
      <alignment horizontal="left" vertical="center" wrapText="1"/>
    </xf>
    <xf numFmtId="0" fontId="46" fillId="5" borderId="23" xfId="0" applyFont="1" applyFill="1" applyBorder="1" applyAlignment="1">
      <alignment horizontal="justify" vertical="center"/>
    </xf>
    <xf numFmtId="0" fontId="46" fillId="5" borderId="23" xfId="0" applyFont="1" applyFill="1" applyBorder="1" applyAlignment="1">
      <alignment horizontal="justify" vertical="center" wrapText="1"/>
    </xf>
    <xf numFmtId="0" fontId="94" fillId="5" borderId="23" xfId="0" applyFont="1" applyFill="1" applyBorder="1" applyAlignment="1">
      <alignment horizontal="justify" vertical="center"/>
    </xf>
    <xf numFmtId="0" fontId="89" fillId="5" borderId="24" xfId="0" applyFont="1" applyFill="1" applyBorder="1" applyAlignment="1">
      <alignment horizontal="center" vertical="center" wrapText="1"/>
    </xf>
    <xf numFmtId="3" fontId="89" fillId="5" borderId="24" xfId="3" applyNumberFormat="1" applyFont="1" applyFill="1" applyBorder="1" applyAlignment="1">
      <alignment horizontal="right" vertical="center" wrapText="1"/>
    </xf>
    <xf numFmtId="3" fontId="46" fillId="5" borderId="24" xfId="0" applyNumberFormat="1" applyFont="1" applyFill="1" applyBorder="1" applyAlignment="1">
      <alignment horizontal="right" vertical="center" wrapText="1"/>
    </xf>
    <xf numFmtId="3" fontId="46" fillId="5" borderId="24" xfId="3" applyNumberFormat="1" applyFont="1" applyFill="1" applyBorder="1" applyAlignment="1">
      <alignment horizontal="right"/>
    </xf>
    <xf numFmtId="169" fontId="94" fillId="5" borderId="0" xfId="1" applyNumberFormat="1" applyFont="1" applyFill="1" applyAlignment="1">
      <alignment horizontal="center" vertical="center"/>
    </xf>
    <xf numFmtId="41" fontId="2" fillId="5" borderId="0" xfId="0" applyNumberFormat="1" applyFont="1" applyFill="1"/>
    <xf numFmtId="0" fontId="89" fillId="0" borderId="0" xfId="0" applyFont="1" applyAlignment="1">
      <alignment horizontal="right" vertical="center" wrapText="1"/>
    </xf>
    <xf numFmtId="0" fontId="89" fillId="0" borderId="0" xfId="0" applyFont="1" applyAlignment="1">
      <alignment horizontal="right" vertical="center"/>
    </xf>
    <xf numFmtId="0" fontId="46" fillId="0" borderId="0" xfId="0" applyFont="1" applyAlignment="1">
      <alignment vertical="center"/>
    </xf>
    <xf numFmtId="0" fontId="94" fillId="0" borderId="0" xfId="0" applyFont="1" applyAlignment="1">
      <alignment horizontal="right" vertical="center"/>
    </xf>
    <xf numFmtId="0" fontId="89" fillId="0" borderId="1" xfId="0" applyFont="1" applyBorder="1" applyAlignment="1">
      <alignment horizontal="center" vertical="center" wrapText="1"/>
    </xf>
    <xf numFmtId="0" fontId="89" fillId="0" borderId="1" xfId="0" quotePrefix="1" applyFont="1" applyBorder="1" applyAlignment="1">
      <alignment horizontal="center" vertical="center" wrapText="1"/>
    </xf>
    <xf numFmtId="0" fontId="89" fillId="0" borderId="1" xfId="0" applyFont="1" applyBorder="1" applyAlignment="1">
      <alignment horizontal="justify" vertical="center" wrapText="1"/>
    </xf>
    <xf numFmtId="3" fontId="46" fillId="0" borderId="1" xfId="0" applyNumberFormat="1" applyFont="1" applyBorder="1" applyAlignment="1">
      <alignment horizontal="center" vertical="center" wrapText="1"/>
    </xf>
    <xf numFmtId="0" fontId="46" fillId="0" borderId="1" xfId="0" applyFont="1" applyBorder="1" applyAlignment="1">
      <alignment horizontal="center" vertical="center" wrapText="1"/>
    </xf>
    <xf numFmtId="0" fontId="46" fillId="0" borderId="1" xfId="0" applyFont="1" applyBorder="1" applyAlignment="1">
      <alignment horizontal="justify" vertical="center" wrapText="1"/>
    </xf>
    <xf numFmtId="3" fontId="93" fillId="0" borderId="0" xfId="0" applyNumberFormat="1" applyFont="1"/>
    <xf numFmtId="0" fontId="95" fillId="0" borderId="1" xfId="0" applyFont="1" applyBorder="1" applyAlignment="1">
      <alignment horizontal="center" vertical="center" wrapText="1"/>
    </xf>
    <xf numFmtId="0" fontId="95" fillId="0" borderId="1" xfId="0" applyFont="1" applyBorder="1" applyAlignment="1">
      <alignment horizontal="justify" vertical="center" wrapText="1"/>
    </xf>
    <xf numFmtId="3" fontId="95" fillId="0" borderId="1" xfId="0" applyNumberFormat="1" applyFont="1" applyBorder="1" applyAlignment="1">
      <alignment vertical="center" wrapText="1"/>
    </xf>
    <xf numFmtId="3" fontId="95" fillId="0" borderId="1" xfId="0" applyNumberFormat="1" applyFont="1" applyBorder="1" applyAlignment="1">
      <alignment horizontal="center" vertical="center" wrapText="1"/>
    </xf>
    <xf numFmtId="0" fontId="96" fillId="0" borderId="0" xfId="0" applyFont="1"/>
    <xf numFmtId="3" fontId="96" fillId="0" borderId="0" xfId="0" applyNumberFormat="1" applyFont="1"/>
    <xf numFmtId="0" fontId="95" fillId="0" borderId="1" xfId="0" applyFont="1" applyBorder="1"/>
    <xf numFmtId="3" fontId="95" fillId="0" borderId="1" xfId="0" applyNumberFormat="1" applyFont="1" applyBorder="1"/>
    <xf numFmtId="0" fontId="95" fillId="0" borderId="0" xfId="0" applyFont="1"/>
    <xf numFmtId="3" fontId="7" fillId="5" borderId="1" xfId="0" applyNumberFormat="1" applyFont="1" applyFill="1" applyBorder="1" applyAlignment="1">
      <alignment horizontal="justify" vertical="center" wrapText="1"/>
    </xf>
    <xf numFmtId="3" fontId="46" fillId="5" borderId="1" xfId="0" applyNumberFormat="1" applyFont="1" applyFill="1" applyBorder="1" applyAlignment="1">
      <alignment horizontal="justify" vertical="center" wrapText="1"/>
    </xf>
    <xf numFmtId="0" fontId="93" fillId="5" borderId="1" xfId="0" applyFont="1" applyFill="1" applyBorder="1"/>
    <xf numFmtId="0" fontId="96" fillId="5" borderId="1" xfId="0" applyFont="1" applyFill="1" applyBorder="1"/>
    <xf numFmtId="168" fontId="124" fillId="5" borderId="1" xfId="0" applyNumberFormat="1" applyFont="1" applyFill="1" applyBorder="1" applyAlignment="1">
      <alignment vertical="center"/>
    </xf>
    <xf numFmtId="41" fontId="25" fillId="5" borderId="1" xfId="85" applyFont="1" applyFill="1" applyBorder="1"/>
    <xf numFmtId="0" fontId="10" fillId="5" borderId="1" xfId="0" applyFont="1" applyFill="1" applyBorder="1" applyAlignment="1">
      <alignment horizontal="center" vertical="center"/>
    </xf>
    <xf numFmtId="3" fontId="10" fillId="5" borderId="1" xfId="0" applyNumberFormat="1" applyFont="1" applyFill="1" applyBorder="1" applyAlignment="1">
      <alignment horizontal="justify" vertical="center" wrapText="1"/>
    </xf>
    <xf numFmtId="3" fontId="10" fillId="5" borderId="1" xfId="0" applyNumberFormat="1" applyFont="1" applyFill="1" applyBorder="1" applyAlignment="1">
      <alignment vertical="center"/>
    </xf>
    <xf numFmtId="0" fontId="10" fillId="5" borderId="1" xfId="0" applyFont="1" applyFill="1" applyBorder="1"/>
    <xf numFmtId="0" fontId="7" fillId="5" borderId="1" xfId="0" applyFont="1" applyFill="1" applyBorder="1" applyAlignment="1">
      <alignment horizontal="center" vertical="center"/>
    </xf>
    <xf numFmtId="3" fontId="7" fillId="5" borderId="1" xfId="0" applyNumberFormat="1" applyFont="1" applyFill="1" applyBorder="1" applyAlignment="1">
      <alignment vertical="center"/>
    </xf>
    <xf numFmtId="0" fontId="46" fillId="5" borderId="1" xfId="0" applyFont="1" applyFill="1" applyBorder="1" applyAlignment="1">
      <alignment horizontal="center" vertical="center"/>
    </xf>
    <xf numFmtId="3" fontId="46" fillId="5" borderId="1" xfId="0" applyNumberFormat="1" applyFont="1" applyFill="1" applyBorder="1" applyAlignment="1">
      <alignment vertical="center"/>
    </xf>
    <xf numFmtId="0" fontId="46" fillId="5" borderId="1" xfId="0" applyFont="1" applyFill="1" applyBorder="1" applyAlignment="1">
      <alignment vertical="center" wrapText="1"/>
    </xf>
    <xf numFmtId="3" fontId="10" fillId="5" borderId="1" xfId="0" applyNumberFormat="1" applyFont="1" applyFill="1" applyBorder="1" applyAlignment="1">
      <alignment vertical="center" wrapText="1"/>
    </xf>
    <xf numFmtId="0" fontId="13" fillId="5" borderId="1" xfId="0" applyFont="1" applyFill="1" applyBorder="1" applyAlignment="1">
      <alignment horizontal="center" vertical="center"/>
    </xf>
    <xf numFmtId="3" fontId="13" fillId="5" borderId="1" xfId="0" applyNumberFormat="1" applyFont="1" applyFill="1" applyBorder="1" applyAlignment="1">
      <alignment vertical="center" wrapText="1"/>
    </xf>
    <xf numFmtId="0" fontId="7" fillId="5" borderId="1" xfId="0" applyFont="1" applyFill="1" applyBorder="1" applyAlignment="1">
      <alignment vertical="center"/>
    </xf>
    <xf numFmtId="0" fontId="10" fillId="5" borderId="1" xfId="0" applyFont="1" applyFill="1" applyBorder="1" applyAlignment="1">
      <alignment horizontal="justify"/>
    </xf>
    <xf numFmtId="3" fontId="10" fillId="5" borderId="1" xfId="0" applyNumberFormat="1" applyFont="1" applyFill="1" applyBorder="1"/>
    <xf numFmtId="0" fontId="94" fillId="0" borderId="0" xfId="0" applyFont="1" applyAlignment="1">
      <alignment horizontal="center" vertical="center"/>
    </xf>
    <xf numFmtId="3" fontId="96" fillId="9" borderId="0" xfId="0" applyNumberFormat="1" applyFont="1" applyFill="1"/>
    <xf numFmtId="0" fontId="93" fillId="9" borderId="0" xfId="0" applyFont="1" applyFill="1"/>
    <xf numFmtId="3" fontId="93" fillId="9" borderId="0" xfId="0" applyNumberFormat="1" applyFont="1" applyFill="1"/>
    <xf numFmtId="0" fontId="93" fillId="6" borderId="0" xfId="0" applyFont="1" applyFill="1"/>
    <xf numFmtId="0" fontId="127" fillId="0" borderId="0" xfId="0" applyFont="1"/>
    <xf numFmtId="3" fontId="94" fillId="5" borderId="1" xfId="0" applyNumberFormat="1" applyFont="1" applyFill="1" applyBorder="1" applyAlignment="1">
      <alignment horizontal="justify" vertical="center" wrapText="1"/>
    </xf>
    <xf numFmtId="0" fontId="104" fillId="5" borderId="1" xfId="0" applyFont="1" applyFill="1" applyBorder="1" applyAlignment="1">
      <alignment horizontal="center" vertical="center"/>
    </xf>
    <xf numFmtId="169" fontId="89" fillId="5" borderId="1" xfId="1" applyNumberFormat="1" applyFont="1" applyFill="1" applyBorder="1" applyAlignment="1">
      <alignment horizontal="right" vertical="center" wrapText="1"/>
    </xf>
    <xf numFmtId="3" fontId="46" fillId="5" borderId="1" xfId="0" applyNumberFormat="1" applyFont="1" applyFill="1" applyBorder="1" applyAlignment="1">
      <alignment horizontal="right" vertical="center" wrapText="1"/>
    </xf>
    <xf numFmtId="169" fontId="46" fillId="5" borderId="1" xfId="1" applyNumberFormat="1" applyFont="1" applyFill="1" applyBorder="1" applyAlignment="1">
      <alignment vertical="center" wrapText="1"/>
    </xf>
    <xf numFmtId="3" fontId="46" fillId="5" borderId="1" xfId="3" applyNumberFormat="1" applyFont="1" applyFill="1" applyBorder="1" applyAlignment="1">
      <alignment horizontal="right" vertical="center"/>
    </xf>
    <xf numFmtId="169" fontId="46" fillId="5" borderId="1" xfId="1" applyNumberFormat="1" applyFont="1" applyFill="1" applyBorder="1" applyAlignment="1">
      <alignment horizontal="right" vertical="center" wrapText="1"/>
    </xf>
    <xf numFmtId="3" fontId="94" fillId="5" borderId="1" xfId="0" applyNumberFormat="1" applyFont="1" applyFill="1" applyBorder="1" applyAlignment="1">
      <alignment horizontal="right" vertical="center" wrapText="1"/>
    </xf>
    <xf numFmtId="169" fontId="89" fillId="5" borderId="1" xfId="1" applyNumberFormat="1" applyFont="1" applyFill="1" applyBorder="1"/>
    <xf numFmtId="0" fontId="126" fillId="5" borderId="0" xfId="0" applyFont="1" applyFill="1"/>
    <xf numFmtId="169" fontId="46" fillId="5" borderId="0" xfId="1" applyNumberFormat="1" applyFont="1" applyFill="1"/>
    <xf numFmtId="0" fontId="126" fillId="5" borderId="0" xfId="0" applyFont="1" applyFill="1" applyAlignment="1">
      <alignment horizontal="center"/>
    </xf>
    <xf numFmtId="0" fontId="89" fillId="5" borderId="0" xfId="0" applyFont="1" applyFill="1" applyAlignment="1">
      <alignment horizontal="center"/>
    </xf>
    <xf numFmtId="0" fontId="94" fillId="5" borderId="0" xfId="0" applyFont="1" applyFill="1" applyAlignment="1">
      <alignment horizontal="center" vertical="center"/>
    </xf>
    <xf numFmtId="0" fontId="89" fillId="5" borderId="0" xfId="0" applyFont="1" applyFill="1" applyAlignment="1">
      <alignment horizontal="center"/>
    </xf>
    <xf numFmtId="0" fontId="89" fillId="5" borderId="1" xfId="0" applyFont="1" applyFill="1" applyBorder="1" applyAlignment="1">
      <alignment horizontal="center" vertical="center" wrapText="1"/>
    </xf>
    <xf numFmtId="3" fontId="46" fillId="5" borderId="1" xfId="3" applyNumberFormat="1" applyFont="1" applyFill="1" applyBorder="1" applyAlignment="1">
      <alignment horizontal="right" vertical="center" wrapText="1"/>
    </xf>
    <xf numFmtId="0" fontId="89" fillId="5" borderId="0" xfId="0" applyFont="1" applyFill="1" applyAlignment="1">
      <alignment horizontal="center" vertical="center"/>
    </xf>
    <xf numFmtId="0" fontId="94" fillId="5" borderId="0" xfId="0" applyFont="1" applyFill="1" applyAlignment="1">
      <alignment horizontal="center" vertical="center"/>
    </xf>
    <xf numFmtId="0" fontId="89" fillId="5" borderId="0" xfId="0" applyFont="1" applyFill="1" applyAlignment="1">
      <alignment horizontal="center"/>
    </xf>
    <xf numFmtId="0" fontId="89" fillId="5" borderId="32" xfId="0" applyFont="1" applyFill="1" applyBorder="1" applyAlignment="1">
      <alignment horizontal="center" vertical="center" wrapText="1"/>
    </xf>
    <xf numFmtId="0" fontId="89" fillId="5" borderId="1" xfId="0" applyFont="1" applyFill="1" applyBorder="1" applyAlignment="1">
      <alignment horizontal="center" vertical="center" wrapText="1"/>
    </xf>
    <xf numFmtId="0" fontId="89" fillId="5" borderId="4" xfId="0" applyFont="1" applyFill="1" applyBorder="1" applyAlignment="1">
      <alignment horizontal="center" vertical="center" wrapText="1"/>
    </xf>
    <xf numFmtId="0" fontId="104" fillId="5" borderId="24" xfId="0" applyFont="1" applyFill="1" applyBorder="1" applyAlignment="1">
      <alignment horizontal="center" vertical="center"/>
    </xf>
    <xf numFmtId="0" fontId="89" fillId="5" borderId="28" xfId="0" applyFont="1" applyFill="1" applyBorder="1" applyAlignment="1">
      <alignment horizontal="center" vertical="center"/>
    </xf>
    <xf numFmtId="0" fontId="89" fillId="5" borderId="3" xfId="0" applyFont="1" applyFill="1" applyBorder="1" applyAlignment="1">
      <alignment horizontal="center" vertical="center" wrapText="1"/>
    </xf>
    <xf numFmtId="0" fontId="89" fillId="5" borderId="0" xfId="0" applyFont="1" applyFill="1" applyAlignment="1">
      <alignment horizontal="center" vertical="center"/>
    </xf>
    <xf numFmtId="0" fontId="94" fillId="5" borderId="0" xfId="0" applyFont="1" applyFill="1" applyAlignment="1">
      <alignment horizontal="center" vertical="center"/>
    </xf>
    <xf numFmtId="0" fontId="89" fillId="5" borderId="1" xfId="0" applyFont="1" applyFill="1" applyBorder="1" applyAlignment="1">
      <alignment horizontal="center" vertical="center" wrapText="1"/>
    </xf>
    <xf numFmtId="0" fontId="104" fillId="5" borderId="1" xfId="0" applyFont="1" applyFill="1" applyBorder="1" applyAlignment="1">
      <alignment horizontal="center" vertical="center"/>
    </xf>
    <xf numFmtId="0" fontId="89" fillId="5" borderId="28" xfId="0" applyFont="1" applyFill="1" applyBorder="1" applyAlignment="1">
      <alignment horizontal="center" vertical="center"/>
    </xf>
    <xf numFmtId="0" fontId="89" fillId="5" borderId="0" xfId="0" applyFont="1" applyFill="1" applyAlignment="1">
      <alignment horizontal="center"/>
    </xf>
    <xf numFmtId="0" fontId="89" fillId="5" borderId="32" xfId="0" applyFont="1" applyFill="1" applyBorder="1" applyAlignment="1">
      <alignment horizontal="center" vertical="center" wrapText="1"/>
    </xf>
    <xf numFmtId="0" fontId="89" fillId="5" borderId="2" xfId="0" applyFont="1" applyFill="1" applyBorder="1" applyAlignment="1">
      <alignment horizontal="center" vertical="center" wrapText="1"/>
    </xf>
    <xf numFmtId="0" fontId="89" fillId="5" borderId="4" xfId="0" applyFont="1" applyFill="1" applyBorder="1" applyAlignment="1">
      <alignment horizontal="center" vertical="center" wrapText="1"/>
    </xf>
    <xf numFmtId="0" fontId="104" fillId="5" borderId="24" xfId="0" applyFont="1" applyFill="1" applyBorder="1" applyAlignment="1">
      <alignment horizontal="center" vertical="center"/>
    </xf>
    <xf numFmtId="0" fontId="89" fillId="5" borderId="55" xfId="0" applyFont="1" applyFill="1" applyBorder="1" applyAlignment="1">
      <alignment horizontal="center" vertical="center"/>
    </xf>
    <xf numFmtId="164" fontId="126" fillId="5" borderId="0" xfId="1" applyFont="1" applyFill="1"/>
    <xf numFmtId="169" fontId="126" fillId="5" borderId="0" xfId="1" applyNumberFormat="1" applyFont="1" applyFill="1"/>
    <xf numFmtId="3" fontId="46" fillId="2" borderId="0" xfId="0" applyNumberFormat="1" applyFont="1" applyFill="1"/>
    <xf numFmtId="169" fontId="46" fillId="2" borderId="0" xfId="0" applyNumberFormat="1" applyFont="1" applyFill="1"/>
    <xf numFmtId="0" fontId="46" fillId="2" borderId="1" xfId="0" applyFont="1" applyFill="1" applyBorder="1" applyAlignment="1">
      <alignment horizontal="center" vertical="center" wrapText="1"/>
    </xf>
    <xf numFmtId="0" fontId="46" fillId="2" borderId="23" xfId="0" applyFont="1" applyFill="1" applyBorder="1" applyAlignment="1">
      <alignment horizontal="justify" vertical="center"/>
    </xf>
    <xf numFmtId="3" fontId="46" fillId="2" borderId="1" xfId="0" applyNumberFormat="1" applyFont="1" applyFill="1" applyBorder="1" applyAlignment="1">
      <alignment horizontal="right" vertical="center" wrapText="1"/>
    </xf>
    <xf numFmtId="3" fontId="46" fillId="2" borderId="1" xfId="3" applyNumberFormat="1" applyFont="1" applyFill="1" applyBorder="1" applyAlignment="1">
      <alignment horizontal="right" vertical="center"/>
    </xf>
    <xf numFmtId="169" fontId="46" fillId="2" borderId="1" xfId="1" applyNumberFormat="1" applyFont="1" applyFill="1" applyBorder="1" applyAlignment="1">
      <alignment horizontal="right" vertical="center" wrapText="1"/>
    </xf>
    <xf numFmtId="3" fontId="46" fillId="2" borderId="24" xfId="3" applyNumberFormat="1" applyFont="1" applyFill="1" applyBorder="1" applyAlignment="1">
      <alignment horizontal="right"/>
    </xf>
    <xf numFmtId="3" fontId="46" fillId="2" borderId="1" xfId="3" applyNumberFormat="1" applyFont="1" applyFill="1" applyBorder="1" applyAlignment="1">
      <alignment horizontal="right"/>
    </xf>
    <xf numFmtId="0" fontId="46" fillId="2" borderId="0" xfId="0" applyFont="1" applyFill="1"/>
    <xf numFmtId="195" fontId="46" fillId="2" borderId="0" xfId="0" applyNumberFormat="1" applyFont="1" applyFill="1"/>
    <xf numFmtId="0" fontId="126" fillId="2" borderId="0" xfId="0" applyFont="1" applyFill="1"/>
    <xf numFmtId="0" fontId="46" fillId="2" borderId="23" xfId="0" applyFont="1" applyFill="1" applyBorder="1" applyAlignment="1">
      <alignment horizontal="justify" vertical="center" wrapText="1"/>
    </xf>
    <xf numFmtId="164" fontId="46" fillId="2" borderId="0" xfId="1" applyFont="1" applyFill="1"/>
    <xf numFmtId="0" fontId="46" fillId="9" borderId="1" xfId="0" applyFont="1" applyFill="1" applyBorder="1" applyAlignment="1">
      <alignment horizontal="center" vertical="center" wrapText="1"/>
    </xf>
    <xf numFmtId="0" fontId="46" fillId="9" borderId="23" xfId="0" applyFont="1" applyFill="1" applyBorder="1" applyAlignment="1">
      <alignment horizontal="justify" vertical="center"/>
    </xf>
    <xf numFmtId="3" fontId="46" fillId="9" borderId="1" xfId="0" applyNumberFormat="1" applyFont="1" applyFill="1" applyBorder="1" applyAlignment="1">
      <alignment horizontal="right" vertical="center" wrapText="1"/>
    </xf>
    <xf numFmtId="3" fontId="46" fillId="9" borderId="1" xfId="3" applyNumberFormat="1" applyFont="1" applyFill="1" applyBorder="1" applyAlignment="1">
      <alignment horizontal="right" vertical="center"/>
    </xf>
    <xf numFmtId="169" fontId="46" fillId="9" borderId="1" xfId="1" applyNumberFormat="1" applyFont="1" applyFill="1" applyBorder="1" applyAlignment="1">
      <alignment horizontal="right" vertical="center" wrapText="1"/>
    </xf>
    <xf numFmtId="3" fontId="46" fillId="9" borderId="24" xfId="3" applyNumberFormat="1" applyFont="1" applyFill="1" applyBorder="1" applyAlignment="1">
      <alignment horizontal="right"/>
    </xf>
    <xf numFmtId="3" fontId="46" fillId="9" borderId="1" xfId="3" applyNumberFormat="1" applyFont="1" applyFill="1" applyBorder="1" applyAlignment="1">
      <alignment horizontal="right"/>
    </xf>
    <xf numFmtId="0" fontId="46" fillId="9" borderId="0" xfId="0" applyFont="1" applyFill="1"/>
    <xf numFmtId="3" fontId="46" fillId="9" borderId="0" xfId="0" applyNumberFormat="1" applyFont="1" applyFill="1"/>
    <xf numFmtId="3" fontId="94" fillId="5" borderId="0" xfId="0" applyNumberFormat="1" applyFont="1" applyFill="1" applyAlignment="1">
      <alignment horizontal="center" vertical="center"/>
    </xf>
    <xf numFmtId="0" fontId="126" fillId="5" borderId="1" xfId="0" applyFont="1" applyFill="1" applyBorder="1" applyAlignment="1">
      <alignment horizontal="center" vertical="center" wrapText="1"/>
    </xf>
    <xf numFmtId="0" fontId="126" fillId="5" borderId="23" xfId="0" applyFont="1" applyFill="1" applyBorder="1" applyAlignment="1">
      <alignment horizontal="justify" vertical="center" wrapText="1"/>
    </xf>
    <xf numFmtId="3" fontId="126" fillId="5" borderId="1" xfId="0" applyNumberFormat="1" applyFont="1" applyFill="1" applyBorder="1" applyAlignment="1">
      <alignment horizontal="right" vertical="center" wrapText="1"/>
    </xf>
    <xf numFmtId="3" fontId="126" fillId="5" borderId="1" xfId="3" applyNumberFormat="1" applyFont="1" applyFill="1" applyBorder="1" applyAlignment="1">
      <alignment horizontal="right" vertical="center"/>
    </xf>
    <xf numFmtId="169" fontId="126" fillId="5" borderId="1" xfId="1" applyNumberFormat="1" applyFont="1" applyFill="1" applyBorder="1" applyAlignment="1">
      <alignment horizontal="right" vertical="center" wrapText="1"/>
    </xf>
    <xf numFmtId="3" fontId="126" fillId="5" borderId="24" xfId="3" applyNumberFormat="1" applyFont="1" applyFill="1" applyBorder="1" applyAlignment="1">
      <alignment horizontal="right"/>
    </xf>
    <xf numFmtId="3" fontId="126" fillId="5" borderId="1" xfId="3" applyNumberFormat="1" applyFont="1" applyFill="1" applyBorder="1" applyAlignment="1">
      <alignment horizontal="right"/>
    </xf>
    <xf numFmtId="0" fontId="89" fillId="5" borderId="55" xfId="0" applyFont="1" applyFill="1" applyBorder="1" applyAlignment="1">
      <alignment horizontal="center" vertical="center" wrapText="1"/>
    </xf>
    <xf numFmtId="0" fontId="95" fillId="5" borderId="0" xfId="0" applyFont="1" applyFill="1" applyAlignment="1">
      <alignment horizontal="center" vertical="center"/>
    </xf>
    <xf numFmtId="3" fontId="89" fillId="5" borderId="1" xfId="0" applyNumberFormat="1" applyFont="1" applyFill="1" applyBorder="1" applyAlignment="1">
      <alignment horizontal="right" vertical="center" wrapText="1"/>
    </xf>
    <xf numFmtId="3" fontId="128" fillId="5" borderId="1" xfId="0" applyNumberFormat="1" applyFont="1" applyFill="1" applyBorder="1" applyAlignment="1">
      <alignment horizontal="right" vertical="center" wrapText="1"/>
    </xf>
    <xf numFmtId="3" fontId="128" fillId="5" borderId="0" xfId="0" applyNumberFormat="1" applyFont="1" applyFill="1"/>
    <xf numFmtId="3" fontId="128" fillId="5" borderId="1" xfId="3" applyNumberFormat="1" applyFont="1" applyFill="1" applyBorder="1" applyAlignment="1">
      <alignment horizontal="right" vertical="center" wrapText="1"/>
    </xf>
    <xf numFmtId="195" fontId="126" fillId="5" borderId="0" xfId="0" applyNumberFormat="1" applyFont="1" applyFill="1"/>
    <xf numFmtId="0" fontId="126" fillId="5" borderId="23" xfId="0" applyFont="1" applyFill="1" applyBorder="1" applyAlignment="1">
      <alignment horizontal="justify" vertical="center"/>
    </xf>
    <xf numFmtId="0" fontId="129" fillId="5" borderId="1" xfId="0" applyFont="1" applyFill="1" applyBorder="1" applyAlignment="1">
      <alignment horizontal="center" vertical="center" wrapText="1"/>
    </xf>
    <xf numFmtId="0" fontId="129" fillId="5" borderId="23" xfId="0" applyFont="1" applyFill="1" applyBorder="1" applyAlignment="1">
      <alignment horizontal="justify" vertical="center"/>
    </xf>
    <xf numFmtId="3" fontId="129" fillId="5" borderId="1" xfId="0" applyNumberFormat="1" applyFont="1" applyFill="1" applyBorder="1" applyAlignment="1">
      <alignment horizontal="right" vertical="center" wrapText="1"/>
    </xf>
    <xf numFmtId="0" fontId="129" fillId="5" borderId="0" xfId="0" applyFont="1" applyFill="1"/>
    <xf numFmtId="0" fontId="89" fillId="10" borderId="0" xfId="0" applyFont="1" applyFill="1" applyAlignment="1">
      <alignment horizontal="center"/>
    </xf>
    <xf numFmtId="0" fontId="94" fillId="10" borderId="0" xfId="0" applyFont="1" applyFill="1" applyAlignment="1">
      <alignment horizontal="center" vertical="center"/>
    </xf>
    <xf numFmtId="0" fontId="104" fillId="10" borderId="24" xfId="0" applyFont="1" applyFill="1" applyBorder="1" applyAlignment="1">
      <alignment horizontal="center" vertical="center"/>
    </xf>
    <xf numFmtId="0" fontId="104" fillId="10" borderId="1" xfId="0" applyFont="1" applyFill="1" applyBorder="1" applyAlignment="1">
      <alignment horizontal="center" vertical="center"/>
    </xf>
    <xf numFmtId="0" fontId="89" fillId="10" borderId="2" xfId="0" applyFont="1" applyFill="1" applyBorder="1" applyAlignment="1">
      <alignment horizontal="center" vertical="center" wrapText="1"/>
    </xf>
    <xf numFmtId="0" fontId="89" fillId="10" borderId="4" xfId="0" applyFont="1" applyFill="1" applyBorder="1" applyAlignment="1">
      <alignment horizontal="center" vertical="center" wrapText="1"/>
    </xf>
    <xf numFmtId="0" fontId="89" fillId="10" borderId="1" xfId="0" applyFont="1" applyFill="1" applyBorder="1" applyAlignment="1">
      <alignment horizontal="center" vertical="center" wrapText="1"/>
    </xf>
    <xf numFmtId="3" fontId="89" fillId="10" borderId="1" xfId="3" applyNumberFormat="1" applyFont="1" applyFill="1" applyBorder="1" applyAlignment="1">
      <alignment horizontal="right" vertical="center" wrapText="1"/>
    </xf>
    <xf numFmtId="3" fontId="46" fillId="10" borderId="1" xfId="0" applyNumberFormat="1" applyFont="1" applyFill="1" applyBorder="1" applyAlignment="1">
      <alignment horizontal="right" vertical="center" wrapText="1"/>
    </xf>
    <xf numFmtId="3" fontId="46" fillId="10" borderId="1" xfId="3" applyNumberFormat="1" applyFont="1" applyFill="1" applyBorder="1" applyAlignment="1">
      <alignment horizontal="right" vertical="center"/>
    </xf>
    <xf numFmtId="3" fontId="126" fillId="10" borderId="1" xfId="3" applyNumberFormat="1" applyFont="1" applyFill="1" applyBorder="1" applyAlignment="1">
      <alignment horizontal="right" vertical="center"/>
    </xf>
    <xf numFmtId="0" fontId="89" fillId="10" borderId="1" xfId="0" applyFont="1" applyFill="1" applyBorder="1"/>
    <xf numFmtId="0" fontId="46" fillId="10" borderId="0" xfId="0" applyFont="1" applyFill="1"/>
    <xf numFmtId="3" fontId="46" fillId="10" borderId="0" xfId="0" applyNumberFormat="1" applyFont="1" applyFill="1"/>
    <xf numFmtId="0" fontId="128" fillId="10" borderId="0" xfId="0" applyFont="1" applyFill="1" applyAlignment="1">
      <alignment horizontal="center"/>
    </xf>
    <xf numFmtId="0" fontId="129" fillId="10" borderId="0" xfId="0" applyFont="1" applyFill="1" applyAlignment="1">
      <alignment horizontal="center" vertical="center"/>
    </xf>
    <xf numFmtId="0" fontId="128" fillId="10" borderId="1" xfId="0" applyFont="1" applyFill="1" applyBorder="1" applyAlignment="1">
      <alignment horizontal="center" vertical="center" wrapText="1"/>
    </xf>
    <xf numFmtId="3" fontId="128" fillId="10" borderId="1" xfId="3" applyNumberFormat="1" applyFont="1" applyFill="1" applyBorder="1" applyAlignment="1">
      <alignment horizontal="right" vertical="center" wrapText="1"/>
    </xf>
    <xf numFmtId="3" fontId="126" fillId="10" borderId="1" xfId="0" applyNumberFormat="1" applyFont="1" applyFill="1" applyBorder="1" applyAlignment="1">
      <alignment horizontal="right" vertical="center" wrapText="1"/>
    </xf>
    <xf numFmtId="3" fontId="126" fillId="10" borderId="1" xfId="3" applyNumberFormat="1" applyFont="1" applyFill="1" applyBorder="1" applyAlignment="1">
      <alignment horizontal="right" vertical="center" wrapText="1"/>
    </xf>
    <xf numFmtId="0" fontId="126" fillId="10" borderId="0" xfId="0" applyFont="1" applyFill="1"/>
    <xf numFmtId="169" fontId="46" fillId="10" borderId="0" xfId="0" applyNumberFormat="1" applyFont="1" applyFill="1"/>
    <xf numFmtId="0" fontId="130" fillId="5" borderId="0" xfId="0" applyFont="1" applyFill="1" applyAlignment="1">
      <alignment horizontal="center" vertical="center"/>
    </xf>
    <xf numFmtId="3" fontId="130" fillId="5" borderId="0" xfId="0" applyNumberFormat="1" applyFont="1" applyFill="1" applyAlignment="1">
      <alignment horizontal="center" vertical="center"/>
    </xf>
    <xf numFmtId="0" fontId="121" fillId="5" borderId="0" xfId="0" applyFont="1" applyFill="1"/>
    <xf numFmtId="0" fontId="46" fillId="5" borderId="1" xfId="0" quotePrefix="1" applyFont="1" applyFill="1" applyBorder="1" applyAlignment="1">
      <alignment horizontal="center" vertical="center" wrapText="1"/>
    </xf>
    <xf numFmtId="3" fontId="89" fillId="5" borderId="1" xfId="0" applyNumberFormat="1" applyFont="1" applyFill="1" applyBorder="1"/>
    <xf numFmtId="0" fontId="46" fillId="5" borderId="1" xfId="0" applyFont="1" applyFill="1" applyBorder="1" applyAlignment="1">
      <alignment horizontal="center"/>
    </xf>
    <xf numFmtId="3" fontId="46" fillId="5" borderId="1" xfId="0" applyNumberFormat="1" applyFont="1" applyFill="1" applyBorder="1"/>
    <xf numFmtId="3" fontId="89" fillId="5" borderId="2" xfId="0" applyNumberFormat="1" applyFont="1" applyFill="1" applyBorder="1"/>
    <xf numFmtId="0" fontId="46" fillId="5" borderId="28" xfId="0" applyFont="1" applyFill="1" applyBorder="1"/>
    <xf numFmtId="0" fontId="89" fillId="5" borderId="0" xfId="0" applyFont="1" applyFill="1" applyBorder="1"/>
    <xf numFmtId="0" fontId="46" fillId="5" borderId="0" xfId="0" applyFont="1" applyFill="1" applyBorder="1"/>
    <xf numFmtId="0" fontId="46" fillId="5" borderId="2" xfId="0" applyFont="1" applyFill="1" applyBorder="1"/>
    <xf numFmtId="3" fontId="89" fillId="5" borderId="28" xfId="0" applyNumberFormat="1" applyFont="1" applyFill="1" applyBorder="1"/>
    <xf numFmtId="3" fontId="89" fillId="5" borderId="0" xfId="0" applyNumberFormat="1" applyFont="1" applyFill="1" applyBorder="1"/>
    <xf numFmtId="0" fontId="89" fillId="5" borderId="0" xfId="0" applyFont="1" applyFill="1" applyAlignment="1">
      <alignment horizontal="center" vertical="center"/>
    </xf>
    <xf numFmtId="0" fontId="5" fillId="0" borderId="0" xfId="0" applyFont="1" applyAlignment="1">
      <alignment horizontal="center" vertical="center"/>
    </xf>
    <xf numFmtId="0" fontId="89" fillId="5" borderId="0" xfId="0" applyFont="1" applyFill="1" applyAlignment="1">
      <alignment horizontal="center"/>
    </xf>
    <xf numFmtId="0" fontId="10" fillId="5" borderId="0" xfId="0" applyFont="1" applyFill="1" applyAlignment="1"/>
    <xf numFmtId="0" fontId="89" fillId="5" borderId="1" xfId="0" applyFont="1" applyFill="1" applyBorder="1" applyAlignment="1">
      <alignment horizontal="center"/>
    </xf>
    <xf numFmtId="169" fontId="89" fillId="5" borderId="1" xfId="0" applyNumberFormat="1" applyFont="1" applyFill="1" applyBorder="1" applyAlignment="1">
      <alignment horizontal="center"/>
    </xf>
    <xf numFmtId="169" fontId="89" fillId="5" borderId="1" xfId="0" applyNumberFormat="1" applyFont="1" applyFill="1" applyBorder="1"/>
    <xf numFmtId="169" fontId="46" fillId="5" borderId="1" xfId="1" applyNumberFormat="1" applyFont="1" applyFill="1" applyBorder="1"/>
    <xf numFmtId="0" fontId="46" fillId="5" borderId="1" xfId="0" applyFont="1" applyFill="1" applyBorder="1" applyAlignment="1">
      <alignment horizontal="justify" vertical="center"/>
    </xf>
    <xf numFmtId="3" fontId="121" fillId="5" borderId="1" xfId="3" applyNumberFormat="1" applyFont="1" applyFill="1" applyBorder="1" applyAlignment="1">
      <alignment horizontal="right" vertical="center"/>
    </xf>
    <xf numFmtId="3" fontId="123" fillId="5" borderId="1" xfId="0" applyNumberFormat="1" applyFont="1" applyFill="1" applyBorder="1" applyAlignment="1">
      <alignment horizontal="right" vertical="center" wrapText="1"/>
    </xf>
    <xf numFmtId="3" fontId="121" fillId="5" borderId="1" xfId="0" applyNumberFormat="1" applyFont="1" applyFill="1" applyBorder="1" applyAlignment="1">
      <alignment horizontal="right" vertical="center" wrapText="1"/>
    </xf>
    <xf numFmtId="196" fontId="46" fillId="5" borderId="0" xfId="1" applyNumberFormat="1" applyFont="1" applyFill="1"/>
    <xf numFmtId="196" fontId="89" fillId="5" borderId="1" xfId="1" applyNumberFormat="1" applyFont="1" applyFill="1" applyBorder="1" applyAlignment="1">
      <alignment horizontal="center"/>
    </xf>
    <xf numFmtId="169" fontId="46" fillId="5" borderId="0" xfId="3" applyNumberFormat="1" applyFont="1" applyFill="1"/>
    <xf numFmtId="0" fontId="94" fillId="5" borderId="0" xfId="0" applyFont="1" applyFill="1" applyAlignment="1">
      <alignment horizontal="center"/>
    </xf>
    <xf numFmtId="169" fontId="94" fillId="5" borderId="0" xfId="3" applyNumberFormat="1" applyFont="1" applyFill="1" applyAlignment="1">
      <alignment horizontal="center"/>
    </xf>
    <xf numFmtId="0" fontId="1" fillId="5" borderId="1" xfId="0" applyFont="1" applyFill="1" applyBorder="1" applyAlignment="1">
      <alignment vertical="center" wrapText="1"/>
    </xf>
    <xf numFmtId="3" fontId="1" fillId="5" borderId="1" xfId="0" applyNumberFormat="1" applyFont="1" applyFill="1" applyBorder="1" applyAlignment="1">
      <alignment horizontal="right" vertical="center" wrapText="1"/>
    </xf>
    <xf numFmtId="169" fontId="1" fillId="5" borderId="1" xfId="3" applyNumberFormat="1" applyFont="1" applyFill="1" applyBorder="1" applyAlignment="1">
      <alignment horizontal="right" vertical="center" wrapText="1"/>
    </xf>
    <xf numFmtId="169" fontId="89" fillId="5" borderId="0" xfId="0" applyNumberFormat="1" applyFont="1" applyFill="1"/>
    <xf numFmtId="0" fontId="3" fillId="5" borderId="1" xfId="0" applyFont="1" applyFill="1" applyBorder="1" applyAlignment="1">
      <alignment horizontal="justify" vertical="top"/>
    </xf>
    <xf numFmtId="3" fontId="3" fillId="5" borderId="1" xfId="0" applyNumberFormat="1" applyFont="1" applyFill="1" applyBorder="1" applyAlignment="1">
      <alignment horizontal="right" vertical="center" wrapText="1"/>
    </xf>
    <xf numFmtId="169" fontId="3" fillId="5" borderId="1" xfId="3" applyNumberFormat="1" applyFont="1" applyFill="1" applyBorder="1" applyAlignment="1">
      <alignment horizontal="right" vertical="center" wrapText="1"/>
    </xf>
    <xf numFmtId="0" fontId="1" fillId="5" borderId="1" xfId="0" applyFont="1" applyFill="1" applyBorder="1" applyAlignment="1">
      <alignment horizontal="justify" vertical="center"/>
    </xf>
    <xf numFmtId="169" fontId="1" fillId="5" borderId="1" xfId="3" applyNumberFormat="1" applyFont="1" applyFill="1" applyBorder="1" applyAlignment="1">
      <alignment horizontal="center" vertical="center" wrapText="1"/>
    </xf>
    <xf numFmtId="0" fontId="3" fillId="5" borderId="1" xfId="0" applyFont="1" applyFill="1" applyBorder="1" applyAlignment="1">
      <alignment vertical="center" wrapText="1"/>
    </xf>
    <xf numFmtId="0" fontId="94" fillId="5" borderId="0" xfId="0" applyFont="1" applyFill="1" applyAlignment="1">
      <alignment horizontal="center" vertical="center"/>
    </xf>
    <xf numFmtId="169" fontId="23" fillId="5" borderId="1" xfId="1" applyNumberFormat="1" applyFont="1" applyFill="1" applyBorder="1" applyAlignment="1">
      <alignment horizontal="center" vertical="center" wrapText="1"/>
    </xf>
    <xf numFmtId="0" fontId="23" fillId="5" borderId="1" xfId="0" applyFont="1" applyFill="1" applyBorder="1" applyAlignment="1">
      <alignment horizontal="center" vertical="center" wrapText="1"/>
    </xf>
    <xf numFmtId="0" fontId="89" fillId="5" borderId="0" xfId="0" applyFont="1" applyFill="1" applyAlignment="1">
      <alignment horizontal="center" vertical="center"/>
    </xf>
    <xf numFmtId="0" fontId="94" fillId="5" borderId="0" xfId="0" applyFont="1" applyFill="1" applyAlignment="1">
      <alignment horizontal="center" vertical="center"/>
    </xf>
    <xf numFmtId="0" fontId="94" fillId="5" borderId="0" xfId="0" applyFont="1" applyFill="1" applyAlignment="1">
      <alignment horizontal="right" vertical="center"/>
    </xf>
    <xf numFmtId="169" fontId="23" fillId="7" borderId="1" xfId="1" applyNumberFormat="1" applyFont="1" applyFill="1" applyBorder="1" applyAlignment="1">
      <alignment horizontal="center" vertical="center" wrapText="1"/>
    </xf>
    <xf numFmtId="0" fontId="23" fillId="2" borderId="23" xfId="0" applyFont="1" applyFill="1" applyBorder="1" applyAlignment="1">
      <alignment horizontal="center" vertical="center" shrinkToFit="1"/>
    </xf>
    <xf numFmtId="0" fontId="23" fillId="2" borderId="24" xfId="0" applyFont="1" applyFill="1" applyBorder="1" applyAlignment="1">
      <alignment horizontal="center" vertical="center" shrinkToFit="1"/>
    </xf>
    <xf numFmtId="0" fontId="101" fillId="5" borderId="23" xfId="0" applyFont="1" applyFill="1" applyBorder="1" applyAlignment="1">
      <alignment horizontal="center" vertical="center" wrapText="1"/>
    </xf>
    <xf numFmtId="0" fontId="101" fillId="5" borderId="14" xfId="0" applyFont="1" applyFill="1" applyBorder="1" applyAlignment="1">
      <alignment horizontal="center" vertical="center" wrapText="1"/>
    </xf>
    <xf numFmtId="0" fontId="101" fillId="5" borderId="24" xfId="0" applyFont="1" applyFill="1" applyBorder="1" applyAlignment="1">
      <alignment horizontal="center" vertical="center" wrapText="1"/>
    </xf>
    <xf numFmtId="0" fontId="23" fillId="5" borderId="1" xfId="0" applyFont="1" applyFill="1" applyBorder="1" applyAlignment="1">
      <alignment horizontal="center" vertical="center"/>
    </xf>
    <xf numFmtId="0" fontId="101" fillId="5" borderId="1" xfId="0" applyFont="1" applyFill="1" applyBorder="1" applyAlignment="1">
      <alignment horizontal="center" vertical="center" wrapText="1"/>
    </xf>
    <xf numFmtId="43" fontId="102" fillId="0" borderId="0" xfId="3" applyNumberFormat="1" applyFont="1" applyFill="1" applyBorder="1" applyAlignment="1">
      <alignment horizontal="left" vertical="center" wrapText="1"/>
    </xf>
    <xf numFmtId="0" fontId="102" fillId="2" borderId="0" xfId="3" applyNumberFormat="1" applyFont="1" applyFill="1" applyBorder="1" applyAlignment="1">
      <alignment horizontal="left" vertical="center" readingOrder="1"/>
    </xf>
    <xf numFmtId="49" fontId="105" fillId="0" borderId="2" xfId="3" applyNumberFormat="1" applyFont="1" applyFill="1" applyBorder="1" applyAlignment="1">
      <alignment horizontal="center" vertical="center" wrapText="1"/>
    </xf>
    <xf numFmtId="49" fontId="105" fillId="0" borderId="4" xfId="3" applyNumberFormat="1" applyFont="1" applyFill="1" applyBorder="1" applyAlignment="1">
      <alignment horizontal="center" vertical="center" wrapText="1"/>
    </xf>
    <xf numFmtId="49" fontId="105" fillId="0" borderId="1" xfId="3" applyNumberFormat="1" applyFont="1" applyFill="1" applyBorder="1" applyAlignment="1">
      <alignment horizontal="center" vertical="center" wrapText="1"/>
    </xf>
    <xf numFmtId="49" fontId="105" fillId="0" borderId="23" xfId="3" applyNumberFormat="1" applyFont="1" applyFill="1" applyBorder="1" applyAlignment="1">
      <alignment horizontal="center" vertical="center" wrapText="1"/>
    </xf>
    <xf numFmtId="49" fontId="105" fillId="0" borderId="14" xfId="3" applyNumberFormat="1" applyFont="1" applyFill="1" applyBorder="1" applyAlignment="1">
      <alignment horizontal="center" vertical="center" wrapText="1"/>
    </xf>
    <xf numFmtId="49" fontId="105" fillId="0" borderId="24" xfId="3" applyNumberFormat="1" applyFont="1" applyFill="1" applyBorder="1" applyAlignment="1">
      <alignment horizontal="center" vertical="center" wrapText="1"/>
    </xf>
    <xf numFmtId="0" fontId="105" fillId="0" borderId="37" xfId="0" applyFont="1" applyBorder="1" applyAlignment="1">
      <alignment horizontal="center" vertical="center" wrapText="1"/>
    </xf>
    <xf numFmtId="0" fontId="105" fillId="0" borderId="3" xfId="0" applyFont="1" applyBorder="1" applyAlignment="1">
      <alignment horizontal="center" vertical="center" wrapText="1"/>
    </xf>
    <xf numFmtId="0" fontId="105" fillId="0" borderId="4" xfId="0" applyFont="1" applyBorder="1" applyAlignment="1">
      <alignment horizontal="center" vertical="center" wrapText="1"/>
    </xf>
    <xf numFmtId="0" fontId="105" fillId="0" borderId="16" xfId="0" applyFont="1" applyBorder="1" applyAlignment="1">
      <alignment horizontal="center"/>
    </xf>
    <xf numFmtId="49" fontId="102" fillId="0" borderId="2" xfId="3" applyNumberFormat="1" applyFont="1" applyFill="1" applyBorder="1" applyAlignment="1">
      <alignment horizontal="center" vertical="center" wrapText="1"/>
    </xf>
    <xf numFmtId="49" fontId="102" fillId="0" borderId="4" xfId="3" applyNumberFormat="1" applyFont="1" applyFill="1" applyBorder="1" applyAlignment="1">
      <alignment horizontal="center" vertical="center" wrapText="1"/>
    </xf>
    <xf numFmtId="49" fontId="106" fillId="0" borderId="16" xfId="3" applyNumberFormat="1" applyFont="1" applyFill="1" applyBorder="1" applyAlignment="1">
      <alignment horizontal="center" vertical="center" wrapText="1"/>
    </xf>
    <xf numFmtId="49" fontId="106" fillId="0" borderId="1" xfId="3" applyNumberFormat="1" applyFont="1" applyFill="1" applyBorder="1" applyAlignment="1">
      <alignment horizontal="center" vertical="center" wrapText="1"/>
    </xf>
    <xf numFmtId="49" fontId="106" fillId="0" borderId="41" xfId="3" applyNumberFormat="1" applyFont="1" applyFill="1" applyBorder="1" applyAlignment="1">
      <alignment horizontal="center" vertical="center" wrapText="1"/>
    </xf>
    <xf numFmtId="49" fontId="106" fillId="0" borderId="42" xfId="3" applyNumberFormat="1" applyFont="1" applyFill="1" applyBorder="1" applyAlignment="1">
      <alignment horizontal="center" vertical="center" wrapText="1"/>
    </xf>
    <xf numFmtId="49" fontId="106" fillId="0" borderId="43" xfId="3" applyNumberFormat="1" applyFont="1" applyFill="1" applyBorder="1" applyAlignment="1">
      <alignment horizontal="center" vertical="center" wrapText="1"/>
    </xf>
    <xf numFmtId="49" fontId="105" fillId="0" borderId="38" xfId="3" applyNumberFormat="1" applyFont="1" applyFill="1" applyBorder="1" applyAlignment="1">
      <alignment horizontal="center" vertical="center" wrapText="1"/>
    </xf>
    <xf numFmtId="49" fontId="105" fillId="0" borderId="39" xfId="3" applyNumberFormat="1" applyFont="1" applyFill="1" applyBorder="1" applyAlignment="1">
      <alignment horizontal="center" vertical="center" wrapText="1"/>
    </xf>
    <xf numFmtId="49" fontId="105" fillId="0" borderId="40" xfId="3" applyNumberFormat="1" applyFont="1" applyFill="1" applyBorder="1" applyAlignment="1">
      <alignment horizontal="center" vertical="center" wrapText="1"/>
    </xf>
    <xf numFmtId="49" fontId="105" fillId="0" borderId="16" xfId="3" applyNumberFormat="1" applyFont="1" applyFill="1" applyBorder="1" applyAlignment="1">
      <alignment horizontal="center" vertical="center" wrapText="1"/>
    </xf>
    <xf numFmtId="49" fontId="106" fillId="0" borderId="2" xfId="3" applyNumberFormat="1" applyFont="1" applyFill="1" applyBorder="1" applyAlignment="1">
      <alignment horizontal="center" vertical="center" wrapText="1"/>
    </xf>
    <xf numFmtId="49" fontId="106" fillId="0" borderId="4" xfId="3" applyNumberFormat="1" applyFont="1" applyFill="1" applyBorder="1" applyAlignment="1">
      <alignment horizontal="center" vertical="center" wrapText="1"/>
    </xf>
    <xf numFmtId="49" fontId="108" fillId="0" borderId="16" xfId="3" applyNumberFormat="1" applyFont="1" applyFill="1" applyBorder="1" applyAlignment="1">
      <alignment horizontal="center" vertical="center" wrapText="1"/>
    </xf>
    <xf numFmtId="0" fontId="106" fillId="0" borderId="37" xfId="0" applyFont="1" applyBorder="1" applyAlignment="1">
      <alignment horizontal="center" vertical="center" wrapText="1"/>
    </xf>
    <xf numFmtId="0" fontId="106" fillId="0" borderId="3" xfId="0" applyFont="1" applyBorder="1" applyAlignment="1">
      <alignment horizontal="center" vertical="center"/>
    </xf>
    <xf numFmtId="0" fontId="106" fillId="0" borderId="4" xfId="0" applyFont="1" applyBorder="1" applyAlignment="1">
      <alignment horizontal="center" vertical="center"/>
    </xf>
    <xf numFmtId="49" fontId="108" fillId="0" borderId="38" xfId="3" applyNumberFormat="1" applyFont="1" applyFill="1" applyBorder="1" applyAlignment="1">
      <alignment horizontal="center" vertical="center" wrapText="1"/>
    </xf>
    <xf numFmtId="49" fontId="108" fillId="0" borderId="39" xfId="3" applyNumberFormat="1" applyFont="1" applyFill="1" applyBorder="1" applyAlignment="1">
      <alignment horizontal="center" vertical="center" wrapText="1"/>
    </xf>
    <xf numFmtId="49" fontId="108" fillId="0" borderId="40" xfId="3" applyNumberFormat="1" applyFont="1" applyFill="1" applyBorder="1" applyAlignment="1">
      <alignment horizontal="center" vertical="center" wrapText="1"/>
    </xf>
    <xf numFmtId="49" fontId="115" fillId="0" borderId="23" xfId="3" applyNumberFormat="1" applyFont="1" applyFill="1" applyBorder="1" applyAlignment="1">
      <alignment horizontal="center" vertical="center" wrapText="1"/>
    </xf>
    <xf numFmtId="49" fontId="115" fillId="0" borderId="14" xfId="3" applyNumberFormat="1" applyFont="1" applyFill="1" applyBorder="1" applyAlignment="1">
      <alignment horizontal="center" vertical="center" wrapText="1"/>
    </xf>
    <xf numFmtId="49" fontId="115" fillId="0" borderId="24" xfId="3" applyNumberFormat="1" applyFont="1" applyFill="1" applyBorder="1" applyAlignment="1">
      <alignment horizontal="center" vertical="center" wrapText="1"/>
    </xf>
    <xf numFmtId="49" fontId="105" fillId="0" borderId="37" xfId="3" applyNumberFormat="1" applyFont="1" applyFill="1" applyBorder="1" applyAlignment="1">
      <alignment horizontal="center" vertical="center" wrapText="1"/>
    </xf>
    <xf numFmtId="0" fontId="112" fillId="0" borderId="5" xfId="0" applyFont="1" applyBorder="1" applyAlignment="1">
      <alignment horizontal="center"/>
    </xf>
    <xf numFmtId="0" fontId="112" fillId="0" borderId="5" xfId="0" applyFont="1" applyBorder="1" applyAlignment="1">
      <alignment horizontal="right"/>
    </xf>
    <xf numFmtId="49" fontId="106" fillId="0" borderId="15" xfId="3" applyNumberFormat="1" applyFont="1" applyFill="1" applyBorder="1" applyAlignment="1">
      <alignment horizontal="center" vertical="center" wrapText="1"/>
    </xf>
    <xf numFmtId="49" fontId="106" fillId="0" borderId="18" xfId="3" applyNumberFormat="1" applyFont="1" applyFill="1" applyBorder="1" applyAlignment="1">
      <alignment horizontal="center" vertical="center" wrapText="1"/>
    </xf>
    <xf numFmtId="43" fontId="106" fillId="0" borderId="16" xfId="3" applyNumberFormat="1" applyFont="1" applyFill="1" applyBorder="1" applyAlignment="1">
      <alignment horizontal="center" vertical="center" wrapText="1"/>
    </xf>
    <xf numFmtId="43" fontId="106" fillId="0" borderId="1" xfId="3" applyNumberFormat="1" applyFont="1" applyFill="1" applyBorder="1" applyAlignment="1">
      <alignment horizontal="center" vertical="center" wrapText="1"/>
    </xf>
    <xf numFmtId="168" fontId="106" fillId="0" borderId="37" xfId="3" applyNumberFormat="1" applyFont="1" applyFill="1" applyBorder="1" applyAlignment="1">
      <alignment horizontal="center" vertical="center" wrapText="1"/>
    </xf>
    <xf numFmtId="168" fontId="106" fillId="0" borderId="3" xfId="3" applyNumberFormat="1" applyFont="1" applyFill="1" applyBorder="1" applyAlignment="1">
      <alignment horizontal="center" vertical="center" wrapText="1"/>
    </xf>
    <xf numFmtId="168" fontId="106" fillId="0" borderId="4" xfId="3" applyNumberFormat="1" applyFont="1" applyFill="1" applyBorder="1" applyAlignment="1">
      <alignment horizontal="center" vertical="center" wrapText="1"/>
    </xf>
    <xf numFmtId="49" fontId="106" fillId="0" borderId="37" xfId="3" applyNumberFormat="1" applyFont="1" applyFill="1" applyBorder="1" applyAlignment="1">
      <alignment horizontal="center" vertical="center" wrapText="1"/>
    </xf>
    <xf numFmtId="49" fontId="106" fillId="0" borderId="3" xfId="3" applyNumberFormat="1" applyFont="1" applyFill="1" applyBorder="1" applyAlignment="1">
      <alignment horizontal="center" vertical="center" wrapText="1"/>
    </xf>
    <xf numFmtId="168" fontId="106" fillId="0" borderId="16" xfId="3" applyNumberFormat="1" applyFont="1" applyFill="1" applyBorder="1" applyAlignment="1">
      <alignment horizontal="center" vertical="center" wrapText="1"/>
    </xf>
    <xf numFmtId="168" fontId="106" fillId="0" borderId="1" xfId="3" applyNumberFormat="1" applyFont="1" applyFill="1" applyBorder="1" applyAlignment="1">
      <alignment horizontal="center" vertical="center"/>
    </xf>
    <xf numFmtId="49" fontId="105" fillId="0" borderId="3" xfId="3" applyNumberFormat="1" applyFont="1" applyFill="1" applyBorder="1" applyAlignment="1">
      <alignment horizontal="center" vertical="center" wrapText="1"/>
    </xf>
    <xf numFmtId="0" fontId="108" fillId="0" borderId="16" xfId="0" applyFont="1" applyBorder="1" applyAlignment="1">
      <alignment horizontal="center"/>
    </xf>
    <xf numFmtId="0" fontId="41" fillId="0" borderId="0" xfId="0" applyFont="1" applyAlignment="1">
      <alignment horizontal="center"/>
    </xf>
    <xf numFmtId="0" fontId="112" fillId="0" borderId="0" xfId="0" applyFont="1" applyAlignment="1">
      <alignment horizontal="center"/>
    </xf>
    <xf numFmtId="0" fontId="111" fillId="0" borderId="0" xfId="0" applyFont="1" applyAlignment="1">
      <alignment horizontal="center"/>
    </xf>
    <xf numFmtId="0" fontId="89" fillId="0" borderId="0" xfId="0" applyFont="1" applyAlignment="1">
      <alignment horizontal="center"/>
    </xf>
    <xf numFmtId="0" fontId="0" fillId="0" borderId="1" xfId="0" applyBorder="1" applyAlignment="1">
      <alignment horizontal="center"/>
    </xf>
    <xf numFmtId="0" fontId="23" fillId="0" borderId="0" xfId="0" applyFont="1" applyAlignment="1">
      <alignment horizontal="center"/>
    </xf>
    <xf numFmtId="0" fontId="101" fillId="0" borderId="1" xfId="0" applyFont="1" applyBorder="1" applyAlignment="1">
      <alignment horizontal="center" vertical="center"/>
    </xf>
    <xf numFmtId="192" fontId="101" fillId="0" borderId="1" xfId="1" applyNumberFormat="1" applyFont="1" applyFill="1" applyBorder="1" applyAlignment="1">
      <alignment horizontal="center" vertical="center" wrapText="1"/>
    </xf>
    <xf numFmtId="192" fontId="101" fillId="0" borderId="2" xfId="1" applyNumberFormat="1" applyFont="1" applyFill="1" applyBorder="1" applyAlignment="1">
      <alignment horizontal="center" vertical="center" wrapText="1"/>
    </xf>
    <xf numFmtId="192" fontId="101" fillId="0" borderId="3" xfId="1" applyNumberFormat="1" applyFont="1" applyFill="1" applyBorder="1" applyAlignment="1">
      <alignment horizontal="center" vertical="center" wrapText="1"/>
    </xf>
    <xf numFmtId="192" fontId="101" fillId="0" borderId="4" xfId="1" applyNumberFormat="1" applyFont="1" applyFill="1" applyBorder="1" applyAlignment="1">
      <alignment horizontal="center" vertical="center" wrapText="1"/>
    </xf>
    <xf numFmtId="192" fontId="101" fillId="0" borderId="1" xfId="1" applyNumberFormat="1" applyFont="1" applyFill="1" applyBorder="1" applyAlignment="1">
      <alignment horizontal="center" vertical="center"/>
    </xf>
    <xf numFmtId="168" fontId="101" fillId="0" borderId="2" xfId="1" applyNumberFormat="1" applyFont="1" applyFill="1" applyBorder="1" applyAlignment="1">
      <alignment horizontal="center" vertical="center" wrapText="1"/>
    </xf>
    <xf numFmtId="168" fontId="101" fillId="0" borderId="4" xfId="1" applyNumberFormat="1" applyFont="1" applyFill="1" applyBorder="1" applyAlignment="1">
      <alignment horizontal="center" vertical="center" wrapText="1"/>
    </xf>
    <xf numFmtId="192" fontId="101" fillId="0" borderId="23" xfId="1" applyNumberFormat="1" applyFont="1" applyFill="1" applyBorder="1" applyAlignment="1">
      <alignment horizontal="center" vertical="center"/>
    </xf>
    <xf numFmtId="192" fontId="101" fillId="0" borderId="24" xfId="1" applyNumberFormat="1" applyFont="1" applyFill="1" applyBorder="1" applyAlignment="1">
      <alignment horizontal="center" vertical="center"/>
    </xf>
    <xf numFmtId="0" fontId="106" fillId="0" borderId="27" xfId="0" applyFont="1" applyBorder="1" applyAlignment="1">
      <alignment horizontal="center" vertical="center" wrapText="1"/>
    </xf>
    <xf numFmtId="0" fontId="106" fillId="0" borderId="28" xfId="0" applyFont="1" applyBorder="1" applyAlignment="1">
      <alignment horizontal="center" vertical="center" wrapText="1"/>
    </xf>
    <xf numFmtId="0" fontId="106" fillId="0" borderId="29" xfId="0" applyFont="1" applyBorder="1" applyAlignment="1">
      <alignment horizontal="center" vertical="center" wrapText="1"/>
    </xf>
    <xf numFmtId="0" fontId="106" fillId="0" borderId="31" xfId="0" applyFont="1" applyBorder="1" applyAlignment="1">
      <alignment horizontal="center" vertical="center" wrapText="1"/>
    </xf>
    <xf numFmtId="0" fontId="106" fillId="0" borderId="5" xfId="0" applyFont="1" applyBorder="1" applyAlignment="1">
      <alignment horizontal="center" vertical="center" wrapText="1"/>
    </xf>
    <xf numFmtId="0" fontId="106" fillId="0" borderId="32" xfId="0" applyFont="1" applyBorder="1" applyAlignment="1">
      <alignment horizontal="center" vertical="center" wrapText="1"/>
    </xf>
    <xf numFmtId="0" fontId="105" fillId="0" borderId="3" xfId="0" applyFont="1" applyBorder="1" applyAlignment="1">
      <alignment horizontal="center" vertical="center"/>
    </xf>
    <xf numFmtId="0" fontId="105" fillId="0" borderId="4" xfId="0" applyFont="1" applyBorder="1" applyAlignment="1">
      <alignment horizontal="center" vertical="center"/>
    </xf>
    <xf numFmtId="168" fontId="105" fillId="0" borderId="3" xfId="1" applyNumberFormat="1" applyFont="1" applyFill="1" applyBorder="1" applyAlignment="1">
      <alignment horizontal="center" vertical="center" wrapText="1"/>
    </xf>
    <xf numFmtId="168" fontId="105" fillId="0" borderId="3" xfId="1" applyNumberFormat="1" applyFont="1" applyFill="1" applyBorder="1" applyAlignment="1">
      <alignment horizontal="center" vertical="center"/>
    </xf>
    <xf numFmtId="168" fontId="105" fillId="0" borderId="4" xfId="1" applyNumberFormat="1" applyFont="1" applyFill="1" applyBorder="1" applyAlignment="1">
      <alignment horizontal="center" vertical="center"/>
    </xf>
    <xf numFmtId="168" fontId="105" fillId="0" borderId="3" xfId="0" applyNumberFormat="1" applyFont="1" applyBorder="1" applyAlignment="1">
      <alignment horizontal="center" vertical="center" wrapText="1"/>
    </xf>
    <xf numFmtId="0" fontId="105" fillId="0" borderId="23" xfId="0" applyFont="1" applyBorder="1" applyAlignment="1">
      <alignment horizontal="center" vertical="center"/>
    </xf>
    <xf numFmtId="0" fontId="105" fillId="0" borderId="24" xfId="0" applyFont="1" applyBorder="1" applyAlignment="1">
      <alignment horizontal="center" vertical="center"/>
    </xf>
    <xf numFmtId="0" fontId="103" fillId="0" borderId="0" xfId="0" applyFont="1" applyAlignment="1">
      <alignment horizontal="center" vertical="center"/>
    </xf>
    <xf numFmtId="0" fontId="104" fillId="0" borderId="0" xfId="0" applyFont="1" applyAlignment="1">
      <alignment horizontal="center" vertical="center"/>
    </xf>
    <xf numFmtId="0" fontId="41" fillId="0" borderId="0" xfId="0" applyFont="1" applyAlignment="1">
      <alignment horizontal="center" vertical="center"/>
    </xf>
    <xf numFmtId="0" fontId="100" fillId="0" borderId="0" xfId="0" applyFont="1" applyAlignment="1">
      <alignment horizontal="right" vertical="center"/>
    </xf>
    <xf numFmtId="0" fontId="105" fillId="0" borderId="2" xfId="0" applyFont="1" applyBorder="1" applyAlignment="1">
      <alignment horizontal="center" vertical="center" wrapText="1"/>
    </xf>
    <xf numFmtId="0" fontId="105" fillId="0" borderId="2" xfId="0" applyFont="1" applyBorder="1" applyAlignment="1">
      <alignment horizontal="center" vertical="center"/>
    </xf>
    <xf numFmtId="0" fontId="106" fillId="0" borderId="23" xfId="0" applyFont="1" applyBorder="1" applyAlignment="1">
      <alignment horizontal="center" vertical="center"/>
    </xf>
    <xf numFmtId="0" fontId="106" fillId="0" borderId="14" xfId="0" applyFont="1" applyBorder="1" applyAlignment="1">
      <alignment horizontal="center" vertical="center"/>
    </xf>
    <xf numFmtId="0" fontId="106" fillId="0" borderId="24" xfId="0" applyFont="1" applyBorder="1" applyAlignment="1">
      <alignment horizontal="center" vertical="center"/>
    </xf>
    <xf numFmtId="168" fontId="105" fillId="0" borderId="3" xfId="0" applyNumberFormat="1" applyFont="1" applyBorder="1" applyAlignment="1">
      <alignment horizontal="center" vertical="center"/>
    </xf>
    <xf numFmtId="168" fontId="105" fillId="0" borderId="4" xfId="0" applyNumberFormat="1" applyFont="1" applyBorder="1" applyAlignment="1">
      <alignment horizontal="center" vertical="center"/>
    </xf>
    <xf numFmtId="0" fontId="105" fillId="0" borderId="30" xfId="0" applyFont="1" applyBorder="1" applyAlignment="1">
      <alignment horizontal="center" vertical="center" wrapText="1"/>
    </xf>
    <xf numFmtId="0" fontId="105" fillId="0" borderId="30" xfId="0" applyFont="1" applyBorder="1" applyAlignment="1">
      <alignment horizontal="center" vertical="center"/>
    </xf>
    <xf numFmtId="0" fontId="105" fillId="0" borderId="31" xfId="0" applyFont="1" applyBorder="1" applyAlignment="1">
      <alignment horizontal="center" vertical="center"/>
    </xf>
    <xf numFmtId="168" fontId="101" fillId="0" borderId="0" xfId="1" applyNumberFormat="1" applyFont="1" applyFill="1" applyBorder="1" applyAlignment="1">
      <alignment horizontal="center" vertical="center" wrapText="1"/>
    </xf>
    <xf numFmtId="168" fontId="101" fillId="0" borderId="0" xfId="1" applyNumberFormat="1" applyFont="1" applyFill="1" applyBorder="1" applyAlignment="1">
      <alignment horizontal="center" vertical="center"/>
    </xf>
    <xf numFmtId="0" fontId="109" fillId="0" borderId="0" xfId="0" applyFont="1" applyAlignment="1">
      <alignment horizontal="center" vertical="center"/>
    </xf>
    <xf numFmtId="0" fontId="101" fillId="0" borderId="0" xfId="0" applyFont="1" applyAlignment="1">
      <alignment horizontal="center" vertical="center" wrapText="1"/>
    </xf>
    <xf numFmtId="0" fontId="101" fillId="0" borderId="0" xfId="0" applyFont="1" applyAlignment="1">
      <alignment horizontal="center" vertical="center"/>
    </xf>
    <xf numFmtId="167" fontId="22" fillId="5" borderId="0" xfId="2" applyNumberFormat="1" applyFont="1" applyFill="1" applyAlignment="1">
      <alignment horizontal="center" vertical="center"/>
    </xf>
    <xf numFmtId="3" fontId="25" fillId="5" borderId="1" xfId="2" applyNumberFormat="1" applyFont="1" applyFill="1" applyBorder="1" applyAlignment="1">
      <alignment horizontal="center" vertical="center" wrapText="1"/>
    </xf>
    <xf numFmtId="0" fontId="23" fillId="5" borderId="1" xfId="2" applyFont="1" applyFill="1" applyBorder="1" applyAlignment="1">
      <alignment horizontal="left" vertical="center" wrapText="1"/>
    </xf>
    <xf numFmtId="0" fontId="23" fillId="5" borderId="1" xfId="2" applyFont="1" applyFill="1" applyBorder="1" applyAlignment="1">
      <alignment horizontal="center" vertical="center" wrapText="1"/>
    </xf>
    <xf numFmtId="3" fontId="23" fillId="5" borderId="1" xfId="2" applyNumberFormat="1" applyFont="1" applyFill="1" applyBorder="1" applyAlignment="1">
      <alignment horizontal="center" vertical="center" wrapText="1"/>
    </xf>
    <xf numFmtId="3" fontId="23" fillId="5" borderId="1" xfId="2" applyNumberFormat="1" applyFont="1" applyFill="1" applyBorder="1" applyAlignment="1">
      <alignment horizontal="right" vertical="center" wrapText="1"/>
    </xf>
    <xf numFmtId="3" fontId="23" fillId="5" borderId="1" xfId="2" applyNumberFormat="1" applyFont="1" applyFill="1" applyBorder="1" applyAlignment="1">
      <alignment horizontal="left" vertical="center" wrapText="1"/>
    </xf>
    <xf numFmtId="0" fontId="37" fillId="5" borderId="1" xfId="2" applyFont="1" applyFill="1" applyBorder="1"/>
    <xf numFmtId="3" fontId="23" fillId="5" borderId="0" xfId="2" applyNumberFormat="1" applyFont="1" applyFill="1" applyAlignment="1">
      <alignment horizontal="left" vertical="center" wrapText="1"/>
    </xf>
    <xf numFmtId="3" fontId="50" fillId="5" borderId="0" xfId="2" applyNumberFormat="1" applyFont="1" applyFill="1"/>
    <xf numFmtId="0" fontId="50" fillId="5" borderId="0" xfId="2" applyFont="1" applyFill="1"/>
    <xf numFmtId="3" fontId="35" fillId="8" borderId="2" xfId="2" applyNumberFormat="1" applyFont="1" applyFill="1" applyBorder="1" applyAlignment="1">
      <alignment horizontal="right" vertical="center" wrapText="1"/>
    </xf>
    <xf numFmtId="3" fontId="35" fillId="8" borderId="4" xfId="2" applyNumberFormat="1" applyFont="1" applyFill="1" applyBorder="1" applyAlignment="1">
      <alignment horizontal="right" vertical="center" wrapText="1"/>
    </xf>
    <xf numFmtId="0" fontId="37" fillId="5" borderId="1" xfId="2" applyFont="1" applyFill="1" applyBorder="1" applyAlignment="1">
      <alignment vertical="center"/>
    </xf>
    <xf numFmtId="0" fontId="37" fillId="5" borderId="0" xfId="2" applyFont="1" applyFill="1"/>
    <xf numFmtId="3" fontId="35" fillId="5" borderId="2" xfId="2" applyNumberFormat="1" applyFont="1" applyFill="1" applyBorder="1" applyAlignment="1">
      <alignment horizontal="right" vertical="center" wrapText="1"/>
    </xf>
    <xf numFmtId="3" fontId="35" fillId="5" borderId="4" xfId="2" applyNumberFormat="1" applyFont="1" applyFill="1" applyBorder="1" applyAlignment="1">
      <alignment horizontal="right" vertical="center" wrapText="1"/>
    </xf>
    <xf numFmtId="3" fontId="35" fillId="5" borderId="1" xfId="2" applyNumberFormat="1" applyFont="1" applyFill="1" applyBorder="1" applyAlignment="1">
      <alignment horizontal="center" vertical="center" wrapText="1"/>
    </xf>
    <xf numFmtId="3" fontId="41" fillId="5" borderId="1" xfId="2" applyNumberFormat="1" applyFont="1" applyFill="1" applyBorder="1" applyAlignment="1">
      <alignment horizontal="center" vertical="center" wrapText="1"/>
    </xf>
    <xf numFmtId="0" fontId="38" fillId="5" borderId="1" xfId="2" applyFont="1" applyFill="1" applyBorder="1" applyAlignment="1">
      <alignment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5" fillId="5" borderId="0" xfId="0" applyFont="1" applyFill="1" applyAlignment="1">
      <alignment horizontal="center" vertical="center"/>
    </xf>
    <xf numFmtId="0" fontId="1" fillId="5" borderId="0" xfId="0" applyFont="1" applyFill="1" applyAlignment="1">
      <alignment horizontal="center" vertical="center" wrapText="1"/>
    </xf>
    <xf numFmtId="0" fontId="1" fillId="5" borderId="0" xfId="0" applyFont="1" applyFill="1" applyAlignment="1">
      <alignment horizontal="center" vertical="center"/>
    </xf>
    <xf numFmtId="0" fontId="89" fillId="5" borderId="2" xfId="0" applyFont="1" applyFill="1" applyBorder="1" applyAlignment="1">
      <alignment horizontal="center" vertical="center" wrapText="1"/>
    </xf>
    <xf numFmtId="0" fontId="89" fillId="5" borderId="4" xfId="0" applyFont="1" applyFill="1" applyBorder="1" applyAlignment="1">
      <alignment horizontal="center" vertical="center" wrapText="1"/>
    </xf>
    <xf numFmtId="0" fontId="89" fillId="5" borderId="1" xfId="0" applyFont="1" applyFill="1" applyBorder="1" applyAlignment="1">
      <alignment horizontal="center" vertical="center" wrapText="1"/>
    </xf>
    <xf numFmtId="169" fontId="89" fillId="5" borderId="1" xfId="1" applyNumberFormat="1" applyFont="1" applyFill="1" applyBorder="1" applyAlignment="1">
      <alignment horizontal="center" vertical="center" wrapText="1"/>
    </xf>
    <xf numFmtId="0" fontId="89" fillId="5" borderId="3" xfId="0" applyFont="1" applyFill="1" applyBorder="1" applyAlignment="1">
      <alignment horizontal="center" vertical="center" wrapText="1"/>
    </xf>
    <xf numFmtId="0" fontId="89" fillId="5" borderId="29" xfId="0" applyFont="1" applyFill="1" applyBorder="1" applyAlignment="1">
      <alignment horizontal="center" vertical="center" wrapText="1"/>
    </xf>
    <xf numFmtId="0" fontId="89" fillId="5" borderId="32" xfId="0" applyFont="1" applyFill="1" applyBorder="1" applyAlignment="1">
      <alignment horizontal="center" vertical="center" wrapText="1"/>
    </xf>
    <xf numFmtId="0" fontId="89" fillId="5" borderId="0" xfId="0" applyFont="1" applyFill="1" applyAlignment="1">
      <alignment horizontal="center"/>
    </xf>
    <xf numFmtId="0" fontId="89" fillId="5" borderId="27" xfId="0" applyFont="1" applyFill="1" applyBorder="1" applyAlignment="1">
      <alignment horizontal="center" vertical="center"/>
    </xf>
    <xf numFmtId="0" fontId="89" fillId="5" borderId="28" xfId="0" applyFont="1" applyFill="1" applyBorder="1" applyAlignment="1">
      <alignment horizontal="center" vertical="center"/>
    </xf>
    <xf numFmtId="0" fontId="89" fillId="5" borderId="29" xfId="0" applyFont="1" applyFill="1" applyBorder="1" applyAlignment="1">
      <alignment horizontal="center" vertical="center"/>
    </xf>
    <xf numFmtId="0" fontId="89" fillId="5" borderId="2" xfId="0" applyFont="1" applyFill="1" applyBorder="1" applyAlignment="1">
      <alignment horizontal="center" vertical="center"/>
    </xf>
    <xf numFmtId="0" fontId="89" fillId="5" borderId="3" xfId="0" applyFont="1" applyFill="1" applyBorder="1" applyAlignment="1">
      <alignment horizontal="center" vertical="center"/>
    </xf>
    <xf numFmtId="0" fontId="89" fillId="5" borderId="4" xfId="0" applyFont="1" applyFill="1" applyBorder="1" applyAlignment="1">
      <alignment horizontal="center" vertical="center"/>
    </xf>
    <xf numFmtId="0" fontId="104" fillId="5" borderId="23" xfId="0" applyFont="1" applyFill="1" applyBorder="1" applyAlignment="1">
      <alignment horizontal="center" vertical="center"/>
    </xf>
    <xf numFmtId="0" fontId="104" fillId="5" borderId="14" xfId="0" applyFont="1" applyFill="1" applyBorder="1" applyAlignment="1">
      <alignment horizontal="center" vertical="center"/>
    </xf>
    <xf numFmtId="0" fontId="104" fillId="5" borderId="24" xfId="0" applyFont="1" applyFill="1" applyBorder="1" applyAlignment="1">
      <alignment horizontal="center" vertical="center"/>
    </xf>
    <xf numFmtId="0" fontId="104" fillId="5" borderId="1" xfId="0" applyFont="1" applyFill="1" applyBorder="1" applyAlignment="1">
      <alignment horizontal="center" vertical="center"/>
    </xf>
    <xf numFmtId="0" fontId="89" fillId="5" borderId="1" xfId="0" applyFont="1" applyFill="1" applyBorder="1" applyAlignment="1">
      <alignment horizontal="center" vertical="center"/>
    </xf>
    <xf numFmtId="0" fontId="94" fillId="5" borderId="0" xfId="0" applyFont="1" applyFill="1" applyAlignment="1">
      <alignment horizontal="justify" vertical="center" wrapText="1"/>
    </xf>
    <xf numFmtId="0" fontId="94" fillId="5" borderId="5" xfId="0" applyFont="1" applyFill="1" applyBorder="1" applyAlignment="1">
      <alignment horizontal="right"/>
    </xf>
    <xf numFmtId="0" fontId="1" fillId="5" borderId="23"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24" xfId="0" applyFont="1" applyFill="1" applyBorder="1" applyAlignment="1">
      <alignment horizontal="center" vertical="center" wrapText="1"/>
    </xf>
    <xf numFmtId="0" fontId="94" fillId="5" borderId="0" xfId="0" applyFont="1" applyFill="1" applyAlignment="1">
      <alignment horizontal="center"/>
    </xf>
    <xf numFmtId="0" fontId="1" fillId="5" borderId="1" xfId="0" applyFont="1" applyFill="1" applyBorder="1" applyAlignment="1">
      <alignment horizontal="center" vertical="center" wrapText="1"/>
    </xf>
    <xf numFmtId="0" fontId="89" fillId="10" borderId="2" xfId="0" applyFont="1" applyFill="1" applyBorder="1" applyAlignment="1">
      <alignment horizontal="center" vertical="center" wrapText="1"/>
    </xf>
    <xf numFmtId="0" fontId="89" fillId="10" borderId="4" xfId="0" applyFont="1" applyFill="1" applyBorder="1" applyAlignment="1">
      <alignment horizontal="center" vertical="center" wrapText="1"/>
    </xf>
    <xf numFmtId="0" fontId="89" fillId="10" borderId="1" xfId="0" applyFont="1" applyFill="1" applyBorder="1" applyAlignment="1">
      <alignment horizontal="center" vertical="center" wrapText="1"/>
    </xf>
    <xf numFmtId="0" fontId="128" fillId="10" borderId="2" xfId="0" applyFont="1" applyFill="1" applyBorder="1" applyAlignment="1">
      <alignment horizontal="center" vertical="center"/>
    </xf>
    <xf numFmtId="0" fontId="128" fillId="10" borderId="3" xfId="0" applyFont="1" applyFill="1" applyBorder="1" applyAlignment="1">
      <alignment horizontal="center" vertical="center"/>
    </xf>
    <xf numFmtId="0" fontId="128" fillId="10" borderId="4" xfId="0" applyFont="1" applyFill="1" applyBorder="1" applyAlignment="1">
      <alignment horizontal="center" vertical="center"/>
    </xf>
    <xf numFmtId="0" fontId="89" fillId="5" borderId="31" xfId="0" applyFont="1" applyFill="1" applyBorder="1" applyAlignment="1">
      <alignment horizontal="center" vertical="center"/>
    </xf>
    <xf numFmtId="0" fontId="89" fillId="5" borderId="5" xfId="0" applyFont="1" applyFill="1" applyBorder="1" applyAlignment="1">
      <alignment horizontal="center" vertical="center"/>
    </xf>
    <xf numFmtId="0" fontId="89" fillId="5" borderId="32" xfId="0" applyFont="1" applyFill="1" applyBorder="1" applyAlignment="1">
      <alignment horizontal="center" vertical="center"/>
    </xf>
    <xf numFmtId="0" fontId="1" fillId="0" borderId="0" xfId="0" applyFont="1" applyAlignment="1">
      <alignment horizontal="center" vertical="center" wrapText="1"/>
    </xf>
    <xf numFmtId="0" fontId="94" fillId="0" borderId="0" xfId="0" applyFont="1" applyAlignment="1">
      <alignment horizontal="center" vertical="center"/>
    </xf>
    <xf numFmtId="0" fontId="89" fillId="0" borderId="0" xfId="0" applyFont="1" applyAlignment="1">
      <alignment horizontal="center" vertical="center" wrapText="1"/>
    </xf>
    <xf numFmtId="0" fontId="89" fillId="0" borderId="0" xfId="0" applyFont="1" applyAlignment="1">
      <alignment horizontal="center" vertical="center"/>
    </xf>
    <xf numFmtId="0" fontId="10" fillId="5" borderId="0" xfId="0" applyFont="1" applyFill="1" applyAlignment="1">
      <alignment horizontal="center"/>
    </xf>
    <xf numFmtId="0" fontId="89" fillId="5" borderId="0" xfId="0" applyFont="1" applyFill="1" applyAlignment="1">
      <alignment horizontal="center" vertical="center" wrapText="1"/>
    </xf>
    <xf numFmtId="0" fontId="85" fillId="5" borderId="0" xfId="0" applyFont="1" applyFill="1" applyAlignment="1">
      <alignment horizontal="center" vertical="center" wrapText="1"/>
    </xf>
    <xf numFmtId="0" fontId="86" fillId="0" borderId="0" xfId="0" applyFont="1" applyAlignment="1">
      <alignment horizontal="center" vertical="center" wrapText="1"/>
    </xf>
    <xf numFmtId="0" fontId="7" fillId="0" borderId="0" xfId="0" applyFont="1" applyAlignment="1">
      <alignment horizontal="justify" vertical="center" wrapText="1"/>
    </xf>
    <xf numFmtId="167" fontId="10" fillId="0" borderId="0" xfId="0" applyNumberFormat="1" applyFont="1" applyAlignment="1">
      <alignment horizontal="center" vertical="center"/>
    </xf>
    <xf numFmtId="3" fontId="7" fillId="0" borderId="5" xfId="0" applyNumberFormat="1" applyFont="1" applyBorder="1" applyAlignment="1">
      <alignment horizontal="right" vertical="center"/>
    </xf>
    <xf numFmtId="3" fontId="10" fillId="0" borderId="1" xfId="0" applyNumberFormat="1" applyFont="1" applyBorder="1" applyAlignment="1">
      <alignment horizontal="justify" vertical="center" wrapText="1"/>
    </xf>
    <xf numFmtId="3" fontId="13" fillId="0" borderId="1" xfId="0" applyNumberFormat="1" applyFont="1" applyBorder="1" applyAlignment="1">
      <alignment horizontal="justify" vertical="center" wrapText="1"/>
    </xf>
    <xf numFmtId="3" fontId="7" fillId="0" borderId="1" xfId="0" applyNumberFormat="1" applyFont="1" applyBorder="1" applyAlignment="1">
      <alignment horizontal="justify" vertical="center" wrapText="1"/>
    </xf>
    <xf numFmtId="0" fontId="20" fillId="0" borderId="5" xfId="0" applyFont="1" applyBorder="1" applyAlignment="1">
      <alignment horizontal="center" vertical="center"/>
    </xf>
  </cellXfs>
  <cellStyles count="86">
    <cellStyle name="AeE­ [0]_INQUIRY ¿μ¾÷AßAø " xfId="5"/>
    <cellStyle name="AeE­_INQUIRY ¿μ¾÷AßAø " xfId="6"/>
    <cellStyle name="AÞ¸¶ [0]_INQUIRY ¿?¾÷AßAø " xfId="7"/>
    <cellStyle name="AÞ¸¶_INQUIRY ¿?¾÷AßAø " xfId="8"/>
    <cellStyle name="C?AØ_¿?¾÷CoE² " xfId="9"/>
    <cellStyle name="C￥AØ_¿μ¾÷CoE² " xfId="10"/>
    <cellStyle name="Calc Currency (0)" xfId="11"/>
    <cellStyle name="Calc Currency (2)" xfId="12"/>
    <cellStyle name="Calc Percent (0)" xfId="13"/>
    <cellStyle name="Calc Percent (1)" xfId="14"/>
    <cellStyle name="Calc Percent (2)" xfId="15"/>
    <cellStyle name="Calc Units (0)" xfId="16"/>
    <cellStyle name="Calc Units (1)" xfId="17"/>
    <cellStyle name="Calc Units (2)" xfId="18"/>
    <cellStyle name="Comma" xfId="1" builtinId="3"/>
    <cellStyle name="Comma [0]" xfId="85" builtinId="6"/>
    <cellStyle name="Comma [00]" xfId="19"/>
    <cellStyle name="Comma 13" xfId="84"/>
    <cellStyle name="Comma 2" xfId="3"/>
    <cellStyle name="Comma0" xfId="20"/>
    <cellStyle name="Currency [00]" xfId="21"/>
    <cellStyle name="Currency0" xfId="22"/>
    <cellStyle name="Date" xfId="23"/>
    <cellStyle name="Date Short" xfId="24"/>
    <cellStyle name="Enter Currency (0)" xfId="25"/>
    <cellStyle name="Enter Currency (2)" xfId="26"/>
    <cellStyle name="Enter Units (0)" xfId="27"/>
    <cellStyle name="Enter Units (1)" xfId="28"/>
    <cellStyle name="Enter Units (2)" xfId="29"/>
    <cellStyle name="Fixed" xfId="30"/>
    <cellStyle name="Grey" xfId="31"/>
    <cellStyle name="Header1" xfId="32"/>
    <cellStyle name="Header2" xfId="33"/>
    <cellStyle name="Hoa-Scholl" xfId="34"/>
    <cellStyle name="Hyperlink" xfId="4" builtinId="8"/>
    <cellStyle name="Input [yellow]" xfId="35"/>
    <cellStyle name="Link Currency (0)" xfId="36"/>
    <cellStyle name="Link Currency (2)" xfId="37"/>
    <cellStyle name="Link Units (0)" xfId="38"/>
    <cellStyle name="Link Units (1)" xfId="39"/>
    <cellStyle name="Link Units (2)" xfId="40"/>
    <cellStyle name="Millares [0]_Well Timing" xfId="41"/>
    <cellStyle name="Millares_Well Timing" xfId="42"/>
    <cellStyle name="Moneda [0]_Well Timing" xfId="43"/>
    <cellStyle name="Moneda_Well Timing" xfId="44"/>
    <cellStyle name="n" xfId="45"/>
    <cellStyle name="Normal" xfId="0" builtinId="0"/>
    <cellStyle name="Normal - Style1" xfId="46"/>
    <cellStyle name="Normal 2" xfId="2"/>
    <cellStyle name="Percent [0]" xfId="47"/>
    <cellStyle name="Percent [00]" xfId="48"/>
    <cellStyle name="Percent [2]" xfId="49"/>
    <cellStyle name="PrePop Currency (0)" xfId="50"/>
    <cellStyle name="PrePop Currency (2)" xfId="51"/>
    <cellStyle name="PrePop Units (0)" xfId="52"/>
    <cellStyle name="PrePop Units (1)" xfId="53"/>
    <cellStyle name="PrePop Units (2)" xfId="54"/>
    <cellStyle name="Text Indent A" xfId="55"/>
    <cellStyle name="Text Indent B" xfId="56"/>
    <cellStyle name="Text Indent C" xfId="57"/>
    <cellStyle name="Times New Roman" xfId="58"/>
    <cellStyle name="Tusental (0)_pldt" xfId="59"/>
    <cellStyle name="Tusental_pldt" xfId="60"/>
    <cellStyle name="Valuta (0)_pldt" xfId="61"/>
    <cellStyle name="Valuta_pldt" xfId="62"/>
    <cellStyle name="vntxt1" xfId="63"/>
    <cellStyle name=" [0.00]_ Att. 1- Cover" xfId="64"/>
    <cellStyle name="_ Att. 1- Cover" xfId="65"/>
    <cellStyle name="?_ Att. 1- Cover" xfId="66"/>
    <cellStyle name="똿뗦먛귟 [0.00]_PRODUCT DETAIL Q1" xfId="67"/>
    <cellStyle name="똿뗦먛귟_PRODUCT DETAIL Q1" xfId="68"/>
    <cellStyle name="믅됞 [0.00]_PRODUCT DETAIL Q1" xfId="69"/>
    <cellStyle name="믅됞_PRODUCT DETAIL Q1" xfId="70"/>
    <cellStyle name="백분율_95" xfId="71"/>
    <cellStyle name="뷭?_BOOKSHIP" xfId="72"/>
    <cellStyle name="콤마 [0]_1202" xfId="73"/>
    <cellStyle name="콤마_1202" xfId="74"/>
    <cellStyle name="통화 [0]_1202" xfId="75"/>
    <cellStyle name="통화_1202" xfId="76"/>
    <cellStyle name="표준_(정보부문)월별인원계획" xfId="77"/>
    <cellStyle name="一般_99Q3647-ALL-CAS2" xfId="78"/>
    <cellStyle name="千分位[0]_Book1" xfId="79"/>
    <cellStyle name="千分位_99Q3647-ALL-CAS2" xfId="80"/>
    <cellStyle name="貨幣 [0]_Book1" xfId="81"/>
    <cellStyle name="貨幣[0]_BRE" xfId="82"/>
    <cellStyle name="貨幣_Book1" xfId="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6</xdr:col>
      <xdr:colOff>57150</xdr:colOff>
      <xdr:row>472</xdr:row>
      <xdr:rowOff>0</xdr:rowOff>
    </xdr:from>
    <xdr:to>
      <xdr:col>6</xdr:col>
      <xdr:colOff>161925</xdr:colOff>
      <xdr:row>480</xdr:row>
      <xdr:rowOff>19050</xdr:rowOff>
    </xdr:to>
    <xdr:sp macro="" textlink="">
      <xdr:nvSpPr>
        <xdr:cNvPr id="2" name="AutoShape 55">
          <a:extLst>
            <a:ext uri="{FF2B5EF4-FFF2-40B4-BE49-F238E27FC236}">
              <a16:creationId xmlns:a16="http://schemas.microsoft.com/office/drawing/2014/main" id="{00000000-0008-0000-0000-000002000000}"/>
            </a:ext>
          </a:extLst>
        </xdr:cNvPr>
        <xdr:cNvSpPr>
          <a:spLocks/>
        </xdr:cNvSpPr>
      </xdr:nvSpPr>
      <xdr:spPr bwMode="auto">
        <a:xfrm>
          <a:off x="6715125" y="77257275"/>
          <a:ext cx="0" cy="23622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28575</xdr:colOff>
      <xdr:row>481</xdr:row>
      <xdr:rowOff>57150</xdr:rowOff>
    </xdr:from>
    <xdr:to>
      <xdr:col>6</xdr:col>
      <xdr:colOff>219075</xdr:colOff>
      <xdr:row>489</xdr:row>
      <xdr:rowOff>0</xdr:rowOff>
    </xdr:to>
    <xdr:sp macro="" textlink="">
      <xdr:nvSpPr>
        <xdr:cNvPr id="3" name="AutoShape 56">
          <a:extLst>
            <a:ext uri="{FF2B5EF4-FFF2-40B4-BE49-F238E27FC236}">
              <a16:creationId xmlns:a16="http://schemas.microsoft.com/office/drawing/2014/main" id="{00000000-0008-0000-0000-000003000000}"/>
            </a:ext>
          </a:extLst>
        </xdr:cNvPr>
        <xdr:cNvSpPr>
          <a:spLocks/>
        </xdr:cNvSpPr>
      </xdr:nvSpPr>
      <xdr:spPr bwMode="auto">
        <a:xfrm>
          <a:off x="6715125" y="79886175"/>
          <a:ext cx="0" cy="238125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cuments/Zalo%20Received%20Files/TH%20theo%20BC%20giao%20(H&#7841;nh%2001.12.202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Desktop/&#272;I&#7872;U%20CH&#7880;NH%20D&#7920;%20TO&#193;N%20N&#258;M%202025_SAU%20S&#193;P%20NH&#7852;P/&#272;&#416;N%20V&#7882;/LAO%20&#272;&#7896;NG/B&#7843;ng%20ph&#226;n%20d&#7921;%20to&#225;n%202025%20PH&#210;NG%20LAO%20&#272;&#7896;NG%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L%20H&#272;ND_D&#7920;%20TO&#193;N%20CHI%20TI&#7870;T%20NSNN%20N&#258;M%202025_.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Desktop/&#272;I&#7872;U%20CH&#7880;NH%20D&#7920;%20TO&#193;N%20N&#258;M%202025_SAU%20S&#193;P%20NH&#7852;P/tr&#236;nh%20UBND%20TP/TR&#204;NH%20K&#221;_16.2.2025_&#272;I&#7872;U%20CH&#7880;NH_PL%20TCKH_PH&#7908;%20L&#7908;C%20&#272;I&#7872;U%20CH&#7880;NH,%20GIAO%20D&#7920;%20TO&#193;N%20C&#193;C%20&#272;&#416;N%20V&#7882;%20N&#258;M%202025%20(V&#226;n)%20-%20Cop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Desktop/&#272;I&#7872;U%20CH&#7880;NH%20D&#7920;%20TO&#193;N%20N&#258;M%202025_SAU%20S&#193;P%20NH&#7852;P/LAO%20&#272;&#7896;NG/B&#7843;ng%20ph&#226;n%20d&#7921;%20to&#225;n%202025%20PH&#210;NG%20LAO%20&#272;&#7896;NG%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Desktop/&#272;I&#7872;U%20CH&#7880;NH%20D&#7920;%20TO&#193;N%20N&#258;M%202025_SAU%20S&#193;P%20NH&#7852;P/Y%20T&#7870;/KP%20Y%20TE%20CHUYEN%20VP%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Desktop/&#272;I&#7872;U%20CH&#7880;NH%20D&#7920;%20TO&#193;N%20N&#258;M%202025_SAU%20S&#193;P%20NH&#7852;P/KINH%20T&#7870;/KP%20CHUYEN%20VE%2003%20CQ.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8.02.2025_%20ph&#242;ng%20ql&#273;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8.02.2025_vht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TH&#7842;O%20LU&#7852;N%20D&#7920;%20TO&#193;N%202025/CH&#205;NH%20S&#193;CH%202025/29.11.2024_V&#194;N_D&#7920;%20TO&#193;N%20CHI%20TI&#7870;T%20NSNN%20N&#258;M%20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esktop/TH&#7842;O%20LU&#7852;N%20D&#7920;%20TO&#193;N%202025/CH&#205;NH%20S&#193;CH%202025/H&#7840;NH_BS-THU%20&#272;I&#7872;U%20TI&#7870;T%20GIAO%202025%20(SAU%20TH&#7842;O%20LU&#7852;N)%2029.11.2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rung/Downloads/D&#7920;%20TO&#193;N%20CHI%20TI&#7870;T%20NSNN%20N&#258;M%202024%20TR&#204;NH%20H&#272;ND%20ng&#224;y%201312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Desktop/CH&#205;NH%20TH&#7912;C_%20TR&#204;NH%20K&#221;%20D&#7920;%20TO&#193;N%202025_%2012.12.2024/TTR%2026.12.2024/26.12.2024/ch&#237;nh%20th&#7921;c%20tr&#236;nh%20k&#253;/26.12.2024/PL%20UBND_D&#7920;%20TO&#193;N%20CHI%20TI&#7870;T%20NSNN%20N&#258;M%202025_%20V&#194;N%2027.12.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Desktop/&#272;I&#7872;U%20CH&#7880;NH%20D&#7920;%20TO&#193;N%20N&#258;M%202025_SAU%20S&#193;P%20NH&#7852;P/PL%20UBND_D&#7920;%20TO&#193;N%20T&#7892;NG%20H&#7906;P-CHI%20TI&#7870;T%20NSNN%20N&#258;M%202025%20(v&#226;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8.02.2025_%20ph&#242;ng%20lao%20&#273;&#7897;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Desktop/&#272;I&#7872;U%20CH&#7880;NH%20D&#7920;%20TO&#193;N%20N&#258;M%202025_SAU%20S&#193;P%20NH&#7852;P/&#272;&#416;N%20V&#7882;/Y%20T&#7870;/KP%20Y%20TE%20CHUYEN%20VP%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Desktop/&#272;I&#7872;U%20CH&#7880;NH%20D&#7920;%20TO&#193;N%20N&#258;M%202025_SAU%20S&#193;P%20NH&#7852;P/&#272;&#416;N%20V&#7882;/KINH%20T&#7870;/KP%20CHUYEN%20VE%2003%20C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ương 2340"/>
      <sheetName val="Lương 1490"/>
      <sheetName val="850"/>
      <sheetName val="TH 68 trường 2025"/>
    </sheetNames>
    <sheetDataSet>
      <sheetData sheetId="0"/>
      <sheetData sheetId="1">
        <row r="9">
          <cell r="S9">
            <v>4592855.4378599999</v>
          </cell>
        </row>
        <row r="10">
          <cell r="S10">
            <v>4074815.2297799997</v>
          </cell>
        </row>
        <row r="11">
          <cell r="S11">
            <v>2309013.3034200007</v>
          </cell>
        </row>
        <row r="12">
          <cell r="S12">
            <v>3889441.764</v>
          </cell>
        </row>
        <row r="13">
          <cell r="S13">
            <v>4256938.8006551992</v>
          </cell>
        </row>
        <row r="14">
          <cell r="S14">
            <v>2976551.6244600005</v>
          </cell>
        </row>
        <row r="15">
          <cell r="S15">
            <v>1745459.3765400001</v>
          </cell>
        </row>
        <row r="16">
          <cell r="S16">
            <v>1889051.4751799998</v>
          </cell>
        </row>
        <row r="17">
          <cell r="S17">
            <v>2192029.443</v>
          </cell>
        </row>
        <row r="18">
          <cell r="S18">
            <v>3956584.4181599999</v>
          </cell>
        </row>
        <row r="19">
          <cell r="S19">
            <v>2919588.626459999</v>
          </cell>
        </row>
        <row r="20">
          <cell r="S20">
            <v>1643915.0391599997</v>
          </cell>
        </row>
        <row r="21">
          <cell r="S21">
            <v>1741891.3957200001</v>
          </cell>
        </row>
        <row r="22">
          <cell r="S22">
            <v>2202163.6988003999</v>
          </cell>
        </row>
        <row r="23">
          <cell r="S23">
            <v>1507957.6826399998</v>
          </cell>
        </row>
        <row r="24">
          <cell r="S24">
            <v>1770741.3121199999</v>
          </cell>
        </row>
        <row r="25">
          <cell r="S25">
            <v>1503752.0563200002</v>
          </cell>
        </row>
        <row r="26">
          <cell r="S26">
            <v>1857410.0884799999</v>
          </cell>
        </row>
        <row r="27">
          <cell r="S27">
            <v>1629050.8140599998</v>
          </cell>
        </row>
        <row r="28">
          <cell r="S28">
            <v>3180178.1886239997</v>
          </cell>
        </row>
        <row r="29">
          <cell r="S29">
            <v>2705130.0239399998</v>
          </cell>
        </row>
        <row r="30">
          <cell r="S30">
            <v>1821909.0623999997</v>
          </cell>
        </row>
        <row r="31">
          <cell r="S31">
            <v>1595278.2743999998</v>
          </cell>
        </row>
        <row r="32">
          <cell r="S32">
            <v>1537127.8387800001</v>
          </cell>
        </row>
        <row r="34">
          <cell r="S34">
            <v>9622959.5606178008</v>
          </cell>
        </row>
        <row r="35">
          <cell r="S35">
            <v>8022546.5286480021</v>
          </cell>
        </row>
        <row r="36">
          <cell r="S36">
            <v>9687665.4690161981</v>
          </cell>
        </row>
        <row r="37">
          <cell r="S37">
            <v>5060039.3920800006</v>
          </cell>
        </row>
        <row r="38">
          <cell r="S38">
            <v>6920284.6508316007</v>
          </cell>
        </row>
        <row r="39">
          <cell r="S39">
            <v>8007055.7450784016</v>
          </cell>
        </row>
        <row r="40">
          <cell r="S40">
            <v>7207079.5296174008</v>
          </cell>
        </row>
        <row r="41">
          <cell r="S41">
            <v>6327471.2738400009</v>
          </cell>
        </row>
        <row r="42">
          <cell r="S42">
            <v>4076568.72138</v>
          </cell>
        </row>
        <row r="43">
          <cell r="S43">
            <v>7074076.653479998</v>
          </cell>
        </row>
        <row r="44">
          <cell r="S44">
            <v>3819023.3963939999</v>
          </cell>
        </row>
        <row r="45">
          <cell r="S45">
            <v>3632864.3093400006</v>
          </cell>
        </row>
        <row r="46">
          <cell r="S46">
            <v>3214448.8507800009</v>
          </cell>
        </row>
        <row r="47">
          <cell r="S47">
            <v>5083064.5051200008</v>
          </cell>
        </row>
        <row r="48">
          <cell r="S48">
            <v>4645091.7048072005</v>
          </cell>
        </row>
        <row r="49">
          <cell r="S49">
            <v>4707207.8808000013</v>
          </cell>
        </row>
        <row r="50">
          <cell r="S50">
            <v>7725502.551268802</v>
          </cell>
        </row>
        <row r="51">
          <cell r="S51">
            <v>3841356.1649016012</v>
          </cell>
        </row>
        <row r="52">
          <cell r="S52">
            <v>4179569.4831000008</v>
          </cell>
        </row>
        <row r="53">
          <cell r="S53">
            <v>5391855.4576199986</v>
          </cell>
        </row>
        <row r="54">
          <cell r="S54">
            <v>5328799.2525173994</v>
          </cell>
        </row>
        <row r="56">
          <cell r="S56">
            <v>9457039.9114799947</v>
          </cell>
        </row>
        <row r="57">
          <cell r="S57">
            <v>8490312.4750799984</v>
          </cell>
        </row>
        <row r="58">
          <cell r="S58">
            <v>8634118.9549199976</v>
          </cell>
        </row>
        <row r="59">
          <cell r="S59">
            <v>3718741.0374600003</v>
          </cell>
        </row>
        <row r="60">
          <cell r="S60">
            <v>5941415.7276600013</v>
          </cell>
        </row>
        <row r="61">
          <cell r="S61">
            <v>5588079.4316172004</v>
          </cell>
        </row>
        <row r="62">
          <cell r="S62">
            <v>5220090.3718703995</v>
          </cell>
        </row>
        <row r="63">
          <cell r="S63">
            <v>7358363.8795200018</v>
          </cell>
        </row>
        <row r="64">
          <cell r="S64">
            <v>7627878.8909399994</v>
          </cell>
        </row>
        <row r="65">
          <cell r="S65">
            <v>4014298.3493399997</v>
          </cell>
        </row>
        <row r="66">
          <cell r="S66">
            <v>3562519.3561199997</v>
          </cell>
        </row>
        <row r="67">
          <cell r="S67">
            <v>6493598.7389099989</v>
          </cell>
        </row>
        <row r="68">
          <cell r="S68">
            <v>3898937.7157800002</v>
          </cell>
        </row>
        <row r="69">
          <cell r="S69">
            <v>5391544.9706153981</v>
          </cell>
        </row>
        <row r="70">
          <cell r="S70">
            <v>4262387.992775999</v>
          </cell>
        </row>
        <row r="71">
          <cell r="S71">
            <v>3561210.3791999999</v>
          </cell>
        </row>
        <row r="72">
          <cell r="S72">
            <v>4356240.1134911999</v>
          </cell>
        </row>
        <row r="73">
          <cell r="S73">
            <v>4361434.8349488005</v>
          </cell>
        </row>
        <row r="75">
          <cell r="S75">
            <v>5483512.8866496012</v>
          </cell>
        </row>
        <row r="76">
          <cell r="S76">
            <v>5232386.2318799999</v>
          </cell>
        </row>
        <row r="77">
          <cell r="S77">
            <v>6445629.5066064019</v>
          </cell>
        </row>
        <row r="78">
          <cell r="S78">
            <v>5496041.0160840005</v>
          </cell>
        </row>
        <row r="79">
          <cell r="S79">
            <v>5694405.4417140018</v>
          </cell>
        </row>
      </sheetData>
      <sheetData sheetId="2">
        <row r="9">
          <cell r="S9">
            <v>2620085.3169</v>
          </cell>
        </row>
        <row r="10">
          <cell r="S10">
            <v>2324559.0236999998</v>
          </cell>
        </row>
        <row r="11">
          <cell r="S11">
            <v>1317222.3543000002</v>
          </cell>
        </row>
        <row r="12">
          <cell r="S12">
            <v>2218809.06</v>
          </cell>
        </row>
        <row r="13">
          <cell r="S13">
            <v>2428455.0205079997</v>
          </cell>
        </row>
        <row r="14">
          <cell r="S14">
            <v>1698032.8059000005</v>
          </cell>
        </row>
        <row r="15">
          <cell r="S15">
            <v>995731.8591</v>
          </cell>
        </row>
        <row r="16">
          <cell r="S16">
            <v>1077646.8147</v>
          </cell>
        </row>
        <row r="17">
          <cell r="S17">
            <v>1250486.595</v>
          </cell>
        </row>
        <row r="18">
          <cell r="S18">
            <v>2257111.9164</v>
          </cell>
        </row>
        <row r="19">
          <cell r="S19">
            <v>1665537.1358999996</v>
          </cell>
        </row>
        <row r="20">
          <cell r="S20">
            <v>937803.88139999995</v>
          </cell>
        </row>
        <row r="21">
          <cell r="S21">
            <v>993696.4338</v>
          </cell>
        </row>
        <row r="22">
          <cell r="S22">
            <v>1256267.8818659999</v>
          </cell>
        </row>
        <row r="23">
          <cell r="S23">
            <v>860244.31559999986</v>
          </cell>
        </row>
        <row r="24">
          <cell r="S24">
            <v>1010154.4398000001</v>
          </cell>
        </row>
        <row r="25">
          <cell r="S25">
            <v>857845.13280000025</v>
          </cell>
        </row>
        <row r="26">
          <cell r="S26">
            <v>1059596.3591999998</v>
          </cell>
        </row>
        <row r="27">
          <cell r="S27">
            <v>929324.28989999974</v>
          </cell>
        </row>
        <row r="28">
          <cell r="S28">
            <v>1814195.6109599997</v>
          </cell>
        </row>
        <row r="29">
          <cell r="S29">
            <v>1543194.9800999998</v>
          </cell>
        </row>
        <row r="30">
          <cell r="S30">
            <v>1039344.096</v>
          </cell>
        </row>
        <row r="31">
          <cell r="S31">
            <v>910058.07599999977</v>
          </cell>
        </row>
        <row r="32">
          <cell r="S32">
            <v>876885.00870000012</v>
          </cell>
        </row>
        <row r="33">
          <cell r="S33">
            <v>70495537.865136012</v>
          </cell>
        </row>
        <row r="34">
          <cell r="S34">
            <v>5489607.8030370018</v>
          </cell>
        </row>
        <row r="35">
          <cell r="S35">
            <v>4576620.5029200008</v>
          </cell>
        </row>
        <row r="36">
          <cell r="S36">
            <v>5526520.5695729991</v>
          </cell>
        </row>
        <row r="37">
          <cell r="S37">
            <v>2886599.6532000005</v>
          </cell>
        </row>
        <row r="38">
          <cell r="S38">
            <v>3947813.3914139997</v>
          </cell>
        </row>
        <row r="39">
          <cell r="S39">
            <v>4567783.4787360011</v>
          </cell>
        </row>
        <row r="40">
          <cell r="S40">
            <v>4111421.2081710007</v>
          </cell>
        </row>
        <row r="41">
          <cell r="S41">
            <v>3609631.2636000006</v>
          </cell>
        </row>
        <row r="42">
          <cell r="S42">
            <v>2325559.3377</v>
          </cell>
        </row>
        <row r="43">
          <cell r="S43">
            <v>4035547.0841999995</v>
          </cell>
        </row>
        <row r="44">
          <cell r="S44">
            <v>2178637.50801</v>
          </cell>
        </row>
        <row r="45">
          <cell r="S45">
            <v>2072439.3711000003</v>
          </cell>
        </row>
        <row r="46">
          <cell r="S46">
            <v>1833745.9887000006</v>
          </cell>
        </row>
        <row r="47">
          <cell r="S47">
            <v>2899734.7848000005</v>
          </cell>
        </row>
        <row r="48">
          <cell r="S48">
            <v>2649884.5295880008</v>
          </cell>
        </row>
        <row r="49">
          <cell r="S49">
            <v>2685319.9320000005</v>
          </cell>
        </row>
        <row r="50">
          <cell r="S50">
            <v>4407165.8849520013</v>
          </cell>
        </row>
        <row r="51">
          <cell r="S51">
            <v>2191377.677964001</v>
          </cell>
        </row>
        <row r="52">
          <cell r="S52">
            <v>2384318.1615000004</v>
          </cell>
        </row>
        <row r="53">
          <cell r="S53">
            <v>3075890.6972999992</v>
          </cell>
        </row>
        <row r="54">
          <cell r="S54">
            <v>3039919.0366709996</v>
          </cell>
        </row>
        <row r="55">
          <cell r="S55">
            <v>58152671.920784995</v>
          </cell>
        </row>
        <row r="56">
          <cell r="S56">
            <v>5394955.654199997</v>
          </cell>
        </row>
        <row r="57">
          <cell r="S57">
            <v>4843466.848199999</v>
          </cell>
        </row>
        <row r="58">
          <cell r="S58">
            <v>4925504.1017999984</v>
          </cell>
        </row>
        <row r="59">
          <cell r="S59">
            <v>2121429.4509000001</v>
          </cell>
        </row>
        <row r="60">
          <cell r="S60">
            <v>3389398.2339000008</v>
          </cell>
        </row>
        <row r="61">
          <cell r="S61">
            <v>3187830.5482380004</v>
          </cell>
        </row>
        <row r="62">
          <cell r="S62">
            <v>2977903.9034159994</v>
          </cell>
        </row>
        <row r="63">
          <cell r="S63">
            <v>4197724.3608000008</v>
          </cell>
        </row>
        <row r="64">
          <cell r="S64">
            <v>4351474.5351</v>
          </cell>
        </row>
        <row r="65">
          <cell r="S65">
            <v>2290035.9710999997</v>
          </cell>
        </row>
        <row r="66">
          <cell r="S66">
            <v>2032309.6998000001</v>
          </cell>
        </row>
        <row r="67">
          <cell r="S67">
            <v>3704401.9651499991</v>
          </cell>
        </row>
        <row r="68">
          <cell r="S68">
            <v>2224226.2137000007</v>
          </cell>
        </row>
        <row r="69">
          <cell r="S69">
            <v>3075713.573840999</v>
          </cell>
        </row>
        <row r="70">
          <cell r="S70">
            <v>2431563.6200399995</v>
          </cell>
        </row>
        <row r="71">
          <cell r="S71">
            <v>2031562.9680000003</v>
          </cell>
        </row>
        <row r="72">
          <cell r="S72">
            <v>2485103.4204479996</v>
          </cell>
        </row>
        <row r="73">
          <cell r="S73">
            <v>2488066.8521520002</v>
          </cell>
        </row>
        <row r="74">
          <cell r="S74">
            <v>16173945.517110001</v>
          </cell>
        </row>
        <row r="75">
          <cell r="S75">
            <v>3128178.4923840007</v>
          </cell>
        </row>
        <row r="76">
          <cell r="S76">
            <v>2984918.3202</v>
          </cell>
        </row>
        <row r="77">
          <cell r="S77">
            <v>3677036.9668560009</v>
          </cell>
        </row>
        <row r="78">
          <cell r="S78">
            <v>3135325.4118600003</v>
          </cell>
        </row>
        <row r="79">
          <cell r="S79">
            <v>3248486.3258100012</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Sheet1 (2)"/>
      <sheetName val="Sheet2"/>
    </sheetNames>
    <sheetDataSet>
      <sheetData sheetId="0"/>
      <sheetData sheetId="1">
        <row r="15">
          <cell r="J15">
            <v>879742706</v>
          </cell>
          <cell r="K15">
            <v>826480804</v>
          </cell>
          <cell r="L15">
            <v>177257764</v>
          </cell>
        </row>
        <row r="28">
          <cell r="J28">
            <v>3157252650</v>
          </cell>
          <cell r="K28">
            <v>96505890945</v>
          </cell>
          <cell r="L28">
            <v>437694000</v>
          </cell>
        </row>
        <row r="49">
          <cell r="J49">
            <v>100000000</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ân đối"/>
      <sheetName val="Biểu 01"/>
      <sheetName val="Biểu 02"/>
      <sheetName val="Biểu 03"/>
      <sheetName val="XÃ_ VÂN 2024"/>
      <sheetName val="mt_VÂN 2024"/>
      <sheetName val="CĐ XÃ_VÂN 2024"/>
      <sheetName val="Biểu 04 (2)_ vân 2024"/>
      <sheetName val="Biểu 04"/>
      <sheetName val="Biểu 05 a.H"/>
      <sheetName val="Biểu 05"/>
      <sheetName val="Biểu 06 a.H"/>
      <sheetName val="Biểu 06"/>
      <sheetName val="Biểu 06.1"/>
      <sheetName val="Biểu số 07"/>
      <sheetName val="Biểu 08"/>
      <sheetName val="Biẻu 09"/>
      <sheetName val="Biểu 10"/>
      <sheetName val="Biểu 11"/>
      <sheetName val="Biểu 12"/>
      <sheetName val="Biểu 13"/>
      <sheetName val="Biểu 14"/>
      <sheetName val="Biểu 15"/>
      <sheetName val="Biểu chi dữ liệu biểu 33"/>
      <sheetName val="Bieu thu 2023-MB31 (OK)"/>
      <sheetName val="MB29(OK)"/>
      <sheetName val="Bieu chi 2020 -MB 32.1 (OK)"/>
      <sheetName val="MB 32.3(OK)"/>
      <sheetName val="Mẫu biểu 35(OK)"/>
      <sheetName val="mb 32.2(OK)"/>
      <sheetName val="XXXXXXXX"/>
      <sheetName val="Chi tiet kem to trinh"/>
      <sheetName val="Biểu 7"/>
      <sheetName val="Giao các đơn vị"/>
      <sheetName val="Dự toán Chi tiết 2025 (2)"/>
      <sheetName val="Dự toán Chi tiết 2025"/>
      <sheetName val="Thư copy"/>
      <sheetName val="Sheet2"/>
      <sheetName val="TT HĐND TP"/>
      <sheetName val="Vân"/>
      <sheetName val="giáo dục"/>
      <sheetName val="học phí "/>
      <sheetName val="Mua sắm"/>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B19" t="str">
            <v>Kinh phí đào tạo</v>
          </cell>
          <cell r="C19">
            <v>1409</v>
          </cell>
        </row>
        <row r="20">
          <cell r="B20" t="str">
            <v>Văn phòng HĐND và UBND thành phố</v>
          </cell>
        </row>
        <row r="30">
          <cell r="B30" t="str">
            <v>Phòng Tài nguyên và Môi trường thành phố</v>
          </cell>
        </row>
        <row r="48">
          <cell r="B48" t="str">
            <v>Chi quản lý nhà nước trong năm như bổ sung tiền lương cho biên chế tuyển dụng mới, nâng lương trước hạn, chế độ nghỉ việc và các nội dung quản lý nhà nước khác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ÁO DỤC"/>
      <sheetName val="Sheet2"/>
      <sheetName val="TỔNG CHI XÃ"/>
      <sheetName val="BS XÃ"/>
      <sheetName val="Dự toán Chi tiết 2025"/>
      <sheetName val="TTDVNN V "/>
      <sheetName val="BQL DA ĐT V"/>
      <sheetName val="Trung tâm Chính trị V"/>
      <sheetName val="Đội QLTTĐT V"/>
      <sheetName val="BQL Chợ V"/>
      <sheetName val="Hội Chữ thập đỏ V"/>
      <sheetName val="Trung tâm TTVHTT V"/>
      <sheetName val="TỔNG HỢP ĐIỀU CHỈNH DỰ TOÁN"/>
      <sheetName val="VP HĐND&amp;UBND V_điều chỉnh"/>
      <sheetName val="VP HĐND&amp;UBND V"/>
      <sheetName val="Y tế V_điều chỉnh"/>
      <sheetName val="Y tế V"/>
      <sheetName val="Tư pháp V"/>
      <sheetName val="TCKH V "/>
      <sheetName val="ĐT_Kinh tế, HT &amp;Đô thị_V"/>
      <sheetName val="Quản lý đô thị V"/>
      <sheetName val="ĐT_NN &amp; MT"/>
      <sheetName val="Tài nguyên Môi trường V"/>
      <sheetName val="Kinh tế V_điều chỉnh"/>
      <sheetName val="Kinh tế V"/>
      <sheetName val="Lap động tbxh_điều chỉnh"/>
      <sheetName val="Lao động TBXH V"/>
      <sheetName val="ĐT_Văn hoá KH và TT_V"/>
      <sheetName val="Văn hóa và TT V"/>
      <sheetName val="ĐT_ Nội vụ&amp; LĐ"/>
      <sheetName val="nội vụ V"/>
      <sheetName val="Thanh tra V"/>
      <sheetName val="Giáo dục V"/>
      <sheetName val="Thành ủy V_điều chỉnh"/>
      <sheetName val="Thành ủy V"/>
      <sheetName val="UBMTTQ V-điều chỉnh"/>
      <sheetName val="UBMTTQ V"/>
      <sheetName val="Thành đoàn V"/>
      <sheetName val="Phụ nữ V -điều chỉnh"/>
      <sheetName val="Phụ nữ V"/>
      <sheetName val="Nông dân V"/>
      <sheetName val="Cựu chiến binh V-điều chỉnh"/>
      <sheetName val="Cựu chiến binh V"/>
      <sheetName val="Quỹ ND và Vốn vay V "/>
      <sheetName val="Ban ATGT V"/>
      <sheetName val="Công an V"/>
      <sheetName val="BCH QS V"/>
      <sheetName val="CĐ DC V"/>
      <sheetName val="Khuyến học V"/>
      <sheetName val="NCT V"/>
      <sheetName val="TNXP V"/>
      <sheetName val="Tù yêu nước V"/>
      <sheetName val="LUẬT GIA V"/>
      <sheetName val="NGƯỜI MÙ V"/>
      <sheetName val="ĐÔNG Y V"/>
      <sheetName val="CỰU GIÁO CHỨC V"/>
      <sheetName val="Biên phòng"/>
      <sheetName val="Chi tiết"/>
      <sheetName val="10% Tiết kiệm chi"/>
      <sheetName val="Sheet1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0">
          <cell r="AC20">
            <v>98386.976649000004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Sheet1 (2)"/>
      <sheetName val="Sheet2"/>
    </sheetNames>
    <sheetDataSet>
      <sheetData sheetId="0"/>
      <sheetData sheetId="1">
        <row r="17">
          <cell r="G17">
            <v>165979755</v>
          </cell>
          <cell r="J17">
            <v>449326510</v>
          </cell>
          <cell r="K17">
            <v>276036764</v>
          </cell>
          <cell r="L17">
            <v>65723039</v>
          </cell>
        </row>
        <row r="18">
          <cell r="G18">
            <v>87787575</v>
          </cell>
          <cell r="J18">
            <v>272554343</v>
          </cell>
          <cell r="K18">
            <v>167439528</v>
          </cell>
          <cell r="L18">
            <v>39866554</v>
          </cell>
        </row>
        <row r="19">
          <cell r="G19">
            <v>35206464</v>
          </cell>
          <cell r="J19">
            <v>101940853</v>
          </cell>
          <cell r="K19">
            <v>61164512</v>
          </cell>
          <cell r="L19">
            <v>20388171</v>
          </cell>
        </row>
        <row r="21">
          <cell r="G21">
            <v>3000000</v>
          </cell>
          <cell r="H21">
            <v>6000000</v>
          </cell>
        </row>
        <row r="22">
          <cell r="J22">
            <v>2500000</v>
          </cell>
          <cell r="K22">
            <v>1500000</v>
          </cell>
          <cell r="L22">
            <v>500000</v>
          </cell>
        </row>
        <row r="23">
          <cell r="J23">
            <v>3900000</v>
          </cell>
          <cell r="K23">
            <v>2340000</v>
          </cell>
          <cell r="L23">
            <v>780000</v>
          </cell>
        </row>
        <row r="27">
          <cell r="J27">
            <v>49521000</v>
          </cell>
          <cell r="K27">
            <v>70000000</v>
          </cell>
          <cell r="L27">
            <v>50000000</v>
          </cell>
        </row>
        <row r="32">
          <cell r="G32">
            <v>49773500</v>
          </cell>
          <cell r="H32">
            <v>49773500</v>
          </cell>
        </row>
        <row r="33">
          <cell r="G33">
            <v>4500000</v>
          </cell>
          <cell r="J33">
            <v>30500000</v>
          </cell>
        </row>
        <row r="34">
          <cell r="G34">
            <v>1761818055</v>
          </cell>
        </row>
        <row r="35">
          <cell r="G35">
            <v>93000000</v>
          </cell>
        </row>
        <row r="36">
          <cell r="G36">
            <v>48500000</v>
          </cell>
        </row>
        <row r="37">
          <cell r="G37">
            <v>23000000</v>
          </cell>
        </row>
        <row r="38">
          <cell r="B38" t="str">
            <v>Tham gia các cuộc thi nghề công tác xã hội, người KT, hội thi giảm nghèo và các hoạt động khác do tỉnh tổ chức</v>
          </cell>
          <cell r="K38">
            <v>30000000</v>
          </cell>
          <cell r="L38">
            <v>30000000</v>
          </cell>
        </row>
        <row r="39">
          <cell r="G39">
            <v>20000000</v>
          </cell>
          <cell r="H39">
            <v>20000000</v>
          </cell>
        </row>
        <row r="40">
          <cell r="B40" t="str">
            <v>Hỗ trợ tiền điện hộ nghèo hộ chính sách</v>
          </cell>
          <cell r="K40">
            <v>485306000</v>
          </cell>
          <cell r="L40">
            <v>407694000</v>
          </cell>
        </row>
        <row r="42">
          <cell r="G42">
            <v>96201950</v>
          </cell>
          <cell r="J42">
            <v>53798050</v>
          </cell>
        </row>
        <row r="43">
          <cell r="G43">
            <v>5164800000</v>
          </cell>
          <cell r="J43">
            <v>2545200000</v>
          </cell>
        </row>
        <row r="44">
          <cell r="G44">
            <v>242500000</v>
          </cell>
          <cell r="J44">
            <v>207500000</v>
          </cell>
        </row>
        <row r="45">
          <cell r="G45">
            <v>3339000</v>
          </cell>
          <cell r="J45">
            <v>10661000</v>
          </cell>
        </row>
        <row r="46">
          <cell r="J46">
            <v>30000000</v>
          </cell>
        </row>
        <row r="47">
          <cell r="J47">
            <v>35000000</v>
          </cell>
        </row>
        <row r="48">
          <cell r="J48">
            <v>244593600</v>
          </cell>
        </row>
        <row r="51">
          <cell r="J51">
            <v>100000000</v>
          </cell>
          <cell r="K51">
            <v>273000000</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00000000"/>
      <sheetName val="10000000"/>
      <sheetName val="XXXXXXXX"/>
      <sheetName val="XXXXXXX0"/>
      <sheetName val="XXXXXXX1"/>
      <sheetName val="XL4Test5"/>
    </sheetNames>
    <sheetDataSet>
      <sheetData sheetId="0">
        <row r="11">
          <cell r="E11">
            <v>16087530</v>
          </cell>
          <cell r="H11">
            <v>80437650</v>
          </cell>
        </row>
        <row r="12">
          <cell r="E12">
            <v>9177450</v>
          </cell>
          <cell r="H12">
            <v>45887250</v>
          </cell>
        </row>
        <row r="13">
          <cell r="E13">
            <v>500000</v>
          </cell>
          <cell r="F13">
            <v>2000000</v>
          </cell>
          <cell r="H13">
            <v>24500000</v>
          </cell>
        </row>
        <row r="16">
          <cell r="H16">
            <v>780000</v>
          </cell>
        </row>
      </sheetData>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00000000"/>
      <sheetName val="10000000"/>
      <sheetName val="XXXXXXXX"/>
      <sheetName val="XXXXXXX0"/>
      <sheetName val="XXXXXXX1"/>
      <sheetName val="XL4Test5"/>
    </sheetNames>
    <sheetDataSet>
      <sheetData sheetId="0">
        <row r="9">
          <cell r="L9">
            <v>220085377.33333334</v>
          </cell>
        </row>
        <row r="12">
          <cell r="J12">
            <v>400183902</v>
          </cell>
          <cell r="K12">
            <v>244423242</v>
          </cell>
          <cell r="L12">
            <v>81437650</v>
          </cell>
        </row>
        <row r="13">
          <cell r="J13">
            <v>235312830</v>
          </cell>
          <cell r="K13">
            <v>118832750</v>
          </cell>
          <cell r="L13">
            <v>45887250</v>
          </cell>
        </row>
        <row r="14">
          <cell r="J14">
            <v>61921909.333333336</v>
          </cell>
          <cell r="K14">
            <v>61921909.333333336</v>
          </cell>
          <cell r="L14">
            <v>15480477.333333334</v>
          </cell>
        </row>
        <row r="18">
          <cell r="J18">
            <v>1560000</v>
          </cell>
          <cell r="L18">
            <v>780000</v>
          </cell>
        </row>
        <row r="26">
          <cell r="K26">
            <v>431500000</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PHONG QLĐT"/>
      <sheetName val="Sheet2"/>
    </sheetNames>
    <sheetDataSet>
      <sheetData sheetId="0"/>
      <sheetData sheetId="1">
        <row r="17">
          <cell r="G17">
            <v>299709575</v>
          </cell>
        </row>
        <row r="18">
          <cell r="G18">
            <v>68042375</v>
          </cell>
        </row>
        <row r="19">
          <cell r="G19">
            <v>54013655</v>
          </cell>
        </row>
        <row r="21">
          <cell r="G21">
            <v>3000000</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Phong VHTT"/>
      <sheetName val="Sheet2"/>
    </sheetNames>
    <sheetDataSet>
      <sheetData sheetId="0"/>
      <sheetData sheetId="1">
        <row r="17">
          <cell r="G17">
            <v>90138140</v>
          </cell>
        </row>
        <row r="18">
          <cell r="G18">
            <v>37358400</v>
          </cell>
        </row>
        <row r="19">
          <cell r="G19">
            <v>3939886</v>
          </cell>
        </row>
        <row r="21">
          <cell r="G21">
            <v>3000000</v>
          </cell>
        </row>
        <row r="22">
          <cell r="G22">
            <v>2800000</v>
          </cell>
        </row>
        <row r="26">
          <cell r="G26">
            <v>81000000</v>
          </cell>
        </row>
        <row r="28">
          <cell r="G28">
            <v>37484000</v>
          </cell>
        </row>
        <row r="29">
          <cell r="G29">
            <v>44975200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ân đối"/>
      <sheetName val="Biểu 01"/>
      <sheetName val="Biểu 02"/>
      <sheetName val="Biểu 03"/>
      <sheetName val="Biểu 04"/>
      <sheetName val="Biểu 05"/>
      <sheetName val="Biểu 06"/>
      <sheetName val="Biểu 06.1"/>
      <sheetName val="Biểu số 07"/>
      <sheetName val="Biểu 08"/>
      <sheetName val="Biẻu 09"/>
      <sheetName val="Biểu 10"/>
      <sheetName val="Biểu 11"/>
      <sheetName val="Biểu 12"/>
      <sheetName val="Biểu 13"/>
      <sheetName val="Biểu 14"/>
      <sheetName val="Biểu 15"/>
      <sheetName val="Biểu chi dữ liệu biểu 33"/>
      <sheetName val="Bieu thu 2023-MB31 (OK)"/>
      <sheetName val="MB29(OK)"/>
      <sheetName val="Bieu chi 2020 -MB 32.1 (OK)"/>
      <sheetName val="MB 32.3(OK)"/>
      <sheetName val="Mẫu biểu 35(OK)"/>
      <sheetName val="mb 32.2(OK)"/>
      <sheetName val="XXXXXXXX"/>
      <sheetName val="Chi tiet kem to trinh"/>
      <sheetName val="Biểu 7"/>
      <sheetName val="Giao các đơn vị"/>
      <sheetName val="Dự toán Chi tiết 2025 (2)"/>
      <sheetName val="Dự toán Chi tiết 2025"/>
      <sheetName val="Thư copy"/>
      <sheetName val="Sheet2"/>
      <sheetName val="Vân"/>
      <sheetName val="giáo dục"/>
      <sheetName val="học phí "/>
      <sheetName val="Mua sắ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17">
          <cell r="B117" t="str">
            <v>Thực hiện các chính sách giáo dục</v>
          </cell>
        </row>
        <row r="119">
          <cell r="B119" t="str">
            <v>Phòng Lao động Thương binh và Xã hội Thành phố Quảng Ngãi</v>
          </cell>
        </row>
        <row r="120">
          <cell r="B120" t="str">
            <v>Hoạt động ngành Giáo dục (Phòng Giáo dục và Đào tạo thành phố)</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foxz"/>
      <sheetName val="Biểu 07"/>
      <sheetName val="Biểu 08"/>
      <sheetName val="Biểu 09"/>
      <sheetName val="Biểu số 10 (nhập)"/>
      <sheetName val="Biểu số 11"/>
      <sheetName val="Biểu 12"/>
      <sheetName val="Biểu số 13 (Nhập)"/>
      <sheetName val="Biểu 14 (nhập)"/>
      <sheetName val="Tính tiết kiệm chị"/>
      <sheetName val="Sheet2"/>
    </sheetNames>
    <sheetDataSet>
      <sheetData sheetId="0"/>
      <sheetData sheetId="1"/>
      <sheetData sheetId="2"/>
      <sheetData sheetId="3"/>
      <sheetData sheetId="4">
        <row r="9">
          <cell r="C9">
            <v>2186116</v>
          </cell>
          <cell r="E9">
            <v>2186116</v>
          </cell>
        </row>
        <row r="10">
          <cell r="C10">
            <v>2361003.9000000004</v>
          </cell>
          <cell r="E10">
            <v>2361003.9000000004</v>
          </cell>
        </row>
        <row r="11">
          <cell r="C11">
            <v>3210005.2</v>
          </cell>
          <cell r="E11">
            <v>3210005.2</v>
          </cell>
        </row>
        <row r="12">
          <cell r="C12">
            <v>2960328.5</v>
          </cell>
          <cell r="E12">
            <v>2960328.5</v>
          </cell>
        </row>
        <row r="13">
          <cell r="C13">
            <v>2280255.2999999998</v>
          </cell>
          <cell r="E13">
            <v>2280255.2999999998</v>
          </cell>
        </row>
        <row r="14">
          <cell r="C14">
            <v>2774816</v>
          </cell>
          <cell r="E14">
            <v>2774816</v>
          </cell>
        </row>
        <row r="15">
          <cell r="C15">
            <v>2759193.1</v>
          </cell>
          <cell r="E15">
            <v>2759193.1</v>
          </cell>
        </row>
        <row r="16">
          <cell r="C16">
            <v>3299373.5</v>
          </cell>
          <cell r="E16">
            <v>3299373.5</v>
          </cell>
        </row>
        <row r="17">
          <cell r="C17">
            <v>3318596.8</v>
          </cell>
          <cell r="E17">
            <v>3318596.8</v>
          </cell>
        </row>
        <row r="18">
          <cell r="C18">
            <v>1981578.7</v>
          </cell>
          <cell r="E18">
            <v>1981578.7</v>
          </cell>
        </row>
        <row r="19">
          <cell r="C19">
            <v>2040815.5</v>
          </cell>
          <cell r="E19">
            <v>2040815.5</v>
          </cell>
        </row>
        <row r="20">
          <cell r="C20">
            <v>2003467.1</v>
          </cell>
          <cell r="E20">
            <v>2003467.1</v>
          </cell>
        </row>
        <row r="21">
          <cell r="C21">
            <v>1911342.52</v>
          </cell>
          <cell r="E21">
            <v>1911342.52</v>
          </cell>
        </row>
        <row r="22">
          <cell r="C22">
            <v>1689169.9000000001</v>
          </cell>
          <cell r="E22">
            <v>1689169.9000000001</v>
          </cell>
        </row>
        <row r="23">
          <cell r="C23">
            <v>1661875.5999999999</v>
          </cell>
          <cell r="E23">
            <v>1661875.5999999999</v>
          </cell>
        </row>
        <row r="24">
          <cell r="C24">
            <v>1764161.4</v>
          </cell>
          <cell r="E24">
            <v>1764161.4</v>
          </cell>
        </row>
        <row r="25">
          <cell r="C25">
            <v>2054808.6069999998</v>
          </cell>
          <cell r="E25">
            <v>2054808.6069999998</v>
          </cell>
        </row>
        <row r="26">
          <cell r="C26">
            <v>2426607.6720000003</v>
          </cell>
          <cell r="E26">
            <v>2426607.6720000003</v>
          </cell>
        </row>
        <row r="27">
          <cell r="C27">
            <v>2405963.4500000002</v>
          </cell>
          <cell r="E27">
            <v>2405963.4500000002</v>
          </cell>
        </row>
        <row r="28">
          <cell r="C28">
            <v>1642630.2</v>
          </cell>
          <cell r="E28">
            <v>1642630.2</v>
          </cell>
        </row>
        <row r="29">
          <cell r="C29">
            <v>1621750.3</v>
          </cell>
          <cell r="E29">
            <v>1621750.3</v>
          </cell>
        </row>
        <row r="30">
          <cell r="C30">
            <v>2846622</v>
          </cell>
          <cell r="E30">
            <v>2846622</v>
          </cell>
        </row>
        <row r="31">
          <cell r="C31">
            <v>2269858.4</v>
          </cell>
          <cell r="E31">
            <v>2269858.4</v>
          </cell>
        </row>
      </sheetData>
      <sheetData sheetId="5">
        <row r="10">
          <cell r="B10">
            <v>67736500</v>
          </cell>
          <cell r="C10">
            <v>9516000</v>
          </cell>
          <cell r="D10">
            <v>6420000</v>
          </cell>
          <cell r="E10">
            <v>3457000</v>
          </cell>
          <cell r="F10">
            <v>6621000</v>
          </cell>
          <cell r="G10">
            <v>5383000</v>
          </cell>
          <cell r="H10">
            <v>6817000</v>
          </cell>
          <cell r="I10">
            <v>7518000</v>
          </cell>
          <cell r="J10">
            <v>6869000</v>
          </cell>
          <cell r="K10">
            <v>4738000</v>
          </cell>
          <cell r="L10">
            <v>1041000</v>
          </cell>
          <cell r="M10">
            <v>976000</v>
          </cell>
          <cell r="N10">
            <v>1357000</v>
          </cell>
          <cell r="O10">
            <v>257000</v>
          </cell>
          <cell r="P10">
            <v>949000</v>
          </cell>
          <cell r="Q10">
            <v>1013000</v>
          </cell>
          <cell r="R10">
            <v>476000</v>
          </cell>
          <cell r="S10">
            <v>394000</v>
          </cell>
          <cell r="T10">
            <v>1472000</v>
          </cell>
          <cell r="U10">
            <v>329000</v>
          </cell>
          <cell r="V10">
            <v>637000</v>
          </cell>
          <cell r="W10">
            <v>390000</v>
          </cell>
          <cell r="X10">
            <v>798000</v>
          </cell>
          <cell r="Y10">
            <v>308500</v>
          </cell>
        </row>
        <row r="12">
          <cell r="C12">
            <v>8988000</v>
          </cell>
          <cell r="D12">
            <v>4745000</v>
          </cell>
          <cell r="E12">
            <v>1892000</v>
          </cell>
          <cell r="F12">
            <v>4456000</v>
          </cell>
          <cell r="G12">
            <v>4403000</v>
          </cell>
          <cell r="H12">
            <v>4662000</v>
          </cell>
          <cell r="I12">
            <v>5258000</v>
          </cell>
          <cell r="J12">
            <v>4583000</v>
          </cell>
          <cell r="K12">
            <v>3568000</v>
          </cell>
          <cell r="L12">
            <v>500000</v>
          </cell>
          <cell r="M12">
            <v>458000</v>
          </cell>
          <cell r="N12">
            <v>1039000</v>
          </cell>
          <cell r="O12">
            <v>182000</v>
          </cell>
          <cell r="P12">
            <v>702000</v>
          </cell>
          <cell r="Q12">
            <v>727000</v>
          </cell>
          <cell r="R12">
            <v>240000</v>
          </cell>
          <cell r="S12">
            <v>150000</v>
          </cell>
          <cell r="T12">
            <v>1120000</v>
          </cell>
          <cell r="U12">
            <v>261000</v>
          </cell>
          <cell r="V12">
            <v>525000</v>
          </cell>
          <cell r="W12">
            <v>272000</v>
          </cell>
          <cell r="X12">
            <v>405000</v>
          </cell>
          <cell r="Y12">
            <v>176000</v>
          </cell>
        </row>
        <row r="37">
          <cell r="L37">
            <v>80000</v>
          </cell>
          <cell r="S37">
            <v>100000</v>
          </cell>
          <cell r="X37">
            <v>200000</v>
          </cell>
        </row>
      </sheetData>
      <sheetData sheetId="6">
        <row r="15">
          <cell r="C15">
            <v>9516000</v>
          </cell>
          <cell r="M15">
            <v>3604865.9715</v>
          </cell>
          <cell r="O15">
            <v>2186116</v>
          </cell>
        </row>
        <row r="16">
          <cell r="C16">
            <v>6420000</v>
          </cell>
          <cell r="M16">
            <v>3260055.0690000011</v>
          </cell>
          <cell r="O16">
            <v>2361003.9000000004</v>
          </cell>
        </row>
        <row r="17">
          <cell r="C17">
            <v>3457000</v>
          </cell>
          <cell r="M17">
            <v>6831992.5474999994</v>
          </cell>
          <cell r="O17">
            <v>3210005.2</v>
          </cell>
        </row>
        <row r="18">
          <cell r="C18">
            <v>6621000</v>
          </cell>
          <cell r="M18">
            <v>4989676.5194999985</v>
          </cell>
          <cell r="O18">
            <v>2960328.5</v>
          </cell>
        </row>
        <row r="19">
          <cell r="C19">
            <v>5383000</v>
          </cell>
          <cell r="M19">
            <v>5886389.2499999991</v>
          </cell>
          <cell r="O19">
            <v>2280255.2999999998</v>
          </cell>
        </row>
        <row r="20">
          <cell r="C20">
            <v>6817000</v>
          </cell>
          <cell r="M20">
            <v>4264124.5429999996</v>
          </cell>
          <cell r="O20">
            <v>2774816</v>
          </cell>
        </row>
        <row r="21">
          <cell r="C21">
            <v>7518000</v>
          </cell>
          <cell r="M21">
            <v>4331243.8870000001</v>
          </cell>
          <cell r="O21">
            <v>2759193.1</v>
          </cell>
        </row>
        <row r="22">
          <cell r="C22">
            <v>6869000</v>
          </cell>
          <cell r="M22">
            <v>6267215.4674999993</v>
          </cell>
          <cell r="O22">
            <v>3299373.5</v>
          </cell>
        </row>
        <row r="23">
          <cell r="C23">
            <v>4738000</v>
          </cell>
          <cell r="M23">
            <v>5535417.8490000013</v>
          </cell>
          <cell r="O23">
            <v>3318596.8</v>
          </cell>
        </row>
        <row r="24">
          <cell r="C24">
            <v>1041000</v>
          </cell>
          <cell r="M24">
            <v>5628907.7544999998</v>
          </cell>
          <cell r="O24">
            <v>1981578.7</v>
          </cell>
        </row>
        <row r="25">
          <cell r="C25">
            <v>976000</v>
          </cell>
          <cell r="M25">
            <v>4956382.09</v>
          </cell>
          <cell r="O25">
            <v>2040815.5</v>
          </cell>
        </row>
        <row r="26">
          <cell r="C26">
            <v>1357000</v>
          </cell>
          <cell r="M26">
            <v>6327630.4385000002</v>
          </cell>
          <cell r="O26">
            <v>2003467.1</v>
          </cell>
        </row>
        <row r="27">
          <cell r="C27">
            <v>257000</v>
          </cell>
          <cell r="M27">
            <v>6257808.3154999996</v>
          </cell>
          <cell r="O27">
            <v>1911342.52</v>
          </cell>
        </row>
        <row r="28">
          <cell r="C28">
            <v>949000</v>
          </cell>
          <cell r="M28">
            <v>5737939.8485000003</v>
          </cell>
          <cell r="O28">
            <v>1689169.9000000001</v>
          </cell>
        </row>
        <row r="29">
          <cell r="C29">
            <v>1013000</v>
          </cell>
          <cell r="M29">
            <v>5688549.1044999994</v>
          </cell>
          <cell r="O29">
            <v>1661875.5999999999</v>
          </cell>
        </row>
        <row r="30">
          <cell r="C30">
            <v>476000</v>
          </cell>
          <cell r="M30">
            <v>6387489.8635</v>
          </cell>
          <cell r="O30">
            <v>1764161.4</v>
          </cell>
        </row>
        <row r="31">
          <cell r="C31">
            <v>394000</v>
          </cell>
          <cell r="M31">
            <v>6648247.8684999999</v>
          </cell>
          <cell r="O31">
            <v>2054808.6069999998</v>
          </cell>
        </row>
        <row r="32">
          <cell r="C32">
            <v>1472000</v>
          </cell>
          <cell r="M32">
            <v>8341967.959499998</v>
          </cell>
          <cell r="O32">
            <v>2426607.6720000003</v>
          </cell>
        </row>
        <row r="33">
          <cell r="C33">
            <v>329000</v>
          </cell>
          <cell r="M33">
            <v>7969896.3375000004</v>
          </cell>
          <cell r="O33">
            <v>2405963.4500000002</v>
          </cell>
        </row>
        <row r="34">
          <cell r="C34">
            <v>637000</v>
          </cell>
          <cell r="M34">
            <v>6931197.949000001</v>
          </cell>
          <cell r="O34">
            <v>1642630.2</v>
          </cell>
        </row>
        <row r="35">
          <cell r="C35">
            <v>390000</v>
          </cell>
          <cell r="M35">
            <v>7196049.6404999997</v>
          </cell>
          <cell r="O35">
            <v>1621750.3</v>
          </cell>
        </row>
        <row r="36">
          <cell r="C36">
            <v>798000</v>
          </cell>
          <cell r="M36">
            <v>8112060.9930000007</v>
          </cell>
          <cell r="O36">
            <v>2846622</v>
          </cell>
        </row>
        <row r="37">
          <cell r="C37">
            <v>308500</v>
          </cell>
          <cell r="M37">
            <v>8747443.6475000009</v>
          </cell>
          <cell r="O37">
            <v>2269858.4</v>
          </cell>
        </row>
      </sheetData>
      <sheetData sheetId="7">
        <row r="14">
          <cell r="C14">
            <v>2861950</v>
          </cell>
          <cell r="D14">
            <v>1032450</v>
          </cell>
          <cell r="E14">
            <v>0</v>
          </cell>
          <cell r="F14">
            <v>586500</v>
          </cell>
          <cell r="G14">
            <v>0</v>
          </cell>
          <cell r="I14">
            <v>0</v>
          </cell>
          <cell r="J14">
            <v>500000</v>
          </cell>
          <cell r="K14">
            <v>553000</v>
          </cell>
          <cell r="L14">
            <v>60000</v>
          </cell>
          <cell r="M14">
            <v>130000</v>
          </cell>
        </row>
        <row r="15">
          <cell r="C15">
            <v>3986750</v>
          </cell>
          <cell r="D15">
            <v>440700</v>
          </cell>
          <cell r="E15">
            <v>16050</v>
          </cell>
          <cell r="F15">
            <v>255000</v>
          </cell>
          <cell r="G15">
            <v>600000</v>
          </cell>
          <cell r="I15">
            <v>1350000</v>
          </cell>
          <cell r="J15">
            <v>1000000</v>
          </cell>
          <cell r="K15">
            <v>140000</v>
          </cell>
          <cell r="L15">
            <v>65000</v>
          </cell>
          <cell r="M15">
            <v>120000</v>
          </cell>
        </row>
        <row r="16">
          <cell r="C16">
            <v>2925050</v>
          </cell>
          <cell r="D16">
            <v>183150</v>
          </cell>
          <cell r="E16">
            <v>0</v>
          </cell>
          <cell r="F16">
            <v>100650</v>
          </cell>
          <cell r="G16">
            <v>26250</v>
          </cell>
          <cell r="I16">
            <v>1140000</v>
          </cell>
          <cell r="J16">
            <v>1050000</v>
          </cell>
          <cell r="K16">
            <v>65000</v>
          </cell>
          <cell r="L16">
            <v>95000</v>
          </cell>
          <cell r="M16">
            <v>265000</v>
          </cell>
        </row>
        <row r="17">
          <cell r="C17">
            <v>4233400</v>
          </cell>
          <cell r="D17">
            <v>423900</v>
          </cell>
          <cell r="E17">
            <v>24000</v>
          </cell>
          <cell r="F17">
            <v>220500</v>
          </cell>
          <cell r="G17">
            <v>0</v>
          </cell>
          <cell r="I17">
            <v>1685000</v>
          </cell>
          <cell r="J17">
            <v>1400000</v>
          </cell>
          <cell r="K17">
            <v>135000</v>
          </cell>
          <cell r="L17">
            <v>85000</v>
          </cell>
          <cell r="M17">
            <v>260000</v>
          </cell>
        </row>
        <row r="18">
          <cell r="C18">
            <v>1990450</v>
          </cell>
          <cell r="D18">
            <v>406350</v>
          </cell>
          <cell r="E18">
            <v>0</v>
          </cell>
          <cell r="F18">
            <v>254100</v>
          </cell>
          <cell r="G18">
            <v>0</v>
          </cell>
          <cell r="I18">
            <v>650000</v>
          </cell>
          <cell r="J18">
            <v>350000</v>
          </cell>
          <cell r="K18">
            <v>170000</v>
          </cell>
          <cell r="L18">
            <v>70000</v>
          </cell>
          <cell r="M18">
            <v>90000</v>
          </cell>
        </row>
        <row r="19">
          <cell r="C19">
            <v>4175000</v>
          </cell>
          <cell r="D19">
            <v>442500</v>
          </cell>
          <cell r="E19">
            <v>4500</v>
          </cell>
          <cell r="F19">
            <v>252000</v>
          </cell>
          <cell r="G19">
            <v>1000</v>
          </cell>
          <cell r="I19">
            <v>1650000</v>
          </cell>
          <cell r="J19">
            <v>1320000</v>
          </cell>
          <cell r="K19">
            <v>165000</v>
          </cell>
          <cell r="L19">
            <v>150000</v>
          </cell>
          <cell r="M19">
            <v>190000</v>
          </cell>
        </row>
        <row r="20">
          <cell r="C20">
            <v>4888800</v>
          </cell>
          <cell r="D20">
            <v>492900</v>
          </cell>
          <cell r="E20">
            <v>7800</v>
          </cell>
          <cell r="F20">
            <v>287100</v>
          </cell>
          <cell r="G20">
            <v>3000</v>
          </cell>
          <cell r="I20">
            <v>1950000</v>
          </cell>
          <cell r="J20">
            <v>1838000</v>
          </cell>
          <cell r="K20">
            <v>180000</v>
          </cell>
          <cell r="L20">
            <v>80000</v>
          </cell>
          <cell r="M20">
            <v>50000</v>
          </cell>
        </row>
        <row r="21">
          <cell r="C21">
            <v>3518450</v>
          </cell>
          <cell r="D21">
            <v>413700</v>
          </cell>
          <cell r="E21">
            <v>3750</v>
          </cell>
          <cell r="F21">
            <v>270000</v>
          </cell>
          <cell r="G21">
            <v>15000</v>
          </cell>
          <cell r="I21">
            <v>1630000</v>
          </cell>
          <cell r="J21">
            <v>530000</v>
          </cell>
          <cell r="K21">
            <v>136000</v>
          </cell>
          <cell r="L21">
            <v>40000</v>
          </cell>
          <cell r="M21">
            <v>480000</v>
          </cell>
        </row>
        <row r="22">
          <cell r="C22">
            <v>4056250</v>
          </cell>
          <cell r="D22">
            <v>332250</v>
          </cell>
          <cell r="E22">
            <v>7500</v>
          </cell>
          <cell r="F22">
            <v>195000</v>
          </cell>
          <cell r="G22">
            <v>1500</v>
          </cell>
          <cell r="I22">
            <v>640000</v>
          </cell>
          <cell r="J22">
            <v>2350000</v>
          </cell>
          <cell r="K22">
            <v>150000</v>
          </cell>
          <cell r="L22">
            <v>100000</v>
          </cell>
          <cell r="M22">
            <v>280000</v>
          </cell>
        </row>
        <row r="23">
          <cell r="C23">
            <v>967400</v>
          </cell>
          <cell r="D23">
            <v>47400</v>
          </cell>
          <cell r="E23">
            <v>0</v>
          </cell>
          <cell r="F23">
            <v>27000</v>
          </cell>
          <cell r="G23">
            <v>2000</v>
          </cell>
          <cell r="I23">
            <v>320000</v>
          </cell>
          <cell r="J23">
            <v>350000</v>
          </cell>
          <cell r="K23">
            <v>24000</v>
          </cell>
          <cell r="L23">
            <v>22000</v>
          </cell>
          <cell r="M23">
            <v>175000</v>
          </cell>
        </row>
        <row r="24">
          <cell r="C24">
            <v>2117050</v>
          </cell>
          <cell r="D24">
            <v>43200</v>
          </cell>
          <cell r="E24">
            <v>0</v>
          </cell>
          <cell r="F24">
            <v>25350</v>
          </cell>
          <cell r="G24">
            <v>1250500</v>
          </cell>
          <cell r="I24">
            <v>285000</v>
          </cell>
          <cell r="J24">
            <v>280000</v>
          </cell>
          <cell r="K24">
            <v>23000</v>
          </cell>
          <cell r="L24">
            <v>40000</v>
          </cell>
          <cell r="M24">
            <v>170000</v>
          </cell>
        </row>
        <row r="25">
          <cell r="C25">
            <v>773850</v>
          </cell>
          <cell r="D25">
            <v>96750</v>
          </cell>
          <cell r="E25">
            <v>0</v>
          </cell>
          <cell r="F25">
            <v>59100</v>
          </cell>
          <cell r="G25">
            <v>0</v>
          </cell>
          <cell r="I25">
            <v>125000</v>
          </cell>
          <cell r="J25">
            <v>300000</v>
          </cell>
          <cell r="K25">
            <v>40000</v>
          </cell>
          <cell r="L25">
            <v>73000</v>
          </cell>
          <cell r="M25">
            <v>80000</v>
          </cell>
        </row>
        <row r="26">
          <cell r="C26">
            <v>752300</v>
          </cell>
          <cell r="D26">
            <v>17550</v>
          </cell>
          <cell r="E26">
            <v>0</v>
          </cell>
          <cell r="F26">
            <v>9750</v>
          </cell>
          <cell r="G26">
            <v>250000</v>
          </cell>
          <cell r="I26">
            <v>15000</v>
          </cell>
          <cell r="J26">
            <v>400000</v>
          </cell>
          <cell r="K26">
            <v>9000</v>
          </cell>
          <cell r="L26">
            <v>21000</v>
          </cell>
          <cell r="M26">
            <v>30000</v>
          </cell>
        </row>
        <row r="27">
          <cell r="C27">
            <v>503350</v>
          </cell>
          <cell r="D27">
            <v>68700</v>
          </cell>
          <cell r="E27">
            <v>0</v>
          </cell>
          <cell r="F27">
            <v>36150</v>
          </cell>
          <cell r="G27">
            <v>51500</v>
          </cell>
          <cell r="I27">
            <v>125000</v>
          </cell>
          <cell r="J27">
            <v>100000</v>
          </cell>
          <cell r="K27">
            <v>25000</v>
          </cell>
          <cell r="L27">
            <v>37000</v>
          </cell>
          <cell r="M27">
            <v>60000</v>
          </cell>
        </row>
        <row r="28">
          <cell r="C28">
            <v>905050</v>
          </cell>
          <cell r="D28">
            <v>69750</v>
          </cell>
          <cell r="E28">
            <v>0</v>
          </cell>
          <cell r="F28">
            <v>39300</v>
          </cell>
          <cell r="G28">
            <v>450000</v>
          </cell>
          <cell r="I28">
            <v>20000</v>
          </cell>
          <cell r="J28">
            <v>60000</v>
          </cell>
          <cell r="K28">
            <v>36000</v>
          </cell>
          <cell r="L28">
            <v>30000</v>
          </cell>
          <cell r="M28">
            <v>200000</v>
          </cell>
        </row>
        <row r="29">
          <cell r="C29">
            <v>377000</v>
          </cell>
          <cell r="D29">
            <v>24000</v>
          </cell>
          <cell r="E29">
            <v>0</v>
          </cell>
          <cell r="F29">
            <v>12000</v>
          </cell>
          <cell r="G29">
            <v>5000</v>
          </cell>
          <cell r="I29">
            <v>5000</v>
          </cell>
          <cell r="J29">
            <v>100000</v>
          </cell>
          <cell r="K29">
            <v>12000</v>
          </cell>
          <cell r="L29">
            <v>24000</v>
          </cell>
          <cell r="M29">
            <v>195000</v>
          </cell>
        </row>
        <row r="30">
          <cell r="C30">
            <v>311500</v>
          </cell>
          <cell r="D30">
            <v>15000</v>
          </cell>
          <cell r="E30">
            <v>0</v>
          </cell>
          <cell r="F30">
            <v>7500</v>
          </cell>
          <cell r="G30">
            <v>15000</v>
          </cell>
          <cell r="I30">
            <v>20000</v>
          </cell>
          <cell r="J30">
            <v>30000</v>
          </cell>
          <cell r="K30">
            <v>10000</v>
          </cell>
          <cell r="L30">
            <v>29000</v>
          </cell>
          <cell r="M30">
            <v>185000</v>
          </cell>
        </row>
        <row r="31">
          <cell r="C31">
            <v>978500</v>
          </cell>
          <cell r="D31">
            <v>103800</v>
          </cell>
          <cell r="E31">
            <v>6300</v>
          </cell>
          <cell r="F31">
            <v>56400</v>
          </cell>
          <cell r="G31">
            <v>100000</v>
          </cell>
          <cell r="I31">
            <v>100000</v>
          </cell>
          <cell r="J31">
            <v>360000</v>
          </cell>
          <cell r="K31">
            <v>61000</v>
          </cell>
          <cell r="L31">
            <v>86000</v>
          </cell>
          <cell r="M31">
            <v>105000</v>
          </cell>
        </row>
        <row r="32">
          <cell r="C32">
            <v>232000</v>
          </cell>
          <cell r="D32">
            <v>24000</v>
          </cell>
          <cell r="E32">
            <v>0</v>
          </cell>
          <cell r="F32">
            <v>12000</v>
          </cell>
          <cell r="G32">
            <v>63000</v>
          </cell>
          <cell r="I32">
            <v>5000</v>
          </cell>
          <cell r="J32">
            <v>65000</v>
          </cell>
          <cell r="K32">
            <v>23000</v>
          </cell>
          <cell r="L32">
            <v>30000</v>
          </cell>
          <cell r="M32">
            <v>10000</v>
          </cell>
        </row>
        <row r="33">
          <cell r="C33">
            <v>301000</v>
          </cell>
          <cell r="D33">
            <v>41250</v>
          </cell>
          <cell r="E33">
            <v>0</v>
          </cell>
          <cell r="F33">
            <v>20250</v>
          </cell>
          <cell r="G33">
            <v>57500</v>
          </cell>
          <cell r="I33">
            <v>20000</v>
          </cell>
          <cell r="J33">
            <v>70000</v>
          </cell>
          <cell r="K33">
            <v>32000</v>
          </cell>
          <cell r="L33">
            <v>35000</v>
          </cell>
          <cell r="M33">
            <v>25000</v>
          </cell>
        </row>
        <row r="34">
          <cell r="C34">
            <v>581250</v>
          </cell>
          <cell r="D34">
            <v>26250</v>
          </cell>
          <cell r="E34">
            <v>600</v>
          </cell>
          <cell r="F34">
            <v>12900</v>
          </cell>
          <cell r="G34">
            <v>3500</v>
          </cell>
          <cell r="I34">
            <v>5000</v>
          </cell>
          <cell r="J34">
            <v>420000</v>
          </cell>
          <cell r="K34">
            <v>28000</v>
          </cell>
          <cell r="L34">
            <v>20000</v>
          </cell>
          <cell r="M34">
            <v>65000</v>
          </cell>
        </row>
        <row r="35">
          <cell r="C35">
            <v>734450</v>
          </cell>
          <cell r="D35">
            <v>39750</v>
          </cell>
          <cell r="E35">
            <v>0</v>
          </cell>
          <cell r="F35">
            <v>20700</v>
          </cell>
          <cell r="G35">
            <v>1000</v>
          </cell>
          <cell r="I35">
            <v>9000</v>
          </cell>
          <cell r="J35">
            <v>280000</v>
          </cell>
          <cell r="K35">
            <v>24000</v>
          </cell>
          <cell r="L35">
            <v>80000</v>
          </cell>
          <cell r="M35">
            <v>280000</v>
          </cell>
        </row>
        <row r="36">
          <cell r="C36">
            <v>279600</v>
          </cell>
          <cell r="D36">
            <v>16800</v>
          </cell>
          <cell r="E36">
            <v>150</v>
          </cell>
          <cell r="F36">
            <v>9150</v>
          </cell>
          <cell r="G36">
            <v>1000</v>
          </cell>
          <cell r="I36">
            <v>500</v>
          </cell>
          <cell r="J36">
            <v>120000</v>
          </cell>
          <cell r="K36">
            <v>17000</v>
          </cell>
          <cell r="L36">
            <v>65000</v>
          </cell>
          <cell r="M36">
            <v>50000</v>
          </cell>
        </row>
      </sheetData>
      <sheetData sheetId="8">
        <row r="16">
          <cell r="G16">
            <v>6309778.9715</v>
          </cell>
          <cell r="BK16">
            <v>63098</v>
          </cell>
          <cell r="BL16">
            <v>197713</v>
          </cell>
          <cell r="BM16">
            <v>103774</v>
          </cell>
        </row>
        <row r="17">
          <cell r="G17">
            <v>7086261.0690000011</v>
          </cell>
          <cell r="BK17">
            <v>70863</v>
          </cell>
          <cell r="BL17">
            <v>219869</v>
          </cell>
          <cell r="BM17">
            <v>130188</v>
          </cell>
        </row>
        <row r="18">
          <cell r="G18">
            <v>9615625.5474999994</v>
          </cell>
          <cell r="BK18">
            <v>96156</v>
          </cell>
          <cell r="BL18">
            <v>298493</v>
          </cell>
          <cell r="BM18">
            <v>253232</v>
          </cell>
        </row>
        <row r="19">
          <cell r="G19">
            <v>9087941.5194999985</v>
          </cell>
          <cell r="BK19">
            <v>90879</v>
          </cell>
          <cell r="BL19">
            <v>280414</v>
          </cell>
          <cell r="BM19">
            <v>236158</v>
          </cell>
        </row>
        <row r="20">
          <cell r="G20">
            <v>7678855.2499999991</v>
          </cell>
          <cell r="BK20">
            <v>76789</v>
          </cell>
          <cell r="BL20">
            <v>231829</v>
          </cell>
          <cell r="BM20">
            <v>110634</v>
          </cell>
        </row>
        <row r="21">
          <cell r="G21">
            <v>8294258.5429999996</v>
          </cell>
          <cell r="BK21">
            <v>82943</v>
          </cell>
          <cell r="BL21">
            <v>257612</v>
          </cell>
          <cell r="BM21">
            <v>195689</v>
          </cell>
        </row>
        <row r="22">
          <cell r="G22">
            <v>9048013.8870000001</v>
          </cell>
          <cell r="BK22">
            <v>90480</v>
          </cell>
          <cell r="BL22">
            <v>274837</v>
          </cell>
          <cell r="BM22">
            <v>193287</v>
          </cell>
        </row>
        <row r="23">
          <cell r="G23">
            <v>9622821.4674999993</v>
          </cell>
          <cell r="BK23">
            <v>96228</v>
          </cell>
          <cell r="BL23">
            <v>300726</v>
          </cell>
          <cell r="BM23">
            <v>234110</v>
          </cell>
        </row>
        <row r="24">
          <cell r="G24">
            <v>9413900.8490000013</v>
          </cell>
          <cell r="BK24">
            <v>94139</v>
          </cell>
          <cell r="BL24">
            <v>296295</v>
          </cell>
          <cell r="BM24">
            <v>212667</v>
          </cell>
        </row>
        <row r="25">
          <cell r="G25">
            <v>6377827.7544999998</v>
          </cell>
          <cell r="BK25">
            <v>63778</v>
          </cell>
          <cell r="BL25">
            <v>196424</v>
          </cell>
          <cell r="BM25">
            <v>121722</v>
          </cell>
        </row>
        <row r="26">
          <cell r="G26">
            <v>6913767.0899999999</v>
          </cell>
          <cell r="BK26">
            <v>69138</v>
          </cell>
          <cell r="BL26">
            <v>208448</v>
          </cell>
          <cell r="BM26">
            <v>117921</v>
          </cell>
        </row>
        <row r="27">
          <cell r="G27">
            <v>6959724.4385000002</v>
          </cell>
          <cell r="BK27">
            <v>69597</v>
          </cell>
          <cell r="BL27">
            <v>208657</v>
          </cell>
          <cell r="BM27">
            <v>136498</v>
          </cell>
        </row>
        <row r="28">
          <cell r="G28">
            <v>6835350.3154999996</v>
          </cell>
          <cell r="BK28">
            <v>68354</v>
          </cell>
          <cell r="BL28">
            <v>203628</v>
          </cell>
          <cell r="BM28">
            <v>97224</v>
          </cell>
        </row>
        <row r="29">
          <cell r="G29">
            <v>6115706.8485000003</v>
          </cell>
          <cell r="BK29">
            <v>61157</v>
          </cell>
          <cell r="BL29">
            <v>181705</v>
          </cell>
          <cell r="BM29">
            <v>117279</v>
          </cell>
        </row>
        <row r="30">
          <cell r="G30">
            <v>6449680.1044999994</v>
          </cell>
          <cell r="BK30">
            <v>64497</v>
          </cell>
          <cell r="BL30">
            <v>188867</v>
          </cell>
          <cell r="BM30">
            <v>109445</v>
          </cell>
        </row>
        <row r="31">
          <cell r="G31">
            <v>6618988.8635</v>
          </cell>
          <cell r="BK31">
            <v>66190</v>
          </cell>
          <cell r="BL31">
            <v>195180</v>
          </cell>
          <cell r="BM31">
            <v>115869</v>
          </cell>
        </row>
        <row r="32">
          <cell r="G32">
            <v>6691223.8684999999</v>
          </cell>
          <cell r="BK32">
            <v>66912</v>
          </cell>
          <cell r="BL32">
            <v>205889</v>
          </cell>
          <cell r="BM32">
            <v>104277</v>
          </cell>
        </row>
        <row r="33">
          <cell r="G33">
            <v>9229329.959499998</v>
          </cell>
          <cell r="BK33">
            <v>92293</v>
          </cell>
          <cell r="BL33">
            <v>271384</v>
          </cell>
          <cell r="BM33">
            <v>272539</v>
          </cell>
        </row>
        <row r="34">
          <cell r="G34">
            <v>8101624.3375000004</v>
          </cell>
          <cell r="BK34">
            <v>81016</v>
          </cell>
          <cell r="BL34">
            <v>244597</v>
          </cell>
          <cell r="BM34">
            <v>225341</v>
          </cell>
        </row>
        <row r="35">
          <cell r="G35">
            <v>7186860.949000001</v>
          </cell>
          <cell r="BK35">
            <v>71869</v>
          </cell>
          <cell r="BL35">
            <v>205621</v>
          </cell>
          <cell r="BM35">
            <v>232153</v>
          </cell>
        </row>
        <row r="36">
          <cell r="G36">
            <v>7690017.6404999997</v>
          </cell>
          <cell r="BK36">
            <v>76900</v>
          </cell>
          <cell r="BL36">
            <v>216878</v>
          </cell>
          <cell r="BM36">
            <v>206496</v>
          </cell>
        </row>
        <row r="37">
          <cell r="G37">
            <v>8457179.9930000007</v>
          </cell>
          <cell r="BK37">
            <v>84572</v>
          </cell>
          <cell r="BL37">
            <v>267691</v>
          </cell>
          <cell r="BM37">
            <v>162932</v>
          </cell>
        </row>
        <row r="38">
          <cell r="G38">
            <v>8994378.6475000009</v>
          </cell>
          <cell r="BK38">
            <v>89944</v>
          </cell>
          <cell r="BL38">
            <v>262282</v>
          </cell>
          <cell r="BM38">
            <v>319561</v>
          </cell>
        </row>
      </sheetData>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ân đối"/>
      <sheetName val="Biểu 01"/>
      <sheetName val="Biểu 02"/>
      <sheetName val="Biểu 03"/>
      <sheetName val="Biểu 04"/>
      <sheetName val="Biểu 05"/>
      <sheetName val="Biểu 06"/>
      <sheetName val="Biểu 06.1"/>
      <sheetName val="Biểu số 07"/>
      <sheetName val="Biểu 08"/>
      <sheetName val="Biẻu 09"/>
      <sheetName val="Biểu 10"/>
      <sheetName val="Biểu 11"/>
      <sheetName val="Biểu 12"/>
      <sheetName val="Biểu 13"/>
      <sheetName val="Biểu 14"/>
      <sheetName val="Biểu 15"/>
      <sheetName val="Biểu chi dữ liệu biểu 33"/>
      <sheetName val="Bieu thu 2023-MB31 (OK)"/>
      <sheetName val="MB29(OK)"/>
      <sheetName val="Bieu chi 2020 -MB 32.1 (OK)"/>
      <sheetName val="MB 32.3(OK)"/>
      <sheetName val="Mẫu biểu 35(OK)"/>
      <sheetName val="mb 32.2(OK)"/>
      <sheetName val="XXXXXXXX"/>
      <sheetName val="Chi tiet kem to trinh"/>
      <sheetName val="Biểu 7"/>
      <sheetName val="Giao các đơn vị"/>
      <sheetName val="Dự toán Chi tiết 2024"/>
      <sheetName val="học phí "/>
      <sheetName val="Mua sắm"/>
    </sheetNames>
    <sheetDataSet>
      <sheetData sheetId="0" refreshError="1"/>
      <sheetData sheetId="1" refreshError="1">
        <row r="27">
          <cell r="L27">
            <v>29700</v>
          </cell>
        </row>
        <row r="45">
          <cell r="E45">
            <v>112305</v>
          </cell>
        </row>
        <row r="46">
          <cell r="C46">
            <v>862695.9</v>
          </cell>
        </row>
        <row r="50">
          <cell r="C50">
            <v>347008</v>
          </cell>
        </row>
        <row r="51">
          <cell r="C51">
            <v>61078</v>
          </cell>
        </row>
        <row r="52">
          <cell r="C52">
            <v>149992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5">
          <cell r="K5">
            <v>968755000000</v>
          </cell>
        </row>
        <row r="29">
          <cell r="K29">
            <v>1954000000</v>
          </cell>
        </row>
      </sheetData>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ân đối"/>
      <sheetName val="Biểu 01"/>
      <sheetName val="Biểu 02"/>
      <sheetName val="Biểu 03"/>
      <sheetName val="XÃ_ VÂN 2024"/>
      <sheetName val="mt_VÂN 2024"/>
      <sheetName val="CĐ XÃ_VÂN 2024"/>
      <sheetName val="Biểu 04 (2)_ vân 2024"/>
      <sheetName val="Biểu 04"/>
      <sheetName val="Biểu 05 a.H"/>
      <sheetName val="Biểu 05"/>
      <sheetName val="Biểu 06 a.H"/>
      <sheetName val="Biểu 06"/>
      <sheetName val="Biểu 06.1"/>
      <sheetName val="Biểu số 07"/>
      <sheetName val="Biểu 08"/>
      <sheetName val="Biẻu 09"/>
      <sheetName val="Biểu 10"/>
      <sheetName val="Biểu 11"/>
      <sheetName val="Biểu 12"/>
      <sheetName val="Biểu 13"/>
      <sheetName val="Biểu 14"/>
      <sheetName val="Biểu 15"/>
      <sheetName val="Biểu chi dữ liệu biểu 33"/>
      <sheetName val="Bieu thu 2023-MB31 (OK)"/>
      <sheetName val="MB29(OK)"/>
      <sheetName val="Bieu chi 2020 -MB 32.1 (OK)"/>
      <sheetName val="MB 32.3(OK)"/>
      <sheetName val="Mẫu biểu 35(OK)"/>
      <sheetName val="mb 32.2(OK)"/>
      <sheetName val="XXXXXXXX"/>
      <sheetName val="Chi tiet kem to trinh"/>
      <sheetName val="Biểu 7"/>
      <sheetName val="Giao các đơn vị"/>
      <sheetName val="Dự toán Chi tiết 2025 (2)"/>
      <sheetName val="Dự toán Chi tiết 2025"/>
      <sheetName val="Thư copy"/>
      <sheetName val="Sheet2"/>
      <sheetName val="TT HĐND TP"/>
      <sheetName val="Vân"/>
      <sheetName val="giáo dục"/>
      <sheetName val="học phí "/>
      <sheetName val="Mua sắ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98">
          <cell r="L98">
            <v>8485237800</v>
          </cell>
        </row>
        <row r="104">
          <cell r="L104">
            <v>12433379332</v>
          </cell>
        </row>
        <row r="110">
          <cell r="L110">
            <v>4000000000</v>
          </cell>
        </row>
      </sheetData>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ân đối"/>
      <sheetName val="Biểu 01"/>
      <sheetName val="Biểu 02"/>
      <sheetName val="Biểu 03"/>
      <sheetName val="XÃ_ VÂN 2024"/>
      <sheetName val="mt_VÂN 2024"/>
      <sheetName val="CĐ XÃ_VÂN 2024"/>
      <sheetName val="Biểu 04 (2)_ vân 2024"/>
      <sheetName val="Biểu 04"/>
      <sheetName val="Biểu 05 a.H"/>
      <sheetName val="Biểu 05"/>
      <sheetName val="Biểu 06 a.H"/>
      <sheetName val="Biểu 06"/>
      <sheetName val="Biểu 06.1"/>
      <sheetName val="Biểu số 07"/>
      <sheetName val="Biểu 08"/>
      <sheetName val="Biẻu 09"/>
      <sheetName val="Biểu 10"/>
      <sheetName val="Biểu 11"/>
      <sheetName val="Biểu 12"/>
      <sheetName val="Biểu 13"/>
      <sheetName val="Biểu 14"/>
      <sheetName val="Biểu 15"/>
      <sheetName val="Biểu chi dữ liệu biểu 33"/>
      <sheetName val="Bieu thu 2023-MB31 (OK)"/>
      <sheetName val="MB29(OK)"/>
      <sheetName val="Bieu chi 2020 -MB 32.1 (OK)"/>
      <sheetName val="MB 32.3(OK)"/>
      <sheetName val="Mẫu biểu 35(OK)"/>
      <sheetName val="mb 32.2(OK)"/>
      <sheetName val="XXXXXXXX"/>
      <sheetName val="Chi tiet kem to trinh"/>
      <sheetName val="Biểu 7"/>
      <sheetName val="Giao các đơn vị"/>
      <sheetName val="Dự toán Chi tiết 2025 (2)"/>
      <sheetName val="Dự toán Chi tiết 2025"/>
      <sheetName val="Thư copy"/>
      <sheetName val="Sheet2"/>
      <sheetName val="TT HĐND TP"/>
      <sheetName val="Vân"/>
      <sheetName val="giáo dục"/>
      <sheetName val="học phí "/>
      <sheetName val="Mua sắm"/>
    </sheetNames>
    <sheetDataSet>
      <sheetData sheetId="0"/>
      <sheetData sheetId="1">
        <row r="4">
          <cell r="A4" t="str">
            <v>(Kèm theo Quyết định số  6151/QĐ-UBND ngày 26/12/2024 của UBND thành phố Quảng Ngãi)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5">
          <cell r="K5">
            <v>1138514262431.8611</v>
          </cell>
        </row>
        <row r="8">
          <cell r="K8">
            <v>2423152000</v>
          </cell>
        </row>
        <row r="9">
          <cell r="K9">
            <v>2281400000</v>
          </cell>
        </row>
        <row r="10">
          <cell r="K10">
            <v>1097300000</v>
          </cell>
        </row>
        <row r="11">
          <cell r="K11">
            <v>4217200000</v>
          </cell>
        </row>
        <row r="14">
          <cell r="K14">
            <v>2385152000</v>
          </cell>
        </row>
        <row r="15">
          <cell r="K15">
            <v>10857282000</v>
          </cell>
        </row>
        <row r="16">
          <cell r="K16">
            <v>1770808000</v>
          </cell>
        </row>
        <row r="18">
          <cell r="K18">
            <v>12796800000</v>
          </cell>
        </row>
        <row r="19">
          <cell r="K19">
            <v>21729080000</v>
          </cell>
        </row>
        <row r="20">
          <cell r="K20">
            <v>2659800000</v>
          </cell>
          <cell r="Q20">
            <v>2659799040</v>
          </cell>
        </row>
        <row r="22">
          <cell r="K22">
            <v>1351700000</v>
          </cell>
        </row>
        <row r="24">
          <cell r="K24">
            <v>967000000</v>
          </cell>
        </row>
        <row r="25">
          <cell r="B25" t="str">
            <v>Chi quản lý nhà nước trong năm như bổ sung tiền lương cho biên chế tuyển dụng mới, nâng lương trước hạn, chế độ nghỉ việc và các nội dung quản lý nhà nước khác</v>
          </cell>
        </row>
        <row r="26">
          <cell r="G26">
            <v>4500000000</v>
          </cell>
        </row>
        <row r="35">
          <cell r="K35">
            <v>1950000000</v>
          </cell>
        </row>
        <row r="132">
          <cell r="K132">
            <v>134383000000</v>
          </cell>
        </row>
      </sheetData>
      <sheetData sheetId="34"/>
      <sheetData sheetId="35">
        <row r="662">
          <cell r="L662">
            <v>7700000000</v>
          </cell>
        </row>
      </sheetData>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Sheet1 (2)"/>
      <sheetName val="Sheet2"/>
    </sheetNames>
    <sheetDataSet>
      <sheetData sheetId="0"/>
      <sheetData sheetId="1">
        <row r="15">
          <cell r="J15">
            <v>830221706</v>
          </cell>
          <cell r="K15">
            <v>816764604</v>
          </cell>
        </row>
        <row r="17">
          <cell r="G17">
            <v>165979755</v>
          </cell>
          <cell r="H17">
            <v>37985932</v>
          </cell>
        </row>
        <row r="25">
          <cell r="G25">
            <v>7140000</v>
          </cell>
        </row>
        <row r="27">
          <cell r="G27">
            <v>62576200</v>
          </cell>
        </row>
        <row r="28">
          <cell r="J28">
            <v>3150323850</v>
          </cell>
        </row>
        <row r="30">
          <cell r="K30">
            <v>96605890945</v>
          </cell>
        </row>
        <row r="31">
          <cell r="G31">
            <v>26589550000</v>
          </cell>
        </row>
        <row r="48">
          <cell r="G48">
            <v>22335200</v>
          </cell>
        </row>
        <row r="51">
          <cell r="K51">
            <v>273000000</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00000000"/>
      <sheetName val="10000000"/>
      <sheetName val="XXXXXXXX"/>
      <sheetName val="XXXXXXX0"/>
      <sheetName val="XXXXXXX1"/>
      <sheetName val="XL4Test5"/>
    </sheetNames>
    <sheetDataSet>
      <sheetData sheetId="0">
        <row r="8">
          <cell r="H8">
            <v>1141604900</v>
          </cell>
        </row>
      </sheetData>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00000000"/>
      <sheetName val="10000000"/>
      <sheetName val="XXXXXXXX"/>
      <sheetName val="XXXXXXX0"/>
      <sheetName val="XXXXXXX1"/>
      <sheetName val="XL4Test5"/>
    </sheetNames>
    <sheetDataSet>
      <sheetData sheetId="0">
        <row r="10">
          <cell r="J10">
            <v>725978641.33333337</v>
          </cell>
          <cell r="K10">
            <v>463477901.33333331</v>
          </cell>
          <cell r="L10">
            <v>166085377.33333334</v>
          </cell>
        </row>
        <row r="22">
          <cell r="L22">
            <v>54000000</v>
          </cell>
        </row>
        <row r="23">
          <cell r="K23">
            <v>4037500000</v>
          </cell>
        </row>
        <row r="24">
          <cell r="J24">
            <v>269500000</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91"/>
  <sheetViews>
    <sheetView topLeftCell="C73" workbookViewId="0">
      <selection activeCell="S80" sqref="S80"/>
    </sheetView>
  </sheetViews>
  <sheetFormatPr defaultColWidth="9.140625" defaultRowHeight="15.75"/>
  <cols>
    <col min="1" max="1" width="6.28515625" style="471" customWidth="1"/>
    <col min="2" max="2" width="34.42578125" style="435" customWidth="1"/>
    <col min="3" max="3" width="9" style="472" customWidth="1"/>
    <col min="4" max="4" width="8.7109375" style="472" customWidth="1"/>
    <col min="5" max="6" width="7" style="472" customWidth="1"/>
    <col min="7" max="7" width="14.5703125" style="435" customWidth="1"/>
    <col min="8" max="8" width="16.42578125" style="435" customWidth="1"/>
    <col min="9" max="9" width="14.42578125" style="472" customWidth="1"/>
    <col min="10" max="10" width="15" style="472" customWidth="1"/>
    <col min="11" max="11" width="16.7109375" style="435" customWidth="1"/>
    <col min="12" max="12" width="13.28515625" style="472" customWidth="1"/>
    <col min="13" max="13" width="18.28515625" style="435" customWidth="1"/>
    <col min="14" max="14" width="15" style="435" customWidth="1"/>
    <col min="15" max="15" width="12.85546875" style="435" customWidth="1"/>
    <col min="16" max="16" width="15.140625" style="472" customWidth="1"/>
    <col min="17" max="17" width="14.140625" style="472" customWidth="1"/>
    <col min="18" max="18" width="12.28515625" style="472" customWidth="1"/>
    <col min="19" max="19" width="16.28515625" style="1273" customWidth="1"/>
    <col min="20" max="20" width="15.140625" style="472" customWidth="1"/>
    <col min="21" max="21" width="16.7109375" style="435" customWidth="1"/>
    <col min="22" max="22" width="16.7109375" style="435" hidden="1" customWidth="1"/>
    <col min="23" max="23" width="15.7109375" style="435" hidden="1" customWidth="1"/>
    <col min="24" max="24" width="22.42578125" style="435" hidden="1" customWidth="1"/>
    <col min="25" max="25" width="22.140625" style="435" hidden="1" customWidth="1"/>
    <col min="26" max="26" width="21.42578125" style="435" hidden="1" customWidth="1"/>
    <col min="27" max="27" width="21.7109375" style="435" hidden="1" customWidth="1"/>
    <col min="28" max="28" width="19.5703125" style="435" hidden="1" customWidth="1"/>
    <col min="29" max="29" width="21.28515625" style="435" hidden="1" customWidth="1"/>
    <col min="30" max="30" width="15.85546875" style="435" hidden="1" customWidth="1"/>
    <col min="31" max="31" width="23.85546875" style="435" hidden="1" customWidth="1"/>
    <col min="32" max="32" width="15.140625" style="435" hidden="1" customWidth="1"/>
    <col min="33" max="33" width="20.140625" style="435" hidden="1" customWidth="1"/>
    <col min="34" max="34" width="19.7109375" style="435" hidden="1" customWidth="1"/>
    <col min="35" max="35" width="9.140625" style="435" hidden="1" customWidth="1"/>
    <col min="36" max="36" width="17" style="435" hidden="1" customWidth="1"/>
    <col min="37" max="42" width="9.140625" style="435" hidden="1" customWidth="1"/>
    <col min="43" max="45" width="9.140625" style="435" customWidth="1"/>
    <col min="46" max="16384" width="9.140625" style="435"/>
  </cols>
  <sheetData>
    <row r="1" spans="1:49" s="431" customFormat="1" ht="18.75">
      <c r="A1" s="1667" t="s">
        <v>1990</v>
      </c>
      <c r="B1" s="1667"/>
      <c r="C1" s="1667"/>
      <c r="D1" s="1667"/>
      <c r="E1" s="1667"/>
      <c r="F1" s="1667"/>
      <c r="G1" s="1667"/>
      <c r="H1" s="1667"/>
      <c r="I1" s="1667"/>
      <c r="J1" s="1667"/>
      <c r="K1" s="1667"/>
      <c r="L1" s="1667"/>
      <c r="M1" s="1667"/>
      <c r="N1" s="1667"/>
      <c r="O1" s="1667"/>
      <c r="P1" s="1667"/>
      <c r="Q1" s="1667"/>
      <c r="R1" s="1667"/>
      <c r="S1" s="1667"/>
      <c r="T1" s="1667"/>
      <c r="U1" s="1667"/>
      <c r="V1" s="1198"/>
      <c r="W1" s="1198"/>
    </row>
    <row r="2" spans="1:49" s="431" customFormat="1" ht="24.95" customHeight="1">
      <c r="A2" s="1668" t="s">
        <v>1714</v>
      </c>
      <c r="B2" s="1667"/>
      <c r="C2" s="1667"/>
      <c r="D2" s="1667"/>
      <c r="E2" s="1667"/>
      <c r="F2" s="1667"/>
      <c r="G2" s="1667"/>
      <c r="H2" s="1667"/>
      <c r="I2" s="1667"/>
      <c r="J2" s="1667"/>
      <c r="K2" s="1667"/>
      <c r="L2" s="1667"/>
      <c r="M2" s="1667"/>
      <c r="N2" s="1667"/>
      <c r="O2" s="1667"/>
      <c r="P2" s="1667"/>
      <c r="Q2" s="1667"/>
      <c r="R2" s="1667"/>
      <c r="S2" s="1667"/>
      <c r="T2" s="1667"/>
      <c r="U2" s="1667"/>
      <c r="V2" s="1198"/>
      <c r="W2" s="1198"/>
    </row>
    <row r="3" spans="1:49" ht="18.75">
      <c r="A3" s="432"/>
      <c r="B3" s="433"/>
      <c r="C3" s="434"/>
      <c r="D3" s="434"/>
      <c r="E3" s="434"/>
      <c r="F3" s="434"/>
      <c r="G3" s="433"/>
      <c r="H3" s="434"/>
      <c r="I3" s="434"/>
      <c r="J3" s="434"/>
      <c r="K3" s="433"/>
      <c r="L3" s="434"/>
      <c r="M3" s="1669" t="s">
        <v>1715</v>
      </c>
      <c r="N3" s="1669"/>
      <c r="O3" s="1669"/>
      <c r="P3" s="1669"/>
      <c r="Q3" s="1669"/>
      <c r="R3" s="1669"/>
      <c r="S3" s="1669"/>
      <c r="T3" s="1669"/>
      <c r="U3" s="1669"/>
      <c r="V3" s="1199"/>
      <c r="W3" s="1199"/>
    </row>
    <row r="4" spans="1:49" s="431" customFormat="1" ht="19.5" customHeight="1">
      <c r="A4" s="1676" t="s">
        <v>0</v>
      </c>
      <c r="B4" s="1676" t="s">
        <v>1716</v>
      </c>
      <c r="C4" s="1677" t="s">
        <v>1995</v>
      </c>
      <c r="D4" s="1673" t="s">
        <v>1720</v>
      </c>
      <c r="E4" s="1674"/>
      <c r="F4" s="1675"/>
      <c r="G4" s="1666" t="s">
        <v>1717</v>
      </c>
      <c r="H4" s="1666"/>
      <c r="I4" s="1666"/>
      <c r="J4" s="1666"/>
      <c r="K4" s="1666" t="s">
        <v>1718</v>
      </c>
      <c r="L4" s="1666"/>
      <c r="M4" s="1666"/>
      <c r="N4" s="1666" t="s">
        <v>1719</v>
      </c>
      <c r="O4" s="1666" t="s">
        <v>1720</v>
      </c>
      <c r="P4" s="1666"/>
      <c r="Q4" s="1666"/>
      <c r="R4" s="1666"/>
      <c r="S4" s="1670" t="s">
        <v>1721</v>
      </c>
      <c r="T4" s="1665" t="s">
        <v>1722</v>
      </c>
      <c r="U4" s="1666" t="s">
        <v>1723</v>
      </c>
      <c r="V4" s="1256"/>
      <c r="W4" s="1256"/>
      <c r="Y4" s="435">
        <v>1000000</v>
      </c>
      <c r="AA4" s="436">
        <f>Y8+Z8</f>
        <v>88962000000</v>
      </c>
      <c r="AB4" s="436"/>
    </row>
    <row r="5" spans="1:49" s="431" customFormat="1" ht="108" customHeight="1">
      <c r="A5" s="1676"/>
      <c r="B5" s="1676"/>
      <c r="C5" s="1677"/>
      <c r="D5" s="1257" t="s">
        <v>1996</v>
      </c>
      <c r="E5" s="1257" t="s">
        <v>1997</v>
      </c>
      <c r="F5" s="1257" t="s">
        <v>1998</v>
      </c>
      <c r="G5" s="1196" t="s">
        <v>1724</v>
      </c>
      <c r="H5" s="1196" t="s">
        <v>1725</v>
      </c>
      <c r="I5" s="1197" t="s">
        <v>27</v>
      </c>
      <c r="J5" s="1197" t="s">
        <v>1726</v>
      </c>
      <c r="K5" s="1196" t="s">
        <v>1724</v>
      </c>
      <c r="L5" s="1197" t="s">
        <v>1727</v>
      </c>
      <c r="M5" s="1196" t="s">
        <v>1728</v>
      </c>
      <c r="N5" s="1666"/>
      <c r="O5" s="1196" t="s">
        <v>1729</v>
      </c>
      <c r="P5" s="1197" t="s">
        <v>1730</v>
      </c>
      <c r="Q5" s="1197" t="s">
        <v>1731</v>
      </c>
      <c r="R5" s="1197" t="s">
        <v>1732</v>
      </c>
      <c r="S5" s="1670"/>
      <c r="T5" s="1665"/>
      <c r="U5" s="1666"/>
      <c r="V5" s="1256" t="s">
        <v>1733</v>
      </c>
      <c r="W5" s="1256" t="s">
        <v>1734</v>
      </c>
      <c r="AA5" s="437"/>
    </row>
    <row r="6" spans="1:49" s="437" customFormat="1" ht="49.5" customHeight="1">
      <c r="A6" s="438">
        <v>1</v>
      </c>
      <c r="B6" s="438">
        <v>2</v>
      </c>
      <c r="C6" s="439">
        <v>3</v>
      </c>
      <c r="D6" s="439">
        <v>4</v>
      </c>
      <c r="E6" s="439"/>
      <c r="F6" s="439"/>
      <c r="G6" s="438" t="s">
        <v>1735</v>
      </c>
      <c r="H6" s="438">
        <v>6</v>
      </c>
      <c r="I6" s="439">
        <v>7</v>
      </c>
      <c r="J6" s="439" t="s">
        <v>1736</v>
      </c>
      <c r="K6" s="438" t="s">
        <v>1999</v>
      </c>
      <c r="L6" s="439" t="s">
        <v>1737</v>
      </c>
      <c r="M6" s="438">
        <v>11</v>
      </c>
      <c r="N6" s="1258" t="s">
        <v>1738</v>
      </c>
      <c r="O6" s="438" t="s">
        <v>1739</v>
      </c>
      <c r="P6" s="439" t="s">
        <v>1740</v>
      </c>
      <c r="Q6" s="439" t="s">
        <v>1741</v>
      </c>
      <c r="R6" s="439" t="s">
        <v>1742</v>
      </c>
      <c r="S6" s="1269" t="s">
        <v>1743</v>
      </c>
      <c r="T6" s="439">
        <v>13</v>
      </c>
      <c r="U6" s="438" t="s">
        <v>1744</v>
      </c>
      <c r="V6" s="440"/>
      <c r="W6" s="440"/>
      <c r="X6" s="441" t="s">
        <v>1745</v>
      </c>
      <c r="Y6" s="442" t="s">
        <v>1746</v>
      </c>
      <c r="Z6" s="442" t="s">
        <v>1747</v>
      </c>
      <c r="AA6" s="442" t="s">
        <v>1748</v>
      </c>
      <c r="AB6" s="442" t="s">
        <v>1749</v>
      </c>
      <c r="AC6" s="442" t="s">
        <v>1750</v>
      </c>
      <c r="AD6" s="442" t="s">
        <v>1751</v>
      </c>
      <c r="AE6" s="442" t="s">
        <v>1752</v>
      </c>
      <c r="AF6" s="442" t="s">
        <v>1753</v>
      </c>
      <c r="AG6" s="443" t="s">
        <v>1754</v>
      </c>
    </row>
    <row r="7" spans="1:49" s="431" customFormat="1" ht="29.25" customHeight="1">
      <c r="A7" s="1671" t="s">
        <v>1755</v>
      </c>
      <c r="B7" s="1672"/>
      <c r="C7" s="444">
        <f t="shared" ref="C7:F7" si="0">SUM(C8:C79)/2</f>
        <v>2511</v>
      </c>
      <c r="D7" s="444">
        <f t="shared" si="0"/>
        <v>2418</v>
      </c>
      <c r="E7" s="444">
        <f t="shared" si="0"/>
        <v>62</v>
      </c>
      <c r="F7" s="444">
        <f t="shared" si="0"/>
        <v>31</v>
      </c>
      <c r="G7" s="444">
        <f>SUM(G8:G79)/2</f>
        <v>376035054.27086109</v>
      </c>
      <c r="H7" s="444">
        <f>SUM(H8:H79)/2</f>
        <v>313363554.27086109</v>
      </c>
      <c r="I7" s="444">
        <f t="shared" ref="I7:W7" si="1">SUM(I8:I79)/2</f>
        <v>69635000</v>
      </c>
      <c r="J7" s="444">
        <f t="shared" si="1"/>
        <v>62671500</v>
      </c>
      <c r="K7" s="444">
        <f>SUM(K8:K79)/2</f>
        <v>168738500</v>
      </c>
      <c r="L7" s="444">
        <f t="shared" si="1"/>
        <v>6963500</v>
      </c>
      <c r="M7" s="444">
        <f t="shared" si="1"/>
        <v>161775000</v>
      </c>
      <c r="N7" s="444">
        <f>SUM(N8:N79)/2</f>
        <v>6071488</v>
      </c>
      <c r="O7" s="444">
        <f t="shared" si="1"/>
        <v>197760</v>
      </c>
      <c r="P7" s="444">
        <f t="shared" si="1"/>
        <v>1513560</v>
      </c>
      <c r="Q7" s="444">
        <f t="shared" si="1"/>
        <v>3996000</v>
      </c>
      <c r="R7" s="444">
        <f t="shared" si="1"/>
        <v>364168</v>
      </c>
      <c r="S7" s="1270">
        <f t="shared" si="1"/>
        <v>550845042.27086103</v>
      </c>
      <c r="T7" s="444">
        <f t="shared" si="1"/>
        <v>10023520.565000001</v>
      </c>
      <c r="U7" s="444">
        <f t="shared" si="1"/>
        <v>560868562.83586097</v>
      </c>
      <c r="V7" s="444">
        <f t="shared" si="1"/>
        <v>10023520.565000001</v>
      </c>
      <c r="W7" s="444">
        <f t="shared" si="1"/>
        <v>178764443.71156505</v>
      </c>
      <c r="X7" s="445"/>
      <c r="Y7" s="446"/>
      <c r="Z7" s="446"/>
      <c r="AA7" s="446"/>
      <c r="AB7" s="446"/>
      <c r="AC7" s="446"/>
      <c r="AD7" s="446"/>
      <c r="AE7" s="446"/>
      <c r="AF7" s="446"/>
      <c r="AQ7" s="447"/>
    </row>
    <row r="8" spans="1:49" s="443" customFormat="1" ht="27" customHeight="1">
      <c r="A8" s="448" t="s">
        <v>2</v>
      </c>
      <c r="B8" s="449" t="s">
        <v>1756</v>
      </c>
      <c r="C8" s="444">
        <f>SUM(C9:C32)</f>
        <v>552</v>
      </c>
      <c r="D8" s="444">
        <f t="shared" ref="D8:F8" si="2">SUM(D9:D32)</f>
        <v>527</v>
      </c>
      <c r="E8" s="444">
        <f t="shared" si="2"/>
        <v>7</v>
      </c>
      <c r="F8" s="444">
        <f t="shared" si="2"/>
        <v>18</v>
      </c>
      <c r="G8" s="450">
        <f>SUM(G9:G32)</f>
        <v>71398634.974959597</v>
      </c>
      <c r="H8" s="450">
        <f>SUM(H9:H32)</f>
        <v>59498834.974959597</v>
      </c>
      <c r="I8" s="444">
        <f t="shared" ref="I8:AO8" si="3">SUM(I9:I32)</f>
        <v>13222000</v>
      </c>
      <c r="J8" s="444">
        <f t="shared" si="3"/>
        <v>11899800</v>
      </c>
      <c r="K8" s="450">
        <f t="shared" si="3"/>
        <v>31216200</v>
      </c>
      <c r="L8" s="450">
        <f t="shared" si="3"/>
        <v>1322200</v>
      </c>
      <c r="M8" s="450">
        <f t="shared" si="3"/>
        <v>29894000</v>
      </c>
      <c r="N8" s="450">
        <f t="shared" si="3"/>
        <v>383750</v>
      </c>
      <c r="O8" s="450">
        <f t="shared" si="3"/>
        <v>197760</v>
      </c>
      <c r="P8" s="450">
        <f t="shared" si="3"/>
        <v>185990</v>
      </c>
      <c r="Q8" s="450">
        <f t="shared" si="3"/>
        <v>0</v>
      </c>
      <c r="R8" s="450">
        <f t="shared" si="3"/>
        <v>0</v>
      </c>
      <c r="S8" s="1270">
        <f t="shared" si="3"/>
        <v>102998584.97495958</v>
      </c>
      <c r="T8" s="444">
        <f t="shared" si="3"/>
        <v>2725319.3569999998</v>
      </c>
      <c r="U8" s="450">
        <f t="shared" si="3"/>
        <v>105723904.33195961</v>
      </c>
      <c r="V8" s="450">
        <f t="shared" si="3"/>
        <v>2725319.3569999998</v>
      </c>
      <c r="W8" s="450">
        <f t="shared" si="3"/>
        <v>33942288.408534005</v>
      </c>
      <c r="X8" s="450">
        <f t="shared" si="3"/>
        <v>88961137875.017578</v>
      </c>
      <c r="Y8" s="450">
        <f t="shared" si="3"/>
        <v>56645000000</v>
      </c>
      <c r="Z8" s="450">
        <f t="shared" si="3"/>
        <v>32317000000</v>
      </c>
      <c r="AA8" s="450">
        <f t="shared" si="3"/>
        <v>13288000000</v>
      </c>
      <c r="AB8" s="450">
        <f t="shared" si="3"/>
        <v>1328800000</v>
      </c>
      <c r="AC8" s="450">
        <f t="shared" si="3"/>
        <v>11959200000</v>
      </c>
      <c r="AD8" s="450">
        <f t="shared" si="3"/>
        <v>2725319357</v>
      </c>
      <c r="AE8" s="450">
        <f t="shared" si="3"/>
        <v>28264000000</v>
      </c>
      <c r="AF8" s="450">
        <f t="shared" si="3"/>
        <v>2726000000</v>
      </c>
      <c r="AG8" s="450">
        <f t="shared" si="3"/>
        <v>0</v>
      </c>
      <c r="AH8" s="450">
        <f t="shared" si="3"/>
        <v>0</v>
      </c>
      <c r="AI8" s="450">
        <f t="shared" si="3"/>
        <v>0</v>
      </c>
      <c r="AJ8" s="450">
        <f t="shared" si="3"/>
        <v>0</v>
      </c>
      <c r="AK8" s="450">
        <f t="shared" si="3"/>
        <v>0</v>
      </c>
      <c r="AL8" s="450">
        <f t="shared" si="3"/>
        <v>0</v>
      </c>
      <c r="AM8" s="450">
        <f t="shared" si="3"/>
        <v>0</v>
      </c>
      <c r="AN8" s="450">
        <f t="shared" si="3"/>
        <v>0</v>
      </c>
      <c r="AO8" s="450">
        <f t="shared" si="3"/>
        <v>0</v>
      </c>
    </row>
    <row r="9" spans="1:49" ht="27" customHeight="1">
      <c r="A9" s="451">
        <v>1</v>
      </c>
      <c r="B9" s="452" t="s">
        <v>1757</v>
      </c>
      <c r="C9" s="453">
        <v>41</v>
      </c>
      <c r="D9" s="1259">
        <v>40</v>
      </c>
      <c r="E9" s="1260">
        <f>+C9-D9-F9</f>
        <v>0</v>
      </c>
      <c r="F9" s="1261">
        <v>1</v>
      </c>
      <c r="G9" s="454">
        <f>H9+J9</f>
        <v>5511755.4378599999</v>
      </c>
      <c r="H9" s="455">
        <f>+'[1]Lương 1490'!S9</f>
        <v>4592855.4378599999</v>
      </c>
      <c r="I9" s="453">
        <f>ROUND((H9*(18%/81%)),-3)</f>
        <v>1021000</v>
      </c>
      <c r="J9" s="453">
        <f>+I9*90%</f>
        <v>918900</v>
      </c>
      <c r="K9" s="454">
        <f>L9+M9</f>
        <v>2211100</v>
      </c>
      <c r="L9" s="453">
        <f>+I9*10%</f>
        <v>102100</v>
      </c>
      <c r="M9" s="453">
        <f>ROUND((W9-L9-T9),-3)</f>
        <v>2109000</v>
      </c>
      <c r="N9" s="456">
        <f>O9+P9+Q9+R9</f>
        <v>8550</v>
      </c>
      <c r="O9" s="457">
        <v>2880</v>
      </c>
      <c r="P9" s="453">
        <v>5670</v>
      </c>
      <c r="Q9" s="458"/>
      <c r="R9" s="458"/>
      <c r="S9" s="1271">
        <f>G9+K9+N9</f>
        <v>7731405.4378599999</v>
      </c>
      <c r="T9" s="458">
        <v>409098</v>
      </c>
      <c r="U9" s="456">
        <f>S9+T9</f>
        <v>8140503.4378599999</v>
      </c>
      <c r="V9" s="459">
        <v>409098</v>
      </c>
      <c r="W9" s="459">
        <f>+'[1]850'!S9</f>
        <v>2620085.3169</v>
      </c>
      <c r="X9" s="460">
        <v>6949248635.1599998</v>
      </c>
      <c r="Y9" s="461">
        <f>ROUND(X9/2.34*1.49,-6)</f>
        <v>4425000000</v>
      </c>
      <c r="Z9" s="461">
        <f>ROUND((X9-Y9),-6)</f>
        <v>2524000000</v>
      </c>
      <c r="AA9" s="461">
        <f>ROUND((Y9*19%/81%),-6)</f>
        <v>1038000000</v>
      </c>
      <c r="AB9" s="461">
        <f>AA9*10%</f>
        <v>103800000</v>
      </c>
      <c r="AC9" s="461">
        <f>AA9-AB9</f>
        <v>934200000</v>
      </c>
      <c r="AD9" s="461">
        <v>409098000</v>
      </c>
      <c r="AE9" s="461">
        <f>ROUND((Z9-AB9-AD9),-6)</f>
        <v>2011000000</v>
      </c>
      <c r="AF9" s="461">
        <f>ROUND(AD9,-6)</f>
        <v>409000000</v>
      </c>
      <c r="AG9" s="462"/>
      <c r="AH9" s="462"/>
      <c r="AI9" s="462"/>
      <c r="AJ9" s="462"/>
      <c r="AK9" s="462"/>
      <c r="AL9" s="462"/>
      <c r="AM9" s="462"/>
      <c r="AN9" s="462"/>
      <c r="AO9" s="462"/>
      <c r="AP9" s="462"/>
      <c r="AQ9" s="462"/>
      <c r="AR9" s="462"/>
      <c r="AS9" s="462"/>
      <c r="AT9" s="462"/>
      <c r="AU9" s="462"/>
      <c r="AV9" s="462"/>
      <c r="AW9" s="462"/>
    </row>
    <row r="10" spans="1:49" ht="27" customHeight="1">
      <c r="A10" s="451">
        <v>2</v>
      </c>
      <c r="B10" s="452" t="s">
        <v>1758</v>
      </c>
      <c r="C10" s="453">
        <v>38</v>
      </c>
      <c r="D10" s="1259">
        <v>37</v>
      </c>
      <c r="E10" s="1260">
        <f t="shared" ref="E10:E73" si="4">+C10-D10-F10</f>
        <v>0</v>
      </c>
      <c r="F10" s="1261">
        <v>1</v>
      </c>
      <c r="G10" s="454">
        <f t="shared" ref="G10:G73" si="5">H10+J10</f>
        <v>4890215.2297799997</v>
      </c>
      <c r="H10" s="455">
        <f>+'[1]Lương 1490'!S10</f>
        <v>4074815.2297799997</v>
      </c>
      <c r="I10" s="453">
        <f t="shared" ref="I10:I73" si="6">ROUND((H10*(18%/81%)),-3)</f>
        <v>906000</v>
      </c>
      <c r="J10" s="453">
        <f>+I10*90%</f>
        <v>815400</v>
      </c>
      <c r="K10" s="454">
        <f t="shared" ref="K10:K32" si="7">L10+M10</f>
        <v>2031600</v>
      </c>
      <c r="L10" s="453">
        <f t="shared" ref="L10:L73" si="8">+I10*10%</f>
        <v>90600</v>
      </c>
      <c r="M10" s="453">
        <f t="shared" ref="M10:M73" si="9">ROUND((W10-L10-T10),-3)</f>
        <v>1941000</v>
      </c>
      <c r="N10" s="456">
        <f t="shared" ref="N10:N76" si="10">O10+P10+Q10+R10</f>
        <v>23385</v>
      </c>
      <c r="O10" s="457">
        <v>8640</v>
      </c>
      <c r="P10" s="453">
        <v>14745</v>
      </c>
      <c r="Q10" s="458"/>
      <c r="R10" s="458"/>
      <c r="S10" s="1271">
        <f t="shared" ref="S10:S32" si="11">G10+K10+N10</f>
        <v>6945200.2297799997</v>
      </c>
      <c r="T10" s="458">
        <v>292746.277</v>
      </c>
      <c r="U10" s="456">
        <f t="shared" ref="U10:U76" si="12">S10+T10</f>
        <v>7237946.5067799995</v>
      </c>
      <c r="V10" s="459">
        <v>292746.277</v>
      </c>
      <c r="W10" s="459">
        <f>+'[1]850'!S10</f>
        <v>2324559.0236999998</v>
      </c>
      <c r="X10" s="460">
        <v>6178034411.6400013</v>
      </c>
      <c r="Y10" s="461">
        <f t="shared" ref="Y10:Y32" si="13">ROUND(X10/2.34*1.49,-6)</f>
        <v>3934000000</v>
      </c>
      <c r="Z10" s="461">
        <f t="shared" ref="Z10:Z32" si="14">ROUND((X10-Y10),-6)</f>
        <v>2244000000</v>
      </c>
      <c r="AA10" s="461">
        <f t="shared" ref="AA10:AA32" si="15">ROUND((Y10*19%/81%),-6)</f>
        <v>923000000</v>
      </c>
      <c r="AB10" s="461">
        <f t="shared" ref="AB10:AB32" si="16">AA10*10%</f>
        <v>92300000</v>
      </c>
      <c r="AC10" s="461">
        <f t="shared" ref="AC10:AC32" si="17">AA10-AB10</f>
        <v>830700000</v>
      </c>
      <c r="AD10" s="461">
        <v>292746277</v>
      </c>
      <c r="AE10" s="461">
        <f t="shared" ref="AE10:AE32" si="18">ROUND((Z10-AB10-AD10),-6)</f>
        <v>1859000000</v>
      </c>
      <c r="AF10" s="461">
        <f t="shared" ref="AF10:AF32" si="19">ROUND(AD10,-6)</f>
        <v>293000000</v>
      </c>
      <c r="AG10" s="462"/>
      <c r="AH10" s="462"/>
      <c r="AI10" s="462"/>
      <c r="AJ10" s="462"/>
      <c r="AK10" s="462"/>
      <c r="AL10" s="462"/>
      <c r="AM10" s="462"/>
      <c r="AN10" s="462"/>
      <c r="AO10" s="462"/>
      <c r="AP10" s="462"/>
      <c r="AQ10" s="462"/>
      <c r="AR10" s="462"/>
      <c r="AS10" s="462"/>
      <c r="AT10" s="462"/>
      <c r="AU10" s="462"/>
      <c r="AV10" s="462"/>
      <c r="AW10" s="462"/>
    </row>
    <row r="11" spans="1:49" ht="27" customHeight="1">
      <c r="A11" s="451">
        <v>3</v>
      </c>
      <c r="B11" s="452" t="s">
        <v>1759</v>
      </c>
      <c r="C11" s="453">
        <v>21</v>
      </c>
      <c r="D11" s="1259">
        <v>19</v>
      </c>
      <c r="E11" s="1260">
        <f t="shared" si="4"/>
        <v>2</v>
      </c>
      <c r="F11" s="1261"/>
      <c r="G11" s="454">
        <f t="shared" si="5"/>
        <v>2770713.3034200007</v>
      </c>
      <c r="H11" s="455">
        <f>+'[1]Lương 1490'!S11</f>
        <v>2309013.3034200007</v>
      </c>
      <c r="I11" s="453">
        <f t="shared" si="6"/>
        <v>513000</v>
      </c>
      <c r="J11" s="453">
        <f t="shared" ref="J11:J16" si="20">+I11*90%</f>
        <v>461700</v>
      </c>
      <c r="K11" s="454">
        <f t="shared" si="7"/>
        <v>1258300</v>
      </c>
      <c r="L11" s="453">
        <f t="shared" si="8"/>
        <v>51300</v>
      </c>
      <c r="M11" s="453">
        <f t="shared" si="9"/>
        <v>1207000</v>
      </c>
      <c r="N11" s="456">
        <f t="shared" si="10"/>
        <v>15120</v>
      </c>
      <c r="O11" s="457">
        <v>5760</v>
      </c>
      <c r="P11" s="453">
        <v>9360</v>
      </c>
      <c r="Q11" s="458"/>
      <c r="R11" s="458"/>
      <c r="S11" s="1271">
        <f t="shared" si="11"/>
        <v>4044133.3034200007</v>
      </c>
      <c r="T11" s="458">
        <v>59087.421999999999</v>
      </c>
      <c r="U11" s="456">
        <f t="shared" si="12"/>
        <v>4103220.7254200005</v>
      </c>
      <c r="V11" s="459">
        <v>59087.421999999999</v>
      </c>
      <c r="W11" s="459">
        <f>+'[1]850'!S11</f>
        <v>1317222.3543000002</v>
      </c>
      <c r="X11" s="460">
        <v>3298446164.5200005</v>
      </c>
      <c r="Y11" s="461">
        <f t="shared" si="13"/>
        <v>2100000000</v>
      </c>
      <c r="Z11" s="461">
        <f t="shared" si="14"/>
        <v>1198000000</v>
      </c>
      <c r="AA11" s="461">
        <f t="shared" si="15"/>
        <v>493000000</v>
      </c>
      <c r="AB11" s="461">
        <f t="shared" si="16"/>
        <v>49300000</v>
      </c>
      <c r="AC11" s="461">
        <f t="shared" si="17"/>
        <v>443700000</v>
      </c>
      <c r="AD11" s="461">
        <v>59087422</v>
      </c>
      <c r="AE11" s="461">
        <f t="shared" si="18"/>
        <v>1090000000</v>
      </c>
      <c r="AF11" s="461">
        <f t="shared" si="19"/>
        <v>59000000</v>
      </c>
      <c r="AG11" s="462"/>
      <c r="AH11" s="462"/>
      <c r="AI11" s="462"/>
      <c r="AJ11" s="462"/>
      <c r="AK11" s="462"/>
      <c r="AL11" s="462"/>
      <c r="AM11" s="462"/>
      <c r="AN11" s="462"/>
      <c r="AO11" s="462"/>
      <c r="AP11" s="462"/>
      <c r="AQ11" s="462"/>
      <c r="AR11" s="462"/>
      <c r="AS11" s="462"/>
      <c r="AT11" s="462"/>
      <c r="AU11" s="462"/>
      <c r="AV11" s="462"/>
      <c r="AW11" s="462"/>
    </row>
    <row r="12" spans="1:49" ht="27" customHeight="1">
      <c r="A12" s="451">
        <v>4</v>
      </c>
      <c r="B12" s="452" t="s">
        <v>1760</v>
      </c>
      <c r="C12" s="453">
        <v>32</v>
      </c>
      <c r="D12" s="1259">
        <v>32</v>
      </c>
      <c r="E12" s="1260">
        <f t="shared" si="4"/>
        <v>0</v>
      </c>
      <c r="F12" s="1261"/>
      <c r="G12" s="454">
        <f t="shared" si="5"/>
        <v>4667041.7640000004</v>
      </c>
      <c r="H12" s="455">
        <f>+'[1]Lương 1490'!S12</f>
        <v>3889441.764</v>
      </c>
      <c r="I12" s="453">
        <f t="shared" si="6"/>
        <v>864000</v>
      </c>
      <c r="J12" s="453">
        <f t="shared" si="20"/>
        <v>777600</v>
      </c>
      <c r="K12" s="454">
        <f t="shared" si="7"/>
        <v>2076400</v>
      </c>
      <c r="L12" s="453">
        <f t="shared" si="8"/>
        <v>86400</v>
      </c>
      <c r="M12" s="453">
        <f t="shared" si="9"/>
        <v>1990000</v>
      </c>
      <c r="N12" s="456">
        <f t="shared" si="10"/>
        <v>4160</v>
      </c>
      <c r="O12" s="457">
        <v>2080</v>
      </c>
      <c r="P12" s="453">
        <v>2080</v>
      </c>
      <c r="Q12" s="458"/>
      <c r="R12" s="458"/>
      <c r="S12" s="1271">
        <f t="shared" si="11"/>
        <v>6747601.7640000004</v>
      </c>
      <c r="T12" s="458">
        <v>142358.62100000001</v>
      </c>
      <c r="U12" s="456">
        <f t="shared" si="12"/>
        <v>6889960.3850000007</v>
      </c>
      <c r="V12" s="459">
        <v>142358.62100000001</v>
      </c>
      <c r="W12" s="459">
        <f>+'[1]850'!S12</f>
        <v>2218809.06</v>
      </c>
      <c r="X12" s="460">
        <v>5279638107</v>
      </c>
      <c r="Y12" s="461">
        <f t="shared" si="13"/>
        <v>3362000000</v>
      </c>
      <c r="Z12" s="461">
        <f t="shared" si="14"/>
        <v>1918000000</v>
      </c>
      <c r="AA12" s="461">
        <f t="shared" si="15"/>
        <v>789000000</v>
      </c>
      <c r="AB12" s="461">
        <f t="shared" si="16"/>
        <v>78900000</v>
      </c>
      <c r="AC12" s="461">
        <f t="shared" si="17"/>
        <v>710100000</v>
      </c>
      <c r="AD12" s="461">
        <v>142358621</v>
      </c>
      <c r="AE12" s="461">
        <f t="shared" si="18"/>
        <v>1697000000</v>
      </c>
      <c r="AF12" s="461">
        <f t="shared" si="19"/>
        <v>142000000</v>
      </c>
      <c r="AG12" s="462"/>
      <c r="AH12" s="462"/>
      <c r="AI12" s="462"/>
      <c r="AJ12" s="462"/>
      <c r="AK12" s="462"/>
      <c r="AL12" s="462"/>
      <c r="AM12" s="462"/>
      <c r="AN12" s="462"/>
      <c r="AO12" s="462"/>
      <c r="AP12" s="462"/>
      <c r="AQ12" s="462"/>
      <c r="AR12" s="462"/>
      <c r="AS12" s="462"/>
      <c r="AT12" s="462"/>
      <c r="AU12" s="462"/>
      <c r="AV12" s="462"/>
      <c r="AW12" s="462"/>
    </row>
    <row r="13" spans="1:49" ht="27" customHeight="1">
      <c r="A13" s="451">
        <v>5</v>
      </c>
      <c r="B13" s="452" t="s">
        <v>1761</v>
      </c>
      <c r="C13" s="453">
        <v>35</v>
      </c>
      <c r="D13" s="1259">
        <v>34</v>
      </c>
      <c r="E13" s="1260">
        <f t="shared" si="4"/>
        <v>0</v>
      </c>
      <c r="F13" s="1261">
        <v>1</v>
      </c>
      <c r="G13" s="454">
        <f t="shared" si="5"/>
        <v>5108338.8006551992</v>
      </c>
      <c r="H13" s="455">
        <f>+'[1]Lương 1490'!S13</f>
        <v>4256938.8006551992</v>
      </c>
      <c r="I13" s="453">
        <f t="shared" si="6"/>
        <v>946000</v>
      </c>
      <c r="J13" s="453">
        <f t="shared" si="20"/>
        <v>851400</v>
      </c>
      <c r="K13" s="454">
        <f t="shared" si="7"/>
        <v>2268600</v>
      </c>
      <c r="L13" s="453">
        <f t="shared" si="8"/>
        <v>94600</v>
      </c>
      <c r="M13" s="453">
        <f t="shared" si="9"/>
        <v>2174000</v>
      </c>
      <c r="N13" s="456">
        <f t="shared" si="10"/>
        <v>36414</v>
      </c>
      <c r="O13" s="457">
        <v>14400</v>
      </c>
      <c r="P13" s="453">
        <v>22014</v>
      </c>
      <c r="Q13" s="458"/>
      <c r="R13" s="458"/>
      <c r="S13" s="1271">
        <f t="shared" si="11"/>
        <v>7413352.8006551992</v>
      </c>
      <c r="T13" s="458">
        <v>159678.296</v>
      </c>
      <c r="U13" s="456">
        <f t="shared" si="12"/>
        <v>7573031.0966551993</v>
      </c>
      <c r="V13" s="459">
        <v>159678.296</v>
      </c>
      <c r="W13" s="459">
        <f>+'[1]850'!S13</f>
        <v>2428455.0205079997</v>
      </c>
      <c r="X13" s="460">
        <v>6374887058.3111992</v>
      </c>
      <c r="Y13" s="461">
        <f t="shared" si="13"/>
        <v>4059000000</v>
      </c>
      <c r="Z13" s="461">
        <f t="shared" si="14"/>
        <v>2316000000</v>
      </c>
      <c r="AA13" s="461">
        <f t="shared" si="15"/>
        <v>952000000</v>
      </c>
      <c r="AB13" s="461">
        <f t="shared" si="16"/>
        <v>95200000</v>
      </c>
      <c r="AC13" s="461">
        <f t="shared" si="17"/>
        <v>856800000</v>
      </c>
      <c r="AD13" s="461">
        <v>159678296</v>
      </c>
      <c r="AE13" s="461">
        <f t="shared" si="18"/>
        <v>2061000000</v>
      </c>
      <c r="AF13" s="461">
        <f t="shared" si="19"/>
        <v>160000000</v>
      </c>
      <c r="AG13" s="462"/>
      <c r="AH13" s="462"/>
      <c r="AI13" s="462"/>
      <c r="AJ13" s="462"/>
      <c r="AK13" s="462"/>
      <c r="AL13" s="462"/>
      <c r="AM13" s="462"/>
      <c r="AN13" s="462"/>
      <c r="AO13" s="462"/>
      <c r="AP13" s="462"/>
      <c r="AQ13" s="462"/>
      <c r="AR13" s="462"/>
      <c r="AS13" s="462"/>
      <c r="AT13" s="462"/>
      <c r="AU13" s="462"/>
      <c r="AV13" s="462"/>
      <c r="AW13" s="462"/>
    </row>
    <row r="14" spans="1:49" ht="27" customHeight="1">
      <c r="A14" s="451">
        <v>6</v>
      </c>
      <c r="B14" s="452" t="s">
        <v>1762</v>
      </c>
      <c r="C14" s="453">
        <v>28</v>
      </c>
      <c r="D14" s="1262">
        <v>27</v>
      </c>
      <c r="E14" s="1260">
        <f t="shared" si="4"/>
        <v>0</v>
      </c>
      <c r="F14" s="1261">
        <v>1</v>
      </c>
      <c r="G14" s="1263">
        <f t="shared" si="5"/>
        <v>3571451.6244600005</v>
      </c>
      <c r="H14" s="455">
        <f>+'[1]Lương 1490'!S14</f>
        <v>2976551.6244600005</v>
      </c>
      <c r="I14" s="453">
        <f t="shared" si="6"/>
        <v>661000</v>
      </c>
      <c r="J14" s="453">
        <f t="shared" si="20"/>
        <v>594900</v>
      </c>
      <c r="K14" s="454">
        <f t="shared" si="7"/>
        <v>1519100</v>
      </c>
      <c r="L14" s="453">
        <f t="shared" si="8"/>
        <v>66100</v>
      </c>
      <c r="M14" s="453">
        <f t="shared" si="9"/>
        <v>1453000</v>
      </c>
      <c r="N14" s="456">
        <f t="shared" si="10"/>
        <v>19170</v>
      </c>
      <c r="O14" s="457">
        <v>7840</v>
      </c>
      <c r="P14" s="453">
        <v>11330</v>
      </c>
      <c r="Q14" s="458"/>
      <c r="R14" s="458"/>
      <c r="S14" s="1271">
        <f t="shared" si="11"/>
        <v>5109721.6244600005</v>
      </c>
      <c r="T14" s="458">
        <v>178470.18</v>
      </c>
      <c r="U14" s="456">
        <f t="shared" si="12"/>
        <v>5288191.8044600002</v>
      </c>
      <c r="V14" s="459">
        <v>178470.18</v>
      </c>
      <c r="W14" s="459">
        <f>+'[1]850'!S14</f>
        <v>1698032.8059000005</v>
      </c>
      <c r="X14" s="460">
        <v>4584835274.7600002</v>
      </c>
      <c r="Y14" s="461">
        <f t="shared" si="13"/>
        <v>2919000000</v>
      </c>
      <c r="Z14" s="461">
        <f t="shared" si="14"/>
        <v>1666000000</v>
      </c>
      <c r="AA14" s="461">
        <f t="shared" si="15"/>
        <v>685000000</v>
      </c>
      <c r="AB14" s="461">
        <f t="shared" si="16"/>
        <v>68500000</v>
      </c>
      <c r="AC14" s="461">
        <f t="shared" si="17"/>
        <v>616500000</v>
      </c>
      <c r="AD14" s="461">
        <v>178470180</v>
      </c>
      <c r="AE14" s="461">
        <f t="shared" si="18"/>
        <v>1419000000</v>
      </c>
      <c r="AF14" s="461">
        <f t="shared" si="19"/>
        <v>178000000</v>
      </c>
      <c r="AG14" s="462"/>
      <c r="AH14" s="462"/>
      <c r="AI14" s="462"/>
      <c r="AJ14" s="462"/>
      <c r="AK14" s="462"/>
      <c r="AL14" s="462"/>
      <c r="AM14" s="462"/>
      <c r="AN14" s="462"/>
      <c r="AO14" s="462"/>
      <c r="AP14" s="462"/>
      <c r="AQ14" s="462"/>
      <c r="AR14" s="462"/>
      <c r="AS14" s="462"/>
      <c r="AT14" s="462"/>
      <c r="AU14" s="462"/>
      <c r="AV14" s="462"/>
      <c r="AW14" s="462"/>
    </row>
    <row r="15" spans="1:49" ht="27" customHeight="1">
      <c r="A15" s="451">
        <v>7</v>
      </c>
      <c r="B15" s="452" t="s">
        <v>1763</v>
      </c>
      <c r="C15" s="453">
        <v>15</v>
      </c>
      <c r="D15" s="1259">
        <v>15</v>
      </c>
      <c r="E15" s="1260">
        <f t="shared" si="4"/>
        <v>0</v>
      </c>
      <c r="F15" s="1261"/>
      <c r="G15" s="454">
        <f t="shared" si="5"/>
        <v>2094659.3765400001</v>
      </c>
      <c r="H15" s="455">
        <f>+'[1]Lương 1490'!S15</f>
        <v>1745459.3765400001</v>
      </c>
      <c r="I15" s="453">
        <f t="shared" si="6"/>
        <v>388000</v>
      </c>
      <c r="J15" s="453">
        <f t="shared" si="20"/>
        <v>349200</v>
      </c>
      <c r="K15" s="454">
        <f t="shared" si="7"/>
        <v>931800</v>
      </c>
      <c r="L15" s="453">
        <f t="shared" si="8"/>
        <v>38800</v>
      </c>
      <c r="M15" s="453">
        <f t="shared" si="9"/>
        <v>893000</v>
      </c>
      <c r="N15" s="456">
        <f t="shared" si="10"/>
        <v>11505</v>
      </c>
      <c r="O15" s="457">
        <v>3360</v>
      </c>
      <c r="P15" s="453">
        <v>8145</v>
      </c>
      <c r="Q15" s="458"/>
      <c r="R15" s="458"/>
      <c r="S15" s="1271">
        <f t="shared" si="11"/>
        <v>3037964.3765400001</v>
      </c>
      <c r="T15" s="458">
        <v>64047.548000000003</v>
      </c>
      <c r="U15" s="456">
        <f t="shared" si="12"/>
        <v>3102011.92454</v>
      </c>
      <c r="V15" s="459">
        <v>64047.548000000003</v>
      </c>
      <c r="W15" s="459">
        <f>+'[1]850'!S15</f>
        <v>995731.8591</v>
      </c>
      <c r="X15" s="460">
        <v>2611814601.2399998</v>
      </c>
      <c r="Y15" s="461">
        <f t="shared" si="13"/>
        <v>1663000000</v>
      </c>
      <c r="Z15" s="461">
        <f t="shared" si="14"/>
        <v>949000000</v>
      </c>
      <c r="AA15" s="461">
        <f t="shared" si="15"/>
        <v>390000000</v>
      </c>
      <c r="AB15" s="461">
        <f t="shared" si="16"/>
        <v>39000000</v>
      </c>
      <c r="AC15" s="461">
        <f t="shared" si="17"/>
        <v>351000000</v>
      </c>
      <c r="AD15" s="461">
        <v>64047548</v>
      </c>
      <c r="AE15" s="461">
        <f t="shared" si="18"/>
        <v>846000000</v>
      </c>
      <c r="AF15" s="461">
        <f t="shared" si="19"/>
        <v>64000000</v>
      </c>
      <c r="AG15" s="462"/>
      <c r="AH15" s="462"/>
      <c r="AI15" s="462"/>
      <c r="AJ15" s="462"/>
      <c r="AK15" s="462"/>
      <c r="AL15" s="462"/>
      <c r="AM15" s="462"/>
      <c r="AN15" s="462"/>
      <c r="AO15" s="462"/>
      <c r="AP15" s="462"/>
      <c r="AQ15" s="462"/>
      <c r="AR15" s="462"/>
      <c r="AS15" s="462"/>
      <c r="AT15" s="462"/>
      <c r="AU15" s="462"/>
      <c r="AV15" s="462"/>
      <c r="AW15" s="462"/>
    </row>
    <row r="16" spans="1:49" ht="27" customHeight="1">
      <c r="A16" s="451">
        <v>8</v>
      </c>
      <c r="B16" s="452" t="s">
        <v>1764</v>
      </c>
      <c r="C16" s="453">
        <v>18</v>
      </c>
      <c r="D16" s="1259">
        <v>17</v>
      </c>
      <c r="E16" s="1260">
        <f t="shared" si="4"/>
        <v>0</v>
      </c>
      <c r="F16" s="1261">
        <v>1</v>
      </c>
      <c r="G16" s="454">
        <f t="shared" si="5"/>
        <v>2267051.4751800001</v>
      </c>
      <c r="H16" s="455">
        <f>+'[1]Lương 1490'!S16</f>
        <v>1889051.4751799998</v>
      </c>
      <c r="I16" s="453">
        <f t="shared" si="6"/>
        <v>420000</v>
      </c>
      <c r="J16" s="453">
        <f t="shared" si="20"/>
        <v>378000</v>
      </c>
      <c r="K16" s="454">
        <f t="shared" si="7"/>
        <v>985000</v>
      </c>
      <c r="L16" s="453">
        <f t="shared" si="8"/>
        <v>42000</v>
      </c>
      <c r="M16" s="453">
        <f t="shared" si="9"/>
        <v>943000</v>
      </c>
      <c r="N16" s="456">
        <f t="shared" si="10"/>
        <v>7960</v>
      </c>
      <c r="O16" s="457">
        <v>2880</v>
      </c>
      <c r="P16" s="453">
        <v>5080</v>
      </c>
      <c r="Q16" s="458"/>
      <c r="R16" s="458"/>
      <c r="S16" s="1271">
        <f t="shared" si="11"/>
        <v>3260011.4751800001</v>
      </c>
      <c r="T16" s="458">
        <v>92490.01</v>
      </c>
      <c r="U16" s="456">
        <f t="shared" si="12"/>
        <v>3352501.4851799998</v>
      </c>
      <c r="V16" s="459">
        <v>92490.01</v>
      </c>
      <c r="W16" s="459">
        <f>+'[1]850'!S16</f>
        <v>1077646.8147</v>
      </c>
      <c r="X16" s="460">
        <v>2848328875.0799999</v>
      </c>
      <c r="Y16" s="461">
        <f t="shared" si="13"/>
        <v>1814000000</v>
      </c>
      <c r="Z16" s="461">
        <f t="shared" si="14"/>
        <v>1034000000</v>
      </c>
      <c r="AA16" s="461">
        <f t="shared" si="15"/>
        <v>426000000</v>
      </c>
      <c r="AB16" s="461">
        <f t="shared" si="16"/>
        <v>42600000</v>
      </c>
      <c r="AC16" s="461">
        <f t="shared" si="17"/>
        <v>383400000</v>
      </c>
      <c r="AD16" s="461">
        <v>92490010</v>
      </c>
      <c r="AE16" s="461">
        <f t="shared" si="18"/>
        <v>899000000</v>
      </c>
      <c r="AF16" s="461">
        <f t="shared" si="19"/>
        <v>92000000</v>
      </c>
      <c r="AG16" s="462"/>
      <c r="AH16" s="462"/>
      <c r="AI16" s="462"/>
      <c r="AJ16" s="462"/>
      <c r="AK16" s="462"/>
      <c r="AL16" s="462"/>
      <c r="AM16" s="462"/>
      <c r="AN16" s="462"/>
      <c r="AO16" s="462"/>
      <c r="AP16" s="462"/>
      <c r="AQ16" s="462"/>
      <c r="AR16" s="462"/>
      <c r="AS16" s="462"/>
      <c r="AT16" s="462"/>
      <c r="AU16" s="462"/>
      <c r="AV16" s="462"/>
      <c r="AW16" s="462"/>
    </row>
    <row r="17" spans="1:49" ht="27" customHeight="1">
      <c r="A17" s="451">
        <v>9</v>
      </c>
      <c r="B17" s="452" t="s">
        <v>1765</v>
      </c>
      <c r="C17" s="453">
        <v>22</v>
      </c>
      <c r="D17" s="1259">
        <v>20</v>
      </c>
      <c r="E17" s="1260">
        <f t="shared" si="4"/>
        <v>0</v>
      </c>
      <c r="F17" s="1261">
        <v>2</v>
      </c>
      <c r="G17" s="454">
        <f t="shared" si="5"/>
        <v>2630329.443</v>
      </c>
      <c r="H17" s="455">
        <f>+'[1]Lương 1490'!S17</f>
        <v>2192029.443</v>
      </c>
      <c r="I17" s="453">
        <f t="shared" si="6"/>
        <v>487000</v>
      </c>
      <c r="J17" s="453">
        <f>+I17*90%</f>
        <v>438300</v>
      </c>
      <c r="K17" s="454">
        <f t="shared" si="7"/>
        <v>1054700</v>
      </c>
      <c r="L17" s="453">
        <f t="shared" si="8"/>
        <v>48700</v>
      </c>
      <c r="M17" s="453">
        <f t="shared" si="9"/>
        <v>1006000</v>
      </c>
      <c r="N17" s="456">
        <f t="shared" si="10"/>
        <v>17235</v>
      </c>
      <c r="O17" s="457">
        <v>10080</v>
      </c>
      <c r="P17" s="453">
        <v>7155</v>
      </c>
      <c r="Q17" s="458"/>
      <c r="R17" s="458"/>
      <c r="S17" s="1271">
        <f t="shared" si="11"/>
        <v>3702264.443</v>
      </c>
      <c r="T17" s="458">
        <v>195698.91</v>
      </c>
      <c r="U17" s="456">
        <f t="shared" si="12"/>
        <v>3897963.3530000001</v>
      </c>
      <c r="V17" s="459">
        <v>195698.91</v>
      </c>
      <c r="W17" s="459">
        <f>+'[1]850'!S17</f>
        <v>1250486.595</v>
      </c>
      <c r="X17" s="460">
        <v>3312049337.9999995</v>
      </c>
      <c r="Y17" s="461">
        <f t="shared" si="13"/>
        <v>2109000000</v>
      </c>
      <c r="Z17" s="461">
        <f t="shared" si="14"/>
        <v>1203000000</v>
      </c>
      <c r="AA17" s="461">
        <f t="shared" si="15"/>
        <v>495000000</v>
      </c>
      <c r="AB17" s="461">
        <f t="shared" si="16"/>
        <v>49500000</v>
      </c>
      <c r="AC17" s="461">
        <f>AA17-AB17</f>
        <v>445500000</v>
      </c>
      <c r="AD17" s="461">
        <v>195698910</v>
      </c>
      <c r="AE17" s="461">
        <f t="shared" si="18"/>
        <v>958000000</v>
      </c>
      <c r="AF17" s="461">
        <f t="shared" si="19"/>
        <v>196000000</v>
      </c>
      <c r="AG17" s="462"/>
      <c r="AH17" s="462"/>
      <c r="AI17" s="462"/>
      <c r="AJ17" s="462"/>
      <c r="AK17" s="462"/>
      <c r="AL17" s="462"/>
      <c r="AM17" s="462"/>
      <c r="AN17" s="462"/>
      <c r="AO17" s="462"/>
      <c r="AP17" s="462"/>
      <c r="AQ17" s="462"/>
      <c r="AR17" s="462"/>
      <c r="AS17" s="462"/>
      <c r="AT17" s="462"/>
      <c r="AU17" s="462"/>
      <c r="AV17" s="462"/>
      <c r="AW17" s="462"/>
    </row>
    <row r="18" spans="1:49" ht="27" customHeight="1">
      <c r="A18" s="451">
        <v>10</v>
      </c>
      <c r="B18" s="452" t="s">
        <v>1766</v>
      </c>
      <c r="C18" s="453">
        <v>35</v>
      </c>
      <c r="D18" s="1259">
        <v>32</v>
      </c>
      <c r="E18" s="1260">
        <f t="shared" si="4"/>
        <v>2</v>
      </c>
      <c r="F18" s="1261">
        <v>1</v>
      </c>
      <c r="G18" s="454">
        <f t="shared" si="5"/>
        <v>4747684.4181599999</v>
      </c>
      <c r="H18" s="455">
        <f>+'[1]Lương 1490'!S18</f>
        <v>3956584.4181599999</v>
      </c>
      <c r="I18" s="453">
        <f t="shared" si="6"/>
        <v>879000</v>
      </c>
      <c r="J18" s="453">
        <f t="shared" ref="J18:J79" si="21">+I18*90%</f>
        <v>791100</v>
      </c>
      <c r="K18" s="454">
        <f t="shared" si="7"/>
        <v>1997900</v>
      </c>
      <c r="L18" s="453">
        <f t="shared" si="8"/>
        <v>87900</v>
      </c>
      <c r="M18" s="453">
        <f t="shared" si="9"/>
        <v>1910000</v>
      </c>
      <c r="N18" s="456">
        <f t="shared" si="10"/>
        <v>29664</v>
      </c>
      <c r="O18" s="457">
        <v>14400</v>
      </c>
      <c r="P18" s="453">
        <v>15264</v>
      </c>
      <c r="Q18" s="458"/>
      <c r="R18" s="458"/>
      <c r="S18" s="1271">
        <f t="shared" si="11"/>
        <v>6775248.4181599999</v>
      </c>
      <c r="T18" s="458">
        <v>259188.6</v>
      </c>
      <c r="U18" s="456">
        <f t="shared" si="12"/>
        <v>7034437.0181599995</v>
      </c>
      <c r="V18" s="459">
        <v>259188.6</v>
      </c>
      <c r="W18" s="459">
        <f>+'[1]850'!S18</f>
        <v>2257111.9164</v>
      </c>
      <c r="X18" s="460">
        <v>5786385564.9599991</v>
      </c>
      <c r="Y18" s="461">
        <f t="shared" si="13"/>
        <v>3684000000</v>
      </c>
      <c r="Z18" s="461">
        <f t="shared" si="14"/>
        <v>2102000000</v>
      </c>
      <c r="AA18" s="461">
        <f t="shared" si="15"/>
        <v>864000000</v>
      </c>
      <c r="AB18" s="461">
        <f t="shared" si="16"/>
        <v>86400000</v>
      </c>
      <c r="AC18" s="461">
        <f t="shared" si="17"/>
        <v>777600000</v>
      </c>
      <c r="AD18" s="461">
        <v>259188600</v>
      </c>
      <c r="AE18" s="461">
        <f t="shared" si="18"/>
        <v>1756000000</v>
      </c>
      <c r="AF18" s="461">
        <f t="shared" si="19"/>
        <v>259000000</v>
      </c>
      <c r="AG18" s="462"/>
      <c r="AH18" s="462"/>
      <c r="AI18" s="462"/>
      <c r="AJ18" s="462"/>
      <c r="AK18" s="462"/>
      <c r="AL18" s="462"/>
      <c r="AM18" s="462"/>
      <c r="AN18" s="462"/>
      <c r="AO18" s="462"/>
      <c r="AP18" s="462"/>
      <c r="AQ18" s="462"/>
      <c r="AR18" s="462"/>
      <c r="AS18" s="462"/>
      <c r="AT18" s="462"/>
      <c r="AU18" s="462"/>
      <c r="AV18" s="462"/>
      <c r="AW18" s="462"/>
    </row>
    <row r="19" spans="1:49" ht="27" customHeight="1">
      <c r="A19" s="451">
        <v>11</v>
      </c>
      <c r="B19" s="452" t="s">
        <v>1767</v>
      </c>
      <c r="C19" s="453">
        <v>29</v>
      </c>
      <c r="D19" s="1259">
        <v>28</v>
      </c>
      <c r="E19" s="1260">
        <f t="shared" si="4"/>
        <v>1</v>
      </c>
      <c r="F19" s="1261"/>
      <c r="G19" s="454">
        <f t="shared" si="5"/>
        <v>3503688.626459999</v>
      </c>
      <c r="H19" s="455">
        <f>+'[1]Lương 1490'!S19</f>
        <v>2919588.626459999</v>
      </c>
      <c r="I19" s="453">
        <f t="shared" si="6"/>
        <v>649000</v>
      </c>
      <c r="J19" s="453">
        <f t="shared" si="21"/>
        <v>584100</v>
      </c>
      <c r="K19" s="454">
        <f t="shared" si="7"/>
        <v>1551900</v>
      </c>
      <c r="L19" s="453">
        <f t="shared" si="8"/>
        <v>64900</v>
      </c>
      <c r="M19" s="453">
        <f t="shared" si="9"/>
        <v>1487000</v>
      </c>
      <c r="N19" s="456">
        <f t="shared" si="10"/>
        <v>35325</v>
      </c>
      <c r="O19" s="457">
        <v>18720</v>
      </c>
      <c r="P19" s="453">
        <v>16605</v>
      </c>
      <c r="Q19" s="458"/>
      <c r="R19" s="458"/>
      <c r="S19" s="1271">
        <f t="shared" si="11"/>
        <v>5090913.626459999</v>
      </c>
      <c r="T19" s="458">
        <v>113977.696</v>
      </c>
      <c r="U19" s="456">
        <f t="shared" si="12"/>
        <v>5204891.3224599995</v>
      </c>
      <c r="V19" s="459">
        <v>113977.696</v>
      </c>
      <c r="W19" s="459">
        <f>+'[1]850'!S19</f>
        <v>1665537.1358999996</v>
      </c>
      <c r="X19" s="460">
        <v>4327134496.4399986</v>
      </c>
      <c r="Y19" s="461">
        <f t="shared" si="13"/>
        <v>2755000000</v>
      </c>
      <c r="Z19" s="461">
        <f t="shared" si="14"/>
        <v>1572000000</v>
      </c>
      <c r="AA19" s="461">
        <f t="shared" si="15"/>
        <v>646000000</v>
      </c>
      <c r="AB19" s="461">
        <f t="shared" si="16"/>
        <v>64600000</v>
      </c>
      <c r="AC19" s="461">
        <f t="shared" si="17"/>
        <v>581400000</v>
      </c>
      <c r="AD19" s="461">
        <v>113977696</v>
      </c>
      <c r="AE19" s="461">
        <f t="shared" si="18"/>
        <v>1393000000</v>
      </c>
      <c r="AF19" s="461">
        <f t="shared" si="19"/>
        <v>114000000</v>
      </c>
      <c r="AG19" s="462"/>
      <c r="AH19" s="462"/>
      <c r="AI19" s="462"/>
      <c r="AJ19" s="462"/>
      <c r="AK19" s="462"/>
      <c r="AL19" s="462"/>
      <c r="AM19" s="462"/>
      <c r="AN19" s="462"/>
      <c r="AO19" s="462"/>
      <c r="AP19" s="462"/>
      <c r="AQ19" s="462"/>
      <c r="AR19" s="462"/>
      <c r="AS19" s="462"/>
      <c r="AT19" s="462"/>
      <c r="AU19" s="462"/>
      <c r="AV19" s="462"/>
      <c r="AW19" s="462"/>
    </row>
    <row r="20" spans="1:49" ht="27" customHeight="1">
      <c r="A20" s="451">
        <v>12</v>
      </c>
      <c r="B20" s="452" t="s">
        <v>1768</v>
      </c>
      <c r="C20" s="453">
        <v>15</v>
      </c>
      <c r="D20" s="1259">
        <v>15</v>
      </c>
      <c r="E20" s="1260">
        <f t="shared" si="4"/>
        <v>0</v>
      </c>
      <c r="F20" s="1261"/>
      <c r="G20" s="454">
        <f t="shared" si="5"/>
        <v>1972415.0391599997</v>
      </c>
      <c r="H20" s="455">
        <f>+'[1]Lương 1490'!S20</f>
        <v>1643915.0391599997</v>
      </c>
      <c r="I20" s="453">
        <f t="shared" si="6"/>
        <v>365000</v>
      </c>
      <c r="J20" s="453">
        <f t="shared" si="21"/>
        <v>328500</v>
      </c>
      <c r="K20" s="454">
        <f t="shared" si="7"/>
        <v>891500</v>
      </c>
      <c r="L20" s="453">
        <f t="shared" si="8"/>
        <v>36500</v>
      </c>
      <c r="M20" s="453">
        <f t="shared" si="9"/>
        <v>855000</v>
      </c>
      <c r="N20" s="456">
        <f t="shared" si="10"/>
        <v>4928</v>
      </c>
      <c r="O20" s="457">
        <v>4320</v>
      </c>
      <c r="P20" s="453">
        <v>608</v>
      </c>
      <c r="Q20" s="458"/>
      <c r="R20" s="458"/>
      <c r="S20" s="1271">
        <f t="shared" si="11"/>
        <v>2868843.0391599997</v>
      </c>
      <c r="T20" s="458">
        <v>46236.495000000003</v>
      </c>
      <c r="U20" s="456">
        <f t="shared" si="12"/>
        <v>2915079.5341599998</v>
      </c>
      <c r="V20" s="459">
        <v>46236.495000000003</v>
      </c>
      <c r="W20" s="459">
        <f>+'[1]850'!S20</f>
        <v>937803.88139999995</v>
      </c>
      <c r="X20" s="460">
        <v>2476138962.9599996</v>
      </c>
      <c r="Y20" s="461">
        <f t="shared" si="13"/>
        <v>1577000000</v>
      </c>
      <c r="Z20" s="461">
        <f t="shared" si="14"/>
        <v>899000000</v>
      </c>
      <c r="AA20" s="461">
        <f t="shared" si="15"/>
        <v>370000000</v>
      </c>
      <c r="AB20" s="461">
        <f t="shared" si="16"/>
        <v>37000000</v>
      </c>
      <c r="AC20" s="461">
        <f t="shared" si="17"/>
        <v>333000000</v>
      </c>
      <c r="AD20" s="461">
        <v>46236495</v>
      </c>
      <c r="AE20" s="461">
        <f t="shared" si="18"/>
        <v>816000000</v>
      </c>
      <c r="AF20" s="461">
        <f t="shared" si="19"/>
        <v>46000000</v>
      </c>
      <c r="AG20" s="462"/>
      <c r="AH20" s="462"/>
      <c r="AI20" s="462"/>
      <c r="AJ20" s="462"/>
      <c r="AK20" s="462"/>
      <c r="AL20" s="462"/>
      <c r="AM20" s="462"/>
      <c r="AN20" s="462"/>
      <c r="AO20" s="462"/>
      <c r="AP20" s="462"/>
      <c r="AQ20" s="462"/>
      <c r="AR20" s="462"/>
      <c r="AS20" s="462"/>
      <c r="AT20" s="462"/>
      <c r="AU20" s="462"/>
      <c r="AV20" s="462"/>
      <c r="AW20" s="462"/>
    </row>
    <row r="21" spans="1:49" ht="27" customHeight="1">
      <c r="A21" s="451">
        <v>13</v>
      </c>
      <c r="B21" s="452" t="s">
        <v>1769</v>
      </c>
      <c r="C21" s="453">
        <v>18</v>
      </c>
      <c r="D21" s="1259">
        <v>17</v>
      </c>
      <c r="E21" s="1260">
        <f t="shared" si="4"/>
        <v>0</v>
      </c>
      <c r="F21" s="1261">
        <v>1</v>
      </c>
      <c r="G21" s="454">
        <f t="shared" si="5"/>
        <v>2090191.3957200001</v>
      </c>
      <c r="H21" s="455">
        <f>+'[1]Lương 1490'!S21</f>
        <v>1741891.3957200001</v>
      </c>
      <c r="I21" s="453">
        <f t="shared" si="6"/>
        <v>387000</v>
      </c>
      <c r="J21" s="453">
        <f t="shared" si="21"/>
        <v>348300</v>
      </c>
      <c r="K21" s="454">
        <f t="shared" si="7"/>
        <v>955700</v>
      </c>
      <c r="L21" s="453">
        <f t="shared" si="8"/>
        <v>38700</v>
      </c>
      <c r="M21" s="453">
        <f t="shared" si="9"/>
        <v>917000</v>
      </c>
      <c r="N21" s="456">
        <f t="shared" si="10"/>
        <v>15355</v>
      </c>
      <c r="O21" s="457">
        <v>9280</v>
      </c>
      <c r="P21" s="453">
        <v>6075</v>
      </c>
      <c r="Q21" s="458"/>
      <c r="R21" s="458"/>
      <c r="S21" s="1271">
        <f t="shared" si="11"/>
        <v>3061246.3957200004</v>
      </c>
      <c r="T21" s="458">
        <v>37548.1</v>
      </c>
      <c r="U21" s="456">
        <f t="shared" si="12"/>
        <v>3098794.4957200005</v>
      </c>
      <c r="V21" s="459">
        <v>37548.1</v>
      </c>
      <c r="W21" s="459">
        <f>+'[1]850'!S21</f>
        <v>993696.4338</v>
      </c>
      <c r="X21" s="460">
        <v>2626244591</v>
      </c>
      <c r="Y21" s="461">
        <f t="shared" si="13"/>
        <v>1672000000</v>
      </c>
      <c r="Z21" s="461">
        <f t="shared" si="14"/>
        <v>954000000</v>
      </c>
      <c r="AA21" s="461">
        <f t="shared" si="15"/>
        <v>392000000</v>
      </c>
      <c r="AB21" s="461">
        <f t="shared" si="16"/>
        <v>39200000</v>
      </c>
      <c r="AC21" s="461">
        <f t="shared" si="17"/>
        <v>352800000</v>
      </c>
      <c r="AD21" s="461">
        <v>37548100</v>
      </c>
      <c r="AE21" s="461">
        <f t="shared" si="18"/>
        <v>877000000</v>
      </c>
      <c r="AF21" s="461">
        <f t="shared" si="19"/>
        <v>38000000</v>
      </c>
      <c r="AG21" s="462"/>
      <c r="AH21" s="462"/>
      <c r="AI21" s="462"/>
      <c r="AJ21" s="462"/>
      <c r="AK21" s="462"/>
      <c r="AL21" s="462"/>
      <c r="AM21" s="462"/>
      <c r="AN21" s="462"/>
      <c r="AO21" s="462"/>
      <c r="AP21" s="462"/>
      <c r="AQ21" s="462"/>
      <c r="AR21" s="462"/>
      <c r="AS21" s="462"/>
      <c r="AT21" s="462"/>
      <c r="AU21" s="462"/>
      <c r="AV21" s="462"/>
      <c r="AW21" s="462"/>
    </row>
    <row r="22" spans="1:49" ht="27" customHeight="1">
      <c r="A22" s="451">
        <v>14</v>
      </c>
      <c r="B22" s="452" t="s">
        <v>1770</v>
      </c>
      <c r="C22" s="453">
        <v>23</v>
      </c>
      <c r="D22" s="1259">
        <v>21</v>
      </c>
      <c r="E22" s="1260">
        <f t="shared" si="4"/>
        <v>0</v>
      </c>
      <c r="F22" s="1261">
        <v>2</v>
      </c>
      <c r="G22" s="454">
        <f t="shared" si="5"/>
        <v>2642263.6988003999</v>
      </c>
      <c r="H22" s="455">
        <f>+'[1]Lương 1490'!S22</f>
        <v>2202163.6988003999</v>
      </c>
      <c r="I22" s="453">
        <f t="shared" si="6"/>
        <v>489000</v>
      </c>
      <c r="J22" s="453">
        <f t="shared" si="21"/>
        <v>440100</v>
      </c>
      <c r="K22" s="454">
        <f t="shared" si="7"/>
        <v>1198900</v>
      </c>
      <c r="L22" s="453">
        <f t="shared" si="8"/>
        <v>48900</v>
      </c>
      <c r="M22" s="453">
        <f t="shared" si="9"/>
        <v>1150000</v>
      </c>
      <c r="N22" s="456">
        <f t="shared" si="10"/>
        <v>19440</v>
      </c>
      <c r="O22" s="457">
        <v>12960</v>
      </c>
      <c r="P22" s="453">
        <v>6480</v>
      </c>
      <c r="Q22" s="458"/>
      <c r="R22" s="458"/>
      <c r="S22" s="1271">
        <f t="shared" si="11"/>
        <v>3860603.6988003999</v>
      </c>
      <c r="T22" s="458">
        <v>57781</v>
      </c>
      <c r="U22" s="456">
        <f t="shared" si="12"/>
        <v>3918384.6988003999</v>
      </c>
      <c r="V22" s="459">
        <v>57781</v>
      </c>
      <c r="W22" s="459">
        <f>+'[1]850'!S22</f>
        <v>1256267.8818659999</v>
      </c>
      <c r="X22" s="460">
        <v>3317505381.1223998</v>
      </c>
      <c r="Y22" s="461">
        <f t="shared" si="13"/>
        <v>2112000000</v>
      </c>
      <c r="Z22" s="461">
        <f t="shared" si="14"/>
        <v>1206000000</v>
      </c>
      <c r="AA22" s="461">
        <f t="shared" si="15"/>
        <v>495000000</v>
      </c>
      <c r="AB22" s="461">
        <f t="shared" si="16"/>
        <v>49500000</v>
      </c>
      <c r="AC22" s="461">
        <f t="shared" si="17"/>
        <v>445500000</v>
      </c>
      <c r="AD22" s="461">
        <v>57781000</v>
      </c>
      <c r="AE22" s="461">
        <f t="shared" si="18"/>
        <v>1099000000</v>
      </c>
      <c r="AF22" s="461">
        <f t="shared" si="19"/>
        <v>58000000</v>
      </c>
      <c r="AG22" s="462"/>
      <c r="AH22" s="462"/>
      <c r="AI22" s="462"/>
      <c r="AJ22" s="462"/>
      <c r="AK22" s="462"/>
      <c r="AL22" s="462"/>
      <c r="AM22" s="462"/>
      <c r="AN22" s="462"/>
      <c r="AO22" s="462"/>
      <c r="AP22" s="462"/>
      <c r="AQ22" s="462"/>
      <c r="AR22" s="462"/>
      <c r="AS22" s="462"/>
      <c r="AT22" s="462"/>
      <c r="AU22" s="462"/>
      <c r="AV22" s="462"/>
      <c r="AW22" s="462"/>
    </row>
    <row r="23" spans="1:49" ht="27" customHeight="1">
      <c r="A23" s="451">
        <v>15</v>
      </c>
      <c r="B23" s="452" t="s">
        <v>1771</v>
      </c>
      <c r="C23" s="453">
        <v>15</v>
      </c>
      <c r="D23" s="1259">
        <v>13</v>
      </c>
      <c r="E23" s="1260">
        <f t="shared" si="4"/>
        <v>1</v>
      </c>
      <c r="F23" s="1261">
        <v>1</v>
      </c>
      <c r="G23" s="454">
        <f t="shared" si="5"/>
        <v>1809457.6826399998</v>
      </c>
      <c r="H23" s="455">
        <f>+'[1]Lương 1490'!S23</f>
        <v>1507957.6826399998</v>
      </c>
      <c r="I23" s="453">
        <f t="shared" si="6"/>
        <v>335000</v>
      </c>
      <c r="J23" s="453">
        <f t="shared" si="21"/>
        <v>301500</v>
      </c>
      <c r="K23" s="454">
        <f t="shared" si="7"/>
        <v>817500</v>
      </c>
      <c r="L23" s="453">
        <f t="shared" si="8"/>
        <v>33500</v>
      </c>
      <c r="M23" s="453">
        <f t="shared" si="9"/>
        <v>784000</v>
      </c>
      <c r="N23" s="456">
        <f t="shared" si="10"/>
        <v>13590</v>
      </c>
      <c r="O23" s="457">
        <v>7200</v>
      </c>
      <c r="P23" s="453">
        <v>6390</v>
      </c>
      <c r="Q23" s="458"/>
      <c r="R23" s="458"/>
      <c r="S23" s="1271">
        <f t="shared" si="11"/>
        <v>2640547.6826399998</v>
      </c>
      <c r="T23" s="458">
        <v>43059.86</v>
      </c>
      <c r="U23" s="456">
        <f t="shared" si="12"/>
        <v>2683607.5426399997</v>
      </c>
      <c r="V23" s="459">
        <v>43059.86</v>
      </c>
      <c r="W23" s="459">
        <f>+'[1]850'!S23</f>
        <v>860244.31559999986</v>
      </c>
      <c r="X23" s="460">
        <v>2157733131.8400002</v>
      </c>
      <c r="Y23" s="461">
        <f t="shared" si="13"/>
        <v>1374000000</v>
      </c>
      <c r="Z23" s="461">
        <f t="shared" si="14"/>
        <v>784000000</v>
      </c>
      <c r="AA23" s="461">
        <f t="shared" si="15"/>
        <v>322000000</v>
      </c>
      <c r="AB23" s="461">
        <f t="shared" si="16"/>
        <v>32200000</v>
      </c>
      <c r="AC23" s="461">
        <f t="shared" si="17"/>
        <v>289800000</v>
      </c>
      <c r="AD23" s="461">
        <v>43059860</v>
      </c>
      <c r="AE23" s="461">
        <f t="shared" si="18"/>
        <v>709000000</v>
      </c>
      <c r="AF23" s="461">
        <f t="shared" si="19"/>
        <v>43000000</v>
      </c>
      <c r="AG23" s="462"/>
      <c r="AH23" s="462"/>
      <c r="AI23" s="462"/>
      <c r="AJ23" s="462"/>
      <c r="AK23" s="462"/>
      <c r="AL23" s="462"/>
      <c r="AM23" s="462"/>
      <c r="AN23" s="462"/>
      <c r="AO23" s="462"/>
      <c r="AP23" s="462"/>
      <c r="AQ23" s="462"/>
      <c r="AR23" s="462"/>
      <c r="AS23" s="462"/>
      <c r="AT23" s="462"/>
      <c r="AU23" s="462"/>
      <c r="AV23" s="462"/>
      <c r="AW23" s="462"/>
    </row>
    <row r="24" spans="1:49" ht="27" customHeight="1">
      <c r="A24" s="451">
        <v>16</v>
      </c>
      <c r="B24" s="452" t="s">
        <v>1772</v>
      </c>
      <c r="C24" s="453">
        <v>16</v>
      </c>
      <c r="D24" s="1259">
        <v>16</v>
      </c>
      <c r="E24" s="1260">
        <f t="shared" si="4"/>
        <v>0</v>
      </c>
      <c r="F24" s="1261"/>
      <c r="G24" s="454">
        <f t="shared" si="5"/>
        <v>2124441.3121199999</v>
      </c>
      <c r="H24" s="455">
        <f>+'[1]Lương 1490'!S24</f>
        <v>1770741.3121199999</v>
      </c>
      <c r="I24" s="453">
        <f t="shared" si="6"/>
        <v>393000</v>
      </c>
      <c r="J24" s="453">
        <f t="shared" si="21"/>
        <v>353700</v>
      </c>
      <c r="K24" s="454">
        <f t="shared" si="7"/>
        <v>974300</v>
      </c>
      <c r="L24" s="453">
        <f t="shared" si="8"/>
        <v>39300</v>
      </c>
      <c r="M24" s="453">
        <f t="shared" si="9"/>
        <v>935000</v>
      </c>
      <c r="N24" s="456">
        <f t="shared" si="10"/>
        <v>14645</v>
      </c>
      <c r="O24" s="457">
        <v>8320</v>
      </c>
      <c r="P24" s="453">
        <v>6325</v>
      </c>
      <c r="Q24" s="458"/>
      <c r="R24" s="458"/>
      <c r="S24" s="1271">
        <f t="shared" si="11"/>
        <v>3113386.3121199999</v>
      </c>
      <c r="T24" s="458">
        <v>35671.872000000003</v>
      </c>
      <c r="U24" s="456">
        <f t="shared" si="12"/>
        <v>3149058.1841199999</v>
      </c>
      <c r="V24" s="459">
        <v>35671.872000000003</v>
      </c>
      <c r="W24" s="459">
        <f>+'[1]850'!S24</f>
        <v>1010154.4398000001</v>
      </c>
      <c r="X24" s="460">
        <v>2665914048.7199998</v>
      </c>
      <c r="Y24" s="461">
        <f t="shared" si="13"/>
        <v>1698000000</v>
      </c>
      <c r="Z24" s="461">
        <f t="shared" si="14"/>
        <v>968000000</v>
      </c>
      <c r="AA24" s="461">
        <f t="shared" si="15"/>
        <v>398000000</v>
      </c>
      <c r="AB24" s="461">
        <f t="shared" si="16"/>
        <v>39800000</v>
      </c>
      <c r="AC24" s="461">
        <f t="shared" si="17"/>
        <v>358200000</v>
      </c>
      <c r="AD24" s="461">
        <v>35671872</v>
      </c>
      <c r="AE24" s="461">
        <f t="shared" si="18"/>
        <v>893000000</v>
      </c>
      <c r="AF24" s="461">
        <f t="shared" si="19"/>
        <v>36000000</v>
      </c>
      <c r="AG24" s="462"/>
      <c r="AH24" s="462"/>
      <c r="AI24" s="462"/>
      <c r="AJ24" s="462"/>
      <c r="AK24" s="462"/>
      <c r="AL24" s="462"/>
      <c r="AM24" s="462"/>
      <c r="AN24" s="462"/>
      <c r="AO24" s="462"/>
      <c r="AP24" s="462"/>
      <c r="AQ24" s="462"/>
      <c r="AR24" s="462"/>
      <c r="AS24" s="462"/>
      <c r="AT24" s="462"/>
      <c r="AU24" s="462"/>
      <c r="AV24" s="462"/>
      <c r="AW24" s="462"/>
    </row>
    <row r="25" spans="1:49" ht="27" customHeight="1">
      <c r="A25" s="451">
        <v>17</v>
      </c>
      <c r="B25" s="452" t="s">
        <v>1773</v>
      </c>
      <c r="C25" s="453">
        <v>15</v>
      </c>
      <c r="D25" s="1259">
        <v>15</v>
      </c>
      <c r="E25" s="1260">
        <f t="shared" si="4"/>
        <v>0</v>
      </c>
      <c r="F25" s="1261"/>
      <c r="G25" s="454">
        <f t="shared" si="5"/>
        <v>1804352.0563200002</v>
      </c>
      <c r="H25" s="455">
        <f>+'[1]Lương 1490'!S25</f>
        <v>1503752.0563200002</v>
      </c>
      <c r="I25" s="453">
        <f t="shared" si="6"/>
        <v>334000</v>
      </c>
      <c r="J25" s="453">
        <f t="shared" si="21"/>
        <v>300600</v>
      </c>
      <c r="K25" s="454">
        <f t="shared" si="7"/>
        <v>816400</v>
      </c>
      <c r="L25" s="453">
        <f t="shared" si="8"/>
        <v>33400</v>
      </c>
      <c r="M25" s="453">
        <f t="shared" si="9"/>
        <v>783000</v>
      </c>
      <c r="N25" s="456">
        <f t="shared" si="10"/>
        <v>6480</v>
      </c>
      <c r="O25" s="457">
        <v>4320</v>
      </c>
      <c r="P25" s="453">
        <v>2160</v>
      </c>
      <c r="Q25" s="458"/>
      <c r="R25" s="458"/>
      <c r="S25" s="1271">
        <f t="shared" si="11"/>
        <v>2627232.0563200004</v>
      </c>
      <c r="T25" s="458">
        <v>41598.800000000003</v>
      </c>
      <c r="U25" s="456">
        <f t="shared" si="12"/>
        <v>2668830.8563200003</v>
      </c>
      <c r="V25" s="459">
        <v>41598.800000000003</v>
      </c>
      <c r="W25" s="459">
        <f>+'[1]850'!S25</f>
        <v>857845.13280000025</v>
      </c>
      <c r="X25" s="460">
        <v>2261577913.9200001</v>
      </c>
      <c r="Y25" s="461">
        <f t="shared" si="13"/>
        <v>1440000000</v>
      </c>
      <c r="Z25" s="461">
        <f t="shared" si="14"/>
        <v>822000000</v>
      </c>
      <c r="AA25" s="461">
        <f t="shared" si="15"/>
        <v>338000000</v>
      </c>
      <c r="AB25" s="461">
        <f t="shared" si="16"/>
        <v>33800000</v>
      </c>
      <c r="AC25" s="461">
        <f t="shared" si="17"/>
        <v>304200000</v>
      </c>
      <c r="AD25" s="461">
        <v>41598800</v>
      </c>
      <c r="AE25" s="461">
        <f t="shared" si="18"/>
        <v>747000000</v>
      </c>
      <c r="AF25" s="461">
        <f t="shared" si="19"/>
        <v>42000000</v>
      </c>
      <c r="AG25" s="462"/>
      <c r="AH25" s="462"/>
      <c r="AI25" s="462"/>
      <c r="AJ25" s="462"/>
      <c r="AK25" s="462"/>
      <c r="AL25" s="462"/>
      <c r="AM25" s="462"/>
      <c r="AN25" s="462"/>
      <c r="AO25" s="462"/>
      <c r="AP25" s="462"/>
      <c r="AQ25" s="462"/>
      <c r="AR25" s="462"/>
      <c r="AS25" s="462"/>
      <c r="AT25" s="462"/>
      <c r="AU25" s="462"/>
      <c r="AV25" s="462"/>
      <c r="AW25" s="462"/>
    </row>
    <row r="26" spans="1:49" ht="27" customHeight="1">
      <c r="A26" s="451">
        <v>18</v>
      </c>
      <c r="B26" s="452" t="s">
        <v>1774</v>
      </c>
      <c r="C26" s="453">
        <v>17</v>
      </c>
      <c r="D26" s="1259">
        <v>17</v>
      </c>
      <c r="E26" s="1260">
        <f t="shared" si="4"/>
        <v>0</v>
      </c>
      <c r="F26" s="1261"/>
      <c r="G26" s="454">
        <f t="shared" si="5"/>
        <v>2229110.0884799999</v>
      </c>
      <c r="H26" s="455">
        <f>+'[1]Lương 1490'!S26</f>
        <v>1857410.0884799999</v>
      </c>
      <c r="I26" s="453">
        <f t="shared" si="6"/>
        <v>413000</v>
      </c>
      <c r="J26" s="453">
        <f t="shared" si="21"/>
        <v>371700</v>
      </c>
      <c r="K26" s="454">
        <f t="shared" si="7"/>
        <v>1024300</v>
      </c>
      <c r="L26" s="453">
        <f t="shared" si="8"/>
        <v>41300</v>
      </c>
      <c r="M26" s="453">
        <f t="shared" si="9"/>
        <v>983000</v>
      </c>
      <c r="N26" s="456">
        <f t="shared" si="10"/>
        <v>5985</v>
      </c>
      <c r="O26" s="457">
        <v>2880</v>
      </c>
      <c r="P26" s="453">
        <v>3105</v>
      </c>
      <c r="Q26" s="458"/>
      <c r="R26" s="458"/>
      <c r="S26" s="1271">
        <f t="shared" si="11"/>
        <v>3259395.0884799999</v>
      </c>
      <c r="T26" s="458">
        <v>35513.599999999999</v>
      </c>
      <c r="U26" s="456">
        <f t="shared" si="12"/>
        <v>3294908.68848</v>
      </c>
      <c r="V26" s="459">
        <v>35513.599999999999</v>
      </c>
      <c r="W26" s="459">
        <f>+'[1]850'!S26</f>
        <v>1059596.3591999998</v>
      </c>
      <c r="X26" s="460">
        <v>2794545074.8800001</v>
      </c>
      <c r="Y26" s="461">
        <f t="shared" si="13"/>
        <v>1779000000</v>
      </c>
      <c r="Z26" s="461">
        <f t="shared" si="14"/>
        <v>1016000000</v>
      </c>
      <c r="AA26" s="461">
        <f t="shared" si="15"/>
        <v>417000000</v>
      </c>
      <c r="AB26" s="461">
        <f t="shared" si="16"/>
        <v>41700000</v>
      </c>
      <c r="AC26" s="461">
        <f t="shared" si="17"/>
        <v>375300000</v>
      </c>
      <c r="AD26" s="461">
        <v>35513600</v>
      </c>
      <c r="AE26" s="461">
        <f t="shared" si="18"/>
        <v>939000000</v>
      </c>
      <c r="AF26" s="461">
        <f t="shared" si="19"/>
        <v>36000000</v>
      </c>
      <c r="AG26" s="462"/>
      <c r="AH26" s="462"/>
      <c r="AI26" s="462"/>
      <c r="AJ26" s="462"/>
      <c r="AK26" s="462"/>
      <c r="AL26" s="462"/>
      <c r="AM26" s="462"/>
      <c r="AN26" s="462"/>
      <c r="AO26" s="462"/>
      <c r="AP26" s="462"/>
      <c r="AQ26" s="462"/>
      <c r="AR26" s="462"/>
      <c r="AS26" s="462"/>
      <c r="AT26" s="462"/>
      <c r="AU26" s="462"/>
      <c r="AV26" s="462"/>
      <c r="AW26" s="462"/>
    </row>
    <row r="27" spans="1:49" ht="27" customHeight="1">
      <c r="A27" s="451">
        <v>19</v>
      </c>
      <c r="B27" s="452" t="s">
        <v>1775</v>
      </c>
      <c r="C27" s="453">
        <v>15</v>
      </c>
      <c r="D27" s="1259">
        <v>14</v>
      </c>
      <c r="E27" s="1260">
        <f t="shared" si="4"/>
        <v>0</v>
      </c>
      <c r="F27" s="1261">
        <v>1</v>
      </c>
      <c r="G27" s="454">
        <f t="shared" si="5"/>
        <v>1954850.8140599998</v>
      </c>
      <c r="H27" s="455">
        <f>+'[1]Lương 1490'!S27</f>
        <v>1629050.8140599998</v>
      </c>
      <c r="I27" s="453">
        <f t="shared" si="6"/>
        <v>362000</v>
      </c>
      <c r="J27" s="453">
        <f t="shared" si="21"/>
        <v>325800</v>
      </c>
      <c r="K27" s="454">
        <f t="shared" si="7"/>
        <v>872200</v>
      </c>
      <c r="L27" s="453">
        <f t="shared" si="8"/>
        <v>36200</v>
      </c>
      <c r="M27" s="453">
        <f t="shared" si="9"/>
        <v>836000</v>
      </c>
      <c r="N27" s="456">
        <f t="shared" si="10"/>
        <v>9475</v>
      </c>
      <c r="O27" s="457">
        <v>5760</v>
      </c>
      <c r="P27" s="453">
        <v>3715</v>
      </c>
      <c r="Q27" s="458"/>
      <c r="R27" s="458"/>
      <c r="S27" s="1271">
        <f t="shared" si="11"/>
        <v>2836525.8140599998</v>
      </c>
      <c r="T27" s="458">
        <v>57105</v>
      </c>
      <c r="U27" s="456">
        <f t="shared" si="12"/>
        <v>2893630.8140599998</v>
      </c>
      <c r="V27" s="459">
        <v>57105</v>
      </c>
      <c r="W27" s="459">
        <f>+'[1]850'!S27</f>
        <v>929324.28989999974</v>
      </c>
      <c r="X27" s="460">
        <v>2456579628.3599997</v>
      </c>
      <c r="Y27" s="461">
        <f t="shared" si="13"/>
        <v>1564000000</v>
      </c>
      <c r="Z27" s="461">
        <f t="shared" si="14"/>
        <v>893000000</v>
      </c>
      <c r="AA27" s="461">
        <f t="shared" si="15"/>
        <v>367000000</v>
      </c>
      <c r="AB27" s="461">
        <f t="shared" si="16"/>
        <v>36700000</v>
      </c>
      <c r="AC27" s="461">
        <f t="shared" si="17"/>
        <v>330300000</v>
      </c>
      <c r="AD27" s="461">
        <v>57105000</v>
      </c>
      <c r="AE27" s="461">
        <f t="shared" si="18"/>
        <v>799000000</v>
      </c>
      <c r="AF27" s="461">
        <f t="shared" si="19"/>
        <v>57000000</v>
      </c>
      <c r="AG27" s="462"/>
      <c r="AH27" s="462"/>
      <c r="AI27" s="462"/>
      <c r="AJ27" s="462"/>
      <c r="AK27" s="462"/>
      <c r="AL27" s="462"/>
      <c r="AM27" s="462"/>
      <c r="AN27" s="462"/>
      <c r="AO27" s="462"/>
      <c r="AP27" s="462"/>
      <c r="AQ27" s="462"/>
      <c r="AR27" s="462"/>
      <c r="AS27" s="462"/>
      <c r="AT27" s="462"/>
      <c r="AU27" s="462"/>
      <c r="AV27" s="462"/>
      <c r="AW27" s="462"/>
    </row>
    <row r="28" spans="1:49" ht="27" customHeight="1">
      <c r="A28" s="451">
        <v>20</v>
      </c>
      <c r="B28" s="452" t="s">
        <v>1776</v>
      </c>
      <c r="C28" s="453">
        <v>26</v>
      </c>
      <c r="D28" s="1259">
        <v>25</v>
      </c>
      <c r="E28" s="1260">
        <f t="shared" si="4"/>
        <v>1</v>
      </c>
      <c r="F28" s="1261"/>
      <c r="G28" s="454">
        <f t="shared" si="5"/>
        <v>3816478.1886239997</v>
      </c>
      <c r="H28" s="455">
        <f>+'[1]Lương 1490'!S28</f>
        <v>3180178.1886239997</v>
      </c>
      <c r="I28" s="453">
        <f t="shared" si="6"/>
        <v>707000</v>
      </c>
      <c r="J28" s="453">
        <f t="shared" si="21"/>
        <v>636300</v>
      </c>
      <c r="K28" s="454">
        <f t="shared" si="7"/>
        <v>1718700</v>
      </c>
      <c r="L28" s="453">
        <f t="shared" si="8"/>
        <v>70700</v>
      </c>
      <c r="M28" s="453">
        <f t="shared" si="9"/>
        <v>1648000</v>
      </c>
      <c r="N28" s="456">
        <f t="shared" si="10"/>
        <v>24188</v>
      </c>
      <c r="O28" s="457">
        <v>14400</v>
      </c>
      <c r="P28" s="453">
        <v>9788</v>
      </c>
      <c r="Q28" s="458"/>
      <c r="R28" s="458"/>
      <c r="S28" s="1271">
        <f t="shared" si="11"/>
        <v>5559366.1886240002</v>
      </c>
      <c r="T28" s="458">
        <v>95786.15</v>
      </c>
      <c r="U28" s="456">
        <f t="shared" si="12"/>
        <v>5655152.3386240005</v>
      </c>
      <c r="V28" s="459">
        <v>95786.15</v>
      </c>
      <c r="W28" s="459">
        <f>+'[1]850'!S28</f>
        <v>1814195.6109599997</v>
      </c>
      <c r="X28" s="460">
        <v>4700107810.9439993</v>
      </c>
      <c r="Y28" s="461">
        <f t="shared" si="13"/>
        <v>2993000000</v>
      </c>
      <c r="Z28" s="461">
        <f t="shared" si="14"/>
        <v>1707000000</v>
      </c>
      <c r="AA28" s="461">
        <f t="shared" si="15"/>
        <v>702000000</v>
      </c>
      <c r="AB28" s="461">
        <f t="shared" si="16"/>
        <v>70200000</v>
      </c>
      <c r="AC28" s="461">
        <f t="shared" si="17"/>
        <v>631800000</v>
      </c>
      <c r="AD28" s="461">
        <v>95786150</v>
      </c>
      <c r="AE28" s="461">
        <f t="shared" si="18"/>
        <v>1541000000</v>
      </c>
      <c r="AF28" s="461">
        <f t="shared" si="19"/>
        <v>96000000</v>
      </c>
      <c r="AG28" s="462"/>
      <c r="AH28" s="462"/>
      <c r="AI28" s="462"/>
      <c r="AJ28" s="462"/>
      <c r="AK28" s="462"/>
      <c r="AL28" s="462"/>
      <c r="AM28" s="462"/>
      <c r="AN28" s="462"/>
      <c r="AO28" s="462"/>
      <c r="AP28" s="462"/>
      <c r="AQ28" s="462"/>
      <c r="AR28" s="462"/>
      <c r="AS28" s="462"/>
      <c r="AT28" s="462"/>
      <c r="AU28" s="462"/>
      <c r="AV28" s="462"/>
      <c r="AW28" s="462"/>
    </row>
    <row r="29" spans="1:49" ht="27" customHeight="1">
      <c r="A29" s="451">
        <v>21</v>
      </c>
      <c r="B29" s="452" t="s">
        <v>1777</v>
      </c>
      <c r="C29" s="453">
        <v>27</v>
      </c>
      <c r="D29" s="1262">
        <v>25</v>
      </c>
      <c r="E29" s="1264">
        <f t="shared" si="4"/>
        <v>0</v>
      </c>
      <c r="F29" s="1265">
        <v>2</v>
      </c>
      <c r="G29" s="454">
        <f t="shared" si="5"/>
        <v>3246030.0239399998</v>
      </c>
      <c r="H29" s="455">
        <f>+'[1]Lương 1490'!S29</f>
        <v>2705130.0239399998</v>
      </c>
      <c r="I29" s="453">
        <f t="shared" si="6"/>
        <v>601000</v>
      </c>
      <c r="J29" s="453">
        <f t="shared" si="21"/>
        <v>540900</v>
      </c>
      <c r="K29" s="454">
        <f t="shared" si="7"/>
        <v>1440100</v>
      </c>
      <c r="L29" s="453">
        <f t="shared" si="8"/>
        <v>60100</v>
      </c>
      <c r="M29" s="453">
        <f t="shared" si="9"/>
        <v>1380000</v>
      </c>
      <c r="N29" s="456">
        <f t="shared" si="10"/>
        <v>25740</v>
      </c>
      <c r="O29" s="457">
        <v>14400</v>
      </c>
      <c r="P29" s="453">
        <v>11340</v>
      </c>
      <c r="Q29" s="458"/>
      <c r="R29" s="458"/>
      <c r="S29" s="1271">
        <f t="shared" si="11"/>
        <v>4711870.0239399998</v>
      </c>
      <c r="T29" s="458">
        <v>102748.26</v>
      </c>
      <c r="U29" s="456">
        <f t="shared" si="12"/>
        <v>4814618.2839399995</v>
      </c>
      <c r="V29" s="459">
        <v>102748.26</v>
      </c>
      <c r="W29" s="459">
        <f>+'[1]850'!S29</f>
        <v>1543194.9800999998</v>
      </c>
      <c r="X29" s="460">
        <v>4350904978.6800003</v>
      </c>
      <c r="Y29" s="461">
        <f t="shared" si="13"/>
        <v>2770000000</v>
      </c>
      <c r="Z29" s="461">
        <f t="shared" si="14"/>
        <v>1581000000</v>
      </c>
      <c r="AA29" s="461">
        <f t="shared" si="15"/>
        <v>650000000</v>
      </c>
      <c r="AB29" s="461">
        <f t="shared" si="16"/>
        <v>65000000</v>
      </c>
      <c r="AC29" s="461">
        <f t="shared" si="17"/>
        <v>585000000</v>
      </c>
      <c r="AD29" s="461">
        <v>102748260</v>
      </c>
      <c r="AE29" s="461">
        <f t="shared" si="18"/>
        <v>1413000000</v>
      </c>
      <c r="AF29" s="461">
        <f t="shared" si="19"/>
        <v>103000000</v>
      </c>
      <c r="AG29" s="462"/>
      <c r="AH29" s="462"/>
      <c r="AI29" s="462"/>
      <c r="AJ29" s="462"/>
      <c r="AK29" s="462"/>
      <c r="AL29" s="462"/>
      <c r="AM29" s="462"/>
      <c r="AN29" s="462"/>
      <c r="AO29" s="462"/>
      <c r="AP29" s="462"/>
      <c r="AQ29" s="462"/>
      <c r="AR29" s="462"/>
      <c r="AS29" s="462"/>
      <c r="AT29" s="462"/>
      <c r="AU29" s="462"/>
      <c r="AV29" s="462"/>
      <c r="AW29" s="462"/>
    </row>
    <row r="30" spans="1:49" ht="27" customHeight="1">
      <c r="A30" s="451">
        <v>22</v>
      </c>
      <c r="B30" s="452" t="s">
        <v>1778</v>
      </c>
      <c r="C30" s="453">
        <v>20</v>
      </c>
      <c r="D30" s="1262">
        <v>19</v>
      </c>
      <c r="E30" s="1264">
        <f t="shared" si="4"/>
        <v>0</v>
      </c>
      <c r="F30" s="1265">
        <v>1</v>
      </c>
      <c r="G30" s="454">
        <f t="shared" si="5"/>
        <v>2186409.0623999997</v>
      </c>
      <c r="H30" s="455">
        <f>+'[1]Lương 1490'!S30</f>
        <v>1821909.0623999997</v>
      </c>
      <c r="I30" s="453">
        <f t="shared" si="6"/>
        <v>405000</v>
      </c>
      <c r="J30" s="453">
        <f t="shared" si="21"/>
        <v>364500</v>
      </c>
      <c r="K30" s="454">
        <f t="shared" si="7"/>
        <v>958500</v>
      </c>
      <c r="L30" s="453">
        <f t="shared" si="8"/>
        <v>40500</v>
      </c>
      <c r="M30" s="453">
        <f t="shared" si="9"/>
        <v>918000</v>
      </c>
      <c r="N30" s="456">
        <f t="shared" si="10"/>
        <v>16155</v>
      </c>
      <c r="O30" s="457">
        <v>10080</v>
      </c>
      <c r="P30" s="453">
        <v>6075</v>
      </c>
      <c r="Q30" s="458"/>
      <c r="R30" s="458"/>
      <c r="S30" s="1271">
        <f t="shared" si="11"/>
        <v>3161064.0623999997</v>
      </c>
      <c r="T30" s="458">
        <v>80454.77</v>
      </c>
      <c r="U30" s="456">
        <f t="shared" si="12"/>
        <v>3241518.8323999997</v>
      </c>
      <c r="V30" s="459">
        <v>80454.77</v>
      </c>
      <c r="W30" s="459">
        <f>+'[1]850'!S30</f>
        <v>1039344.096</v>
      </c>
      <c r="X30" s="460">
        <v>2786973134.4000006</v>
      </c>
      <c r="Y30" s="461">
        <f t="shared" si="13"/>
        <v>1775000000</v>
      </c>
      <c r="Z30" s="461">
        <f t="shared" si="14"/>
        <v>1012000000</v>
      </c>
      <c r="AA30" s="461">
        <f t="shared" si="15"/>
        <v>416000000</v>
      </c>
      <c r="AB30" s="461">
        <f t="shared" si="16"/>
        <v>41600000</v>
      </c>
      <c r="AC30" s="461">
        <f t="shared" si="17"/>
        <v>374400000</v>
      </c>
      <c r="AD30" s="461">
        <v>80454770</v>
      </c>
      <c r="AE30" s="461">
        <f t="shared" si="18"/>
        <v>890000000</v>
      </c>
      <c r="AF30" s="461">
        <f t="shared" si="19"/>
        <v>80000000</v>
      </c>
      <c r="AG30" s="462"/>
      <c r="AH30" s="462"/>
      <c r="AI30" s="462"/>
      <c r="AJ30" s="462"/>
      <c r="AK30" s="462"/>
      <c r="AL30" s="462"/>
      <c r="AM30" s="462"/>
      <c r="AN30" s="462"/>
      <c r="AO30" s="462"/>
      <c r="AP30" s="462"/>
      <c r="AQ30" s="462"/>
      <c r="AR30" s="462"/>
      <c r="AS30" s="462"/>
      <c r="AT30" s="462"/>
      <c r="AU30" s="462"/>
      <c r="AV30" s="462"/>
      <c r="AW30" s="462"/>
    </row>
    <row r="31" spans="1:49" ht="27" customHeight="1">
      <c r="A31" s="451">
        <v>23</v>
      </c>
      <c r="B31" s="452" t="s">
        <v>1779</v>
      </c>
      <c r="C31" s="453">
        <v>16</v>
      </c>
      <c r="D31" s="1262">
        <v>15</v>
      </c>
      <c r="E31" s="1264">
        <f t="shared" si="4"/>
        <v>0</v>
      </c>
      <c r="F31" s="1265">
        <v>1</v>
      </c>
      <c r="G31" s="454">
        <f t="shared" si="5"/>
        <v>1914778.2743999998</v>
      </c>
      <c r="H31" s="455">
        <f>+'[1]Lương 1490'!S31</f>
        <v>1595278.2743999998</v>
      </c>
      <c r="I31" s="453">
        <f t="shared" si="6"/>
        <v>355000</v>
      </c>
      <c r="J31" s="453">
        <f t="shared" si="21"/>
        <v>319500</v>
      </c>
      <c r="K31" s="454">
        <f t="shared" si="7"/>
        <v>830500</v>
      </c>
      <c r="L31" s="453">
        <f t="shared" si="8"/>
        <v>35500</v>
      </c>
      <c r="M31" s="453">
        <f t="shared" si="9"/>
        <v>795000</v>
      </c>
      <c r="N31" s="456">
        <f t="shared" si="10"/>
        <v>4928</v>
      </c>
      <c r="O31" s="457">
        <v>4320</v>
      </c>
      <c r="P31" s="453">
        <v>608</v>
      </c>
      <c r="Q31" s="458"/>
      <c r="R31" s="458"/>
      <c r="S31" s="1271">
        <f t="shared" si="11"/>
        <v>2750206.2743999995</v>
      </c>
      <c r="T31" s="458">
        <v>79551</v>
      </c>
      <c r="U31" s="456">
        <f t="shared" si="12"/>
        <v>2829757.2743999995</v>
      </c>
      <c r="V31" s="459">
        <v>79551</v>
      </c>
      <c r="W31" s="459">
        <f>+'[1]850'!S31</f>
        <v>910058.07599999977</v>
      </c>
      <c r="X31" s="460">
        <v>2407076006.4000001</v>
      </c>
      <c r="Y31" s="461">
        <f t="shared" si="13"/>
        <v>1533000000</v>
      </c>
      <c r="Z31" s="461">
        <f t="shared" si="14"/>
        <v>874000000</v>
      </c>
      <c r="AA31" s="461">
        <f t="shared" si="15"/>
        <v>360000000</v>
      </c>
      <c r="AB31" s="461">
        <f t="shared" si="16"/>
        <v>36000000</v>
      </c>
      <c r="AC31" s="461">
        <f t="shared" si="17"/>
        <v>324000000</v>
      </c>
      <c r="AD31" s="461">
        <v>79551000</v>
      </c>
      <c r="AE31" s="461">
        <f t="shared" si="18"/>
        <v>758000000</v>
      </c>
      <c r="AF31" s="461">
        <f t="shared" si="19"/>
        <v>80000000</v>
      </c>
      <c r="AG31" s="462"/>
      <c r="AH31" s="462"/>
      <c r="AI31" s="462"/>
      <c r="AJ31" s="462"/>
      <c r="AK31" s="462"/>
      <c r="AL31" s="462"/>
      <c r="AM31" s="462"/>
      <c r="AN31" s="462"/>
      <c r="AO31" s="462"/>
      <c r="AP31" s="462"/>
      <c r="AQ31" s="462"/>
      <c r="AR31" s="462"/>
      <c r="AS31" s="462"/>
      <c r="AT31" s="462"/>
      <c r="AU31" s="462"/>
      <c r="AV31" s="462"/>
      <c r="AW31" s="462"/>
    </row>
    <row r="32" spans="1:49" ht="27" customHeight="1">
      <c r="A32" s="451">
        <v>24</v>
      </c>
      <c r="B32" s="452" t="s">
        <v>1780</v>
      </c>
      <c r="C32" s="453">
        <v>15</v>
      </c>
      <c r="D32" s="1262">
        <v>14</v>
      </c>
      <c r="E32" s="1264">
        <f t="shared" si="4"/>
        <v>0</v>
      </c>
      <c r="F32" s="1265">
        <v>1</v>
      </c>
      <c r="G32" s="454">
        <f t="shared" si="5"/>
        <v>1844927.8387800001</v>
      </c>
      <c r="H32" s="455">
        <f>+'[1]Lương 1490'!S32</f>
        <v>1537127.8387800001</v>
      </c>
      <c r="I32" s="453">
        <f t="shared" si="6"/>
        <v>342000</v>
      </c>
      <c r="J32" s="453">
        <f t="shared" si="21"/>
        <v>307800</v>
      </c>
      <c r="K32" s="454">
        <f t="shared" si="7"/>
        <v>831200</v>
      </c>
      <c r="L32" s="453">
        <f t="shared" si="8"/>
        <v>34200</v>
      </c>
      <c r="M32" s="453">
        <f t="shared" si="9"/>
        <v>797000</v>
      </c>
      <c r="N32" s="456">
        <f t="shared" si="10"/>
        <v>14353</v>
      </c>
      <c r="O32" s="457">
        <v>8480</v>
      </c>
      <c r="P32" s="453">
        <v>5873</v>
      </c>
      <c r="Q32" s="458"/>
      <c r="R32" s="458"/>
      <c r="S32" s="1271">
        <f t="shared" si="11"/>
        <v>2690480.8387799999</v>
      </c>
      <c r="T32" s="458">
        <v>45422.89</v>
      </c>
      <c r="U32" s="456">
        <f t="shared" si="12"/>
        <v>2735903.72878</v>
      </c>
      <c r="V32" s="459">
        <v>45422.89</v>
      </c>
      <c r="W32" s="459">
        <f>+'[1]850'!S32</f>
        <v>876885.00870000012</v>
      </c>
      <c r="X32" s="460">
        <v>2409034684.6799998</v>
      </c>
      <c r="Y32" s="461">
        <f t="shared" si="13"/>
        <v>1534000000</v>
      </c>
      <c r="Z32" s="461">
        <f t="shared" si="14"/>
        <v>875000000</v>
      </c>
      <c r="AA32" s="461">
        <f t="shared" si="15"/>
        <v>360000000</v>
      </c>
      <c r="AB32" s="461">
        <f t="shared" si="16"/>
        <v>36000000</v>
      </c>
      <c r="AC32" s="461">
        <f t="shared" si="17"/>
        <v>324000000</v>
      </c>
      <c r="AD32" s="461">
        <v>45422890</v>
      </c>
      <c r="AE32" s="461">
        <f t="shared" si="18"/>
        <v>794000000</v>
      </c>
      <c r="AF32" s="461">
        <f t="shared" si="19"/>
        <v>45000000</v>
      </c>
      <c r="AG32" s="462"/>
      <c r="AH32" s="462"/>
      <c r="AI32" s="462"/>
      <c r="AJ32" s="462"/>
      <c r="AK32" s="462"/>
      <c r="AL32" s="462"/>
      <c r="AM32" s="462"/>
      <c r="AN32" s="462"/>
      <c r="AO32" s="462"/>
      <c r="AP32" s="462"/>
      <c r="AQ32" s="462"/>
      <c r="AR32" s="462"/>
      <c r="AS32" s="462"/>
      <c r="AT32" s="462"/>
      <c r="AU32" s="462"/>
      <c r="AV32" s="462"/>
      <c r="AW32" s="462"/>
    </row>
    <row r="33" spans="1:49" s="443" customFormat="1" ht="27" customHeight="1">
      <c r="A33" s="448" t="s">
        <v>12</v>
      </c>
      <c r="B33" s="463" t="s">
        <v>1781</v>
      </c>
      <c r="C33" s="464">
        <f>SUM(C34:C54)</f>
        <v>951</v>
      </c>
      <c r="D33" s="464">
        <f t="shared" ref="D33:AO33" si="22">SUM(D34:D54)</f>
        <v>910</v>
      </c>
      <c r="E33" s="464">
        <f t="shared" si="22"/>
        <v>30</v>
      </c>
      <c r="F33" s="464">
        <f t="shared" si="22"/>
        <v>11</v>
      </c>
      <c r="G33" s="465">
        <f t="shared" si="22"/>
        <v>148289431.08123839</v>
      </c>
      <c r="H33" s="465">
        <f t="shared" si="22"/>
        <v>123574531.08123839</v>
      </c>
      <c r="I33" s="465">
        <f t="shared" si="22"/>
        <v>27461000</v>
      </c>
      <c r="J33" s="465">
        <f t="shared" si="22"/>
        <v>24714900</v>
      </c>
      <c r="K33" s="465">
        <f t="shared" si="22"/>
        <v>70495100</v>
      </c>
      <c r="L33" s="465">
        <f t="shared" si="22"/>
        <v>2746100</v>
      </c>
      <c r="M33" s="465">
        <f t="shared" si="22"/>
        <v>67749000</v>
      </c>
      <c r="N33" s="465">
        <f t="shared" si="22"/>
        <v>2711600</v>
      </c>
      <c r="O33" s="465">
        <f t="shared" si="22"/>
        <v>0</v>
      </c>
      <c r="P33" s="465">
        <f t="shared" si="22"/>
        <v>474600</v>
      </c>
      <c r="Q33" s="465">
        <f t="shared" si="22"/>
        <v>2237000</v>
      </c>
      <c r="R33" s="465">
        <f t="shared" si="22"/>
        <v>0</v>
      </c>
      <c r="S33" s="1272">
        <f t="shared" si="22"/>
        <v>221496131.08123842</v>
      </c>
      <c r="T33" s="465">
        <f t="shared" si="22"/>
        <v>0</v>
      </c>
      <c r="U33" s="465">
        <f t="shared" si="22"/>
        <v>221496131.08123842</v>
      </c>
      <c r="V33" s="464">
        <f t="shared" si="22"/>
        <v>0</v>
      </c>
      <c r="W33" s="459">
        <f>+'[1]850'!S33</f>
        <v>70495537.865136012</v>
      </c>
      <c r="X33" s="464">
        <f t="shared" si="22"/>
        <v>184217797972.9584</v>
      </c>
      <c r="Y33" s="464">
        <f t="shared" si="22"/>
        <v>117300000000</v>
      </c>
      <c r="Z33" s="464">
        <f t="shared" si="22"/>
        <v>66919000000</v>
      </c>
      <c r="AA33" s="464">
        <f t="shared" si="22"/>
        <v>27516000000</v>
      </c>
      <c r="AB33" s="464">
        <f t="shared" si="22"/>
        <v>2751600000</v>
      </c>
      <c r="AC33" s="464">
        <f t="shared" si="22"/>
        <v>24764400000</v>
      </c>
      <c r="AD33" s="464">
        <f t="shared" si="22"/>
        <v>0</v>
      </c>
      <c r="AE33" s="464">
        <f t="shared" si="22"/>
        <v>64170000000</v>
      </c>
      <c r="AF33" s="464">
        <f t="shared" si="22"/>
        <v>0</v>
      </c>
      <c r="AG33" s="464">
        <f t="shared" si="22"/>
        <v>2237446833.4652352</v>
      </c>
      <c r="AH33" s="464">
        <f t="shared" si="22"/>
        <v>2237000000</v>
      </c>
      <c r="AI33" s="464">
        <f t="shared" si="22"/>
        <v>0</v>
      </c>
      <c r="AJ33" s="464">
        <f t="shared" si="22"/>
        <v>0</v>
      </c>
      <c r="AK33" s="464">
        <f t="shared" si="22"/>
        <v>0</v>
      </c>
      <c r="AL33" s="464">
        <f t="shared" si="22"/>
        <v>0</v>
      </c>
      <c r="AM33" s="464">
        <f t="shared" si="22"/>
        <v>0</v>
      </c>
      <c r="AN33" s="464">
        <f t="shared" si="22"/>
        <v>0</v>
      </c>
      <c r="AO33" s="464">
        <f t="shared" si="22"/>
        <v>0</v>
      </c>
      <c r="AP33" s="466"/>
      <c r="AQ33" s="466"/>
      <c r="AR33" s="466"/>
      <c r="AS33" s="466"/>
      <c r="AT33" s="466"/>
      <c r="AU33" s="466"/>
      <c r="AV33" s="466"/>
      <c r="AW33" s="466"/>
    </row>
    <row r="34" spans="1:49" ht="27" customHeight="1">
      <c r="A34" s="451">
        <v>25</v>
      </c>
      <c r="B34" s="452" t="s">
        <v>1782</v>
      </c>
      <c r="C34" s="458">
        <v>61</v>
      </c>
      <c r="D34" s="1266">
        <v>60</v>
      </c>
      <c r="E34" s="1260">
        <f t="shared" si="4"/>
        <v>1</v>
      </c>
      <c r="F34" s="1261"/>
      <c r="G34" s="454">
        <f t="shared" si="5"/>
        <v>11547159.560617801</v>
      </c>
      <c r="H34" s="455">
        <f>+'[1]Lương 1490'!S34</f>
        <v>9622959.5606178008</v>
      </c>
      <c r="I34" s="453">
        <f t="shared" si="6"/>
        <v>2138000</v>
      </c>
      <c r="J34" s="453">
        <f t="shared" si="21"/>
        <v>1924200</v>
      </c>
      <c r="K34" s="454">
        <f t="shared" ref="K34:K54" si="23">L34+M34</f>
        <v>5489800</v>
      </c>
      <c r="L34" s="453">
        <f t="shared" si="8"/>
        <v>213800</v>
      </c>
      <c r="M34" s="453">
        <f t="shared" si="9"/>
        <v>5276000</v>
      </c>
      <c r="N34" s="456">
        <f t="shared" si="10"/>
        <v>143300</v>
      </c>
      <c r="O34" s="456"/>
      <c r="P34" s="453">
        <v>24300</v>
      </c>
      <c r="Q34" s="453">
        <v>119000</v>
      </c>
      <c r="R34" s="458"/>
      <c r="S34" s="1271">
        <f t="shared" ref="S34:S54" si="24">G34+K34+N34</f>
        <v>17180259.560617801</v>
      </c>
      <c r="T34" s="458">
        <v>0</v>
      </c>
      <c r="U34" s="456">
        <f t="shared" si="12"/>
        <v>17180259.560617801</v>
      </c>
      <c r="V34" s="459">
        <v>0</v>
      </c>
      <c r="W34" s="459">
        <f>+'[1]850'!S34</f>
        <v>5489607.8030370018</v>
      </c>
      <c r="X34" s="462">
        <v>14276004764.626806</v>
      </c>
      <c r="Y34" s="462">
        <f>ROUND(X34/2.34*1.49,-6)</f>
        <v>9090000000</v>
      </c>
      <c r="Z34" s="462">
        <f t="shared" ref="Z34:Z79" si="25">ROUND((X34-Y34),-6)</f>
        <v>5186000000</v>
      </c>
      <c r="AA34" s="462">
        <f t="shared" ref="AA34:AA79" si="26">ROUND((Y34*19%/81%),-6)</f>
        <v>2132000000</v>
      </c>
      <c r="AB34" s="462">
        <f t="shared" ref="AB34:AB79" si="27">AA34*10%</f>
        <v>213200000</v>
      </c>
      <c r="AC34" s="462">
        <f t="shared" ref="AC34:AC79" si="28">AA34-AB34</f>
        <v>1918800000</v>
      </c>
      <c r="AD34" s="462"/>
      <c r="AE34" s="462">
        <f>ROUND((Z34-AB34-AD34),-6)</f>
        <v>4973000000</v>
      </c>
      <c r="AF34" s="462"/>
      <c r="AG34" s="462">
        <v>119469378.70234114</v>
      </c>
      <c r="AH34" s="462">
        <f>ROUND(AG34,-6)</f>
        <v>119000000</v>
      </c>
      <c r="AI34" s="462"/>
      <c r="AJ34" s="462"/>
      <c r="AK34" s="462"/>
      <c r="AL34" s="462"/>
      <c r="AM34" s="462"/>
      <c r="AN34" s="462"/>
      <c r="AO34" s="462"/>
      <c r="AP34" s="462"/>
      <c r="AQ34" s="462"/>
      <c r="AR34" s="462"/>
      <c r="AS34" s="462"/>
      <c r="AT34" s="462"/>
      <c r="AU34" s="462"/>
      <c r="AV34" s="462"/>
      <c r="AW34" s="462"/>
    </row>
    <row r="35" spans="1:49" ht="27" customHeight="1">
      <c r="A35" s="451">
        <v>26</v>
      </c>
      <c r="B35" s="452" t="s">
        <v>1783</v>
      </c>
      <c r="C35" s="458">
        <v>57</v>
      </c>
      <c r="D35" s="1266">
        <v>55</v>
      </c>
      <c r="E35" s="1260">
        <f t="shared" si="4"/>
        <v>2</v>
      </c>
      <c r="F35" s="1261"/>
      <c r="G35" s="454">
        <f t="shared" si="5"/>
        <v>9627246.5286480021</v>
      </c>
      <c r="H35" s="455">
        <f>+'[1]Lương 1490'!S35</f>
        <v>8022546.5286480021</v>
      </c>
      <c r="I35" s="453">
        <f t="shared" si="6"/>
        <v>1783000</v>
      </c>
      <c r="J35" s="453">
        <f t="shared" si="21"/>
        <v>1604700</v>
      </c>
      <c r="K35" s="454">
        <f t="shared" si="23"/>
        <v>4576300</v>
      </c>
      <c r="L35" s="453">
        <f t="shared" si="8"/>
        <v>178300</v>
      </c>
      <c r="M35" s="453">
        <f t="shared" si="9"/>
        <v>4398000</v>
      </c>
      <c r="N35" s="456">
        <f t="shared" si="10"/>
        <v>28400</v>
      </c>
      <c r="O35" s="456"/>
      <c r="P35" s="453">
        <v>5400</v>
      </c>
      <c r="Q35" s="453">
        <v>23000</v>
      </c>
      <c r="R35" s="458"/>
      <c r="S35" s="1271">
        <f t="shared" si="24"/>
        <v>14231946.528648002</v>
      </c>
      <c r="T35" s="458">
        <v>0</v>
      </c>
      <c r="U35" s="456">
        <f t="shared" si="12"/>
        <v>14231946.528648002</v>
      </c>
      <c r="V35" s="459">
        <v>0</v>
      </c>
      <c r="W35" s="459">
        <f>+'[1]850'!S35</f>
        <v>4576620.5029200008</v>
      </c>
      <c r="X35" s="462">
        <v>11879452296.035999</v>
      </c>
      <c r="Y35" s="462">
        <f t="shared" ref="Y35:Y54" si="29">ROUND(X35/2.34*1.49,-6)</f>
        <v>7564000000</v>
      </c>
      <c r="Z35" s="462">
        <f t="shared" si="25"/>
        <v>4315000000</v>
      </c>
      <c r="AA35" s="462">
        <f t="shared" si="26"/>
        <v>1774000000</v>
      </c>
      <c r="AB35" s="462">
        <f t="shared" si="27"/>
        <v>177400000</v>
      </c>
      <c r="AC35" s="462">
        <f t="shared" si="28"/>
        <v>1596600000</v>
      </c>
      <c r="AD35" s="462"/>
      <c r="AE35" s="462">
        <f t="shared" ref="AE35:AE54" si="30">ROUND((Z35-AB35-AD35),-6)</f>
        <v>4138000000</v>
      </c>
      <c r="AF35" s="462"/>
      <c r="AG35" s="462">
        <v>22857495.652173914</v>
      </c>
      <c r="AH35" s="462">
        <f t="shared" ref="AH35:AH79" si="31">ROUND(AG35,-6)</f>
        <v>23000000</v>
      </c>
      <c r="AI35" s="462"/>
      <c r="AJ35" s="462"/>
      <c r="AK35" s="462"/>
      <c r="AL35" s="462"/>
      <c r="AM35" s="462"/>
      <c r="AN35" s="462"/>
      <c r="AO35" s="462"/>
      <c r="AP35" s="462"/>
      <c r="AQ35" s="462"/>
      <c r="AR35" s="462"/>
      <c r="AS35" s="462"/>
      <c r="AT35" s="462"/>
      <c r="AU35" s="462"/>
      <c r="AV35" s="462"/>
      <c r="AW35" s="462"/>
    </row>
    <row r="36" spans="1:49" ht="27" customHeight="1">
      <c r="A36" s="451">
        <v>27</v>
      </c>
      <c r="B36" s="452" t="s">
        <v>1784</v>
      </c>
      <c r="C36" s="458">
        <v>69</v>
      </c>
      <c r="D36" s="1266">
        <v>69</v>
      </c>
      <c r="E36" s="1260">
        <f t="shared" si="4"/>
        <v>0</v>
      </c>
      <c r="F36" s="1261"/>
      <c r="G36" s="454">
        <f t="shared" si="5"/>
        <v>11625365.469016198</v>
      </c>
      <c r="H36" s="455">
        <f>+'[1]Lương 1490'!S36</f>
        <v>9687665.4690161981</v>
      </c>
      <c r="I36" s="453">
        <f t="shared" si="6"/>
        <v>2153000</v>
      </c>
      <c r="J36" s="453">
        <f t="shared" si="21"/>
        <v>1937700</v>
      </c>
      <c r="K36" s="454">
        <f t="shared" si="23"/>
        <v>5526300</v>
      </c>
      <c r="L36" s="453">
        <f t="shared" si="8"/>
        <v>215300</v>
      </c>
      <c r="M36" s="453">
        <f t="shared" si="9"/>
        <v>5311000</v>
      </c>
      <c r="N36" s="456">
        <f t="shared" si="10"/>
        <v>218600</v>
      </c>
      <c r="O36" s="456"/>
      <c r="P36" s="453">
        <v>21600</v>
      </c>
      <c r="Q36" s="453">
        <v>197000</v>
      </c>
      <c r="R36" s="458"/>
      <c r="S36" s="1271">
        <f t="shared" si="24"/>
        <v>17370265.469016198</v>
      </c>
      <c r="T36" s="458">
        <v>0</v>
      </c>
      <c r="U36" s="456">
        <f t="shared" si="12"/>
        <v>17370265.469016198</v>
      </c>
      <c r="V36" s="459">
        <v>0</v>
      </c>
      <c r="W36" s="459">
        <f>+'[1]850'!S36</f>
        <v>5526520.5695729991</v>
      </c>
      <c r="X36" s="462">
        <v>14573224252.1332</v>
      </c>
      <c r="Y36" s="462">
        <f t="shared" si="29"/>
        <v>9280000000</v>
      </c>
      <c r="Z36" s="462">
        <f t="shared" si="25"/>
        <v>5293000000</v>
      </c>
      <c r="AA36" s="462">
        <f t="shared" si="26"/>
        <v>2177000000</v>
      </c>
      <c r="AB36" s="462">
        <f t="shared" si="27"/>
        <v>217700000</v>
      </c>
      <c r="AC36" s="462">
        <f t="shared" si="28"/>
        <v>1959300000</v>
      </c>
      <c r="AD36" s="462"/>
      <c r="AE36" s="462">
        <f t="shared" si="30"/>
        <v>5075000000</v>
      </c>
      <c r="AF36" s="462"/>
      <c r="AG36" s="462">
        <v>197357086.95652178</v>
      </c>
      <c r="AH36" s="462">
        <f t="shared" si="31"/>
        <v>197000000</v>
      </c>
      <c r="AI36" s="462"/>
      <c r="AJ36" s="462"/>
      <c r="AK36" s="462"/>
      <c r="AL36" s="462"/>
      <c r="AM36" s="462"/>
      <c r="AN36" s="462"/>
      <c r="AO36" s="462"/>
      <c r="AP36" s="462"/>
      <c r="AQ36" s="462"/>
      <c r="AR36" s="462"/>
      <c r="AS36" s="462"/>
      <c r="AT36" s="462"/>
      <c r="AU36" s="462"/>
      <c r="AV36" s="462"/>
      <c r="AW36" s="462"/>
    </row>
    <row r="37" spans="1:49" ht="27" customHeight="1">
      <c r="A37" s="451">
        <v>28</v>
      </c>
      <c r="B37" s="452" t="s">
        <v>1785</v>
      </c>
      <c r="C37" s="458">
        <v>39</v>
      </c>
      <c r="D37" s="1266">
        <v>37</v>
      </c>
      <c r="E37" s="1260">
        <f t="shared" si="4"/>
        <v>0</v>
      </c>
      <c r="F37" s="1261">
        <v>2</v>
      </c>
      <c r="G37" s="454">
        <f t="shared" si="5"/>
        <v>6071639.3920800006</v>
      </c>
      <c r="H37" s="455">
        <f>+'[1]Lương 1490'!S37</f>
        <v>5060039.3920800006</v>
      </c>
      <c r="I37" s="453">
        <f t="shared" si="6"/>
        <v>1124000</v>
      </c>
      <c r="J37" s="453">
        <f t="shared" si="21"/>
        <v>1011600</v>
      </c>
      <c r="K37" s="454">
        <f t="shared" si="23"/>
        <v>2886400</v>
      </c>
      <c r="L37" s="453">
        <f t="shared" si="8"/>
        <v>112400</v>
      </c>
      <c r="M37" s="453">
        <f t="shared" si="9"/>
        <v>2774000</v>
      </c>
      <c r="N37" s="456">
        <f t="shared" si="10"/>
        <v>95250</v>
      </c>
      <c r="O37" s="456"/>
      <c r="P37" s="453">
        <v>20250</v>
      </c>
      <c r="Q37" s="453">
        <v>75000</v>
      </c>
      <c r="R37" s="458"/>
      <c r="S37" s="1271">
        <f t="shared" si="24"/>
        <v>9053289.3920800015</v>
      </c>
      <c r="T37" s="458">
        <v>0</v>
      </c>
      <c r="U37" s="456">
        <f t="shared" si="12"/>
        <v>9053289.3920800015</v>
      </c>
      <c r="V37" s="459">
        <v>0</v>
      </c>
      <c r="W37" s="459">
        <f>+'[1]850'!S37</f>
        <v>2886599.6532000005</v>
      </c>
      <c r="X37" s="462">
        <v>7935767817.119997</v>
      </c>
      <c r="Y37" s="462">
        <f t="shared" si="29"/>
        <v>5053000000</v>
      </c>
      <c r="Z37" s="462">
        <f t="shared" si="25"/>
        <v>2883000000</v>
      </c>
      <c r="AA37" s="462">
        <f t="shared" si="26"/>
        <v>1185000000</v>
      </c>
      <c r="AB37" s="462">
        <f t="shared" si="27"/>
        <v>118500000</v>
      </c>
      <c r="AC37" s="462">
        <f t="shared" si="28"/>
        <v>1066500000</v>
      </c>
      <c r="AD37" s="462"/>
      <c r="AE37" s="462">
        <f t="shared" si="30"/>
        <v>2765000000</v>
      </c>
      <c r="AF37" s="462"/>
      <c r="AG37" s="462">
        <v>75159835.785953179</v>
      </c>
      <c r="AH37" s="462">
        <f t="shared" si="31"/>
        <v>75000000</v>
      </c>
      <c r="AI37" s="462"/>
      <c r="AJ37" s="462"/>
      <c r="AK37" s="462"/>
      <c r="AL37" s="462"/>
      <c r="AM37" s="462"/>
      <c r="AN37" s="462"/>
      <c r="AO37" s="462"/>
      <c r="AP37" s="462"/>
      <c r="AQ37" s="462"/>
      <c r="AR37" s="462"/>
      <c r="AS37" s="462"/>
      <c r="AT37" s="462"/>
      <c r="AU37" s="462"/>
      <c r="AV37" s="462"/>
      <c r="AW37" s="462"/>
    </row>
    <row r="38" spans="1:49" ht="27" customHeight="1">
      <c r="A38" s="451">
        <v>29</v>
      </c>
      <c r="B38" s="452" t="s">
        <v>1786</v>
      </c>
      <c r="C38" s="458">
        <v>56</v>
      </c>
      <c r="D38" s="1267">
        <v>52</v>
      </c>
      <c r="E38" s="1260">
        <f t="shared" si="4"/>
        <v>0</v>
      </c>
      <c r="F38" s="1261">
        <v>4</v>
      </c>
      <c r="G38" s="454">
        <f t="shared" si="5"/>
        <v>8304484.6508316007</v>
      </c>
      <c r="H38" s="455">
        <f>+'[1]Lương 1490'!S38</f>
        <v>6920284.6508316007</v>
      </c>
      <c r="I38" s="453">
        <f t="shared" si="6"/>
        <v>1538000</v>
      </c>
      <c r="J38" s="453">
        <f t="shared" si="21"/>
        <v>1384200</v>
      </c>
      <c r="K38" s="454">
        <f t="shared" si="23"/>
        <v>3947800</v>
      </c>
      <c r="L38" s="453">
        <f t="shared" si="8"/>
        <v>153800</v>
      </c>
      <c r="M38" s="453">
        <f t="shared" si="9"/>
        <v>3794000</v>
      </c>
      <c r="N38" s="456">
        <f t="shared" si="10"/>
        <v>290500</v>
      </c>
      <c r="O38" s="456"/>
      <c r="P38" s="453">
        <v>40500</v>
      </c>
      <c r="Q38" s="453">
        <v>250000</v>
      </c>
      <c r="R38" s="458"/>
      <c r="S38" s="1271">
        <f t="shared" si="24"/>
        <v>12542784.650831601</v>
      </c>
      <c r="T38" s="458">
        <v>0</v>
      </c>
      <c r="U38" s="456">
        <f t="shared" si="12"/>
        <v>12542784.650831601</v>
      </c>
      <c r="V38" s="459">
        <v>0</v>
      </c>
      <c r="W38" s="459">
        <f>+'[1]850'!S38</f>
        <v>3947813.3914139997</v>
      </c>
      <c r="X38" s="462">
        <v>10847202866.229601</v>
      </c>
      <c r="Y38" s="462">
        <f t="shared" si="29"/>
        <v>6907000000</v>
      </c>
      <c r="Z38" s="462">
        <f t="shared" si="25"/>
        <v>3940000000</v>
      </c>
      <c r="AA38" s="462">
        <f t="shared" si="26"/>
        <v>1620000000</v>
      </c>
      <c r="AB38" s="462">
        <f t="shared" si="27"/>
        <v>162000000</v>
      </c>
      <c r="AC38" s="462">
        <f t="shared" si="28"/>
        <v>1458000000</v>
      </c>
      <c r="AD38" s="462"/>
      <c r="AE38" s="462">
        <f t="shared" si="30"/>
        <v>3778000000</v>
      </c>
      <c r="AF38" s="462"/>
      <c r="AG38" s="462">
        <v>249697070.60869572</v>
      </c>
      <c r="AH38" s="462">
        <f t="shared" si="31"/>
        <v>250000000</v>
      </c>
      <c r="AI38" s="462"/>
      <c r="AJ38" s="462"/>
      <c r="AK38" s="462"/>
      <c r="AL38" s="462"/>
      <c r="AM38" s="462"/>
      <c r="AN38" s="462"/>
      <c r="AO38" s="462"/>
      <c r="AP38" s="462"/>
      <c r="AQ38" s="462"/>
      <c r="AR38" s="462"/>
      <c r="AS38" s="462"/>
      <c r="AT38" s="462"/>
      <c r="AU38" s="462"/>
      <c r="AV38" s="462"/>
      <c r="AW38" s="462"/>
    </row>
    <row r="39" spans="1:49" ht="27" customHeight="1">
      <c r="A39" s="451">
        <v>30</v>
      </c>
      <c r="B39" s="452" t="s">
        <v>1787</v>
      </c>
      <c r="C39" s="458">
        <v>63</v>
      </c>
      <c r="D39" s="1267">
        <v>58</v>
      </c>
      <c r="E39" s="1260">
        <f t="shared" si="4"/>
        <v>0</v>
      </c>
      <c r="F39" s="1261">
        <v>5</v>
      </c>
      <c r="G39" s="454">
        <f t="shared" si="5"/>
        <v>9608155.7450784016</v>
      </c>
      <c r="H39" s="455">
        <f>+'[1]Lương 1490'!S39</f>
        <v>8007055.7450784016</v>
      </c>
      <c r="I39" s="453">
        <f t="shared" si="6"/>
        <v>1779000</v>
      </c>
      <c r="J39" s="453">
        <f t="shared" si="21"/>
        <v>1601100</v>
      </c>
      <c r="K39" s="454">
        <f t="shared" si="23"/>
        <v>4567900</v>
      </c>
      <c r="L39" s="453">
        <f t="shared" si="8"/>
        <v>177900</v>
      </c>
      <c r="M39" s="453">
        <f t="shared" si="9"/>
        <v>4390000</v>
      </c>
      <c r="N39" s="456">
        <f t="shared" si="10"/>
        <v>289250</v>
      </c>
      <c r="O39" s="456"/>
      <c r="P39" s="453">
        <v>20250</v>
      </c>
      <c r="Q39" s="453">
        <v>269000</v>
      </c>
      <c r="R39" s="458"/>
      <c r="S39" s="1271">
        <f t="shared" si="24"/>
        <v>14465305.745078402</v>
      </c>
      <c r="T39" s="458">
        <v>0</v>
      </c>
      <c r="U39" s="456">
        <f t="shared" si="12"/>
        <v>14465305.745078402</v>
      </c>
      <c r="V39" s="459">
        <v>0</v>
      </c>
      <c r="W39" s="459">
        <f>+'[1]850'!S39</f>
        <v>4567783.4787360011</v>
      </c>
      <c r="X39" s="462">
        <v>12283030836.086399</v>
      </c>
      <c r="Y39" s="462">
        <f t="shared" si="29"/>
        <v>7821000000</v>
      </c>
      <c r="Z39" s="462">
        <f t="shared" si="25"/>
        <v>4462000000</v>
      </c>
      <c r="AA39" s="462">
        <f t="shared" si="26"/>
        <v>1835000000</v>
      </c>
      <c r="AB39" s="462">
        <f t="shared" si="27"/>
        <v>183500000</v>
      </c>
      <c r="AC39" s="462">
        <f t="shared" si="28"/>
        <v>1651500000</v>
      </c>
      <c r="AD39" s="462"/>
      <c r="AE39" s="462">
        <f t="shared" si="30"/>
        <v>4279000000</v>
      </c>
      <c r="AF39" s="462"/>
      <c r="AG39" s="462">
        <v>269449411.30434781</v>
      </c>
      <c r="AH39" s="462">
        <f t="shared" si="31"/>
        <v>269000000</v>
      </c>
      <c r="AI39" s="462"/>
      <c r="AJ39" s="462"/>
      <c r="AK39" s="462"/>
      <c r="AL39" s="462"/>
      <c r="AM39" s="462"/>
      <c r="AN39" s="462"/>
      <c r="AO39" s="462"/>
      <c r="AP39" s="462"/>
      <c r="AQ39" s="462"/>
      <c r="AR39" s="462"/>
      <c r="AS39" s="462"/>
      <c r="AT39" s="462"/>
      <c r="AU39" s="462"/>
      <c r="AV39" s="462"/>
      <c r="AW39" s="462"/>
    </row>
    <row r="40" spans="1:49" ht="27" customHeight="1">
      <c r="A40" s="451">
        <v>31</v>
      </c>
      <c r="B40" s="452" t="s">
        <v>1788</v>
      </c>
      <c r="C40" s="458">
        <v>54</v>
      </c>
      <c r="D40" s="1267">
        <v>54</v>
      </c>
      <c r="E40" s="1260">
        <f t="shared" si="4"/>
        <v>0</v>
      </c>
      <c r="F40" s="1261"/>
      <c r="G40" s="454">
        <f t="shared" si="5"/>
        <v>8648879.5296174008</v>
      </c>
      <c r="H40" s="455">
        <f>+'[1]Lương 1490'!S40</f>
        <v>7207079.5296174008</v>
      </c>
      <c r="I40" s="453">
        <f t="shared" si="6"/>
        <v>1602000</v>
      </c>
      <c r="J40" s="453">
        <f t="shared" si="21"/>
        <v>1441800</v>
      </c>
      <c r="K40" s="454">
        <f t="shared" si="23"/>
        <v>4111200</v>
      </c>
      <c r="L40" s="453">
        <f t="shared" si="8"/>
        <v>160200</v>
      </c>
      <c r="M40" s="453">
        <f t="shared" si="9"/>
        <v>3951000</v>
      </c>
      <c r="N40" s="456">
        <f t="shared" si="10"/>
        <v>356500</v>
      </c>
      <c r="O40" s="456"/>
      <c r="P40" s="453">
        <v>40500</v>
      </c>
      <c r="Q40" s="453">
        <v>316000</v>
      </c>
      <c r="R40" s="458"/>
      <c r="S40" s="1271">
        <f t="shared" si="24"/>
        <v>13116579.529617401</v>
      </c>
      <c r="T40" s="458">
        <v>0</v>
      </c>
      <c r="U40" s="456">
        <f t="shared" si="12"/>
        <v>13116579.529617401</v>
      </c>
      <c r="V40" s="459">
        <v>0</v>
      </c>
      <c r="W40" s="459">
        <f>+'[1]850'!S40</f>
        <v>4111421.2081710007</v>
      </c>
      <c r="X40" s="462">
        <v>10861548735.632399</v>
      </c>
      <c r="Y40" s="462">
        <f t="shared" si="29"/>
        <v>6916000000</v>
      </c>
      <c r="Z40" s="462">
        <f t="shared" si="25"/>
        <v>3946000000</v>
      </c>
      <c r="AA40" s="462">
        <f t="shared" si="26"/>
        <v>1622000000</v>
      </c>
      <c r="AB40" s="462">
        <f t="shared" si="27"/>
        <v>162200000</v>
      </c>
      <c r="AC40" s="462">
        <f t="shared" si="28"/>
        <v>1459800000</v>
      </c>
      <c r="AD40" s="462"/>
      <c r="AE40" s="462">
        <f t="shared" si="30"/>
        <v>3784000000</v>
      </c>
      <c r="AF40" s="462"/>
      <c r="AG40" s="462">
        <v>315668786.0869565</v>
      </c>
      <c r="AH40" s="462">
        <f t="shared" si="31"/>
        <v>316000000</v>
      </c>
      <c r="AI40" s="462"/>
      <c r="AJ40" s="462"/>
      <c r="AK40" s="462"/>
      <c r="AL40" s="462"/>
      <c r="AM40" s="462"/>
      <c r="AN40" s="462"/>
      <c r="AO40" s="462"/>
      <c r="AP40" s="462"/>
      <c r="AQ40" s="462"/>
      <c r="AR40" s="462"/>
      <c r="AS40" s="462"/>
      <c r="AT40" s="462"/>
      <c r="AU40" s="462"/>
      <c r="AV40" s="462"/>
      <c r="AW40" s="462"/>
    </row>
    <row r="41" spans="1:49" ht="27" customHeight="1">
      <c r="A41" s="451">
        <v>32</v>
      </c>
      <c r="B41" s="452" t="s">
        <v>1789</v>
      </c>
      <c r="C41" s="458">
        <v>46</v>
      </c>
      <c r="D41" s="1266">
        <v>45</v>
      </c>
      <c r="E41" s="1260">
        <f t="shared" si="4"/>
        <v>1</v>
      </c>
      <c r="F41" s="1261"/>
      <c r="G41" s="454">
        <f t="shared" si="5"/>
        <v>7592871.2738400009</v>
      </c>
      <c r="H41" s="455">
        <f>+'[1]Lương 1490'!S41</f>
        <v>6327471.2738400009</v>
      </c>
      <c r="I41" s="453">
        <f t="shared" si="6"/>
        <v>1406000</v>
      </c>
      <c r="J41" s="453">
        <f t="shared" si="21"/>
        <v>1265400</v>
      </c>
      <c r="K41" s="454">
        <f t="shared" si="23"/>
        <v>3609600</v>
      </c>
      <c r="L41" s="453">
        <f t="shared" si="8"/>
        <v>140600</v>
      </c>
      <c r="M41" s="453">
        <f t="shared" si="9"/>
        <v>3469000</v>
      </c>
      <c r="N41" s="456">
        <f t="shared" si="10"/>
        <v>96500</v>
      </c>
      <c r="O41" s="456"/>
      <c r="P41" s="453">
        <v>40500</v>
      </c>
      <c r="Q41" s="453">
        <v>56000</v>
      </c>
      <c r="R41" s="458"/>
      <c r="S41" s="1271">
        <f t="shared" si="24"/>
        <v>11298971.273840001</v>
      </c>
      <c r="T41" s="458">
        <v>0</v>
      </c>
      <c r="U41" s="456">
        <f t="shared" si="12"/>
        <v>11298971.273840001</v>
      </c>
      <c r="V41" s="459">
        <v>0</v>
      </c>
      <c r="W41" s="459">
        <f>+'[1]850'!S41</f>
        <v>3609631.2636000006</v>
      </c>
      <c r="X41" s="462">
        <v>9404657159.039999</v>
      </c>
      <c r="Y41" s="462">
        <f t="shared" si="29"/>
        <v>5988000000</v>
      </c>
      <c r="Z41" s="462">
        <f t="shared" si="25"/>
        <v>3417000000</v>
      </c>
      <c r="AA41" s="462">
        <f t="shared" si="26"/>
        <v>1405000000</v>
      </c>
      <c r="AB41" s="462">
        <f t="shared" si="27"/>
        <v>140500000</v>
      </c>
      <c r="AC41" s="462">
        <f t="shared" si="28"/>
        <v>1264500000</v>
      </c>
      <c r="AD41" s="462"/>
      <c r="AE41" s="462">
        <f t="shared" si="30"/>
        <v>3277000000</v>
      </c>
      <c r="AF41" s="462"/>
      <c r="AG41" s="462">
        <v>56488019.397993319</v>
      </c>
      <c r="AH41" s="462">
        <f t="shared" si="31"/>
        <v>56000000</v>
      </c>
      <c r="AI41" s="462"/>
      <c r="AJ41" s="462"/>
      <c r="AK41" s="462"/>
      <c r="AL41" s="462"/>
      <c r="AM41" s="462"/>
      <c r="AN41" s="462"/>
      <c r="AO41" s="462"/>
      <c r="AP41" s="462"/>
      <c r="AQ41" s="462"/>
      <c r="AR41" s="462"/>
      <c r="AS41" s="462"/>
      <c r="AT41" s="462"/>
      <c r="AU41" s="462"/>
      <c r="AV41" s="462"/>
      <c r="AW41" s="462"/>
    </row>
    <row r="42" spans="1:49" ht="27" customHeight="1">
      <c r="A42" s="451">
        <v>33</v>
      </c>
      <c r="B42" s="452" t="s">
        <v>1790</v>
      </c>
      <c r="C42" s="458">
        <v>33</v>
      </c>
      <c r="D42" s="1266">
        <v>31</v>
      </c>
      <c r="E42" s="1260">
        <f t="shared" si="4"/>
        <v>2</v>
      </c>
      <c r="F42" s="1261"/>
      <c r="G42" s="454">
        <f t="shared" si="5"/>
        <v>4891968.72138</v>
      </c>
      <c r="H42" s="455">
        <f>+'[1]Lương 1490'!S42</f>
        <v>4076568.72138</v>
      </c>
      <c r="I42" s="453">
        <f t="shared" si="6"/>
        <v>906000</v>
      </c>
      <c r="J42" s="453">
        <f t="shared" si="21"/>
        <v>815400</v>
      </c>
      <c r="K42" s="454">
        <f t="shared" si="23"/>
        <v>2325600</v>
      </c>
      <c r="L42" s="453">
        <f t="shared" si="8"/>
        <v>90600</v>
      </c>
      <c r="M42" s="453">
        <f t="shared" si="9"/>
        <v>2235000</v>
      </c>
      <c r="N42" s="456">
        <f t="shared" si="10"/>
        <v>56950</v>
      </c>
      <c r="O42" s="456"/>
      <c r="P42" s="453">
        <v>22950</v>
      </c>
      <c r="Q42" s="453">
        <v>34000</v>
      </c>
      <c r="R42" s="458"/>
      <c r="S42" s="1271">
        <f t="shared" si="24"/>
        <v>7274518.72138</v>
      </c>
      <c r="T42" s="458">
        <v>0</v>
      </c>
      <c r="U42" s="456">
        <f t="shared" si="12"/>
        <v>7274518.72138</v>
      </c>
      <c r="V42" s="459">
        <v>0</v>
      </c>
      <c r="W42" s="459">
        <f>+'[1]850'!S42</f>
        <v>2325559.3377</v>
      </c>
      <c r="X42" s="462">
        <v>5960696840.2800007</v>
      </c>
      <c r="Y42" s="462">
        <f t="shared" si="29"/>
        <v>3795000000</v>
      </c>
      <c r="Z42" s="462">
        <f t="shared" si="25"/>
        <v>2166000000</v>
      </c>
      <c r="AA42" s="462">
        <f t="shared" si="26"/>
        <v>890000000</v>
      </c>
      <c r="AB42" s="462">
        <f t="shared" si="27"/>
        <v>89000000</v>
      </c>
      <c r="AC42" s="462">
        <f t="shared" si="28"/>
        <v>801000000</v>
      </c>
      <c r="AD42" s="462"/>
      <c r="AE42" s="462">
        <f t="shared" si="30"/>
        <v>2077000000</v>
      </c>
      <c r="AF42" s="462"/>
      <c r="AG42" s="462">
        <v>34204069.565217391</v>
      </c>
      <c r="AH42" s="462">
        <f t="shared" si="31"/>
        <v>34000000</v>
      </c>
      <c r="AI42" s="462"/>
      <c r="AJ42" s="462"/>
      <c r="AK42" s="462"/>
      <c r="AL42" s="462"/>
      <c r="AM42" s="462"/>
      <c r="AN42" s="462"/>
      <c r="AO42" s="462"/>
      <c r="AP42" s="462"/>
      <c r="AQ42" s="462"/>
      <c r="AR42" s="462"/>
      <c r="AS42" s="462"/>
      <c r="AT42" s="462"/>
      <c r="AU42" s="462"/>
      <c r="AV42" s="462"/>
      <c r="AW42" s="462"/>
    </row>
    <row r="43" spans="1:49" ht="36.75" customHeight="1">
      <c r="A43" s="451">
        <v>34</v>
      </c>
      <c r="B43" s="452" t="s">
        <v>1791</v>
      </c>
      <c r="C43" s="458">
        <v>50</v>
      </c>
      <c r="D43" s="1266">
        <v>47</v>
      </c>
      <c r="E43" s="1260">
        <f t="shared" si="4"/>
        <v>3</v>
      </c>
      <c r="F43" s="1261"/>
      <c r="G43" s="454">
        <f t="shared" si="5"/>
        <v>8488876.6534799971</v>
      </c>
      <c r="H43" s="455">
        <f>+'[1]Lương 1490'!S43</f>
        <v>7074076.653479998</v>
      </c>
      <c r="I43" s="453">
        <f t="shared" si="6"/>
        <v>1572000</v>
      </c>
      <c r="J43" s="453">
        <f t="shared" si="21"/>
        <v>1414800</v>
      </c>
      <c r="K43" s="454">
        <f t="shared" si="23"/>
        <v>4035200</v>
      </c>
      <c r="L43" s="453">
        <f t="shared" si="8"/>
        <v>157200</v>
      </c>
      <c r="M43" s="453">
        <f t="shared" si="9"/>
        <v>3878000</v>
      </c>
      <c r="N43" s="456">
        <f t="shared" si="10"/>
        <v>81200</v>
      </c>
      <c r="O43" s="456"/>
      <c r="P43" s="453">
        <v>16200</v>
      </c>
      <c r="Q43" s="453">
        <v>65000</v>
      </c>
      <c r="R43" s="458"/>
      <c r="S43" s="1271">
        <f t="shared" si="24"/>
        <v>12605276.653479997</v>
      </c>
      <c r="T43" s="458">
        <v>0</v>
      </c>
      <c r="U43" s="456">
        <f t="shared" si="12"/>
        <v>12605276.653479997</v>
      </c>
      <c r="V43" s="459">
        <v>0</v>
      </c>
      <c r="W43" s="459">
        <f>+'[1]850'!S43</f>
        <v>4035547.0841999995</v>
      </c>
      <c r="X43" s="462">
        <v>10309969640.879999</v>
      </c>
      <c r="Y43" s="462">
        <f t="shared" si="29"/>
        <v>6565000000</v>
      </c>
      <c r="Z43" s="462">
        <f t="shared" si="25"/>
        <v>3745000000</v>
      </c>
      <c r="AA43" s="462">
        <f t="shared" si="26"/>
        <v>1540000000</v>
      </c>
      <c r="AB43" s="462">
        <f t="shared" si="27"/>
        <v>154000000</v>
      </c>
      <c r="AC43" s="462">
        <f t="shared" si="28"/>
        <v>1386000000</v>
      </c>
      <c r="AD43" s="462"/>
      <c r="AE43" s="462">
        <f t="shared" si="30"/>
        <v>3591000000</v>
      </c>
      <c r="AF43" s="462"/>
      <c r="AG43" s="462">
        <v>64856582.608695656</v>
      </c>
      <c r="AH43" s="462">
        <f t="shared" si="31"/>
        <v>65000000</v>
      </c>
      <c r="AI43" s="462"/>
      <c r="AJ43" s="462"/>
      <c r="AK43" s="462"/>
      <c r="AL43" s="462"/>
      <c r="AM43" s="462"/>
      <c r="AN43" s="462"/>
      <c r="AO43" s="462"/>
      <c r="AP43" s="462"/>
      <c r="AQ43" s="462"/>
      <c r="AR43" s="462"/>
      <c r="AS43" s="462"/>
      <c r="AT43" s="462"/>
      <c r="AU43" s="462"/>
      <c r="AV43" s="462"/>
      <c r="AW43" s="462"/>
    </row>
    <row r="44" spans="1:49" ht="36.75" customHeight="1">
      <c r="A44" s="451">
        <v>35</v>
      </c>
      <c r="B44" s="452" t="s">
        <v>1792</v>
      </c>
      <c r="C44" s="458">
        <v>26</v>
      </c>
      <c r="D44" s="1266">
        <v>26</v>
      </c>
      <c r="E44" s="1260">
        <f t="shared" si="4"/>
        <v>0</v>
      </c>
      <c r="F44" s="1261"/>
      <c r="G44" s="454">
        <f t="shared" si="5"/>
        <v>4583123.3963939995</v>
      </c>
      <c r="H44" s="455">
        <f>+'[1]Lương 1490'!S44</f>
        <v>3819023.3963939999</v>
      </c>
      <c r="I44" s="453">
        <f t="shared" si="6"/>
        <v>849000</v>
      </c>
      <c r="J44" s="453">
        <f t="shared" si="21"/>
        <v>764100</v>
      </c>
      <c r="K44" s="454">
        <f t="shared" si="23"/>
        <v>2178900</v>
      </c>
      <c r="L44" s="453">
        <f t="shared" si="8"/>
        <v>84900</v>
      </c>
      <c r="M44" s="453">
        <f t="shared" si="9"/>
        <v>2094000</v>
      </c>
      <c r="N44" s="456">
        <f t="shared" si="10"/>
        <v>91250</v>
      </c>
      <c r="O44" s="456"/>
      <c r="P44" s="453">
        <v>20250</v>
      </c>
      <c r="Q44" s="453">
        <v>71000</v>
      </c>
      <c r="R44" s="458"/>
      <c r="S44" s="1271">
        <f t="shared" si="24"/>
        <v>6853273.3963939995</v>
      </c>
      <c r="T44" s="458">
        <v>0</v>
      </c>
      <c r="U44" s="456">
        <f t="shared" si="12"/>
        <v>6853273.3963939995</v>
      </c>
      <c r="V44" s="459">
        <v>0</v>
      </c>
      <c r="W44" s="459">
        <f>+'[1]850'!S44</f>
        <v>2178637.50801</v>
      </c>
      <c r="X44" s="462">
        <v>5714614209.5639992</v>
      </c>
      <c r="Y44" s="462">
        <f t="shared" si="29"/>
        <v>3639000000</v>
      </c>
      <c r="Z44" s="462">
        <f t="shared" si="25"/>
        <v>2076000000</v>
      </c>
      <c r="AA44" s="462">
        <f t="shared" si="26"/>
        <v>854000000</v>
      </c>
      <c r="AB44" s="462">
        <f t="shared" si="27"/>
        <v>85400000</v>
      </c>
      <c r="AC44" s="462">
        <f t="shared" si="28"/>
        <v>768600000</v>
      </c>
      <c r="AD44" s="462"/>
      <c r="AE44" s="462">
        <f t="shared" si="30"/>
        <v>1991000000</v>
      </c>
      <c r="AF44" s="462"/>
      <c r="AG44" s="462">
        <v>70830626.086956531</v>
      </c>
      <c r="AH44" s="462">
        <f t="shared" si="31"/>
        <v>71000000</v>
      </c>
      <c r="AI44" s="462"/>
      <c r="AJ44" s="462"/>
      <c r="AK44" s="462"/>
      <c r="AL44" s="462"/>
      <c r="AM44" s="462"/>
      <c r="AN44" s="462"/>
      <c r="AO44" s="462"/>
      <c r="AP44" s="462"/>
      <c r="AQ44" s="462"/>
      <c r="AR44" s="462"/>
      <c r="AS44" s="462"/>
      <c r="AT44" s="462"/>
      <c r="AU44" s="462"/>
      <c r="AV44" s="462"/>
      <c r="AW44" s="462"/>
    </row>
    <row r="45" spans="1:49" ht="27" customHeight="1">
      <c r="A45" s="451">
        <v>36</v>
      </c>
      <c r="B45" s="452" t="s">
        <v>1793</v>
      </c>
      <c r="C45" s="458">
        <v>34</v>
      </c>
      <c r="D45" s="1266">
        <v>34</v>
      </c>
      <c r="E45" s="1260">
        <f t="shared" si="4"/>
        <v>0</v>
      </c>
      <c r="F45" s="1261"/>
      <c r="G45" s="454">
        <f t="shared" si="5"/>
        <v>4359164.3093400002</v>
      </c>
      <c r="H45" s="455">
        <f>+'[1]Lương 1490'!S45</f>
        <v>3632864.3093400006</v>
      </c>
      <c r="I45" s="453">
        <f t="shared" si="6"/>
        <v>807000</v>
      </c>
      <c r="J45" s="453">
        <f t="shared" si="21"/>
        <v>726300</v>
      </c>
      <c r="K45" s="454">
        <f t="shared" si="23"/>
        <v>2072700</v>
      </c>
      <c r="L45" s="453">
        <f t="shared" si="8"/>
        <v>80700</v>
      </c>
      <c r="M45" s="453">
        <f t="shared" si="9"/>
        <v>1992000</v>
      </c>
      <c r="N45" s="456">
        <f t="shared" si="10"/>
        <v>153700</v>
      </c>
      <c r="O45" s="456"/>
      <c r="P45" s="453">
        <v>20700</v>
      </c>
      <c r="Q45" s="453">
        <v>133000</v>
      </c>
      <c r="R45" s="458"/>
      <c r="S45" s="1271">
        <f t="shared" si="24"/>
        <v>6585564.3093400002</v>
      </c>
      <c r="T45" s="458">
        <v>0</v>
      </c>
      <c r="U45" s="456">
        <f t="shared" si="12"/>
        <v>6585564.3093400002</v>
      </c>
      <c r="V45" s="459">
        <v>0</v>
      </c>
      <c r="W45" s="459">
        <f>+'[1]850'!S45</f>
        <v>2072439.3711000003</v>
      </c>
      <c r="X45" s="462">
        <v>5596904912.039999</v>
      </c>
      <c r="Y45" s="462">
        <f t="shared" si="29"/>
        <v>3564000000</v>
      </c>
      <c r="Z45" s="462">
        <f t="shared" si="25"/>
        <v>2033000000</v>
      </c>
      <c r="AA45" s="462">
        <f t="shared" si="26"/>
        <v>836000000</v>
      </c>
      <c r="AB45" s="462">
        <f t="shared" si="27"/>
        <v>83600000</v>
      </c>
      <c r="AC45" s="462">
        <f t="shared" si="28"/>
        <v>752400000</v>
      </c>
      <c r="AD45" s="462"/>
      <c r="AE45" s="462">
        <f t="shared" si="30"/>
        <v>1949000000</v>
      </c>
      <c r="AF45" s="462"/>
      <c r="AG45" s="462">
        <v>132885867.13043478</v>
      </c>
      <c r="AH45" s="462">
        <f t="shared" si="31"/>
        <v>133000000</v>
      </c>
      <c r="AI45" s="462"/>
      <c r="AJ45" s="462"/>
      <c r="AK45" s="462"/>
      <c r="AL45" s="462"/>
      <c r="AM45" s="462"/>
      <c r="AN45" s="462"/>
      <c r="AO45" s="462"/>
      <c r="AP45" s="462"/>
      <c r="AQ45" s="462"/>
      <c r="AR45" s="462"/>
      <c r="AS45" s="462"/>
      <c r="AT45" s="462"/>
      <c r="AU45" s="462"/>
      <c r="AV45" s="462"/>
      <c r="AW45" s="462"/>
    </row>
    <row r="46" spans="1:49" ht="27" customHeight="1">
      <c r="A46" s="451">
        <v>37</v>
      </c>
      <c r="B46" s="452" t="s">
        <v>1794</v>
      </c>
      <c r="C46" s="458">
        <v>29</v>
      </c>
      <c r="D46" s="1266">
        <v>27</v>
      </c>
      <c r="E46" s="1260">
        <f t="shared" si="4"/>
        <v>2</v>
      </c>
      <c r="F46" s="1261"/>
      <c r="G46" s="454">
        <f t="shared" si="5"/>
        <v>3857048.8507800009</v>
      </c>
      <c r="H46" s="455">
        <f>+'[1]Lương 1490'!S46</f>
        <v>3214448.8507800009</v>
      </c>
      <c r="I46" s="453">
        <f t="shared" si="6"/>
        <v>714000</v>
      </c>
      <c r="J46" s="453">
        <f t="shared" si="21"/>
        <v>642600</v>
      </c>
      <c r="K46" s="454">
        <f t="shared" si="23"/>
        <v>1833400</v>
      </c>
      <c r="L46" s="453">
        <f t="shared" si="8"/>
        <v>71400</v>
      </c>
      <c r="M46" s="453">
        <f t="shared" si="9"/>
        <v>1762000</v>
      </c>
      <c r="N46" s="456">
        <f t="shared" si="10"/>
        <v>29450</v>
      </c>
      <c r="O46" s="456"/>
      <c r="P46" s="453">
        <v>9450</v>
      </c>
      <c r="Q46" s="453">
        <v>20000</v>
      </c>
      <c r="R46" s="458"/>
      <c r="S46" s="1271">
        <f t="shared" si="24"/>
        <v>5719898.8507800009</v>
      </c>
      <c r="T46" s="458">
        <v>0</v>
      </c>
      <c r="U46" s="456">
        <f t="shared" si="12"/>
        <v>5719898.8507800009</v>
      </c>
      <c r="V46" s="459">
        <v>0</v>
      </c>
      <c r="W46" s="459">
        <f>+'[1]850'!S46</f>
        <v>1833745.9887000006</v>
      </c>
      <c r="X46" s="462">
        <v>4653529456.6800003</v>
      </c>
      <c r="Y46" s="462">
        <f t="shared" si="29"/>
        <v>2963000000</v>
      </c>
      <c r="Z46" s="462">
        <f t="shared" si="25"/>
        <v>1691000000</v>
      </c>
      <c r="AA46" s="462">
        <f t="shared" si="26"/>
        <v>695000000</v>
      </c>
      <c r="AB46" s="462">
        <f t="shared" si="27"/>
        <v>69500000</v>
      </c>
      <c r="AC46" s="462">
        <f t="shared" si="28"/>
        <v>625500000</v>
      </c>
      <c r="AD46" s="462"/>
      <c r="AE46" s="462">
        <f t="shared" si="30"/>
        <v>1622000000</v>
      </c>
      <c r="AF46" s="462"/>
      <c r="AG46" s="462">
        <v>19836782.608695656</v>
      </c>
      <c r="AH46" s="462">
        <f t="shared" si="31"/>
        <v>20000000</v>
      </c>
      <c r="AI46" s="462"/>
      <c r="AJ46" s="462"/>
      <c r="AK46" s="462"/>
      <c r="AL46" s="462"/>
      <c r="AM46" s="462"/>
      <c r="AN46" s="462"/>
      <c r="AO46" s="462"/>
      <c r="AP46" s="462"/>
      <c r="AQ46" s="462"/>
      <c r="AR46" s="462"/>
      <c r="AS46" s="462"/>
      <c r="AT46" s="462"/>
      <c r="AU46" s="462"/>
      <c r="AV46" s="462"/>
      <c r="AW46" s="462"/>
    </row>
    <row r="47" spans="1:49" ht="27" customHeight="1">
      <c r="A47" s="451">
        <v>38</v>
      </c>
      <c r="B47" s="452" t="s">
        <v>1795</v>
      </c>
      <c r="C47" s="458">
        <v>49</v>
      </c>
      <c r="D47" s="1266">
        <v>48</v>
      </c>
      <c r="E47" s="1260">
        <f t="shared" si="4"/>
        <v>1</v>
      </c>
      <c r="F47" s="1261"/>
      <c r="G47" s="454">
        <f t="shared" si="5"/>
        <v>6100064.5051200008</v>
      </c>
      <c r="H47" s="455">
        <f>+'[1]Lương 1490'!S47</f>
        <v>5083064.5051200008</v>
      </c>
      <c r="I47" s="453">
        <f t="shared" si="6"/>
        <v>1130000</v>
      </c>
      <c r="J47" s="453">
        <f t="shared" si="21"/>
        <v>1017000</v>
      </c>
      <c r="K47" s="454">
        <f t="shared" si="23"/>
        <v>2900000</v>
      </c>
      <c r="L47" s="453">
        <f t="shared" si="8"/>
        <v>113000</v>
      </c>
      <c r="M47" s="453">
        <f t="shared" si="9"/>
        <v>2787000</v>
      </c>
      <c r="N47" s="456">
        <f t="shared" si="10"/>
        <v>195350</v>
      </c>
      <c r="O47" s="456"/>
      <c r="P47" s="453">
        <v>28350</v>
      </c>
      <c r="Q47" s="453">
        <v>167000</v>
      </c>
      <c r="R47" s="458"/>
      <c r="S47" s="1271">
        <f t="shared" si="24"/>
        <v>9195414.5051200017</v>
      </c>
      <c r="T47" s="458">
        <v>0</v>
      </c>
      <c r="U47" s="456">
        <f t="shared" si="12"/>
        <v>9195414.5051200017</v>
      </c>
      <c r="V47" s="459">
        <v>0</v>
      </c>
      <c r="W47" s="459">
        <f>+'[1]850'!S47</f>
        <v>2899734.7848000005</v>
      </c>
      <c r="X47" s="462">
        <v>7610334095.5200005</v>
      </c>
      <c r="Y47" s="462">
        <f t="shared" si="29"/>
        <v>4846000000</v>
      </c>
      <c r="Z47" s="462">
        <f t="shared" si="25"/>
        <v>2764000000</v>
      </c>
      <c r="AA47" s="462">
        <f t="shared" si="26"/>
        <v>1137000000</v>
      </c>
      <c r="AB47" s="462">
        <f t="shared" si="27"/>
        <v>113700000</v>
      </c>
      <c r="AC47" s="462">
        <f t="shared" si="28"/>
        <v>1023300000</v>
      </c>
      <c r="AD47" s="462"/>
      <c r="AE47" s="462">
        <f t="shared" si="30"/>
        <v>2650000000</v>
      </c>
      <c r="AF47" s="462"/>
      <c r="AG47" s="462">
        <v>167290638.26086953</v>
      </c>
      <c r="AH47" s="462">
        <f t="shared" si="31"/>
        <v>167000000</v>
      </c>
      <c r="AI47" s="462"/>
      <c r="AJ47" s="462"/>
      <c r="AK47" s="462"/>
      <c r="AL47" s="462"/>
      <c r="AM47" s="462"/>
      <c r="AN47" s="462"/>
      <c r="AO47" s="462"/>
      <c r="AP47" s="462"/>
      <c r="AQ47" s="462"/>
      <c r="AR47" s="462"/>
      <c r="AS47" s="462"/>
      <c r="AT47" s="462"/>
      <c r="AU47" s="462"/>
      <c r="AV47" s="462"/>
      <c r="AW47" s="462"/>
    </row>
    <row r="48" spans="1:49" ht="27" customHeight="1">
      <c r="A48" s="451">
        <v>39</v>
      </c>
      <c r="B48" s="452" t="s">
        <v>1796</v>
      </c>
      <c r="C48" s="458">
        <v>43</v>
      </c>
      <c r="D48" s="1266">
        <v>41</v>
      </c>
      <c r="E48" s="1260">
        <f t="shared" si="4"/>
        <v>2</v>
      </c>
      <c r="F48" s="1261"/>
      <c r="G48" s="454">
        <f t="shared" si="5"/>
        <v>5573891.7048072005</v>
      </c>
      <c r="H48" s="455">
        <f>+'[1]Lương 1490'!S48</f>
        <v>4645091.7048072005</v>
      </c>
      <c r="I48" s="453">
        <f t="shared" si="6"/>
        <v>1032000</v>
      </c>
      <c r="J48" s="453">
        <f t="shared" si="21"/>
        <v>928800</v>
      </c>
      <c r="K48" s="454">
        <f t="shared" si="23"/>
        <v>2650200</v>
      </c>
      <c r="L48" s="453">
        <f t="shared" si="8"/>
        <v>103200</v>
      </c>
      <c r="M48" s="453">
        <f t="shared" si="9"/>
        <v>2547000</v>
      </c>
      <c r="N48" s="456">
        <f t="shared" si="10"/>
        <v>111550</v>
      </c>
      <c r="O48" s="456"/>
      <c r="P48" s="453">
        <v>29550</v>
      </c>
      <c r="Q48" s="453">
        <v>82000</v>
      </c>
      <c r="R48" s="458"/>
      <c r="S48" s="1271">
        <f t="shared" si="24"/>
        <v>8335641.7048072005</v>
      </c>
      <c r="T48" s="458">
        <v>0</v>
      </c>
      <c r="U48" s="456">
        <f t="shared" si="12"/>
        <v>8335641.7048072005</v>
      </c>
      <c r="V48" s="459">
        <v>0</v>
      </c>
      <c r="W48" s="459">
        <f>+'[1]850'!S48</f>
        <v>2649884.5295880008</v>
      </c>
      <c r="X48" s="462">
        <v>6839761880.2032003</v>
      </c>
      <c r="Y48" s="462">
        <f t="shared" si="29"/>
        <v>4355000000</v>
      </c>
      <c r="Z48" s="462">
        <f t="shared" si="25"/>
        <v>2485000000</v>
      </c>
      <c r="AA48" s="462">
        <f t="shared" si="26"/>
        <v>1022000000</v>
      </c>
      <c r="AB48" s="462">
        <f t="shared" si="27"/>
        <v>102200000</v>
      </c>
      <c r="AC48" s="462">
        <f t="shared" si="28"/>
        <v>919800000</v>
      </c>
      <c r="AD48" s="462"/>
      <c r="AE48" s="462">
        <f t="shared" si="30"/>
        <v>2383000000</v>
      </c>
      <c r="AF48" s="462"/>
      <c r="AG48" s="462">
        <v>82304438.086956531</v>
      </c>
      <c r="AH48" s="462">
        <f t="shared" si="31"/>
        <v>82000000</v>
      </c>
      <c r="AI48" s="462"/>
      <c r="AJ48" s="462"/>
      <c r="AK48" s="462"/>
      <c r="AL48" s="462"/>
      <c r="AM48" s="462"/>
      <c r="AN48" s="462"/>
      <c r="AO48" s="462"/>
      <c r="AP48" s="462"/>
      <c r="AQ48" s="462"/>
      <c r="AR48" s="462"/>
      <c r="AS48" s="462"/>
      <c r="AT48" s="462"/>
      <c r="AU48" s="462"/>
      <c r="AV48" s="462"/>
      <c r="AW48" s="462"/>
    </row>
    <row r="49" spans="1:49" ht="27" customHeight="1">
      <c r="A49" s="451">
        <v>40</v>
      </c>
      <c r="B49" s="452" t="s">
        <v>1797</v>
      </c>
      <c r="C49" s="458">
        <v>37</v>
      </c>
      <c r="D49" s="1266">
        <v>33</v>
      </c>
      <c r="E49" s="1260">
        <f t="shared" si="4"/>
        <v>4</v>
      </c>
      <c r="F49" s="1261"/>
      <c r="G49" s="454">
        <f t="shared" si="5"/>
        <v>5648607.8808000013</v>
      </c>
      <c r="H49" s="455">
        <f>+'[1]Lương 1490'!S49</f>
        <v>4707207.8808000013</v>
      </c>
      <c r="I49" s="453">
        <f t="shared" si="6"/>
        <v>1046000</v>
      </c>
      <c r="J49" s="453">
        <f t="shared" si="21"/>
        <v>941400</v>
      </c>
      <c r="K49" s="454">
        <f t="shared" si="23"/>
        <v>2685600</v>
      </c>
      <c r="L49" s="453">
        <f t="shared" si="8"/>
        <v>104600</v>
      </c>
      <c r="M49" s="453">
        <f t="shared" si="9"/>
        <v>2581000</v>
      </c>
      <c r="N49" s="456">
        <f t="shared" si="10"/>
        <v>101200</v>
      </c>
      <c r="O49" s="456"/>
      <c r="P49" s="453">
        <v>16200</v>
      </c>
      <c r="Q49" s="453">
        <v>85000</v>
      </c>
      <c r="R49" s="458"/>
      <c r="S49" s="1271">
        <f t="shared" si="24"/>
        <v>8435407.8808000013</v>
      </c>
      <c r="T49" s="458">
        <v>0</v>
      </c>
      <c r="U49" s="456">
        <f t="shared" si="12"/>
        <v>8435407.8808000013</v>
      </c>
      <c r="V49" s="459">
        <v>0</v>
      </c>
      <c r="W49" s="459">
        <f>+'[1]850'!S49</f>
        <v>2685319.9320000005</v>
      </c>
      <c r="X49" s="462">
        <v>6707533060.8000002</v>
      </c>
      <c r="Y49" s="462">
        <f t="shared" si="29"/>
        <v>4271000000</v>
      </c>
      <c r="Z49" s="462">
        <f t="shared" si="25"/>
        <v>2437000000</v>
      </c>
      <c r="AA49" s="462">
        <f t="shared" si="26"/>
        <v>1002000000</v>
      </c>
      <c r="AB49" s="462">
        <f t="shared" si="27"/>
        <v>100200000</v>
      </c>
      <c r="AC49" s="462">
        <f t="shared" si="28"/>
        <v>901800000</v>
      </c>
      <c r="AD49" s="462"/>
      <c r="AE49" s="462">
        <f t="shared" si="30"/>
        <v>2337000000</v>
      </c>
      <c r="AF49" s="462"/>
      <c r="AG49" s="462">
        <v>85317886.956521764</v>
      </c>
      <c r="AH49" s="462">
        <f t="shared" si="31"/>
        <v>85000000</v>
      </c>
      <c r="AI49" s="462"/>
      <c r="AJ49" s="462"/>
      <c r="AK49" s="462"/>
      <c r="AL49" s="462"/>
      <c r="AM49" s="462"/>
      <c r="AN49" s="462"/>
      <c r="AO49" s="462"/>
      <c r="AP49" s="462"/>
      <c r="AQ49" s="462"/>
      <c r="AR49" s="462"/>
      <c r="AS49" s="462"/>
      <c r="AT49" s="462"/>
      <c r="AU49" s="462"/>
      <c r="AV49" s="462"/>
      <c r="AW49" s="462"/>
    </row>
    <row r="50" spans="1:49" ht="27" customHeight="1">
      <c r="A50" s="451">
        <v>41</v>
      </c>
      <c r="B50" s="452" t="s">
        <v>1798</v>
      </c>
      <c r="C50" s="458">
        <v>56</v>
      </c>
      <c r="D50" s="1266">
        <v>53</v>
      </c>
      <c r="E50" s="1260">
        <f t="shared" si="4"/>
        <v>3</v>
      </c>
      <c r="F50" s="1261"/>
      <c r="G50" s="454">
        <f t="shared" si="5"/>
        <v>9270802.5512688011</v>
      </c>
      <c r="H50" s="455">
        <f>+'[1]Lương 1490'!S50</f>
        <v>7725502.551268802</v>
      </c>
      <c r="I50" s="453">
        <f t="shared" si="6"/>
        <v>1717000</v>
      </c>
      <c r="J50" s="453">
        <f t="shared" si="21"/>
        <v>1545300</v>
      </c>
      <c r="K50" s="454">
        <f t="shared" si="23"/>
        <v>4406700</v>
      </c>
      <c r="L50" s="453">
        <f t="shared" si="8"/>
        <v>171700</v>
      </c>
      <c r="M50" s="453">
        <f t="shared" si="9"/>
        <v>4235000</v>
      </c>
      <c r="N50" s="456">
        <f t="shared" si="10"/>
        <v>100500</v>
      </c>
      <c r="O50" s="456"/>
      <c r="P50" s="453">
        <v>13500</v>
      </c>
      <c r="Q50" s="453">
        <v>87000</v>
      </c>
      <c r="R50" s="458"/>
      <c r="S50" s="1271">
        <f t="shared" si="24"/>
        <v>13778002.551268801</v>
      </c>
      <c r="T50" s="458">
        <v>0</v>
      </c>
      <c r="U50" s="456">
        <f t="shared" si="12"/>
        <v>13778002.551268801</v>
      </c>
      <c r="V50" s="459">
        <v>0</v>
      </c>
      <c r="W50" s="459">
        <f>+'[1]850'!S50</f>
        <v>4407165.8849520013</v>
      </c>
      <c r="X50" s="462">
        <v>11306946703.852804</v>
      </c>
      <c r="Y50" s="462">
        <f t="shared" si="29"/>
        <v>7200000000</v>
      </c>
      <c r="Z50" s="462">
        <f t="shared" si="25"/>
        <v>4107000000</v>
      </c>
      <c r="AA50" s="462">
        <f t="shared" si="26"/>
        <v>1689000000</v>
      </c>
      <c r="AB50" s="462">
        <f t="shared" si="27"/>
        <v>168900000</v>
      </c>
      <c r="AC50" s="462">
        <f t="shared" si="28"/>
        <v>1520100000</v>
      </c>
      <c r="AD50" s="462"/>
      <c r="AE50" s="462">
        <f t="shared" si="30"/>
        <v>3938000000</v>
      </c>
      <c r="AF50" s="462"/>
      <c r="AG50" s="462">
        <v>86707231.57894738</v>
      </c>
      <c r="AH50" s="462">
        <f t="shared" si="31"/>
        <v>87000000</v>
      </c>
      <c r="AI50" s="462"/>
      <c r="AJ50" s="462"/>
      <c r="AK50" s="462"/>
      <c r="AL50" s="462"/>
      <c r="AM50" s="462"/>
      <c r="AN50" s="462"/>
      <c r="AO50" s="462"/>
      <c r="AP50" s="462"/>
      <c r="AQ50" s="462"/>
      <c r="AR50" s="462"/>
      <c r="AS50" s="462"/>
      <c r="AT50" s="462"/>
      <c r="AU50" s="462"/>
      <c r="AV50" s="462"/>
      <c r="AW50" s="462"/>
    </row>
    <row r="51" spans="1:49" ht="27" customHeight="1">
      <c r="A51" s="451">
        <v>42</v>
      </c>
      <c r="B51" s="452" t="s">
        <v>1799</v>
      </c>
      <c r="C51" s="458">
        <v>38</v>
      </c>
      <c r="D51" s="1266">
        <v>35</v>
      </c>
      <c r="E51" s="1260">
        <f t="shared" si="4"/>
        <v>3</v>
      </c>
      <c r="F51" s="1261"/>
      <c r="G51" s="454">
        <f t="shared" si="5"/>
        <v>4609956.1649016012</v>
      </c>
      <c r="H51" s="455">
        <f>+'[1]Lương 1490'!S51</f>
        <v>3841356.1649016012</v>
      </c>
      <c r="I51" s="453">
        <f t="shared" si="6"/>
        <v>854000</v>
      </c>
      <c r="J51" s="453">
        <f t="shared" si="21"/>
        <v>768600</v>
      </c>
      <c r="K51" s="454">
        <f t="shared" si="23"/>
        <v>2191400</v>
      </c>
      <c r="L51" s="453">
        <f t="shared" si="8"/>
        <v>85400</v>
      </c>
      <c r="M51" s="453">
        <f t="shared" si="9"/>
        <v>2106000</v>
      </c>
      <c r="N51" s="456">
        <f t="shared" si="10"/>
        <v>16200</v>
      </c>
      <c r="O51" s="456"/>
      <c r="P51" s="453">
        <v>16200</v>
      </c>
      <c r="Q51" s="453">
        <v>0</v>
      </c>
      <c r="R51" s="458"/>
      <c r="S51" s="1271">
        <f t="shared" si="24"/>
        <v>6817556.1649016012</v>
      </c>
      <c r="T51" s="458">
        <v>0</v>
      </c>
      <c r="U51" s="456">
        <f t="shared" si="12"/>
        <v>6817556.1649016012</v>
      </c>
      <c r="V51" s="459">
        <v>0</v>
      </c>
      <c r="W51" s="459">
        <f>+'[1]850'!S51</f>
        <v>2191377.677964001</v>
      </c>
      <c r="X51" s="462">
        <v>5570948298.0895996</v>
      </c>
      <c r="Y51" s="462">
        <f t="shared" si="29"/>
        <v>3547000000</v>
      </c>
      <c r="Z51" s="462">
        <f t="shared" si="25"/>
        <v>2024000000</v>
      </c>
      <c r="AA51" s="462">
        <f t="shared" si="26"/>
        <v>832000000</v>
      </c>
      <c r="AB51" s="462">
        <f t="shared" si="27"/>
        <v>83200000</v>
      </c>
      <c r="AC51" s="462">
        <f t="shared" si="28"/>
        <v>748800000</v>
      </c>
      <c r="AD51" s="462"/>
      <c r="AE51" s="462">
        <f t="shared" si="30"/>
        <v>1941000000</v>
      </c>
      <c r="AF51" s="462"/>
      <c r="AG51" s="462">
        <v>0</v>
      </c>
      <c r="AH51" s="462">
        <f t="shared" si="31"/>
        <v>0</v>
      </c>
      <c r="AI51" s="462"/>
      <c r="AJ51" s="462"/>
      <c r="AK51" s="462"/>
      <c r="AL51" s="462"/>
      <c r="AM51" s="462"/>
      <c r="AN51" s="462"/>
      <c r="AO51" s="462"/>
      <c r="AP51" s="462"/>
      <c r="AQ51" s="462"/>
      <c r="AR51" s="462"/>
      <c r="AS51" s="462"/>
      <c r="AT51" s="462"/>
      <c r="AU51" s="462"/>
      <c r="AV51" s="462"/>
      <c r="AW51" s="462"/>
    </row>
    <row r="52" spans="1:49" ht="27" customHeight="1">
      <c r="A52" s="451">
        <v>43</v>
      </c>
      <c r="B52" s="452" t="s">
        <v>1800</v>
      </c>
      <c r="C52" s="458">
        <v>32</v>
      </c>
      <c r="D52" s="1266">
        <v>30</v>
      </c>
      <c r="E52" s="1260">
        <f t="shared" si="4"/>
        <v>2</v>
      </c>
      <c r="F52" s="1261"/>
      <c r="G52" s="454">
        <f t="shared" si="5"/>
        <v>5015669.4831000008</v>
      </c>
      <c r="H52" s="455">
        <f>+'[1]Lương 1490'!S52</f>
        <v>4179569.4831000008</v>
      </c>
      <c r="I52" s="453">
        <f t="shared" si="6"/>
        <v>929000</v>
      </c>
      <c r="J52" s="453">
        <f t="shared" si="21"/>
        <v>836100</v>
      </c>
      <c r="K52" s="454">
        <f t="shared" si="23"/>
        <v>2383900</v>
      </c>
      <c r="L52" s="453">
        <f t="shared" si="8"/>
        <v>92900</v>
      </c>
      <c r="M52" s="453">
        <f t="shared" si="9"/>
        <v>2291000</v>
      </c>
      <c r="N52" s="456">
        <f t="shared" si="10"/>
        <v>52250</v>
      </c>
      <c r="O52" s="456"/>
      <c r="P52" s="453">
        <v>11250</v>
      </c>
      <c r="Q52" s="453">
        <v>41000</v>
      </c>
      <c r="R52" s="458"/>
      <c r="S52" s="1271">
        <f t="shared" si="24"/>
        <v>7451819.4831000008</v>
      </c>
      <c r="T52" s="458">
        <v>0</v>
      </c>
      <c r="U52" s="456">
        <f t="shared" si="12"/>
        <v>7451819.4831000008</v>
      </c>
      <c r="V52" s="459">
        <v>0</v>
      </c>
      <c r="W52" s="459">
        <f>+'[1]850'!S52</f>
        <v>2384318.1615000004</v>
      </c>
      <c r="X52" s="462">
        <v>6117247866.6000013</v>
      </c>
      <c r="Y52" s="462">
        <f t="shared" si="29"/>
        <v>3895000000</v>
      </c>
      <c r="Z52" s="462">
        <f t="shared" si="25"/>
        <v>2222000000</v>
      </c>
      <c r="AA52" s="462">
        <f t="shared" si="26"/>
        <v>914000000</v>
      </c>
      <c r="AB52" s="462">
        <f t="shared" si="27"/>
        <v>91400000</v>
      </c>
      <c r="AC52" s="462">
        <f t="shared" si="28"/>
        <v>822600000</v>
      </c>
      <c r="AD52" s="462"/>
      <c r="AE52" s="462">
        <f t="shared" si="30"/>
        <v>2131000000</v>
      </c>
      <c r="AF52" s="462"/>
      <c r="AG52" s="462">
        <v>40983417.391304344</v>
      </c>
      <c r="AH52" s="462">
        <f t="shared" si="31"/>
        <v>41000000</v>
      </c>
      <c r="AI52" s="462"/>
      <c r="AJ52" s="462"/>
      <c r="AK52" s="462"/>
      <c r="AL52" s="462"/>
      <c r="AM52" s="462"/>
      <c r="AN52" s="462"/>
      <c r="AO52" s="462"/>
      <c r="AP52" s="462"/>
      <c r="AQ52" s="462"/>
      <c r="AR52" s="462"/>
      <c r="AS52" s="462"/>
      <c r="AT52" s="462"/>
      <c r="AU52" s="462"/>
      <c r="AV52" s="462"/>
      <c r="AW52" s="462"/>
    </row>
    <row r="53" spans="1:49" ht="27" customHeight="1">
      <c r="A53" s="451">
        <v>44</v>
      </c>
      <c r="B53" s="452" t="s">
        <v>1801</v>
      </c>
      <c r="C53" s="458">
        <v>41</v>
      </c>
      <c r="D53" s="1266">
        <v>41</v>
      </c>
      <c r="E53" s="1260">
        <f t="shared" si="4"/>
        <v>0</v>
      </c>
      <c r="F53" s="1261"/>
      <c r="G53" s="454">
        <f t="shared" si="5"/>
        <v>6470055.4576199986</v>
      </c>
      <c r="H53" s="455">
        <f>+'[1]Lương 1490'!S53</f>
        <v>5391855.4576199986</v>
      </c>
      <c r="I53" s="453">
        <f t="shared" si="6"/>
        <v>1198000</v>
      </c>
      <c r="J53" s="453">
        <f t="shared" si="21"/>
        <v>1078200</v>
      </c>
      <c r="K53" s="454">
        <f t="shared" si="23"/>
        <v>3075800</v>
      </c>
      <c r="L53" s="453">
        <f t="shared" si="8"/>
        <v>119800</v>
      </c>
      <c r="M53" s="453">
        <f t="shared" si="9"/>
        <v>2956000</v>
      </c>
      <c r="N53" s="456">
        <f t="shared" si="10"/>
        <v>94100</v>
      </c>
      <c r="O53" s="456"/>
      <c r="P53" s="453">
        <v>35100</v>
      </c>
      <c r="Q53" s="453">
        <v>59000</v>
      </c>
      <c r="R53" s="458"/>
      <c r="S53" s="1271">
        <f t="shared" si="24"/>
        <v>9639955.4576199986</v>
      </c>
      <c r="T53" s="458">
        <v>0</v>
      </c>
      <c r="U53" s="456">
        <f t="shared" si="12"/>
        <v>9639955.4576199986</v>
      </c>
      <c r="V53" s="459">
        <v>0</v>
      </c>
      <c r="W53" s="459">
        <f>+'[1]850'!S53</f>
        <v>3075890.6972999992</v>
      </c>
      <c r="X53" s="462">
        <v>8147432961.7199993</v>
      </c>
      <c r="Y53" s="462">
        <f t="shared" si="29"/>
        <v>5188000000</v>
      </c>
      <c r="Z53" s="462">
        <f t="shared" si="25"/>
        <v>2959000000</v>
      </c>
      <c r="AA53" s="462">
        <f t="shared" si="26"/>
        <v>1217000000</v>
      </c>
      <c r="AB53" s="462">
        <f t="shared" si="27"/>
        <v>121700000</v>
      </c>
      <c r="AC53" s="462">
        <f t="shared" si="28"/>
        <v>1095300000</v>
      </c>
      <c r="AD53" s="462"/>
      <c r="AE53" s="462">
        <f t="shared" si="30"/>
        <v>2837000000</v>
      </c>
      <c r="AF53" s="462"/>
      <c r="AG53" s="462">
        <v>58537408.695652172</v>
      </c>
      <c r="AH53" s="462">
        <f t="shared" si="31"/>
        <v>59000000</v>
      </c>
      <c r="AI53" s="462"/>
      <c r="AJ53" s="462"/>
      <c r="AK53" s="462"/>
      <c r="AL53" s="462"/>
      <c r="AM53" s="462"/>
      <c r="AN53" s="462"/>
      <c r="AO53" s="462"/>
      <c r="AP53" s="462"/>
      <c r="AQ53" s="462"/>
      <c r="AR53" s="462"/>
      <c r="AS53" s="462"/>
      <c r="AT53" s="462"/>
      <c r="AU53" s="462"/>
      <c r="AV53" s="462"/>
      <c r="AW53" s="462"/>
    </row>
    <row r="54" spans="1:49" ht="27" customHeight="1">
      <c r="A54" s="451">
        <v>45</v>
      </c>
      <c r="B54" s="452" t="s">
        <v>1802</v>
      </c>
      <c r="C54" s="458">
        <v>38</v>
      </c>
      <c r="D54" s="1266">
        <v>34</v>
      </c>
      <c r="E54" s="1260">
        <f t="shared" si="4"/>
        <v>4</v>
      </c>
      <c r="F54" s="1261"/>
      <c r="G54" s="454">
        <f t="shared" si="5"/>
        <v>6394399.2525173994</v>
      </c>
      <c r="H54" s="455">
        <f>+'[1]Lương 1490'!S54</f>
        <v>5328799.2525173994</v>
      </c>
      <c r="I54" s="453">
        <f t="shared" si="6"/>
        <v>1184000</v>
      </c>
      <c r="J54" s="453">
        <f t="shared" si="21"/>
        <v>1065600</v>
      </c>
      <c r="K54" s="454">
        <f t="shared" si="23"/>
        <v>3040400</v>
      </c>
      <c r="L54" s="453">
        <f t="shared" si="8"/>
        <v>118400</v>
      </c>
      <c r="M54" s="453">
        <f t="shared" si="9"/>
        <v>2922000</v>
      </c>
      <c r="N54" s="456">
        <f t="shared" si="10"/>
        <v>109600</v>
      </c>
      <c r="O54" s="456"/>
      <c r="P54" s="453">
        <v>21600</v>
      </c>
      <c r="Q54" s="453">
        <v>88000</v>
      </c>
      <c r="R54" s="458"/>
      <c r="S54" s="1271">
        <f t="shared" si="24"/>
        <v>9544399.2525173984</v>
      </c>
      <c r="T54" s="458">
        <v>0</v>
      </c>
      <c r="U54" s="456">
        <f t="shared" si="12"/>
        <v>9544399.2525173984</v>
      </c>
      <c r="V54" s="459">
        <v>0</v>
      </c>
      <c r="W54" s="459">
        <f>+'[1]850'!S54</f>
        <v>3039919.0366709996</v>
      </c>
      <c r="X54" s="462">
        <v>7620989319.8243999</v>
      </c>
      <c r="Y54" s="462">
        <f t="shared" si="29"/>
        <v>4853000000</v>
      </c>
      <c r="Z54" s="462">
        <f t="shared" si="25"/>
        <v>2768000000</v>
      </c>
      <c r="AA54" s="462">
        <f t="shared" si="26"/>
        <v>1138000000</v>
      </c>
      <c r="AB54" s="462">
        <f t="shared" si="27"/>
        <v>113800000</v>
      </c>
      <c r="AC54" s="462">
        <f t="shared" si="28"/>
        <v>1024200000</v>
      </c>
      <c r="AD54" s="462"/>
      <c r="AE54" s="462">
        <f t="shared" si="30"/>
        <v>2654000000</v>
      </c>
      <c r="AF54" s="462"/>
      <c r="AG54" s="462">
        <v>87544800</v>
      </c>
      <c r="AH54" s="462">
        <f t="shared" si="31"/>
        <v>88000000</v>
      </c>
      <c r="AI54" s="462"/>
      <c r="AJ54" s="462"/>
      <c r="AK54" s="462"/>
      <c r="AL54" s="462"/>
      <c r="AM54" s="462"/>
      <c r="AN54" s="462"/>
      <c r="AO54" s="462"/>
      <c r="AP54" s="462"/>
      <c r="AQ54" s="462"/>
      <c r="AR54" s="462"/>
      <c r="AS54" s="462"/>
      <c r="AT54" s="462"/>
      <c r="AU54" s="462"/>
      <c r="AV54" s="462"/>
      <c r="AW54" s="462"/>
    </row>
    <row r="55" spans="1:49" s="443" customFormat="1" ht="27" customHeight="1">
      <c r="A55" s="448" t="s">
        <v>70</v>
      </c>
      <c r="B55" s="463" t="s">
        <v>1803</v>
      </c>
      <c r="C55" s="464">
        <f>SUM(C56:C73)</f>
        <v>782</v>
      </c>
      <c r="D55" s="464">
        <f t="shared" ref="D55:AO55" si="32">SUM(D56:D73)</f>
        <v>762</v>
      </c>
      <c r="E55" s="464">
        <f t="shared" si="32"/>
        <v>20</v>
      </c>
      <c r="F55" s="464">
        <f t="shared" si="32"/>
        <v>0</v>
      </c>
      <c r="G55" s="465">
        <f t="shared" si="32"/>
        <v>122325013.13172901</v>
      </c>
      <c r="H55" s="465">
        <f t="shared" si="32"/>
        <v>101938213.13172901</v>
      </c>
      <c r="I55" s="465">
        <f t="shared" si="32"/>
        <v>22652000</v>
      </c>
      <c r="J55" s="465">
        <f t="shared" si="32"/>
        <v>20386800</v>
      </c>
      <c r="K55" s="465">
        <f t="shared" si="32"/>
        <v>51450200</v>
      </c>
      <c r="L55" s="465">
        <f t="shared" si="32"/>
        <v>2265200</v>
      </c>
      <c r="M55" s="465">
        <f t="shared" si="32"/>
        <v>49185000</v>
      </c>
      <c r="N55" s="465">
        <f t="shared" si="32"/>
        <v>2444640</v>
      </c>
      <c r="O55" s="465">
        <f t="shared" si="32"/>
        <v>0</v>
      </c>
      <c r="P55" s="465">
        <f t="shared" si="32"/>
        <v>722320</v>
      </c>
      <c r="Q55" s="465">
        <f t="shared" si="32"/>
        <v>1376000</v>
      </c>
      <c r="R55" s="465">
        <f t="shared" si="32"/>
        <v>346320</v>
      </c>
      <c r="S55" s="1272">
        <f t="shared" si="32"/>
        <v>176219853.13172901</v>
      </c>
      <c r="T55" s="465">
        <f t="shared" si="32"/>
        <v>6700312.2079999996</v>
      </c>
      <c r="U55" s="465">
        <f t="shared" si="32"/>
        <v>182920165.33972904</v>
      </c>
      <c r="V55" s="465">
        <f t="shared" si="32"/>
        <v>6700312.2079999996</v>
      </c>
      <c r="W55" s="459">
        <f>+'[1]850'!S55</f>
        <v>58152671.920784995</v>
      </c>
      <c r="X55" s="465">
        <f t="shared" si="32"/>
        <v>152352969961.92203</v>
      </c>
      <c r="Y55" s="465">
        <f t="shared" si="32"/>
        <v>97010000000</v>
      </c>
      <c r="Z55" s="465">
        <f t="shared" si="32"/>
        <v>55342000000</v>
      </c>
      <c r="AA55" s="465">
        <f t="shared" si="32"/>
        <v>22756000000</v>
      </c>
      <c r="AB55" s="465">
        <f t="shared" si="32"/>
        <v>2275600000</v>
      </c>
      <c r="AC55" s="465">
        <f t="shared" si="32"/>
        <v>20480400000</v>
      </c>
      <c r="AD55" s="465">
        <f t="shared" si="32"/>
        <v>6700312208</v>
      </c>
      <c r="AE55" s="465">
        <f t="shared" si="32"/>
        <v>46367000000</v>
      </c>
      <c r="AF55" s="465">
        <f t="shared" si="32"/>
        <v>6699000000</v>
      </c>
      <c r="AG55" s="465">
        <f t="shared" si="32"/>
        <v>1374649393.2219679</v>
      </c>
      <c r="AH55" s="465">
        <f t="shared" si="32"/>
        <v>1376000000</v>
      </c>
      <c r="AI55" s="465">
        <f t="shared" si="32"/>
        <v>0</v>
      </c>
      <c r="AJ55" s="465">
        <f t="shared" si="32"/>
        <v>0</v>
      </c>
      <c r="AK55" s="465">
        <f t="shared" si="32"/>
        <v>0</v>
      </c>
      <c r="AL55" s="465">
        <f t="shared" si="32"/>
        <v>0</v>
      </c>
      <c r="AM55" s="465">
        <f t="shared" si="32"/>
        <v>0</v>
      </c>
      <c r="AN55" s="465">
        <f t="shared" si="32"/>
        <v>0</v>
      </c>
      <c r="AO55" s="465">
        <f t="shared" si="32"/>
        <v>0</v>
      </c>
      <c r="AP55" s="466"/>
      <c r="AQ55" s="466"/>
      <c r="AR55" s="466"/>
      <c r="AS55" s="466"/>
      <c r="AT55" s="466"/>
      <c r="AU55" s="466"/>
      <c r="AV55" s="466"/>
      <c r="AW55" s="466"/>
    </row>
    <row r="56" spans="1:49" ht="27" customHeight="1">
      <c r="A56" s="467">
        <v>46</v>
      </c>
      <c r="B56" s="468" t="s">
        <v>1804</v>
      </c>
      <c r="C56" s="458">
        <v>69</v>
      </c>
      <c r="D56" s="1266">
        <v>68</v>
      </c>
      <c r="E56" s="1260">
        <f t="shared" si="4"/>
        <v>1</v>
      </c>
      <c r="F56" s="1261"/>
      <c r="G56" s="454">
        <f t="shared" si="5"/>
        <v>11348839.911479995</v>
      </c>
      <c r="H56" s="455">
        <f>+'[1]Lương 1490'!S56</f>
        <v>9457039.9114799947</v>
      </c>
      <c r="I56" s="453">
        <f t="shared" si="6"/>
        <v>2102000</v>
      </c>
      <c r="J56" s="453">
        <f t="shared" si="21"/>
        <v>1891800</v>
      </c>
      <c r="K56" s="454">
        <f t="shared" ref="K56:K73" si="33">L56+M56</f>
        <v>4383200</v>
      </c>
      <c r="L56" s="453">
        <f t="shared" si="8"/>
        <v>210200</v>
      </c>
      <c r="M56" s="453">
        <f t="shared" si="9"/>
        <v>4173000</v>
      </c>
      <c r="N56" s="456">
        <f t="shared" si="10"/>
        <v>83380</v>
      </c>
      <c r="O56" s="454"/>
      <c r="P56" s="453">
        <v>14380</v>
      </c>
      <c r="Q56" s="453">
        <v>69000</v>
      </c>
      <c r="R56" s="453">
        <v>0</v>
      </c>
      <c r="S56" s="1271">
        <f t="shared" ref="S56:S73" si="34">G56+K56+N56</f>
        <v>15815419.911479995</v>
      </c>
      <c r="T56" s="458">
        <v>1011722</v>
      </c>
      <c r="U56" s="456">
        <f t="shared" si="12"/>
        <v>16827141.911479995</v>
      </c>
      <c r="V56" s="459">
        <v>1011722</v>
      </c>
      <c r="W56" s="459">
        <f>+'[1]850'!S56</f>
        <v>5394955.654199997</v>
      </c>
      <c r="X56" s="462">
        <v>14074639235.279997</v>
      </c>
      <c r="Y56" s="462">
        <f>ROUND(X56/2.34*1.49,-6)</f>
        <v>8962000000</v>
      </c>
      <c r="Z56" s="462">
        <f t="shared" si="25"/>
        <v>5113000000</v>
      </c>
      <c r="AA56" s="462">
        <f t="shared" si="26"/>
        <v>2102000000</v>
      </c>
      <c r="AB56" s="462">
        <f t="shared" si="27"/>
        <v>210200000</v>
      </c>
      <c r="AC56" s="462">
        <f t="shared" si="28"/>
        <v>1891800000</v>
      </c>
      <c r="AD56" s="462">
        <v>1011722000</v>
      </c>
      <c r="AE56" s="462">
        <f>ROUND((Z56-AB56-AD56),-6)</f>
        <v>3891000000</v>
      </c>
      <c r="AF56" s="462">
        <f t="shared" ref="AF56:AF83" si="35">ROUND(AD56,-6)</f>
        <v>1012000000</v>
      </c>
      <c r="AG56" s="462">
        <v>68605010.526315823</v>
      </c>
      <c r="AH56" s="462">
        <f t="shared" si="31"/>
        <v>69000000</v>
      </c>
      <c r="AI56" s="462"/>
      <c r="AJ56" s="462"/>
      <c r="AK56" s="462"/>
      <c r="AL56" s="462"/>
      <c r="AM56" s="462"/>
      <c r="AN56" s="462"/>
      <c r="AO56" s="462"/>
      <c r="AP56" s="462"/>
      <c r="AQ56" s="462"/>
      <c r="AR56" s="462"/>
      <c r="AS56" s="462"/>
      <c r="AT56" s="462"/>
      <c r="AU56" s="462"/>
      <c r="AV56" s="462"/>
      <c r="AW56" s="462"/>
    </row>
    <row r="57" spans="1:49" ht="27" customHeight="1">
      <c r="A57" s="467">
        <v>47</v>
      </c>
      <c r="B57" s="468" t="s">
        <v>1805</v>
      </c>
      <c r="C57" s="458">
        <v>65</v>
      </c>
      <c r="D57" s="1266">
        <v>63</v>
      </c>
      <c r="E57" s="1260">
        <f t="shared" si="4"/>
        <v>2</v>
      </c>
      <c r="F57" s="1261"/>
      <c r="G57" s="454">
        <f t="shared" si="5"/>
        <v>10188612.475079998</v>
      </c>
      <c r="H57" s="455">
        <f>+'[1]Lương 1490'!S57</f>
        <v>8490312.4750799984</v>
      </c>
      <c r="I57" s="453">
        <f t="shared" si="6"/>
        <v>1887000</v>
      </c>
      <c r="J57" s="453">
        <f t="shared" si="21"/>
        <v>1698300</v>
      </c>
      <c r="K57" s="454">
        <f t="shared" si="33"/>
        <v>4437700</v>
      </c>
      <c r="L57" s="453">
        <f t="shared" si="8"/>
        <v>188700</v>
      </c>
      <c r="M57" s="453">
        <f t="shared" si="9"/>
        <v>4249000</v>
      </c>
      <c r="N57" s="456">
        <f t="shared" si="10"/>
        <v>6120</v>
      </c>
      <c r="O57" s="454"/>
      <c r="P57" s="453">
        <v>6120</v>
      </c>
      <c r="Q57" s="453">
        <v>0</v>
      </c>
      <c r="R57" s="453">
        <v>0</v>
      </c>
      <c r="S57" s="1271">
        <f t="shared" si="34"/>
        <v>14632432.475079998</v>
      </c>
      <c r="T57" s="458">
        <v>405296.342</v>
      </c>
      <c r="U57" s="456">
        <f t="shared" si="12"/>
        <v>15037728.817079999</v>
      </c>
      <c r="V57" s="459">
        <v>405296.342</v>
      </c>
      <c r="W57" s="459">
        <f>+'[1]850'!S57</f>
        <v>4843466.848199999</v>
      </c>
      <c r="X57" s="462">
        <v>12686142764.879997</v>
      </c>
      <c r="Y57" s="462">
        <f t="shared" ref="Y57:Y79" si="36">ROUND(X57/2.34*1.49,-6)</f>
        <v>8078000000</v>
      </c>
      <c r="Z57" s="462">
        <f t="shared" si="25"/>
        <v>4608000000</v>
      </c>
      <c r="AA57" s="462">
        <f t="shared" si="26"/>
        <v>1895000000</v>
      </c>
      <c r="AB57" s="462">
        <f t="shared" si="27"/>
        <v>189500000</v>
      </c>
      <c r="AC57" s="462">
        <f t="shared" si="28"/>
        <v>1705500000</v>
      </c>
      <c r="AD57" s="462">
        <v>405296342</v>
      </c>
      <c r="AE57" s="462">
        <f t="shared" ref="AE57:AE79" si="37">ROUND((Z57-AB57-AD57),-6)</f>
        <v>4013000000</v>
      </c>
      <c r="AF57" s="462">
        <f t="shared" si="35"/>
        <v>405000000</v>
      </c>
      <c r="AG57" s="462">
        <v>0</v>
      </c>
      <c r="AH57" s="462">
        <f t="shared" si="31"/>
        <v>0</v>
      </c>
      <c r="AI57" s="462"/>
      <c r="AJ57" s="462"/>
      <c r="AK57" s="462"/>
      <c r="AL57" s="462"/>
      <c r="AM57" s="462"/>
      <c r="AN57" s="462"/>
      <c r="AO57" s="462"/>
      <c r="AP57" s="462"/>
      <c r="AQ57" s="462"/>
      <c r="AR57" s="462"/>
      <c r="AS57" s="462"/>
      <c r="AT57" s="462"/>
      <c r="AU57" s="462"/>
      <c r="AV57" s="462"/>
      <c r="AW57" s="462"/>
    </row>
    <row r="58" spans="1:49" ht="27" customHeight="1">
      <c r="A58" s="467">
        <v>48</v>
      </c>
      <c r="B58" s="468" t="s">
        <v>1806</v>
      </c>
      <c r="C58" s="458">
        <v>67</v>
      </c>
      <c r="D58" s="1266">
        <v>67</v>
      </c>
      <c r="E58" s="1260">
        <f t="shared" si="4"/>
        <v>0</v>
      </c>
      <c r="F58" s="1261"/>
      <c r="G58" s="454">
        <f t="shared" si="5"/>
        <v>10361218.954919998</v>
      </c>
      <c r="H58" s="455">
        <f>+'[1]Lương 1490'!S58</f>
        <v>8634118.9549199976</v>
      </c>
      <c r="I58" s="453">
        <f t="shared" si="6"/>
        <v>1919000</v>
      </c>
      <c r="J58" s="453">
        <f t="shared" si="21"/>
        <v>1727100</v>
      </c>
      <c r="K58" s="454">
        <f t="shared" si="33"/>
        <v>4288900</v>
      </c>
      <c r="L58" s="453">
        <f t="shared" si="8"/>
        <v>191900</v>
      </c>
      <c r="M58" s="453">
        <f t="shared" si="9"/>
        <v>4097000</v>
      </c>
      <c r="N58" s="456">
        <f t="shared" si="10"/>
        <v>158680</v>
      </c>
      <c r="O58" s="454"/>
      <c r="P58" s="453">
        <v>31680</v>
      </c>
      <c r="Q58" s="453">
        <v>127000</v>
      </c>
      <c r="R58" s="453">
        <v>0</v>
      </c>
      <c r="S58" s="1271">
        <f t="shared" si="34"/>
        <v>14808798.954919998</v>
      </c>
      <c r="T58" s="458">
        <v>636272</v>
      </c>
      <c r="U58" s="456">
        <f t="shared" si="12"/>
        <v>15445070.954919998</v>
      </c>
      <c r="V58" s="459">
        <v>636272</v>
      </c>
      <c r="W58" s="459">
        <f>+'[1]850'!S58</f>
        <v>4925504.1017999984</v>
      </c>
      <c r="X58" s="462">
        <v>13120382170.119993</v>
      </c>
      <c r="Y58" s="462">
        <f t="shared" si="36"/>
        <v>8354000000</v>
      </c>
      <c r="Z58" s="462">
        <f t="shared" si="25"/>
        <v>4766000000</v>
      </c>
      <c r="AA58" s="462">
        <f t="shared" si="26"/>
        <v>1960000000</v>
      </c>
      <c r="AB58" s="462">
        <f t="shared" si="27"/>
        <v>196000000</v>
      </c>
      <c r="AC58" s="462">
        <f t="shared" si="28"/>
        <v>1764000000</v>
      </c>
      <c r="AD58" s="462">
        <v>636272000</v>
      </c>
      <c r="AE58" s="462">
        <f t="shared" si="37"/>
        <v>3934000000</v>
      </c>
      <c r="AF58" s="462">
        <f t="shared" si="35"/>
        <v>636000000</v>
      </c>
      <c r="AG58" s="462">
        <v>126745043.47826089</v>
      </c>
      <c r="AH58" s="462">
        <f t="shared" si="31"/>
        <v>127000000</v>
      </c>
      <c r="AI58" s="462"/>
      <c r="AJ58" s="462"/>
      <c r="AK58" s="462"/>
      <c r="AL58" s="462"/>
      <c r="AM58" s="462"/>
      <c r="AN58" s="462"/>
      <c r="AO58" s="462"/>
      <c r="AP58" s="462"/>
      <c r="AQ58" s="462"/>
      <c r="AR58" s="462"/>
      <c r="AS58" s="462"/>
      <c r="AT58" s="462"/>
      <c r="AU58" s="462"/>
      <c r="AV58" s="462"/>
      <c r="AW58" s="462"/>
    </row>
    <row r="59" spans="1:49" ht="27" customHeight="1">
      <c r="A59" s="467">
        <v>49</v>
      </c>
      <c r="B59" s="468" t="s">
        <v>1807</v>
      </c>
      <c r="C59" s="458">
        <v>29</v>
      </c>
      <c r="D59" s="1266">
        <v>29</v>
      </c>
      <c r="E59" s="1260">
        <f t="shared" si="4"/>
        <v>0</v>
      </c>
      <c r="F59" s="1261"/>
      <c r="G59" s="454">
        <f t="shared" si="5"/>
        <v>4462141.0374600003</v>
      </c>
      <c r="H59" s="455">
        <f>+'[1]Lương 1490'!S59</f>
        <v>3718741.0374600003</v>
      </c>
      <c r="I59" s="453">
        <f t="shared" si="6"/>
        <v>826000</v>
      </c>
      <c r="J59" s="453">
        <f t="shared" si="21"/>
        <v>743400</v>
      </c>
      <c r="K59" s="454">
        <f t="shared" si="33"/>
        <v>1906600</v>
      </c>
      <c r="L59" s="453">
        <f t="shared" si="8"/>
        <v>82600</v>
      </c>
      <c r="M59" s="453">
        <f t="shared" si="9"/>
        <v>1824000</v>
      </c>
      <c r="N59" s="456">
        <f t="shared" si="10"/>
        <v>100280</v>
      </c>
      <c r="O59" s="454"/>
      <c r="P59" s="453">
        <v>21280</v>
      </c>
      <c r="Q59" s="453">
        <v>79000</v>
      </c>
      <c r="R59" s="453">
        <v>0</v>
      </c>
      <c r="S59" s="1271">
        <f t="shared" si="34"/>
        <v>6469021.0374600003</v>
      </c>
      <c r="T59" s="458">
        <v>214377</v>
      </c>
      <c r="U59" s="456">
        <f t="shared" si="12"/>
        <v>6683398.0374600003</v>
      </c>
      <c r="V59" s="459">
        <v>214377</v>
      </c>
      <c r="W59" s="459">
        <f>+'[1]850'!S59</f>
        <v>2121429.4509000001</v>
      </c>
      <c r="X59" s="462">
        <v>5677134919.5600004</v>
      </c>
      <c r="Y59" s="462">
        <f t="shared" si="36"/>
        <v>3615000000</v>
      </c>
      <c r="Z59" s="462">
        <f t="shared" si="25"/>
        <v>2062000000</v>
      </c>
      <c r="AA59" s="462">
        <f t="shared" si="26"/>
        <v>848000000</v>
      </c>
      <c r="AB59" s="462">
        <f t="shared" si="27"/>
        <v>84800000</v>
      </c>
      <c r="AC59" s="462">
        <f t="shared" si="28"/>
        <v>763200000</v>
      </c>
      <c r="AD59" s="462">
        <v>214377000</v>
      </c>
      <c r="AE59" s="462">
        <f t="shared" si="37"/>
        <v>1763000000</v>
      </c>
      <c r="AF59" s="462">
        <f t="shared" si="35"/>
        <v>214000000</v>
      </c>
      <c r="AG59" s="462">
        <v>78622010.526315793</v>
      </c>
      <c r="AH59" s="462">
        <f t="shared" si="31"/>
        <v>79000000</v>
      </c>
      <c r="AI59" s="462"/>
      <c r="AJ59" s="462"/>
      <c r="AK59" s="462"/>
      <c r="AL59" s="462"/>
      <c r="AM59" s="462"/>
      <c r="AN59" s="462"/>
      <c r="AO59" s="462"/>
      <c r="AP59" s="462"/>
      <c r="AQ59" s="462"/>
      <c r="AR59" s="462"/>
      <c r="AS59" s="462"/>
      <c r="AT59" s="462"/>
      <c r="AU59" s="462"/>
      <c r="AV59" s="462"/>
      <c r="AW59" s="462"/>
    </row>
    <row r="60" spans="1:49" ht="27" customHeight="1">
      <c r="A60" s="467">
        <v>50</v>
      </c>
      <c r="B60" s="468" t="s">
        <v>1808</v>
      </c>
      <c r="C60" s="458">
        <v>42</v>
      </c>
      <c r="D60" s="1266">
        <v>41</v>
      </c>
      <c r="E60" s="1260">
        <f t="shared" si="4"/>
        <v>1</v>
      </c>
      <c r="F60" s="1261"/>
      <c r="G60" s="454">
        <f t="shared" si="5"/>
        <v>7129415.7276600013</v>
      </c>
      <c r="H60" s="455">
        <f>+'[1]Lương 1490'!S60</f>
        <v>5941415.7276600013</v>
      </c>
      <c r="I60" s="453">
        <f t="shared" si="6"/>
        <v>1320000</v>
      </c>
      <c r="J60" s="453">
        <f t="shared" si="21"/>
        <v>1188000</v>
      </c>
      <c r="K60" s="454">
        <f t="shared" si="33"/>
        <v>2911000</v>
      </c>
      <c r="L60" s="453">
        <f t="shared" si="8"/>
        <v>132000</v>
      </c>
      <c r="M60" s="453">
        <f t="shared" si="9"/>
        <v>2779000</v>
      </c>
      <c r="N60" s="456">
        <f t="shared" si="10"/>
        <v>141740</v>
      </c>
      <c r="O60" s="454"/>
      <c r="P60" s="453">
        <v>43740</v>
      </c>
      <c r="Q60" s="453">
        <v>98000</v>
      </c>
      <c r="R60" s="453">
        <v>0</v>
      </c>
      <c r="S60" s="1271">
        <f t="shared" si="34"/>
        <v>10182155.72766</v>
      </c>
      <c r="T60" s="458">
        <v>478485</v>
      </c>
      <c r="U60" s="456">
        <f t="shared" si="12"/>
        <v>10660640.72766</v>
      </c>
      <c r="V60" s="459">
        <v>478485</v>
      </c>
      <c r="W60" s="459">
        <f>+'[1]850'!S60</f>
        <v>3389398.2339000008</v>
      </c>
      <c r="X60" s="462">
        <v>8889465013.9599991</v>
      </c>
      <c r="Y60" s="462">
        <f t="shared" si="36"/>
        <v>5660000000</v>
      </c>
      <c r="Z60" s="462">
        <f t="shared" si="25"/>
        <v>3229000000</v>
      </c>
      <c r="AA60" s="462">
        <f t="shared" si="26"/>
        <v>1328000000</v>
      </c>
      <c r="AB60" s="462">
        <f t="shared" si="27"/>
        <v>132800000</v>
      </c>
      <c r="AC60" s="462">
        <f t="shared" si="28"/>
        <v>1195200000</v>
      </c>
      <c r="AD60" s="462">
        <v>478485000</v>
      </c>
      <c r="AE60" s="462">
        <f t="shared" si="37"/>
        <v>2618000000</v>
      </c>
      <c r="AF60" s="462">
        <f t="shared" si="35"/>
        <v>478000000</v>
      </c>
      <c r="AG60" s="462">
        <v>98081701.372997701</v>
      </c>
      <c r="AH60" s="462">
        <f t="shared" si="31"/>
        <v>98000000</v>
      </c>
      <c r="AI60" s="462"/>
      <c r="AJ60" s="462"/>
      <c r="AK60" s="462"/>
      <c r="AL60" s="462"/>
      <c r="AM60" s="462"/>
      <c r="AN60" s="462"/>
      <c r="AO60" s="462"/>
      <c r="AP60" s="462"/>
      <c r="AQ60" s="462"/>
      <c r="AR60" s="462"/>
      <c r="AS60" s="462"/>
      <c r="AT60" s="462"/>
      <c r="AU60" s="462"/>
      <c r="AV60" s="462"/>
      <c r="AW60" s="462"/>
    </row>
    <row r="61" spans="1:49" ht="27" customHeight="1">
      <c r="A61" s="467">
        <v>51</v>
      </c>
      <c r="B61" s="468" t="s">
        <v>1809</v>
      </c>
      <c r="C61" s="458">
        <v>44</v>
      </c>
      <c r="D61" s="1266">
        <v>43</v>
      </c>
      <c r="E61" s="1260">
        <f t="shared" si="4"/>
        <v>1</v>
      </c>
      <c r="F61" s="1261"/>
      <c r="G61" s="454">
        <f t="shared" si="5"/>
        <v>6705879.4316172004</v>
      </c>
      <c r="H61" s="455">
        <f>+'[1]Lương 1490'!S61</f>
        <v>5588079.4316172004</v>
      </c>
      <c r="I61" s="453">
        <f t="shared" si="6"/>
        <v>1242000</v>
      </c>
      <c r="J61" s="453">
        <f t="shared" si="21"/>
        <v>1117800</v>
      </c>
      <c r="K61" s="454">
        <f t="shared" si="33"/>
        <v>2627200</v>
      </c>
      <c r="L61" s="453">
        <f t="shared" si="8"/>
        <v>124200</v>
      </c>
      <c r="M61" s="453">
        <f t="shared" si="9"/>
        <v>2503000</v>
      </c>
      <c r="N61" s="456">
        <f t="shared" si="10"/>
        <v>89900</v>
      </c>
      <c r="O61" s="454"/>
      <c r="P61" s="453">
        <v>27900</v>
      </c>
      <c r="Q61" s="453">
        <v>62000</v>
      </c>
      <c r="R61" s="453">
        <v>0</v>
      </c>
      <c r="S61" s="1271">
        <f t="shared" si="34"/>
        <v>9422979.4316172004</v>
      </c>
      <c r="T61" s="458">
        <v>560480</v>
      </c>
      <c r="U61" s="456">
        <f t="shared" si="12"/>
        <v>9983459.4316172004</v>
      </c>
      <c r="V61" s="459">
        <v>560480</v>
      </c>
      <c r="W61" s="459">
        <f>+'[1]850'!S61</f>
        <v>3187830.5482380004</v>
      </c>
      <c r="X61" s="462">
        <v>8359297123.039197</v>
      </c>
      <c r="Y61" s="462">
        <f t="shared" si="36"/>
        <v>5323000000</v>
      </c>
      <c r="Z61" s="462">
        <f t="shared" si="25"/>
        <v>3036000000</v>
      </c>
      <c r="AA61" s="462">
        <f t="shared" si="26"/>
        <v>1249000000</v>
      </c>
      <c r="AB61" s="462">
        <f t="shared" si="27"/>
        <v>124900000</v>
      </c>
      <c r="AC61" s="462">
        <f t="shared" si="28"/>
        <v>1124100000</v>
      </c>
      <c r="AD61" s="462">
        <v>560480000</v>
      </c>
      <c r="AE61" s="462">
        <f t="shared" si="37"/>
        <v>2351000000</v>
      </c>
      <c r="AF61" s="462">
        <f t="shared" si="35"/>
        <v>560000000</v>
      </c>
      <c r="AG61" s="462">
        <v>62368356.521739125</v>
      </c>
      <c r="AH61" s="462">
        <f t="shared" si="31"/>
        <v>62000000</v>
      </c>
      <c r="AI61" s="462"/>
      <c r="AJ61" s="462"/>
      <c r="AK61" s="462"/>
      <c r="AL61" s="462"/>
      <c r="AM61" s="462"/>
      <c r="AN61" s="462"/>
      <c r="AO61" s="462"/>
      <c r="AP61" s="462"/>
      <c r="AQ61" s="462"/>
      <c r="AR61" s="462"/>
      <c r="AS61" s="462"/>
      <c r="AT61" s="462"/>
      <c r="AU61" s="462"/>
      <c r="AV61" s="462"/>
      <c r="AW61" s="462"/>
    </row>
    <row r="62" spans="1:49" ht="27" customHeight="1">
      <c r="A62" s="467">
        <v>52</v>
      </c>
      <c r="B62" s="468" t="s">
        <v>1810</v>
      </c>
      <c r="C62" s="458">
        <v>40</v>
      </c>
      <c r="D62" s="1266">
        <v>39</v>
      </c>
      <c r="E62" s="1260">
        <f t="shared" si="4"/>
        <v>1</v>
      </c>
      <c r="F62" s="1261"/>
      <c r="G62" s="454">
        <f t="shared" si="5"/>
        <v>6264090.3718703995</v>
      </c>
      <c r="H62" s="455">
        <f>+'[1]Lương 1490'!S62</f>
        <v>5220090.3718703995</v>
      </c>
      <c r="I62" s="453">
        <f t="shared" si="6"/>
        <v>1160000</v>
      </c>
      <c r="J62" s="453">
        <f t="shared" si="21"/>
        <v>1044000</v>
      </c>
      <c r="K62" s="454">
        <f t="shared" si="33"/>
        <v>2557000</v>
      </c>
      <c r="L62" s="453">
        <f t="shared" si="8"/>
        <v>116000</v>
      </c>
      <c r="M62" s="453">
        <f t="shared" si="9"/>
        <v>2441000</v>
      </c>
      <c r="N62" s="456">
        <f>O62+P62+Q62+R62</f>
        <v>99450</v>
      </c>
      <c r="O62" s="454"/>
      <c r="P62" s="453">
        <v>66450</v>
      </c>
      <c r="Q62" s="453">
        <v>33000</v>
      </c>
      <c r="R62" s="453">
        <v>0</v>
      </c>
      <c r="S62" s="1271">
        <f t="shared" si="34"/>
        <v>8920540.3718703985</v>
      </c>
      <c r="T62" s="458">
        <v>420730</v>
      </c>
      <c r="U62" s="456">
        <f t="shared" si="12"/>
        <v>9341270.3718703985</v>
      </c>
      <c r="V62" s="459">
        <v>420730</v>
      </c>
      <c r="W62" s="459">
        <f>+'[1]850'!S62</f>
        <v>2977903.9034159994</v>
      </c>
      <c r="X62" s="462">
        <v>7817081875.5743999</v>
      </c>
      <c r="Y62" s="462">
        <f t="shared" si="36"/>
        <v>4978000000</v>
      </c>
      <c r="Z62" s="462">
        <f t="shared" si="25"/>
        <v>2839000000</v>
      </c>
      <c r="AA62" s="462">
        <f t="shared" si="26"/>
        <v>1168000000</v>
      </c>
      <c r="AB62" s="462">
        <f t="shared" si="27"/>
        <v>116800000</v>
      </c>
      <c r="AC62" s="462">
        <f t="shared" si="28"/>
        <v>1051200000</v>
      </c>
      <c r="AD62" s="462">
        <v>420730000</v>
      </c>
      <c r="AE62" s="462">
        <f t="shared" si="37"/>
        <v>2301000000</v>
      </c>
      <c r="AF62" s="462">
        <f t="shared" si="35"/>
        <v>421000000</v>
      </c>
      <c r="AG62" s="462">
        <v>32692069.565217391</v>
      </c>
      <c r="AH62" s="462">
        <f t="shared" si="31"/>
        <v>33000000</v>
      </c>
      <c r="AI62" s="462"/>
      <c r="AJ62" s="462"/>
      <c r="AK62" s="462"/>
      <c r="AL62" s="462"/>
      <c r="AM62" s="462"/>
      <c r="AN62" s="462"/>
      <c r="AO62" s="462"/>
      <c r="AP62" s="462"/>
      <c r="AQ62" s="462"/>
      <c r="AR62" s="462"/>
      <c r="AS62" s="462"/>
      <c r="AT62" s="462"/>
      <c r="AU62" s="462"/>
      <c r="AV62" s="462"/>
      <c r="AW62" s="462"/>
    </row>
    <row r="63" spans="1:49" ht="27" customHeight="1">
      <c r="A63" s="467">
        <v>53</v>
      </c>
      <c r="B63" s="468" t="s">
        <v>1811</v>
      </c>
      <c r="C63" s="458">
        <v>59</v>
      </c>
      <c r="D63" s="1266">
        <v>58</v>
      </c>
      <c r="E63" s="1260">
        <f t="shared" si="4"/>
        <v>1</v>
      </c>
      <c r="F63" s="1261"/>
      <c r="G63" s="454">
        <f t="shared" si="5"/>
        <v>8829863.8795200028</v>
      </c>
      <c r="H63" s="455">
        <f>+'[1]Lương 1490'!S63</f>
        <v>7358363.8795200018</v>
      </c>
      <c r="I63" s="453">
        <f t="shared" si="6"/>
        <v>1635000</v>
      </c>
      <c r="J63" s="453">
        <f t="shared" si="21"/>
        <v>1471500</v>
      </c>
      <c r="K63" s="454">
        <f t="shared" si="33"/>
        <v>3711500</v>
      </c>
      <c r="L63" s="453">
        <f t="shared" si="8"/>
        <v>163500</v>
      </c>
      <c r="M63" s="453">
        <f t="shared" si="9"/>
        <v>3548000</v>
      </c>
      <c r="N63" s="456">
        <f>O63+P63+Q63+R63</f>
        <v>228864</v>
      </c>
      <c r="O63" s="454"/>
      <c r="P63" s="453">
        <v>76320</v>
      </c>
      <c r="Q63" s="453">
        <v>102000</v>
      </c>
      <c r="R63" s="453">
        <v>50544</v>
      </c>
      <c r="S63" s="1271">
        <f t="shared" si="34"/>
        <v>12770227.879520003</v>
      </c>
      <c r="T63" s="458">
        <v>486122</v>
      </c>
      <c r="U63" s="456">
        <f t="shared" si="12"/>
        <v>13256349.879520003</v>
      </c>
      <c r="V63" s="459">
        <v>486122</v>
      </c>
      <c r="W63" s="459">
        <f>+'[1]850'!S63</f>
        <v>4197724.3608000008</v>
      </c>
      <c r="X63" s="462">
        <v>11055315978.719999</v>
      </c>
      <c r="Y63" s="462">
        <f t="shared" si="36"/>
        <v>7039000000</v>
      </c>
      <c r="Z63" s="462">
        <f t="shared" si="25"/>
        <v>4016000000</v>
      </c>
      <c r="AA63" s="462">
        <f t="shared" si="26"/>
        <v>1651000000</v>
      </c>
      <c r="AB63" s="462">
        <f t="shared" si="27"/>
        <v>165100000</v>
      </c>
      <c r="AC63" s="462">
        <f t="shared" si="28"/>
        <v>1485900000</v>
      </c>
      <c r="AD63" s="462">
        <v>486122000</v>
      </c>
      <c r="AE63" s="462">
        <f t="shared" si="37"/>
        <v>3365000000</v>
      </c>
      <c r="AF63" s="462">
        <f t="shared" si="35"/>
        <v>486000000</v>
      </c>
      <c r="AG63" s="462">
        <v>101604410.52631578</v>
      </c>
      <c r="AH63" s="462">
        <f t="shared" si="31"/>
        <v>102000000</v>
      </c>
      <c r="AI63" s="462"/>
      <c r="AJ63" s="462"/>
      <c r="AK63" s="462"/>
      <c r="AL63" s="462"/>
      <c r="AM63" s="462"/>
      <c r="AN63" s="462"/>
      <c r="AO63" s="462"/>
      <c r="AP63" s="462"/>
      <c r="AQ63" s="462"/>
      <c r="AR63" s="462"/>
      <c r="AS63" s="462"/>
      <c r="AT63" s="462"/>
      <c r="AU63" s="462"/>
      <c r="AV63" s="462"/>
      <c r="AW63" s="462"/>
    </row>
    <row r="64" spans="1:49" ht="27" customHeight="1">
      <c r="A64" s="467">
        <v>54</v>
      </c>
      <c r="B64" s="468" t="s">
        <v>1812</v>
      </c>
      <c r="C64" s="458">
        <v>60</v>
      </c>
      <c r="D64" s="1266">
        <v>60</v>
      </c>
      <c r="E64" s="1260">
        <f t="shared" si="4"/>
        <v>0</v>
      </c>
      <c r="F64" s="1261"/>
      <c r="G64" s="454">
        <f t="shared" si="5"/>
        <v>9153378.8909399994</v>
      </c>
      <c r="H64" s="455">
        <f>+'[1]Lương 1490'!S64</f>
        <v>7627878.8909399994</v>
      </c>
      <c r="I64" s="453">
        <f t="shared" si="6"/>
        <v>1695000</v>
      </c>
      <c r="J64" s="453">
        <f t="shared" si="21"/>
        <v>1525500</v>
      </c>
      <c r="K64" s="454">
        <f t="shared" si="33"/>
        <v>3668500</v>
      </c>
      <c r="L64" s="453">
        <f t="shared" si="8"/>
        <v>169500</v>
      </c>
      <c r="M64" s="453">
        <f t="shared" si="9"/>
        <v>3499000</v>
      </c>
      <c r="N64" s="456">
        <f t="shared" si="10"/>
        <v>223894</v>
      </c>
      <c r="O64" s="454"/>
      <c r="P64" s="453">
        <v>49350</v>
      </c>
      <c r="Q64" s="453">
        <v>124000</v>
      </c>
      <c r="R64" s="453">
        <v>50544</v>
      </c>
      <c r="S64" s="1271">
        <f t="shared" si="34"/>
        <v>13045772.890939999</v>
      </c>
      <c r="T64" s="458">
        <v>682986.66599999997</v>
      </c>
      <c r="U64" s="456">
        <f t="shared" si="12"/>
        <v>13728759.556939999</v>
      </c>
      <c r="V64" s="459">
        <v>682986.66599999997</v>
      </c>
      <c r="W64" s="459">
        <f>+'[1]850'!S64</f>
        <v>4351474.5351</v>
      </c>
      <c r="X64" s="462">
        <v>11590111554.840002</v>
      </c>
      <c r="Y64" s="462">
        <f t="shared" si="36"/>
        <v>7380000000</v>
      </c>
      <c r="Z64" s="462">
        <f t="shared" si="25"/>
        <v>4210000000</v>
      </c>
      <c r="AA64" s="462">
        <f t="shared" si="26"/>
        <v>1731000000</v>
      </c>
      <c r="AB64" s="462">
        <f t="shared" si="27"/>
        <v>173100000</v>
      </c>
      <c r="AC64" s="462">
        <f t="shared" si="28"/>
        <v>1557900000</v>
      </c>
      <c r="AD64" s="462">
        <v>682986666</v>
      </c>
      <c r="AE64" s="462">
        <f t="shared" si="37"/>
        <v>3354000000</v>
      </c>
      <c r="AF64" s="462">
        <f t="shared" si="35"/>
        <v>683000000</v>
      </c>
      <c r="AG64" s="462">
        <v>123859095.65217392</v>
      </c>
      <c r="AH64" s="462">
        <f t="shared" si="31"/>
        <v>124000000</v>
      </c>
      <c r="AI64" s="462"/>
      <c r="AJ64" s="462"/>
      <c r="AK64" s="462"/>
      <c r="AL64" s="462"/>
      <c r="AM64" s="462"/>
      <c r="AN64" s="462"/>
      <c r="AO64" s="462"/>
      <c r="AP64" s="462"/>
      <c r="AQ64" s="462"/>
      <c r="AR64" s="462"/>
      <c r="AS64" s="462"/>
      <c r="AT64" s="462"/>
      <c r="AU64" s="462"/>
      <c r="AV64" s="462"/>
      <c r="AW64" s="462"/>
    </row>
    <row r="65" spans="1:49" ht="27" customHeight="1">
      <c r="A65" s="467">
        <v>55</v>
      </c>
      <c r="B65" s="468" t="s">
        <v>1813</v>
      </c>
      <c r="C65" s="458">
        <v>30</v>
      </c>
      <c r="D65" s="1266">
        <v>30</v>
      </c>
      <c r="E65" s="1260">
        <f t="shared" si="4"/>
        <v>0</v>
      </c>
      <c r="F65" s="1261"/>
      <c r="G65" s="454">
        <f t="shared" si="5"/>
        <v>4817098.3493399993</v>
      </c>
      <c r="H65" s="455">
        <f>+'[1]Lương 1490'!S65</f>
        <v>4014298.3493399997</v>
      </c>
      <c r="I65" s="453">
        <f t="shared" si="6"/>
        <v>892000</v>
      </c>
      <c r="J65" s="453">
        <f t="shared" si="21"/>
        <v>802800</v>
      </c>
      <c r="K65" s="454">
        <f t="shared" si="33"/>
        <v>2128200</v>
      </c>
      <c r="L65" s="453">
        <f t="shared" si="8"/>
        <v>89200</v>
      </c>
      <c r="M65" s="453">
        <f t="shared" si="9"/>
        <v>2039000</v>
      </c>
      <c r="N65" s="456">
        <f t="shared" si="10"/>
        <v>286146</v>
      </c>
      <c r="O65" s="454"/>
      <c r="P65" s="453">
        <v>188450</v>
      </c>
      <c r="Q65" s="453">
        <v>64000</v>
      </c>
      <c r="R65" s="453">
        <v>33696</v>
      </c>
      <c r="S65" s="1271">
        <f t="shared" si="34"/>
        <v>7231444.3493399993</v>
      </c>
      <c r="T65" s="458">
        <v>161705</v>
      </c>
      <c r="U65" s="456">
        <f t="shared" si="12"/>
        <v>7393149.3493399993</v>
      </c>
      <c r="V65" s="459">
        <v>161705</v>
      </c>
      <c r="W65" s="459">
        <f>+'[1]850'!S65</f>
        <v>2290035.9710999997</v>
      </c>
      <c r="X65" s="462">
        <v>6006610785.2399998</v>
      </c>
      <c r="Y65" s="462">
        <f t="shared" si="36"/>
        <v>3825000000</v>
      </c>
      <c r="Z65" s="462">
        <f t="shared" si="25"/>
        <v>2182000000</v>
      </c>
      <c r="AA65" s="462">
        <f t="shared" si="26"/>
        <v>897000000</v>
      </c>
      <c r="AB65" s="462">
        <f t="shared" si="27"/>
        <v>89700000</v>
      </c>
      <c r="AC65" s="462">
        <f t="shared" si="28"/>
        <v>807300000</v>
      </c>
      <c r="AD65" s="462">
        <v>161705000</v>
      </c>
      <c r="AE65" s="462">
        <f t="shared" si="37"/>
        <v>1931000000</v>
      </c>
      <c r="AF65" s="462">
        <f t="shared" si="35"/>
        <v>162000000</v>
      </c>
      <c r="AG65" s="462">
        <v>63977321.739130467</v>
      </c>
      <c r="AH65" s="462">
        <f t="shared" si="31"/>
        <v>64000000</v>
      </c>
      <c r="AI65" s="462"/>
      <c r="AJ65" s="462"/>
      <c r="AK65" s="462"/>
      <c r="AL65" s="462"/>
      <c r="AM65" s="462"/>
      <c r="AN65" s="462"/>
      <c r="AO65" s="462"/>
      <c r="AP65" s="462"/>
      <c r="AQ65" s="462"/>
      <c r="AR65" s="462"/>
      <c r="AS65" s="462"/>
      <c r="AT65" s="462"/>
      <c r="AU65" s="462"/>
      <c r="AV65" s="462"/>
      <c r="AW65" s="462"/>
    </row>
    <row r="66" spans="1:49" ht="27" customHeight="1">
      <c r="A66" s="467">
        <v>56</v>
      </c>
      <c r="B66" s="468" t="s">
        <v>1814</v>
      </c>
      <c r="C66" s="458">
        <v>28</v>
      </c>
      <c r="D66" s="1266">
        <v>27</v>
      </c>
      <c r="E66" s="1260">
        <f t="shared" si="4"/>
        <v>1</v>
      </c>
      <c r="F66" s="1261"/>
      <c r="G66" s="454">
        <f t="shared" si="5"/>
        <v>4275319.3561199997</v>
      </c>
      <c r="H66" s="455">
        <f>+'[1]Lương 1490'!S66</f>
        <v>3562519.3561199997</v>
      </c>
      <c r="I66" s="453">
        <f t="shared" si="6"/>
        <v>792000</v>
      </c>
      <c r="J66" s="453">
        <f t="shared" si="21"/>
        <v>712800</v>
      </c>
      <c r="K66" s="454">
        <f t="shared" si="33"/>
        <v>1920200</v>
      </c>
      <c r="L66" s="453">
        <f t="shared" si="8"/>
        <v>79200</v>
      </c>
      <c r="M66" s="453">
        <f t="shared" si="9"/>
        <v>1841000</v>
      </c>
      <c r="N66" s="456">
        <f t="shared" si="10"/>
        <v>13500</v>
      </c>
      <c r="O66" s="454"/>
      <c r="P66" s="453">
        <v>13500</v>
      </c>
      <c r="Q66" s="453">
        <v>0</v>
      </c>
      <c r="R66" s="453">
        <v>0</v>
      </c>
      <c r="S66" s="1271">
        <f t="shared" si="34"/>
        <v>6209019.3561199997</v>
      </c>
      <c r="T66" s="458">
        <v>111986</v>
      </c>
      <c r="U66" s="456">
        <f t="shared" si="12"/>
        <v>6321005.3561199997</v>
      </c>
      <c r="V66" s="459">
        <v>111986</v>
      </c>
      <c r="W66" s="459">
        <f>+'[1]850'!S66</f>
        <v>2032309.6998000001</v>
      </c>
      <c r="X66" s="462">
        <v>5277079426.3199997</v>
      </c>
      <c r="Y66" s="462">
        <f t="shared" si="36"/>
        <v>3360000000</v>
      </c>
      <c r="Z66" s="462">
        <f t="shared" si="25"/>
        <v>1917000000</v>
      </c>
      <c r="AA66" s="462">
        <f t="shared" si="26"/>
        <v>788000000</v>
      </c>
      <c r="AB66" s="462">
        <f t="shared" si="27"/>
        <v>78800000</v>
      </c>
      <c r="AC66" s="462">
        <f t="shared" si="28"/>
        <v>709200000</v>
      </c>
      <c r="AD66" s="462">
        <v>111986000</v>
      </c>
      <c r="AE66" s="462">
        <f t="shared" si="37"/>
        <v>1726000000</v>
      </c>
      <c r="AF66" s="462">
        <f t="shared" si="35"/>
        <v>112000000</v>
      </c>
      <c r="AG66" s="462">
        <v>0</v>
      </c>
      <c r="AH66" s="462">
        <f t="shared" si="31"/>
        <v>0</v>
      </c>
      <c r="AI66" s="462"/>
      <c r="AJ66" s="462"/>
      <c r="AK66" s="462"/>
      <c r="AL66" s="462"/>
      <c r="AM66" s="462"/>
      <c r="AN66" s="462"/>
      <c r="AO66" s="462"/>
      <c r="AP66" s="462"/>
      <c r="AQ66" s="462"/>
      <c r="AR66" s="462"/>
      <c r="AS66" s="462"/>
      <c r="AT66" s="462"/>
      <c r="AU66" s="462"/>
      <c r="AV66" s="462"/>
      <c r="AW66" s="462"/>
    </row>
    <row r="67" spans="1:49" ht="27" customHeight="1">
      <c r="A67" s="467">
        <v>57</v>
      </c>
      <c r="B67" s="468" t="s">
        <v>1815</v>
      </c>
      <c r="C67" s="458">
        <v>53</v>
      </c>
      <c r="D67" s="1266">
        <v>50</v>
      </c>
      <c r="E67" s="1260">
        <f t="shared" si="4"/>
        <v>3</v>
      </c>
      <c r="F67" s="1261"/>
      <c r="G67" s="454">
        <f t="shared" si="5"/>
        <v>7792298.7389099989</v>
      </c>
      <c r="H67" s="455">
        <f>+'[1]Lương 1490'!S67</f>
        <v>6493598.7389099989</v>
      </c>
      <c r="I67" s="453">
        <f t="shared" si="6"/>
        <v>1443000</v>
      </c>
      <c r="J67" s="453">
        <f t="shared" si="21"/>
        <v>1298700</v>
      </c>
      <c r="K67" s="454">
        <f t="shared" si="33"/>
        <v>3348300</v>
      </c>
      <c r="L67" s="453">
        <f t="shared" si="8"/>
        <v>144300</v>
      </c>
      <c r="M67" s="453">
        <f t="shared" si="9"/>
        <v>3204000</v>
      </c>
      <c r="N67" s="456">
        <f t="shared" si="10"/>
        <v>245175</v>
      </c>
      <c r="O67" s="454"/>
      <c r="P67" s="453">
        <v>32174.999999999996</v>
      </c>
      <c r="Q67" s="453">
        <v>213000</v>
      </c>
      <c r="R67" s="453">
        <v>0</v>
      </c>
      <c r="S67" s="1271">
        <f t="shared" si="34"/>
        <v>11385773.738909999</v>
      </c>
      <c r="T67" s="458">
        <v>356293</v>
      </c>
      <c r="U67" s="456">
        <f t="shared" si="12"/>
        <v>11742066.738909999</v>
      </c>
      <c r="V67" s="459">
        <v>356293</v>
      </c>
      <c r="W67" s="459">
        <f>+'[1]850'!S67</f>
        <v>3704401.9651499991</v>
      </c>
      <c r="X67" s="462">
        <v>9568357669.2600002</v>
      </c>
      <c r="Y67" s="462">
        <f t="shared" si="36"/>
        <v>6093000000</v>
      </c>
      <c r="Z67" s="462">
        <f t="shared" si="25"/>
        <v>3475000000</v>
      </c>
      <c r="AA67" s="462">
        <f t="shared" si="26"/>
        <v>1429000000</v>
      </c>
      <c r="AB67" s="462">
        <f t="shared" si="27"/>
        <v>142900000</v>
      </c>
      <c r="AC67" s="462">
        <f t="shared" si="28"/>
        <v>1286100000</v>
      </c>
      <c r="AD67" s="462">
        <v>356293000</v>
      </c>
      <c r="AE67" s="462">
        <f t="shared" si="37"/>
        <v>2976000000</v>
      </c>
      <c r="AF67" s="462">
        <f t="shared" si="35"/>
        <v>356000000</v>
      </c>
      <c r="AG67" s="462">
        <v>212654842.10526317</v>
      </c>
      <c r="AH67" s="462">
        <f t="shared" si="31"/>
        <v>213000000</v>
      </c>
      <c r="AI67" s="462"/>
      <c r="AJ67" s="462"/>
      <c r="AK67" s="462"/>
      <c r="AL67" s="462"/>
      <c r="AM67" s="462"/>
      <c r="AN67" s="462"/>
      <c r="AO67" s="462"/>
      <c r="AP67" s="462"/>
      <c r="AQ67" s="462"/>
      <c r="AR67" s="462"/>
      <c r="AS67" s="462"/>
      <c r="AT67" s="462"/>
      <c r="AU67" s="462"/>
      <c r="AV67" s="462"/>
      <c r="AW67" s="462"/>
    </row>
    <row r="68" spans="1:49" ht="27" customHeight="1">
      <c r="A68" s="467">
        <v>58</v>
      </c>
      <c r="B68" s="468" t="s">
        <v>1816</v>
      </c>
      <c r="C68" s="458">
        <v>35</v>
      </c>
      <c r="D68" s="1268">
        <v>32</v>
      </c>
      <c r="E68" s="1260">
        <f t="shared" si="4"/>
        <v>3</v>
      </c>
      <c r="F68" s="1261"/>
      <c r="G68" s="454">
        <f t="shared" si="5"/>
        <v>4678337.7157800002</v>
      </c>
      <c r="H68" s="455">
        <f>+'[1]Lương 1490'!S68</f>
        <v>3898937.7157800002</v>
      </c>
      <c r="I68" s="453">
        <f t="shared" si="6"/>
        <v>866000</v>
      </c>
      <c r="J68" s="453">
        <f t="shared" si="21"/>
        <v>779400</v>
      </c>
      <c r="K68" s="454">
        <f t="shared" si="33"/>
        <v>1989600</v>
      </c>
      <c r="L68" s="453">
        <f t="shared" si="8"/>
        <v>86600</v>
      </c>
      <c r="M68" s="453">
        <f t="shared" si="9"/>
        <v>1903000</v>
      </c>
      <c r="N68" s="456">
        <f t="shared" si="10"/>
        <v>327980</v>
      </c>
      <c r="O68" s="454"/>
      <c r="P68" s="453">
        <v>45500</v>
      </c>
      <c r="Q68" s="453">
        <v>114000</v>
      </c>
      <c r="R68" s="453">
        <v>168480</v>
      </c>
      <c r="S68" s="1271">
        <f t="shared" si="34"/>
        <v>6995917.7157800002</v>
      </c>
      <c r="T68" s="458">
        <v>234164</v>
      </c>
      <c r="U68" s="456">
        <f t="shared" si="12"/>
        <v>7230081.7157800002</v>
      </c>
      <c r="V68" s="459">
        <v>234164</v>
      </c>
      <c r="W68" s="459">
        <f>+'[1]850'!S68</f>
        <v>2224226.2137000007</v>
      </c>
      <c r="X68" s="462">
        <v>5655391003.0799999</v>
      </c>
      <c r="Y68" s="462">
        <f t="shared" si="36"/>
        <v>3601000000</v>
      </c>
      <c r="Z68" s="462">
        <f t="shared" si="25"/>
        <v>2054000000</v>
      </c>
      <c r="AA68" s="462">
        <f t="shared" si="26"/>
        <v>845000000</v>
      </c>
      <c r="AB68" s="462">
        <f t="shared" si="27"/>
        <v>84500000</v>
      </c>
      <c r="AC68" s="462">
        <f t="shared" si="28"/>
        <v>760500000</v>
      </c>
      <c r="AD68" s="462">
        <v>234164000</v>
      </c>
      <c r="AE68" s="462">
        <f t="shared" si="37"/>
        <v>1735000000</v>
      </c>
      <c r="AF68" s="462">
        <f t="shared" si="35"/>
        <v>234000000</v>
      </c>
      <c r="AG68" s="462">
        <v>114080400.0000001</v>
      </c>
      <c r="AH68" s="462">
        <f t="shared" si="31"/>
        <v>114000000</v>
      </c>
      <c r="AI68" s="462"/>
      <c r="AJ68" s="462"/>
      <c r="AK68" s="462"/>
      <c r="AL68" s="462"/>
      <c r="AM68" s="462"/>
      <c r="AN68" s="462"/>
      <c r="AO68" s="462"/>
      <c r="AP68" s="462"/>
      <c r="AQ68" s="462"/>
      <c r="AR68" s="462"/>
      <c r="AS68" s="462"/>
      <c r="AT68" s="462"/>
      <c r="AU68" s="462"/>
      <c r="AV68" s="462"/>
      <c r="AW68" s="462"/>
    </row>
    <row r="69" spans="1:49" ht="27" customHeight="1">
      <c r="A69" s="467">
        <v>59</v>
      </c>
      <c r="B69" s="468" t="s">
        <v>1817</v>
      </c>
      <c r="C69" s="458">
        <v>40</v>
      </c>
      <c r="D69" s="1266">
        <v>38</v>
      </c>
      <c r="E69" s="1260">
        <f t="shared" si="4"/>
        <v>2</v>
      </c>
      <c r="F69" s="1261"/>
      <c r="G69" s="454">
        <f t="shared" si="5"/>
        <v>6469744.9706153981</v>
      </c>
      <c r="H69" s="455">
        <f>+'[1]Lương 1490'!S69</f>
        <v>5391544.9706153981</v>
      </c>
      <c r="I69" s="453">
        <f t="shared" si="6"/>
        <v>1198000</v>
      </c>
      <c r="J69" s="453">
        <f t="shared" si="21"/>
        <v>1078200</v>
      </c>
      <c r="K69" s="454">
        <f t="shared" si="33"/>
        <v>2904800</v>
      </c>
      <c r="L69" s="453">
        <f t="shared" si="8"/>
        <v>119800</v>
      </c>
      <c r="M69" s="453">
        <f t="shared" si="9"/>
        <v>2785000</v>
      </c>
      <c r="N69" s="456">
        <f t="shared" si="10"/>
        <v>135135</v>
      </c>
      <c r="O69" s="454"/>
      <c r="P69" s="453">
        <v>23775</v>
      </c>
      <c r="Q69" s="453">
        <v>102000</v>
      </c>
      <c r="R69" s="453">
        <v>9360</v>
      </c>
      <c r="S69" s="1271">
        <f t="shared" si="34"/>
        <v>9509679.9706153981</v>
      </c>
      <c r="T69" s="458">
        <v>171078.6</v>
      </c>
      <c r="U69" s="456">
        <f t="shared" si="12"/>
        <v>9680758.5706153978</v>
      </c>
      <c r="V69" s="459">
        <v>171078.6</v>
      </c>
      <c r="W69" s="459">
        <f>+'[1]850'!S69</f>
        <v>3075713.573840999</v>
      </c>
      <c r="X69" s="462">
        <v>7999739183.2643995</v>
      </c>
      <c r="Y69" s="462">
        <f t="shared" si="36"/>
        <v>5094000000</v>
      </c>
      <c r="Z69" s="462">
        <f t="shared" si="25"/>
        <v>2906000000</v>
      </c>
      <c r="AA69" s="462">
        <f t="shared" si="26"/>
        <v>1195000000</v>
      </c>
      <c r="AB69" s="462">
        <f t="shared" si="27"/>
        <v>119500000</v>
      </c>
      <c r="AC69" s="462">
        <f t="shared" si="28"/>
        <v>1075500000</v>
      </c>
      <c r="AD69" s="462">
        <v>171078600</v>
      </c>
      <c r="AE69" s="462">
        <f t="shared" si="37"/>
        <v>2615000000</v>
      </c>
      <c r="AF69" s="462">
        <f t="shared" si="35"/>
        <v>171000000</v>
      </c>
      <c r="AG69" s="462">
        <v>102083077.89473684</v>
      </c>
      <c r="AH69" s="462">
        <f t="shared" si="31"/>
        <v>102000000</v>
      </c>
      <c r="AI69" s="462"/>
      <c r="AJ69" s="462"/>
      <c r="AK69" s="462"/>
      <c r="AL69" s="462"/>
      <c r="AM69" s="462"/>
      <c r="AN69" s="462"/>
      <c r="AO69" s="462"/>
      <c r="AP69" s="462"/>
      <c r="AQ69" s="462"/>
      <c r="AR69" s="462"/>
      <c r="AS69" s="462"/>
      <c r="AT69" s="462"/>
      <c r="AU69" s="462"/>
      <c r="AV69" s="462"/>
      <c r="AW69" s="462"/>
    </row>
    <row r="70" spans="1:49" ht="27" customHeight="1">
      <c r="A70" s="467">
        <v>60</v>
      </c>
      <c r="B70" s="468" t="s">
        <v>1818</v>
      </c>
      <c r="C70" s="458">
        <v>29</v>
      </c>
      <c r="D70" s="1266">
        <v>26</v>
      </c>
      <c r="E70" s="1260">
        <f t="shared" si="4"/>
        <v>3</v>
      </c>
      <c r="F70" s="1261"/>
      <c r="G70" s="454">
        <f t="shared" si="5"/>
        <v>5114687.992775999</v>
      </c>
      <c r="H70" s="455">
        <f>+'[1]Lương 1490'!S70</f>
        <v>4262387.992775999</v>
      </c>
      <c r="I70" s="453">
        <f t="shared" si="6"/>
        <v>947000</v>
      </c>
      <c r="J70" s="453">
        <f t="shared" si="21"/>
        <v>852300</v>
      </c>
      <c r="K70" s="454">
        <f t="shared" si="33"/>
        <v>2252700</v>
      </c>
      <c r="L70" s="453">
        <f t="shared" si="8"/>
        <v>94700</v>
      </c>
      <c r="M70" s="453">
        <f t="shared" si="9"/>
        <v>2158000</v>
      </c>
      <c r="N70" s="456">
        <f t="shared" si="10"/>
        <v>127923</v>
      </c>
      <c r="O70" s="454"/>
      <c r="P70" s="453">
        <v>32075.000000000004</v>
      </c>
      <c r="Q70" s="453">
        <v>79000</v>
      </c>
      <c r="R70" s="453">
        <v>16848</v>
      </c>
      <c r="S70" s="1271">
        <f t="shared" si="34"/>
        <v>7495310.992775999</v>
      </c>
      <c r="T70" s="458">
        <v>178675</v>
      </c>
      <c r="U70" s="456">
        <f t="shared" si="12"/>
        <v>7673985.992775999</v>
      </c>
      <c r="V70" s="459">
        <v>178675</v>
      </c>
      <c r="W70" s="459">
        <f>+'[1]850'!S70</f>
        <v>2431563.6200399995</v>
      </c>
      <c r="X70" s="462">
        <v>6076561222.8359985</v>
      </c>
      <c r="Y70" s="462">
        <f t="shared" si="36"/>
        <v>3869000000</v>
      </c>
      <c r="Z70" s="462">
        <f t="shared" si="25"/>
        <v>2208000000</v>
      </c>
      <c r="AA70" s="462">
        <f t="shared" si="26"/>
        <v>908000000</v>
      </c>
      <c r="AB70" s="462">
        <f t="shared" si="27"/>
        <v>90800000</v>
      </c>
      <c r="AC70" s="462">
        <f t="shared" si="28"/>
        <v>817200000</v>
      </c>
      <c r="AD70" s="462">
        <v>178675000</v>
      </c>
      <c r="AE70" s="462">
        <f t="shared" si="37"/>
        <v>1939000000</v>
      </c>
      <c r="AF70" s="462">
        <f t="shared" si="35"/>
        <v>179000000</v>
      </c>
      <c r="AG70" s="462">
        <v>79005385.565217376</v>
      </c>
      <c r="AH70" s="462">
        <f t="shared" si="31"/>
        <v>79000000</v>
      </c>
      <c r="AI70" s="462"/>
      <c r="AJ70" s="462"/>
      <c r="AK70" s="462"/>
      <c r="AL70" s="462"/>
      <c r="AM70" s="462"/>
      <c r="AN70" s="462"/>
      <c r="AO70" s="462"/>
      <c r="AP70" s="462"/>
      <c r="AQ70" s="462"/>
      <c r="AR70" s="462"/>
      <c r="AS70" s="462"/>
      <c r="AT70" s="462"/>
      <c r="AU70" s="462"/>
      <c r="AV70" s="462"/>
      <c r="AW70" s="462"/>
    </row>
    <row r="71" spans="1:49" ht="27" customHeight="1">
      <c r="A71" s="467">
        <v>61</v>
      </c>
      <c r="B71" s="468" t="s">
        <v>1819</v>
      </c>
      <c r="C71" s="458">
        <v>28</v>
      </c>
      <c r="D71" s="1266">
        <v>28</v>
      </c>
      <c r="E71" s="1260">
        <f t="shared" si="4"/>
        <v>0</v>
      </c>
      <c r="F71" s="1261"/>
      <c r="G71" s="454">
        <f t="shared" si="5"/>
        <v>4273110.3792000003</v>
      </c>
      <c r="H71" s="455">
        <f>+'[1]Lương 1490'!S71</f>
        <v>3561210.3791999999</v>
      </c>
      <c r="I71" s="453">
        <f t="shared" si="6"/>
        <v>791000</v>
      </c>
      <c r="J71" s="453">
        <f t="shared" si="21"/>
        <v>711900</v>
      </c>
      <c r="K71" s="454">
        <f t="shared" si="33"/>
        <v>1863100</v>
      </c>
      <c r="L71" s="453">
        <f t="shared" si="8"/>
        <v>79100</v>
      </c>
      <c r="M71" s="453">
        <f t="shared" si="9"/>
        <v>1784000</v>
      </c>
      <c r="N71" s="456">
        <f t="shared" si="10"/>
        <v>48623</v>
      </c>
      <c r="O71" s="454"/>
      <c r="P71" s="453">
        <v>8775</v>
      </c>
      <c r="Q71" s="453">
        <v>23000</v>
      </c>
      <c r="R71" s="453">
        <v>16848</v>
      </c>
      <c r="S71" s="1271">
        <f t="shared" si="34"/>
        <v>6184833.3792000003</v>
      </c>
      <c r="T71" s="458">
        <v>168574</v>
      </c>
      <c r="U71" s="456">
        <f t="shared" si="12"/>
        <v>6353407.3792000003</v>
      </c>
      <c r="V71" s="459">
        <v>168574</v>
      </c>
      <c r="W71" s="459">
        <f>+'[1]850'!S71</f>
        <v>2031562.9680000003</v>
      </c>
      <c r="X71" s="462">
        <v>5405726851.2000008</v>
      </c>
      <c r="Y71" s="462">
        <f t="shared" si="36"/>
        <v>3442000000</v>
      </c>
      <c r="Z71" s="462">
        <f t="shared" si="25"/>
        <v>1964000000</v>
      </c>
      <c r="AA71" s="462">
        <f t="shared" si="26"/>
        <v>807000000</v>
      </c>
      <c r="AB71" s="462">
        <f t="shared" si="27"/>
        <v>80700000</v>
      </c>
      <c r="AC71" s="462">
        <f t="shared" si="28"/>
        <v>726300000</v>
      </c>
      <c r="AD71" s="462">
        <v>168574000</v>
      </c>
      <c r="AE71" s="462">
        <f t="shared" si="37"/>
        <v>1715000000</v>
      </c>
      <c r="AF71" s="462">
        <f t="shared" si="35"/>
        <v>169000000</v>
      </c>
      <c r="AG71" s="462">
        <v>23136065.217391305</v>
      </c>
      <c r="AH71" s="462">
        <f t="shared" si="31"/>
        <v>23000000</v>
      </c>
      <c r="AI71" s="462"/>
      <c r="AJ71" s="462"/>
      <c r="AK71" s="462"/>
      <c r="AL71" s="462"/>
      <c r="AM71" s="462"/>
      <c r="AN71" s="462"/>
      <c r="AO71" s="462"/>
      <c r="AP71" s="462"/>
      <c r="AQ71" s="462"/>
      <c r="AR71" s="462"/>
      <c r="AS71" s="462"/>
      <c r="AT71" s="462"/>
      <c r="AU71" s="462"/>
      <c r="AV71" s="462"/>
      <c r="AW71" s="462"/>
    </row>
    <row r="72" spans="1:49" ht="27" customHeight="1">
      <c r="A72" s="467">
        <v>62</v>
      </c>
      <c r="B72" s="468" t="s">
        <v>1820</v>
      </c>
      <c r="C72" s="458">
        <v>31</v>
      </c>
      <c r="D72" s="1266">
        <v>31</v>
      </c>
      <c r="E72" s="1260">
        <f t="shared" si="4"/>
        <v>0</v>
      </c>
      <c r="F72" s="1261"/>
      <c r="G72" s="454">
        <f t="shared" si="5"/>
        <v>5227440.1134911999</v>
      </c>
      <c r="H72" s="455">
        <f>+'[1]Lương 1490'!S72</f>
        <v>4356240.1134911999</v>
      </c>
      <c r="I72" s="453">
        <f t="shared" si="6"/>
        <v>968000</v>
      </c>
      <c r="J72" s="453">
        <f t="shared" si="21"/>
        <v>871200</v>
      </c>
      <c r="K72" s="454">
        <f t="shared" si="33"/>
        <v>2333800</v>
      </c>
      <c r="L72" s="453">
        <f t="shared" si="8"/>
        <v>96800</v>
      </c>
      <c r="M72" s="453">
        <f t="shared" si="9"/>
        <v>2237000</v>
      </c>
      <c r="N72" s="456">
        <f t="shared" si="10"/>
        <v>57200</v>
      </c>
      <c r="O72" s="454"/>
      <c r="P72" s="453">
        <v>33200</v>
      </c>
      <c r="Q72" s="453">
        <v>24000</v>
      </c>
      <c r="R72" s="453">
        <v>0</v>
      </c>
      <c r="S72" s="1271">
        <f t="shared" si="34"/>
        <v>7618440.1134911999</v>
      </c>
      <c r="T72" s="458">
        <v>151399</v>
      </c>
      <c r="U72" s="456">
        <f t="shared" si="12"/>
        <v>7769839.1134911999</v>
      </c>
      <c r="V72" s="459">
        <v>151399</v>
      </c>
      <c r="W72" s="459">
        <f>+'[1]850'!S72</f>
        <v>2485103.4204479996</v>
      </c>
      <c r="X72" s="462">
        <v>6590346793.7111979</v>
      </c>
      <c r="Y72" s="462">
        <f t="shared" si="36"/>
        <v>4196000000</v>
      </c>
      <c r="Z72" s="462">
        <f t="shared" si="25"/>
        <v>2394000000</v>
      </c>
      <c r="AA72" s="462">
        <f t="shared" si="26"/>
        <v>984000000</v>
      </c>
      <c r="AB72" s="462">
        <f t="shared" si="27"/>
        <v>98400000</v>
      </c>
      <c r="AC72" s="462">
        <f t="shared" si="28"/>
        <v>885600000</v>
      </c>
      <c r="AD72" s="462">
        <v>151399000</v>
      </c>
      <c r="AE72" s="462">
        <f t="shared" si="37"/>
        <v>2144000000</v>
      </c>
      <c r="AF72" s="462">
        <f t="shared" si="35"/>
        <v>151000000</v>
      </c>
      <c r="AG72" s="462">
        <v>23974781.478260871</v>
      </c>
      <c r="AH72" s="462">
        <f t="shared" si="31"/>
        <v>24000000</v>
      </c>
      <c r="AI72" s="462"/>
      <c r="AJ72" s="462"/>
      <c r="AK72" s="462"/>
      <c r="AL72" s="462"/>
      <c r="AM72" s="462"/>
      <c r="AN72" s="462"/>
      <c r="AO72" s="462"/>
      <c r="AP72" s="462"/>
      <c r="AQ72" s="462"/>
      <c r="AR72" s="462"/>
      <c r="AS72" s="462"/>
      <c r="AT72" s="462"/>
      <c r="AU72" s="462"/>
      <c r="AV72" s="462"/>
      <c r="AW72" s="462"/>
    </row>
    <row r="73" spans="1:49" ht="27" customHeight="1">
      <c r="A73" s="467">
        <v>63</v>
      </c>
      <c r="B73" s="469" t="s">
        <v>1821</v>
      </c>
      <c r="C73" s="458">
        <v>33</v>
      </c>
      <c r="D73" s="1266">
        <v>32</v>
      </c>
      <c r="E73" s="1260">
        <f t="shared" si="4"/>
        <v>1</v>
      </c>
      <c r="F73" s="1261"/>
      <c r="G73" s="454">
        <f t="shared" si="5"/>
        <v>5233534.8349488005</v>
      </c>
      <c r="H73" s="455">
        <f>+'[1]Lương 1490'!S73</f>
        <v>4361434.8349488005</v>
      </c>
      <c r="I73" s="453">
        <f t="shared" si="6"/>
        <v>969000</v>
      </c>
      <c r="J73" s="453">
        <f t="shared" si="21"/>
        <v>872100</v>
      </c>
      <c r="K73" s="454">
        <f t="shared" si="33"/>
        <v>2217900</v>
      </c>
      <c r="L73" s="453">
        <f t="shared" si="8"/>
        <v>96900</v>
      </c>
      <c r="M73" s="453">
        <f t="shared" si="9"/>
        <v>2121000</v>
      </c>
      <c r="N73" s="456">
        <f t="shared" si="10"/>
        <v>70650</v>
      </c>
      <c r="O73" s="454"/>
      <c r="P73" s="453">
        <v>7650</v>
      </c>
      <c r="Q73" s="453">
        <v>63000</v>
      </c>
      <c r="R73" s="453">
        <v>0</v>
      </c>
      <c r="S73" s="1271">
        <f t="shared" si="34"/>
        <v>7522084.8349488005</v>
      </c>
      <c r="T73" s="458">
        <v>269966.59999999998</v>
      </c>
      <c r="U73" s="456">
        <f t="shared" si="12"/>
        <v>7792051.4349488001</v>
      </c>
      <c r="V73" s="459">
        <v>269966.59999999998</v>
      </c>
      <c r="W73" s="459">
        <f>+'[1]850'!S73</f>
        <v>2488066.8521520002</v>
      </c>
      <c r="X73" s="462">
        <v>6503586391.0367985</v>
      </c>
      <c r="Y73" s="462">
        <f t="shared" si="36"/>
        <v>4141000000</v>
      </c>
      <c r="Z73" s="462">
        <f t="shared" si="25"/>
        <v>2363000000</v>
      </c>
      <c r="AA73" s="462">
        <f t="shared" si="26"/>
        <v>971000000</v>
      </c>
      <c r="AB73" s="462">
        <f t="shared" si="27"/>
        <v>97100000</v>
      </c>
      <c r="AC73" s="462">
        <f t="shared" si="28"/>
        <v>873900000</v>
      </c>
      <c r="AD73" s="462">
        <v>269966600</v>
      </c>
      <c r="AE73" s="462">
        <f t="shared" si="37"/>
        <v>1996000000</v>
      </c>
      <c r="AF73" s="462">
        <f t="shared" si="35"/>
        <v>270000000</v>
      </c>
      <c r="AG73" s="462">
        <v>63159821.052631579</v>
      </c>
      <c r="AH73" s="462">
        <f t="shared" si="31"/>
        <v>63000000</v>
      </c>
      <c r="AI73" s="462"/>
      <c r="AJ73" s="462"/>
      <c r="AK73" s="462"/>
      <c r="AL73" s="462"/>
      <c r="AM73" s="462"/>
      <c r="AN73" s="462"/>
      <c r="AO73" s="462"/>
      <c r="AP73" s="462"/>
      <c r="AQ73" s="462"/>
      <c r="AR73" s="462"/>
      <c r="AS73" s="462"/>
      <c r="AT73" s="462"/>
      <c r="AU73" s="462"/>
      <c r="AV73" s="462"/>
      <c r="AW73" s="462"/>
    </row>
    <row r="74" spans="1:49" s="443" customFormat="1" ht="27" customHeight="1">
      <c r="A74" s="448" t="s">
        <v>614</v>
      </c>
      <c r="B74" s="463" t="s">
        <v>1822</v>
      </c>
      <c r="C74" s="464">
        <f>SUM(C75:C94)</f>
        <v>226</v>
      </c>
      <c r="D74" s="464">
        <f>SUM(D75:D94)</f>
        <v>219</v>
      </c>
      <c r="E74" s="464">
        <f>SUM(E75:E94)</f>
        <v>5</v>
      </c>
      <c r="F74" s="464">
        <f>SUM(F75:F94)</f>
        <v>2</v>
      </c>
      <c r="G74" s="465">
        <f>SUM(G75:G79)</f>
        <v>34021975.082934007</v>
      </c>
      <c r="H74" s="465">
        <f t="shared" ref="H74:V74" si="38">SUM(H75:H79)</f>
        <v>28351975.082934007</v>
      </c>
      <c r="I74" s="465">
        <f t="shared" si="38"/>
        <v>6300000</v>
      </c>
      <c r="J74" s="465">
        <f t="shared" si="38"/>
        <v>5670000</v>
      </c>
      <c r="K74" s="465">
        <f t="shared" si="38"/>
        <v>15577000</v>
      </c>
      <c r="L74" s="465">
        <f t="shared" si="38"/>
        <v>630000</v>
      </c>
      <c r="M74" s="465">
        <f t="shared" si="38"/>
        <v>14947000</v>
      </c>
      <c r="N74" s="465">
        <f t="shared" si="38"/>
        <v>531498</v>
      </c>
      <c r="O74" s="465">
        <f t="shared" si="38"/>
        <v>0</v>
      </c>
      <c r="P74" s="465">
        <f t="shared" si="38"/>
        <v>130650</v>
      </c>
      <c r="Q74" s="465">
        <f t="shared" si="38"/>
        <v>383000</v>
      </c>
      <c r="R74" s="465">
        <f t="shared" si="38"/>
        <v>17848</v>
      </c>
      <c r="S74" s="1272">
        <f t="shared" si="38"/>
        <v>50130473.082934007</v>
      </c>
      <c r="T74" s="465">
        <f t="shared" si="38"/>
        <v>597889</v>
      </c>
      <c r="U74" s="465">
        <f t="shared" si="38"/>
        <v>50728362.082934007</v>
      </c>
      <c r="V74" s="465">
        <f t="shared" si="38"/>
        <v>597889</v>
      </c>
      <c r="W74" s="459">
        <f>+'[1]850'!S74</f>
        <v>16173945.517110001</v>
      </c>
      <c r="X74" s="466">
        <f>SUM(X75:X79)</f>
        <v>43250175719.244003</v>
      </c>
      <c r="Y74" s="466">
        <f t="shared" ref="Y74:AH74" si="39">SUM(Y75:Y79)</f>
        <v>27540000000</v>
      </c>
      <c r="Z74" s="466">
        <f t="shared" si="39"/>
        <v>15711000000</v>
      </c>
      <c r="AA74" s="466">
        <f t="shared" si="39"/>
        <v>6459000000</v>
      </c>
      <c r="AB74" s="466">
        <f t="shared" si="39"/>
        <v>645900000</v>
      </c>
      <c r="AC74" s="466">
        <f t="shared" si="39"/>
        <v>5813100000</v>
      </c>
      <c r="AD74" s="466">
        <f>SUM(AD75:AD79)</f>
        <v>597889000</v>
      </c>
      <c r="AE74" s="466">
        <f t="shared" si="39"/>
        <v>14467000000</v>
      </c>
      <c r="AF74" s="466">
        <f t="shared" si="39"/>
        <v>598000000</v>
      </c>
      <c r="AG74" s="466">
        <f t="shared" si="39"/>
        <v>382357248.68861127</v>
      </c>
      <c r="AH74" s="466">
        <f t="shared" si="39"/>
        <v>383000000</v>
      </c>
    </row>
    <row r="75" spans="1:49" ht="27" customHeight="1">
      <c r="A75" s="451">
        <v>1</v>
      </c>
      <c r="B75" s="452" t="s">
        <v>1823</v>
      </c>
      <c r="C75" s="453">
        <v>44</v>
      </c>
      <c r="D75" s="1266">
        <v>43</v>
      </c>
      <c r="E75" s="1260">
        <f t="shared" ref="E75:E79" si="40">+C75-D75-F75</f>
        <v>0</v>
      </c>
      <c r="F75" s="1261">
        <v>1</v>
      </c>
      <c r="G75" s="454">
        <f t="shared" ref="G75:G79" si="41">H75+J75</f>
        <v>6580612.8866496012</v>
      </c>
      <c r="H75" s="455">
        <f>+'[1]Lương 1490'!S75</f>
        <v>5483512.8866496012</v>
      </c>
      <c r="I75" s="453">
        <f t="shared" ref="I75:I79" si="42">ROUND((H75*(18%/81%)),-3)</f>
        <v>1219000</v>
      </c>
      <c r="J75" s="453">
        <f t="shared" si="21"/>
        <v>1097100</v>
      </c>
      <c r="K75" s="470">
        <f>L75+M75</f>
        <v>3012900</v>
      </c>
      <c r="L75" s="453">
        <f t="shared" ref="L75:L79" si="43">+I75*10%</f>
        <v>121900</v>
      </c>
      <c r="M75" s="453">
        <f t="shared" ref="M75:M79" si="44">ROUND((W75-L75-T75),-3)</f>
        <v>2891000</v>
      </c>
      <c r="N75" s="456">
        <f>O75+P75+Q75+R75</f>
        <v>39050</v>
      </c>
      <c r="O75" s="455"/>
      <c r="P75" s="453">
        <v>22050</v>
      </c>
      <c r="Q75" s="453">
        <v>17000</v>
      </c>
      <c r="R75" s="453">
        <v>0</v>
      </c>
      <c r="S75" s="1271">
        <f>G75+K75+N75</f>
        <v>9632562.8866496012</v>
      </c>
      <c r="T75" s="458">
        <v>115580</v>
      </c>
      <c r="U75" s="456">
        <f t="shared" si="12"/>
        <v>9748142.8866496012</v>
      </c>
      <c r="V75" s="459">
        <v>115580</v>
      </c>
      <c r="W75" s="459">
        <f>+'[1]850'!S75</f>
        <v>3128178.4923840007</v>
      </c>
      <c r="X75" s="462">
        <v>8360412624.3456011</v>
      </c>
      <c r="Y75" s="462">
        <f t="shared" si="36"/>
        <v>5324000000</v>
      </c>
      <c r="Z75" s="462">
        <f t="shared" si="25"/>
        <v>3036000000</v>
      </c>
      <c r="AA75" s="462">
        <f t="shared" si="26"/>
        <v>1249000000</v>
      </c>
      <c r="AB75" s="462">
        <f t="shared" si="27"/>
        <v>124900000</v>
      </c>
      <c r="AC75" s="462">
        <f t="shared" si="28"/>
        <v>1124100000</v>
      </c>
      <c r="AD75" s="462">
        <v>115580000</v>
      </c>
      <c r="AE75" s="462">
        <f t="shared" si="37"/>
        <v>2796000000</v>
      </c>
      <c r="AF75" s="462">
        <f t="shared" si="35"/>
        <v>116000000</v>
      </c>
      <c r="AG75" s="462">
        <v>17115310.931174092</v>
      </c>
      <c r="AH75" s="462">
        <f t="shared" si="31"/>
        <v>17000000</v>
      </c>
    </row>
    <row r="76" spans="1:49" ht="27" customHeight="1">
      <c r="A76" s="467">
        <v>2</v>
      </c>
      <c r="B76" s="468" t="s">
        <v>1824</v>
      </c>
      <c r="C76" s="453">
        <v>40</v>
      </c>
      <c r="D76" s="1266">
        <v>39</v>
      </c>
      <c r="E76" s="1260">
        <f t="shared" si="40"/>
        <v>1</v>
      </c>
      <c r="F76" s="1261"/>
      <c r="G76" s="454">
        <f t="shared" si="41"/>
        <v>6279086.2318799999</v>
      </c>
      <c r="H76" s="455">
        <f>+'[1]Lương 1490'!S76</f>
        <v>5232386.2318799999</v>
      </c>
      <c r="I76" s="453">
        <f t="shared" si="42"/>
        <v>1163000</v>
      </c>
      <c r="J76" s="453">
        <f t="shared" si="21"/>
        <v>1046700</v>
      </c>
      <c r="K76" s="470">
        <f>L76+M76</f>
        <v>2883300</v>
      </c>
      <c r="L76" s="453">
        <f t="shared" si="43"/>
        <v>116300</v>
      </c>
      <c r="M76" s="453">
        <f t="shared" si="44"/>
        <v>2767000</v>
      </c>
      <c r="N76" s="456">
        <f t="shared" si="10"/>
        <v>98400</v>
      </c>
      <c r="O76" s="455"/>
      <c r="P76" s="453">
        <v>14400</v>
      </c>
      <c r="Q76" s="453">
        <v>84000</v>
      </c>
      <c r="R76" s="453">
        <v>0</v>
      </c>
      <c r="S76" s="1271">
        <f>G76+K76+N76</f>
        <v>9260786.2318799999</v>
      </c>
      <c r="T76" s="458">
        <v>101860</v>
      </c>
      <c r="U76" s="456">
        <f t="shared" si="12"/>
        <v>9362646.2318799999</v>
      </c>
      <c r="V76" s="459">
        <v>101860</v>
      </c>
      <c r="W76" s="459">
        <f>+'[1]850'!S76</f>
        <v>2984918.3202</v>
      </c>
      <c r="X76" s="462">
        <v>7908752245.6800022</v>
      </c>
      <c r="Y76" s="462">
        <f t="shared" si="36"/>
        <v>5036000000</v>
      </c>
      <c r="Z76" s="462">
        <f t="shared" si="25"/>
        <v>2873000000</v>
      </c>
      <c r="AA76" s="462">
        <f t="shared" si="26"/>
        <v>1181000000</v>
      </c>
      <c r="AB76" s="462">
        <f t="shared" si="27"/>
        <v>118100000</v>
      </c>
      <c r="AC76" s="462">
        <f t="shared" si="28"/>
        <v>1062900000</v>
      </c>
      <c r="AD76" s="462">
        <v>101860000</v>
      </c>
      <c r="AE76" s="462">
        <f t="shared" si="37"/>
        <v>2653000000</v>
      </c>
      <c r="AF76" s="462">
        <f t="shared" si="35"/>
        <v>102000000</v>
      </c>
      <c r="AG76" s="462">
        <v>83696206.407322705</v>
      </c>
      <c r="AH76" s="462">
        <f t="shared" si="31"/>
        <v>84000000</v>
      </c>
    </row>
    <row r="77" spans="1:49" ht="27" customHeight="1">
      <c r="A77" s="451">
        <v>3</v>
      </c>
      <c r="B77" s="468" t="s">
        <v>1825</v>
      </c>
      <c r="C77" s="453">
        <v>51</v>
      </c>
      <c r="D77" s="1266">
        <v>48</v>
      </c>
      <c r="E77" s="1260">
        <f t="shared" si="40"/>
        <v>3</v>
      </c>
      <c r="F77" s="1261"/>
      <c r="G77" s="454">
        <f t="shared" si="41"/>
        <v>7734429.5066064019</v>
      </c>
      <c r="H77" s="455">
        <f>+'[1]Lương 1490'!S77</f>
        <v>6445629.5066064019</v>
      </c>
      <c r="I77" s="453">
        <f t="shared" si="42"/>
        <v>1432000</v>
      </c>
      <c r="J77" s="453">
        <f t="shared" si="21"/>
        <v>1288800</v>
      </c>
      <c r="K77" s="470">
        <f>L77+M77</f>
        <v>3565200</v>
      </c>
      <c r="L77" s="453">
        <f t="shared" si="43"/>
        <v>143200</v>
      </c>
      <c r="M77" s="453">
        <f t="shared" si="44"/>
        <v>3422000</v>
      </c>
      <c r="N77" s="456">
        <f t="shared" ref="N77:N79" si="45">O77+P77+Q77+R77</f>
        <v>196600</v>
      </c>
      <c r="O77" s="455"/>
      <c r="P77" s="453">
        <v>30600</v>
      </c>
      <c r="Q77" s="453">
        <v>166000</v>
      </c>
      <c r="R77" s="453">
        <v>0</v>
      </c>
      <c r="S77" s="1271">
        <f>G77+K77+N77</f>
        <v>11496229.506606402</v>
      </c>
      <c r="T77" s="458">
        <v>111418</v>
      </c>
      <c r="U77" s="456">
        <f t="shared" ref="U77:U79" si="46">S77+T77</f>
        <v>11607647.506606402</v>
      </c>
      <c r="V77" s="459">
        <v>111418</v>
      </c>
      <c r="W77" s="459">
        <f>+'[1]850'!S77</f>
        <v>3677036.9668560009</v>
      </c>
      <c r="X77" s="462">
        <v>9588726610.0703964</v>
      </c>
      <c r="Y77" s="462">
        <f t="shared" si="36"/>
        <v>6106000000</v>
      </c>
      <c r="Z77" s="462">
        <f t="shared" si="25"/>
        <v>3483000000</v>
      </c>
      <c r="AA77" s="462">
        <f t="shared" si="26"/>
        <v>1432000000</v>
      </c>
      <c r="AB77" s="462">
        <f t="shared" si="27"/>
        <v>143200000</v>
      </c>
      <c r="AC77" s="462">
        <f t="shared" si="28"/>
        <v>1288800000</v>
      </c>
      <c r="AD77" s="462">
        <v>111418000</v>
      </c>
      <c r="AE77" s="462">
        <f t="shared" si="37"/>
        <v>3228000000</v>
      </c>
      <c r="AF77" s="462">
        <f t="shared" si="35"/>
        <v>111000000</v>
      </c>
      <c r="AG77" s="462">
        <v>165937069.56521744</v>
      </c>
      <c r="AH77" s="462">
        <f t="shared" si="31"/>
        <v>166000000</v>
      </c>
    </row>
    <row r="78" spans="1:49" ht="27" customHeight="1">
      <c r="A78" s="467">
        <v>4</v>
      </c>
      <c r="B78" s="468" t="s">
        <v>1826</v>
      </c>
      <c r="C78" s="453">
        <v>47</v>
      </c>
      <c r="D78" s="1266">
        <v>46</v>
      </c>
      <c r="E78" s="1260">
        <f t="shared" si="40"/>
        <v>1</v>
      </c>
      <c r="F78" s="1261"/>
      <c r="G78" s="454">
        <f t="shared" si="41"/>
        <v>6594941.0160840005</v>
      </c>
      <c r="H78" s="455">
        <f>+'[1]Lương 1490'!S78</f>
        <v>5496041.0160840005</v>
      </c>
      <c r="I78" s="453">
        <f t="shared" si="42"/>
        <v>1221000</v>
      </c>
      <c r="J78" s="453">
        <f t="shared" si="21"/>
        <v>1098900</v>
      </c>
      <c r="K78" s="470">
        <f>L78+M78</f>
        <v>2991100</v>
      </c>
      <c r="L78" s="453">
        <f t="shared" si="43"/>
        <v>122100</v>
      </c>
      <c r="M78" s="453">
        <f t="shared" si="44"/>
        <v>2869000</v>
      </c>
      <c r="N78" s="456">
        <f t="shared" si="45"/>
        <v>52725</v>
      </c>
      <c r="O78" s="455"/>
      <c r="P78" s="453">
        <v>28725</v>
      </c>
      <c r="Q78" s="453">
        <v>24000</v>
      </c>
      <c r="R78" s="453">
        <v>0</v>
      </c>
      <c r="S78" s="1271">
        <f>G78+K78+N78</f>
        <v>9638766.0160840005</v>
      </c>
      <c r="T78" s="458">
        <v>144697</v>
      </c>
      <c r="U78" s="456">
        <f t="shared" si="46"/>
        <v>9783463.0160840005</v>
      </c>
      <c r="V78" s="459">
        <v>144697</v>
      </c>
      <c r="W78" s="459">
        <f>+'[1]850'!S78</f>
        <v>3135325.4118600003</v>
      </c>
      <c r="X78" s="462">
        <v>8399548520.0639992</v>
      </c>
      <c r="Y78" s="462">
        <f t="shared" si="36"/>
        <v>5348000000</v>
      </c>
      <c r="Z78" s="462">
        <f t="shared" si="25"/>
        <v>3052000000</v>
      </c>
      <c r="AA78" s="462">
        <f t="shared" si="26"/>
        <v>1254000000</v>
      </c>
      <c r="AB78" s="462">
        <f t="shared" si="27"/>
        <v>125400000</v>
      </c>
      <c r="AC78" s="462">
        <f t="shared" si="28"/>
        <v>1128600000</v>
      </c>
      <c r="AD78" s="462">
        <v>144697000</v>
      </c>
      <c r="AE78" s="462">
        <f t="shared" si="37"/>
        <v>2782000000</v>
      </c>
      <c r="AF78" s="462">
        <f t="shared" si="35"/>
        <v>145000000</v>
      </c>
      <c r="AG78" s="462">
        <v>23508313.043478269</v>
      </c>
      <c r="AH78" s="462">
        <f t="shared" si="31"/>
        <v>24000000</v>
      </c>
    </row>
    <row r="79" spans="1:49" ht="27" customHeight="1">
      <c r="A79" s="451">
        <v>5</v>
      </c>
      <c r="B79" s="468" t="s">
        <v>1827</v>
      </c>
      <c r="C79" s="453">
        <v>44</v>
      </c>
      <c r="D79" s="1267">
        <v>43</v>
      </c>
      <c r="E79" s="1260">
        <f t="shared" si="40"/>
        <v>0</v>
      </c>
      <c r="F79" s="1261">
        <v>1</v>
      </c>
      <c r="G79" s="454">
        <f t="shared" si="41"/>
        <v>6832905.4417140018</v>
      </c>
      <c r="H79" s="455">
        <f>+'[1]Lương 1490'!S79</f>
        <v>5694405.4417140018</v>
      </c>
      <c r="I79" s="453">
        <f t="shared" si="42"/>
        <v>1265000</v>
      </c>
      <c r="J79" s="453">
        <f t="shared" si="21"/>
        <v>1138500</v>
      </c>
      <c r="K79" s="470">
        <f>L79+M79</f>
        <v>3124500</v>
      </c>
      <c r="L79" s="453">
        <f t="shared" si="43"/>
        <v>126500</v>
      </c>
      <c r="M79" s="453">
        <f t="shared" si="44"/>
        <v>2998000</v>
      </c>
      <c r="N79" s="456">
        <f t="shared" si="45"/>
        <v>144723</v>
      </c>
      <c r="O79" s="455"/>
      <c r="P79" s="453">
        <v>34875</v>
      </c>
      <c r="Q79" s="453">
        <v>92000</v>
      </c>
      <c r="R79" s="453">
        <v>17848</v>
      </c>
      <c r="S79" s="1271">
        <f>G79+K79+N79</f>
        <v>10102128.441714002</v>
      </c>
      <c r="T79" s="458">
        <v>124334</v>
      </c>
      <c r="U79" s="456">
        <f t="shared" si="46"/>
        <v>10226462.441714002</v>
      </c>
      <c r="V79" s="459">
        <v>124334</v>
      </c>
      <c r="W79" s="459">
        <f>+'[1]850'!S79</f>
        <v>3248486.3258100012</v>
      </c>
      <c r="X79" s="462">
        <v>8992735719.0839996</v>
      </c>
      <c r="Y79" s="462">
        <f t="shared" si="36"/>
        <v>5726000000</v>
      </c>
      <c r="Z79" s="462">
        <f t="shared" si="25"/>
        <v>3267000000</v>
      </c>
      <c r="AA79" s="462">
        <f t="shared" si="26"/>
        <v>1343000000</v>
      </c>
      <c r="AB79" s="462">
        <f t="shared" si="27"/>
        <v>134300000</v>
      </c>
      <c r="AC79" s="462">
        <f t="shared" si="28"/>
        <v>1208700000</v>
      </c>
      <c r="AD79" s="462">
        <v>124334000</v>
      </c>
      <c r="AE79" s="462">
        <f t="shared" si="37"/>
        <v>3008000000</v>
      </c>
      <c r="AF79" s="462">
        <f t="shared" si="35"/>
        <v>124000000</v>
      </c>
      <c r="AG79" s="462">
        <v>92100348.741418779</v>
      </c>
      <c r="AH79" s="462">
        <f t="shared" si="31"/>
        <v>92000000</v>
      </c>
    </row>
    <row r="80" spans="1:49" ht="94.5">
      <c r="A80" s="467"/>
      <c r="B80" s="1276" t="s">
        <v>2000</v>
      </c>
      <c r="C80" s="1275"/>
      <c r="D80" s="1275"/>
      <c r="E80" s="1275"/>
      <c r="F80" s="1275"/>
      <c r="G80" s="469"/>
      <c r="H80" s="469"/>
      <c r="I80" s="1275"/>
      <c r="J80" s="1275"/>
      <c r="K80" s="469"/>
      <c r="L80" s="1275"/>
      <c r="M80" s="469"/>
      <c r="N80" s="469"/>
      <c r="O80" s="469"/>
      <c r="P80" s="1275"/>
      <c r="Q80" s="1275"/>
      <c r="R80" s="1275"/>
      <c r="S80" s="1271">
        <f>577473000-S83-S82-S81-S7</f>
        <v>18847957.72913897</v>
      </c>
      <c r="T80" s="1275"/>
      <c r="U80" s="469"/>
      <c r="V80" s="1274">
        <f>+AD80/1000</f>
        <v>0</v>
      </c>
      <c r="W80" s="1274"/>
      <c r="X80" s="462"/>
      <c r="Y80" s="462"/>
      <c r="Z80" s="462"/>
      <c r="AA80" s="462"/>
      <c r="AB80" s="462"/>
      <c r="AC80" s="462"/>
      <c r="AD80" s="462"/>
      <c r="AE80" s="462"/>
      <c r="AF80" s="462">
        <f t="shared" si="35"/>
        <v>0</v>
      </c>
      <c r="AG80" s="462"/>
    </row>
    <row r="81" spans="1:33">
      <c r="A81" s="467"/>
      <c r="B81" s="469" t="str">
        <f>'[2]Giao các đơn vị'!$B$117</f>
        <v>Thực hiện các chính sách giáo dục</v>
      </c>
      <c r="C81" s="1275"/>
      <c r="D81" s="1275"/>
      <c r="E81" s="1275"/>
      <c r="F81" s="1275"/>
      <c r="G81" s="469"/>
      <c r="H81" s="469"/>
      <c r="I81" s="1275"/>
      <c r="J81" s="1275"/>
      <c r="K81" s="469"/>
      <c r="L81" s="1275"/>
      <c r="M81" s="469"/>
      <c r="N81" s="469"/>
      <c r="O81" s="469"/>
      <c r="P81" s="1275"/>
      <c r="Q81" s="1275"/>
      <c r="R81" s="1275"/>
      <c r="S81" s="1271">
        <f>5207000</f>
        <v>5207000</v>
      </c>
      <c r="T81" s="1275"/>
      <c r="U81" s="469"/>
      <c r="X81" s="462"/>
      <c r="Y81" s="462"/>
      <c r="Z81" s="462"/>
      <c r="AA81" s="462"/>
      <c r="AB81" s="462"/>
      <c r="AC81" s="462"/>
      <c r="AD81" s="462"/>
      <c r="AE81" s="462"/>
      <c r="AF81" s="462">
        <f t="shared" si="35"/>
        <v>0</v>
      </c>
      <c r="AG81" s="462"/>
    </row>
    <row r="82" spans="1:33">
      <c r="A82" s="467"/>
      <c r="B82" s="469" t="str">
        <f>'[2]Giao các đơn vị'!$B$119</f>
        <v>Phòng Lao động Thương binh và Xã hội Thành phố Quảng Ngãi</v>
      </c>
      <c r="C82" s="1275"/>
      <c r="D82" s="1275"/>
      <c r="E82" s="1275"/>
      <c r="F82" s="1275"/>
      <c r="G82" s="469"/>
      <c r="H82" s="469"/>
      <c r="I82" s="1275"/>
      <c r="J82" s="1275"/>
      <c r="K82" s="469"/>
      <c r="L82" s="1275"/>
      <c r="M82" s="469"/>
      <c r="N82" s="469"/>
      <c r="O82" s="469"/>
      <c r="P82" s="1275"/>
      <c r="Q82" s="1275"/>
      <c r="R82" s="1275"/>
      <c r="S82" s="1271">
        <v>373000</v>
      </c>
      <c r="T82" s="1275"/>
      <c r="U82" s="469"/>
      <c r="AF82" s="462">
        <f t="shared" si="35"/>
        <v>0</v>
      </c>
    </row>
    <row r="83" spans="1:33">
      <c r="A83" s="467"/>
      <c r="B83" s="469" t="str">
        <f>'[2]Giao các đơn vị'!$B$120</f>
        <v>Hoạt động ngành Giáo dục (Phòng Giáo dục và Đào tạo thành phố)</v>
      </c>
      <c r="C83" s="1275"/>
      <c r="D83" s="1275"/>
      <c r="E83" s="1275"/>
      <c r="F83" s="1275"/>
      <c r="G83" s="469"/>
      <c r="H83" s="469"/>
      <c r="I83" s="1275"/>
      <c r="J83" s="1275"/>
      <c r="K83" s="469"/>
      <c r="L83" s="1275"/>
      <c r="M83" s="469"/>
      <c r="N83" s="469"/>
      <c r="O83" s="469"/>
      <c r="P83" s="1275"/>
      <c r="Q83" s="1275"/>
      <c r="R83" s="1275"/>
      <c r="S83" s="1271">
        <v>2200000</v>
      </c>
      <c r="T83" s="1275"/>
      <c r="U83" s="469"/>
      <c r="AF83" s="462">
        <f t="shared" si="35"/>
        <v>0</v>
      </c>
    </row>
    <row r="84" spans="1:33" s="431" customFormat="1">
      <c r="A84" s="1200"/>
      <c r="B84" s="1194" t="s">
        <v>762</v>
      </c>
      <c r="C84" s="1195"/>
      <c r="D84" s="1195"/>
      <c r="E84" s="1195"/>
      <c r="F84" s="1195"/>
      <c r="G84" s="1194"/>
      <c r="H84" s="1194"/>
      <c r="I84" s="1195"/>
      <c r="J84" s="1195"/>
      <c r="K84" s="1194"/>
      <c r="L84" s="1195"/>
      <c r="M84" s="1194"/>
      <c r="N84" s="1194"/>
      <c r="O84" s="1194"/>
      <c r="P84" s="1195"/>
      <c r="Q84" s="1195"/>
      <c r="R84" s="1195"/>
      <c r="S84" s="1277">
        <f>S83+S82+S81+S80+S7</f>
        <v>577473000</v>
      </c>
      <c r="T84" s="1195"/>
      <c r="U84" s="1194"/>
    </row>
    <row r="88" spans="1:33">
      <c r="U88" s="462"/>
      <c r="V88" s="462"/>
      <c r="W88" s="462"/>
    </row>
    <row r="90" spans="1:33">
      <c r="A90" s="435"/>
      <c r="G90" s="472"/>
    </row>
    <row r="91" spans="1:33">
      <c r="A91" s="435"/>
    </row>
  </sheetData>
  <mergeCells count="15">
    <mergeCell ref="A7:B7"/>
    <mergeCell ref="D4:F4"/>
    <mergeCell ref="G4:J4"/>
    <mergeCell ref="K4:M4"/>
    <mergeCell ref="N4:N5"/>
    <mergeCell ref="A4:A5"/>
    <mergeCell ref="B4:B5"/>
    <mergeCell ref="C4:C5"/>
    <mergeCell ref="T4:T5"/>
    <mergeCell ref="U4:U5"/>
    <mergeCell ref="A1:U1"/>
    <mergeCell ref="A2:U2"/>
    <mergeCell ref="M3:U3"/>
    <mergeCell ref="S4:S5"/>
    <mergeCell ref="O4:R4"/>
  </mergeCells>
  <pageMargins left="0.70866141732283472" right="0.70866141732283472" top="0.74803149606299213" bottom="0.74803149606299213" header="0.31496062992125984" footer="0.31496062992125984"/>
  <pageSetup paperSize="9" scale="43" fitToHeight="0"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29"/>
  <sheetViews>
    <sheetView topLeftCell="A33" workbookViewId="0">
      <selection activeCell="K16" sqref="K16"/>
    </sheetView>
  </sheetViews>
  <sheetFormatPr defaultRowHeight="18.75"/>
  <cols>
    <col min="1" max="1" width="7.140625" style="2" customWidth="1"/>
    <col min="2" max="2" width="38.5703125" style="2" customWidth="1"/>
    <col min="3" max="3" width="18.85546875" style="2" customWidth="1"/>
    <col min="4" max="4" width="21.140625" style="2" customWidth="1"/>
    <col min="5" max="5" width="19.42578125" style="2" customWidth="1"/>
    <col min="6" max="6" width="12.28515625" style="2" customWidth="1"/>
    <col min="7" max="7" width="20" style="2" customWidth="1"/>
    <col min="8" max="259" width="9.140625" style="2"/>
    <col min="260" max="260" width="7.140625" style="2" customWidth="1"/>
    <col min="261" max="261" width="47.7109375" style="2" customWidth="1"/>
    <col min="262" max="262" width="19.28515625" style="2" customWidth="1"/>
    <col min="263" max="515" width="9.140625" style="2"/>
    <col min="516" max="516" width="7.140625" style="2" customWidth="1"/>
    <col min="517" max="517" width="47.7109375" style="2" customWidth="1"/>
    <col min="518" max="518" width="19.28515625" style="2" customWidth="1"/>
    <col min="519" max="771" width="9.140625" style="2"/>
    <col min="772" max="772" width="7.140625" style="2" customWidth="1"/>
    <col min="773" max="773" width="47.7109375" style="2" customWidth="1"/>
    <col min="774" max="774" width="19.28515625" style="2" customWidth="1"/>
    <col min="775" max="1027" width="9.140625" style="2"/>
    <col min="1028" max="1028" width="7.140625" style="2" customWidth="1"/>
    <col min="1029" max="1029" width="47.7109375" style="2" customWidth="1"/>
    <col min="1030" max="1030" width="19.28515625" style="2" customWidth="1"/>
    <col min="1031" max="1283" width="9.140625" style="2"/>
    <col min="1284" max="1284" width="7.140625" style="2" customWidth="1"/>
    <col min="1285" max="1285" width="47.7109375" style="2" customWidth="1"/>
    <col min="1286" max="1286" width="19.28515625" style="2" customWidth="1"/>
    <col min="1287" max="1539" width="9.140625" style="2"/>
    <col min="1540" max="1540" width="7.140625" style="2" customWidth="1"/>
    <col min="1541" max="1541" width="47.7109375" style="2" customWidth="1"/>
    <col min="1542" max="1542" width="19.28515625" style="2" customWidth="1"/>
    <col min="1543" max="1795" width="9.140625" style="2"/>
    <col min="1796" max="1796" width="7.140625" style="2" customWidth="1"/>
    <col min="1797" max="1797" width="47.7109375" style="2" customWidth="1"/>
    <col min="1798" max="1798" width="19.28515625" style="2" customWidth="1"/>
    <col min="1799" max="2051" width="9.140625" style="2"/>
    <col min="2052" max="2052" width="7.140625" style="2" customWidth="1"/>
    <col min="2053" max="2053" width="47.7109375" style="2" customWidth="1"/>
    <col min="2054" max="2054" width="19.28515625" style="2" customWidth="1"/>
    <col min="2055" max="2307" width="9.140625" style="2"/>
    <col min="2308" max="2308" width="7.140625" style="2" customWidth="1"/>
    <col min="2309" max="2309" width="47.7109375" style="2" customWidth="1"/>
    <col min="2310" max="2310" width="19.28515625" style="2" customWidth="1"/>
    <col min="2311" max="2563" width="9.140625" style="2"/>
    <col min="2564" max="2564" width="7.140625" style="2" customWidth="1"/>
    <col min="2565" max="2565" width="47.7109375" style="2" customWidth="1"/>
    <col min="2566" max="2566" width="19.28515625" style="2" customWidth="1"/>
    <col min="2567" max="2819" width="9.140625" style="2"/>
    <col min="2820" max="2820" width="7.140625" style="2" customWidth="1"/>
    <col min="2821" max="2821" width="47.7109375" style="2" customWidth="1"/>
    <col min="2822" max="2822" width="19.28515625" style="2" customWidth="1"/>
    <col min="2823" max="3075" width="9.140625" style="2"/>
    <col min="3076" max="3076" width="7.140625" style="2" customWidth="1"/>
    <col min="3077" max="3077" width="47.7109375" style="2" customWidth="1"/>
    <col min="3078" max="3078" width="19.28515625" style="2" customWidth="1"/>
    <col min="3079" max="3331" width="9.140625" style="2"/>
    <col min="3332" max="3332" width="7.140625" style="2" customWidth="1"/>
    <col min="3333" max="3333" width="47.7109375" style="2" customWidth="1"/>
    <col min="3334" max="3334" width="19.28515625" style="2" customWidth="1"/>
    <col min="3335" max="3587" width="9.140625" style="2"/>
    <col min="3588" max="3588" width="7.140625" style="2" customWidth="1"/>
    <col min="3589" max="3589" width="47.7109375" style="2" customWidth="1"/>
    <col min="3590" max="3590" width="19.28515625" style="2" customWidth="1"/>
    <col min="3591" max="3843" width="9.140625" style="2"/>
    <col min="3844" max="3844" width="7.140625" style="2" customWidth="1"/>
    <col min="3845" max="3845" width="47.7109375" style="2" customWidth="1"/>
    <col min="3846" max="3846" width="19.28515625" style="2" customWidth="1"/>
    <col min="3847" max="4099" width="9.140625" style="2"/>
    <col min="4100" max="4100" width="7.140625" style="2" customWidth="1"/>
    <col min="4101" max="4101" width="47.7109375" style="2" customWidth="1"/>
    <col min="4102" max="4102" width="19.28515625" style="2" customWidth="1"/>
    <col min="4103" max="4355" width="9.140625" style="2"/>
    <col min="4356" max="4356" width="7.140625" style="2" customWidth="1"/>
    <col min="4357" max="4357" width="47.7109375" style="2" customWidth="1"/>
    <col min="4358" max="4358" width="19.28515625" style="2" customWidth="1"/>
    <col min="4359" max="4611" width="9.140625" style="2"/>
    <col min="4612" max="4612" width="7.140625" style="2" customWidth="1"/>
    <col min="4613" max="4613" width="47.7109375" style="2" customWidth="1"/>
    <col min="4614" max="4614" width="19.28515625" style="2" customWidth="1"/>
    <col min="4615" max="4867" width="9.140625" style="2"/>
    <col min="4868" max="4868" width="7.140625" style="2" customWidth="1"/>
    <col min="4869" max="4869" width="47.7109375" style="2" customWidth="1"/>
    <col min="4870" max="4870" width="19.28515625" style="2" customWidth="1"/>
    <col min="4871" max="5123" width="9.140625" style="2"/>
    <col min="5124" max="5124" width="7.140625" style="2" customWidth="1"/>
    <col min="5125" max="5125" width="47.7109375" style="2" customWidth="1"/>
    <col min="5126" max="5126" width="19.28515625" style="2" customWidth="1"/>
    <col min="5127" max="5379" width="9.140625" style="2"/>
    <col min="5380" max="5380" width="7.140625" style="2" customWidth="1"/>
    <col min="5381" max="5381" width="47.7109375" style="2" customWidth="1"/>
    <col min="5382" max="5382" width="19.28515625" style="2" customWidth="1"/>
    <col min="5383" max="5635" width="9.140625" style="2"/>
    <col min="5636" max="5636" width="7.140625" style="2" customWidth="1"/>
    <col min="5637" max="5637" width="47.7109375" style="2" customWidth="1"/>
    <col min="5638" max="5638" width="19.28515625" style="2" customWidth="1"/>
    <col min="5639" max="5891" width="9.140625" style="2"/>
    <col min="5892" max="5892" width="7.140625" style="2" customWidth="1"/>
    <col min="5893" max="5893" width="47.7109375" style="2" customWidth="1"/>
    <col min="5894" max="5894" width="19.28515625" style="2" customWidth="1"/>
    <col min="5895" max="6147" width="9.140625" style="2"/>
    <col min="6148" max="6148" width="7.140625" style="2" customWidth="1"/>
    <col min="6149" max="6149" width="47.7109375" style="2" customWidth="1"/>
    <col min="6150" max="6150" width="19.28515625" style="2" customWidth="1"/>
    <col min="6151" max="6403" width="9.140625" style="2"/>
    <col min="6404" max="6404" width="7.140625" style="2" customWidth="1"/>
    <col min="6405" max="6405" width="47.7109375" style="2" customWidth="1"/>
    <col min="6406" max="6406" width="19.28515625" style="2" customWidth="1"/>
    <col min="6407" max="6659" width="9.140625" style="2"/>
    <col min="6660" max="6660" width="7.140625" style="2" customWidth="1"/>
    <col min="6661" max="6661" width="47.7109375" style="2" customWidth="1"/>
    <col min="6662" max="6662" width="19.28515625" style="2" customWidth="1"/>
    <col min="6663" max="6915" width="9.140625" style="2"/>
    <col min="6916" max="6916" width="7.140625" style="2" customWidth="1"/>
    <col min="6917" max="6917" width="47.7109375" style="2" customWidth="1"/>
    <col min="6918" max="6918" width="19.28515625" style="2" customWidth="1"/>
    <col min="6919" max="7171" width="9.140625" style="2"/>
    <col min="7172" max="7172" width="7.140625" style="2" customWidth="1"/>
    <col min="7173" max="7173" width="47.7109375" style="2" customWidth="1"/>
    <col min="7174" max="7174" width="19.28515625" style="2" customWidth="1"/>
    <col min="7175" max="7427" width="9.140625" style="2"/>
    <col min="7428" max="7428" width="7.140625" style="2" customWidth="1"/>
    <col min="7429" max="7429" width="47.7109375" style="2" customWidth="1"/>
    <col min="7430" max="7430" width="19.28515625" style="2" customWidth="1"/>
    <col min="7431" max="7683" width="9.140625" style="2"/>
    <col min="7684" max="7684" width="7.140625" style="2" customWidth="1"/>
    <col min="7685" max="7685" width="47.7109375" style="2" customWidth="1"/>
    <col min="7686" max="7686" width="19.28515625" style="2" customWidth="1"/>
    <col min="7687" max="7939" width="9.140625" style="2"/>
    <col min="7940" max="7940" width="7.140625" style="2" customWidth="1"/>
    <col min="7941" max="7941" width="47.7109375" style="2" customWidth="1"/>
    <col min="7942" max="7942" width="19.28515625" style="2" customWidth="1"/>
    <col min="7943" max="8195" width="9.140625" style="2"/>
    <col min="8196" max="8196" width="7.140625" style="2" customWidth="1"/>
    <col min="8197" max="8197" width="47.7109375" style="2" customWidth="1"/>
    <col min="8198" max="8198" width="19.28515625" style="2" customWidth="1"/>
    <col min="8199" max="8451" width="9.140625" style="2"/>
    <col min="8452" max="8452" width="7.140625" style="2" customWidth="1"/>
    <col min="8453" max="8453" width="47.7109375" style="2" customWidth="1"/>
    <col min="8454" max="8454" width="19.28515625" style="2" customWidth="1"/>
    <col min="8455" max="8707" width="9.140625" style="2"/>
    <col min="8708" max="8708" width="7.140625" style="2" customWidth="1"/>
    <col min="8709" max="8709" width="47.7109375" style="2" customWidth="1"/>
    <col min="8710" max="8710" width="19.28515625" style="2" customWidth="1"/>
    <col min="8711" max="8963" width="9.140625" style="2"/>
    <col min="8964" max="8964" width="7.140625" style="2" customWidth="1"/>
    <col min="8965" max="8965" width="47.7109375" style="2" customWidth="1"/>
    <col min="8966" max="8966" width="19.28515625" style="2" customWidth="1"/>
    <col min="8967" max="9219" width="9.140625" style="2"/>
    <col min="9220" max="9220" width="7.140625" style="2" customWidth="1"/>
    <col min="9221" max="9221" width="47.7109375" style="2" customWidth="1"/>
    <col min="9222" max="9222" width="19.28515625" style="2" customWidth="1"/>
    <col min="9223" max="9475" width="9.140625" style="2"/>
    <col min="9476" max="9476" width="7.140625" style="2" customWidth="1"/>
    <col min="9477" max="9477" width="47.7109375" style="2" customWidth="1"/>
    <col min="9478" max="9478" width="19.28515625" style="2" customWidth="1"/>
    <col min="9479" max="9731" width="9.140625" style="2"/>
    <col min="9732" max="9732" width="7.140625" style="2" customWidth="1"/>
    <col min="9733" max="9733" width="47.7109375" style="2" customWidth="1"/>
    <col min="9734" max="9734" width="19.28515625" style="2" customWidth="1"/>
    <col min="9735" max="9987" width="9.140625" style="2"/>
    <col min="9988" max="9988" width="7.140625" style="2" customWidth="1"/>
    <col min="9989" max="9989" width="47.7109375" style="2" customWidth="1"/>
    <col min="9990" max="9990" width="19.28515625" style="2" customWidth="1"/>
    <col min="9991" max="10243" width="9.140625" style="2"/>
    <col min="10244" max="10244" width="7.140625" style="2" customWidth="1"/>
    <col min="10245" max="10245" width="47.7109375" style="2" customWidth="1"/>
    <col min="10246" max="10246" width="19.28515625" style="2" customWidth="1"/>
    <col min="10247" max="10499" width="9.140625" style="2"/>
    <col min="10500" max="10500" width="7.140625" style="2" customWidth="1"/>
    <col min="10501" max="10501" width="47.7109375" style="2" customWidth="1"/>
    <col min="10502" max="10502" width="19.28515625" style="2" customWidth="1"/>
    <col min="10503" max="10755" width="9.140625" style="2"/>
    <col min="10756" max="10756" width="7.140625" style="2" customWidth="1"/>
    <col min="10757" max="10757" width="47.7109375" style="2" customWidth="1"/>
    <col min="10758" max="10758" width="19.28515625" style="2" customWidth="1"/>
    <col min="10759" max="11011" width="9.140625" style="2"/>
    <col min="11012" max="11012" width="7.140625" style="2" customWidth="1"/>
    <col min="11013" max="11013" width="47.7109375" style="2" customWidth="1"/>
    <col min="11014" max="11014" width="19.28515625" style="2" customWidth="1"/>
    <col min="11015" max="11267" width="9.140625" style="2"/>
    <col min="11268" max="11268" width="7.140625" style="2" customWidth="1"/>
    <col min="11269" max="11269" width="47.7109375" style="2" customWidth="1"/>
    <col min="11270" max="11270" width="19.28515625" style="2" customWidth="1"/>
    <col min="11271" max="11523" width="9.140625" style="2"/>
    <col min="11524" max="11524" width="7.140625" style="2" customWidth="1"/>
    <col min="11525" max="11525" width="47.7109375" style="2" customWidth="1"/>
    <col min="11526" max="11526" width="19.28515625" style="2" customWidth="1"/>
    <col min="11527" max="11779" width="9.140625" style="2"/>
    <col min="11780" max="11780" width="7.140625" style="2" customWidth="1"/>
    <col min="11781" max="11781" width="47.7109375" style="2" customWidth="1"/>
    <col min="11782" max="11782" width="19.28515625" style="2" customWidth="1"/>
    <col min="11783" max="12035" width="9.140625" style="2"/>
    <col min="12036" max="12036" width="7.140625" style="2" customWidth="1"/>
    <col min="12037" max="12037" width="47.7109375" style="2" customWidth="1"/>
    <col min="12038" max="12038" width="19.28515625" style="2" customWidth="1"/>
    <col min="12039" max="12291" width="9.140625" style="2"/>
    <col min="12292" max="12292" width="7.140625" style="2" customWidth="1"/>
    <col min="12293" max="12293" width="47.7109375" style="2" customWidth="1"/>
    <col min="12294" max="12294" width="19.28515625" style="2" customWidth="1"/>
    <col min="12295" max="12547" width="9.140625" style="2"/>
    <col min="12548" max="12548" width="7.140625" style="2" customWidth="1"/>
    <col min="12549" max="12549" width="47.7109375" style="2" customWidth="1"/>
    <col min="12550" max="12550" width="19.28515625" style="2" customWidth="1"/>
    <col min="12551" max="12803" width="9.140625" style="2"/>
    <col min="12804" max="12804" width="7.140625" style="2" customWidth="1"/>
    <col min="12805" max="12805" width="47.7109375" style="2" customWidth="1"/>
    <col min="12806" max="12806" width="19.28515625" style="2" customWidth="1"/>
    <col min="12807" max="13059" width="9.140625" style="2"/>
    <col min="13060" max="13060" width="7.140625" style="2" customWidth="1"/>
    <col min="13061" max="13061" width="47.7109375" style="2" customWidth="1"/>
    <col min="13062" max="13062" width="19.28515625" style="2" customWidth="1"/>
    <col min="13063" max="13315" width="9.140625" style="2"/>
    <col min="13316" max="13316" width="7.140625" style="2" customWidth="1"/>
    <col min="13317" max="13317" width="47.7109375" style="2" customWidth="1"/>
    <col min="13318" max="13318" width="19.28515625" style="2" customWidth="1"/>
    <col min="13319" max="13571" width="9.140625" style="2"/>
    <col min="13572" max="13572" width="7.140625" style="2" customWidth="1"/>
    <col min="13573" max="13573" width="47.7109375" style="2" customWidth="1"/>
    <col min="13574" max="13574" width="19.28515625" style="2" customWidth="1"/>
    <col min="13575" max="13827" width="9.140625" style="2"/>
    <col min="13828" max="13828" width="7.140625" style="2" customWidth="1"/>
    <col min="13829" max="13829" width="47.7109375" style="2" customWidth="1"/>
    <col min="13830" max="13830" width="19.28515625" style="2" customWidth="1"/>
    <col min="13831" max="14083" width="9.140625" style="2"/>
    <col min="14084" max="14084" width="7.140625" style="2" customWidth="1"/>
    <col min="14085" max="14085" width="47.7109375" style="2" customWidth="1"/>
    <col min="14086" max="14086" width="19.28515625" style="2" customWidth="1"/>
    <col min="14087" max="14339" width="9.140625" style="2"/>
    <col min="14340" max="14340" width="7.140625" style="2" customWidth="1"/>
    <col min="14341" max="14341" width="47.7109375" style="2" customWidth="1"/>
    <col min="14342" max="14342" width="19.28515625" style="2" customWidth="1"/>
    <col min="14343" max="14595" width="9.140625" style="2"/>
    <col min="14596" max="14596" width="7.140625" style="2" customWidth="1"/>
    <col min="14597" max="14597" width="47.7109375" style="2" customWidth="1"/>
    <col min="14598" max="14598" width="19.28515625" style="2" customWidth="1"/>
    <col min="14599" max="14851" width="9.140625" style="2"/>
    <col min="14852" max="14852" width="7.140625" style="2" customWidth="1"/>
    <col min="14853" max="14853" width="47.7109375" style="2" customWidth="1"/>
    <col min="14854" max="14854" width="19.28515625" style="2" customWidth="1"/>
    <col min="14855" max="15107" width="9.140625" style="2"/>
    <col min="15108" max="15108" width="7.140625" style="2" customWidth="1"/>
    <col min="15109" max="15109" width="47.7109375" style="2" customWidth="1"/>
    <col min="15110" max="15110" width="19.28515625" style="2" customWidth="1"/>
    <col min="15111" max="15363" width="9.140625" style="2"/>
    <col min="15364" max="15364" width="7.140625" style="2" customWidth="1"/>
    <col min="15365" max="15365" width="47.7109375" style="2" customWidth="1"/>
    <col min="15366" max="15366" width="19.28515625" style="2" customWidth="1"/>
    <col min="15367" max="15619" width="9.140625" style="2"/>
    <col min="15620" max="15620" width="7.140625" style="2" customWidth="1"/>
    <col min="15621" max="15621" width="47.7109375" style="2" customWidth="1"/>
    <col min="15622" max="15622" width="19.28515625" style="2" customWidth="1"/>
    <col min="15623" max="15875" width="9.140625" style="2"/>
    <col min="15876" max="15876" width="7.140625" style="2" customWidth="1"/>
    <col min="15877" max="15877" width="47.7109375" style="2" customWidth="1"/>
    <col min="15878" max="15878" width="19.28515625" style="2" customWidth="1"/>
    <col min="15879" max="16131" width="9.140625" style="2"/>
    <col min="16132" max="16132" width="7.140625" style="2" customWidth="1"/>
    <col min="16133" max="16133" width="47.7109375" style="2" customWidth="1"/>
    <col min="16134" max="16134" width="19.28515625" style="2" customWidth="1"/>
    <col min="16135" max="16384" width="9.140625" style="2"/>
  </cols>
  <sheetData>
    <row r="1" spans="1:6" ht="15.75" customHeight="1">
      <c r="A1" s="1798" t="s">
        <v>61</v>
      </c>
      <c r="B1" s="1798"/>
      <c r="F1" s="3"/>
    </row>
    <row r="2" spans="1:6">
      <c r="A2" s="1798" t="s">
        <v>62</v>
      </c>
      <c r="B2" s="1798"/>
      <c r="C2" s="4"/>
      <c r="D2" s="4"/>
      <c r="E2" s="4"/>
    </row>
    <row r="3" spans="1:6">
      <c r="A3" s="5"/>
    </row>
    <row r="4" spans="1:6">
      <c r="A4" s="1798" t="str">
        <f>'TTDVNN V '!A4:G4</f>
        <v>DỰ TOÁN THU, CHI NGÂN SÁCH NHÀ NƯỚC NĂM 2025</v>
      </c>
      <c r="B4" s="1798"/>
      <c r="C4" s="1798"/>
      <c r="D4" s="1798"/>
      <c r="E4" s="1798"/>
      <c r="F4" s="1798"/>
    </row>
    <row r="5" spans="1:6">
      <c r="A5" s="1798" t="s">
        <v>63</v>
      </c>
      <c r="B5" s="1798"/>
      <c r="C5" s="1798"/>
      <c r="D5" s="1798"/>
      <c r="E5" s="1798"/>
      <c r="F5" s="1798"/>
    </row>
    <row r="6" spans="1:6">
      <c r="A6" s="1798" t="s">
        <v>1339</v>
      </c>
      <c r="B6" s="1798"/>
      <c r="C6" s="1798"/>
      <c r="D6" s="1798"/>
      <c r="E6" s="1798"/>
      <c r="F6" s="1798"/>
    </row>
    <row r="7" spans="1:6">
      <c r="A7" s="1798" t="s">
        <v>17</v>
      </c>
      <c r="B7" s="1798"/>
      <c r="C7" s="1798"/>
      <c r="D7" s="1798"/>
      <c r="E7" s="1798"/>
      <c r="F7" s="1798"/>
    </row>
    <row r="8" spans="1:6">
      <c r="A8" s="1799">
        <f>'TTDVNN V '!A8:G8</f>
        <v>0</v>
      </c>
      <c r="B8" s="1799"/>
      <c r="C8" s="1799"/>
      <c r="D8" s="1799"/>
      <c r="E8" s="1799"/>
      <c r="F8" s="1799"/>
    </row>
    <row r="9" spans="1:6">
      <c r="F9" s="6" t="s">
        <v>43</v>
      </c>
    </row>
    <row r="10" spans="1:6" ht="117" customHeight="1">
      <c r="A10" s="7" t="s">
        <v>0</v>
      </c>
      <c r="B10" s="7" t="s">
        <v>1</v>
      </c>
      <c r="C10" s="7" t="str">
        <f>'TTDVNN V '!C11</f>
        <v>Dự toán 
năm 2025</v>
      </c>
      <c r="D10" s="7" t="s">
        <v>18</v>
      </c>
      <c r="E10" s="7" t="s">
        <v>117</v>
      </c>
      <c r="F10" s="7" t="s">
        <v>19</v>
      </c>
    </row>
    <row r="11" spans="1:6">
      <c r="A11" s="8" t="s">
        <v>20</v>
      </c>
      <c r="B11" s="8" t="s">
        <v>21</v>
      </c>
      <c r="C11" s="8" t="s">
        <v>22</v>
      </c>
      <c r="D11" s="8" t="s">
        <v>23</v>
      </c>
      <c r="E11" s="8" t="s">
        <v>24</v>
      </c>
      <c r="F11" s="8" t="s">
        <v>25</v>
      </c>
    </row>
    <row r="12" spans="1:6">
      <c r="A12" s="7" t="s">
        <v>2</v>
      </c>
      <c r="B12" s="9" t="s">
        <v>87</v>
      </c>
      <c r="C12" s="10">
        <f>C13</f>
        <v>7650000000</v>
      </c>
      <c r="D12" s="10"/>
      <c r="E12" s="10">
        <f>E13+E14</f>
        <v>7650000000</v>
      </c>
      <c r="F12" s="11"/>
    </row>
    <row r="13" spans="1:6">
      <c r="A13" s="17">
        <v>1</v>
      </c>
      <c r="B13" s="18" t="s">
        <v>4</v>
      </c>
      <c r="C13" s="19">
        <v>7650000000</v>
      </c>
      <c r="D13" s="19"/>
      <c r="E13" s="19"/>
      <c r="F13" s="11"/>
    </row>
    <row r="14" spans="1:6">
      <c r="A14" s="17">
        <v>2</v>
      </c>
      <c r="B14" s="18" t="s">
        <v>7</v>
      </c>
      <c r="C14" s="19">
        <v>7650000000</v>
      </c>
      <c r="D14" s="19"/>
      <c r="E14" s="19">
        <f>C14</f>
        <v>7650000000</v>
      </c>
      <c r="F14" s="11"/>
    </row>
    <row r="15" spans="1:6" ht="37.5">
      <c r="A15" s="7" t="s">
        <v>12</v>
      </c>
      <c r="B15" s="9" t="s">
        <v>71</v>
      </c>
      <c r="C15" s="10">
        <f>C16</f>
        <v>5434200000</v>
      </c>
      <c r="D15" s="10"/>
      <c r="E15" s="10">
        <f>E16</f>
        <v>5434200000</v>
      </c>
      <c r="F15" s="11"/>
    </row>
    <row r="16" spans="1:6">
      <c r="A16" s="7"/>
      <c r="B16" s="9" t="s">
        <v>14</v>
      </c>
      <c r="C16" s="10">
        <f>C20+C29</f>
        <v>5434200000</v>
      </c>
      <c r="D16" s="10"/>
      <c r="E16" s="10">
        <f>E20+E29</f>
        <v>5434200000</v>
      </c>
      <c r="F16" s="11"/>
    </row>
    <row r="17" spans="1:6" s="16" customFormat="1" ht="19.5" hidden="1">
      <c r="A17" s="12"/>
      <c r="B17" s="13"/>
      <c r="C17" s="14"/>
      <c r="D17" s="14"/>
      <c r="E17" s="14"/>
      <c r="F17" s="15"/>
    </row>
    <row r="18" spans="1:6" hidden="1">
      <c r="A18" s="17"/>
      <c r="B18" s="18"/>
      <c r="C18" s="19"/>
      <c r="D18" s="19"/>
      <c r="E18" s="19"/>
      <c r="F18" s="11"/>
    </row>
    <row r="19" spans="1:6" hidden="1">
      <c r="A19" s="17"/>
      <c r="B19" s="18"/>
      <c r="C19" s="19"/>
      <c r="D19" s="19"/>
      <c r="E19" s="19"/>
      <c r="F19" s="11"/>
    </row>
    <row r="20" spans="1:6" s="16" customFormat="1" ht="78">
      <c r="A20" s="12">
        <v>1</v>
      </c>
      <c r="B20" s="13" t="s">
        <v>69</v>
      </c>
      <c r="C20" s="14">
        <f>SUM(C21:C28)</f>
        <v>2100200000</v>
      </c>
      <c r="D20" s="14"/>
      <c r="E20" s="14">
        <f>SUM(E21:E28)</f>
        <v>2100200000</v>
      </c>
      <c r="F20" s="15"/>
    </row>
    <row r="21" spans="1:6" ht="37.5" hidden="1">
      <c r="A21" s="17" t="s">
        <v>5</v>
      </c>
      <c r="B21" s="18" t="s">
        <v>64</v>
      </c>
      <c r="C21" s="19">
        <f>'Dự toán Chi tiết 2025'!L139</f>
        <v>0</v>
      </c>
      <c r="D21" s="19"/>
      <c r="E21" s="19">
        <f>C21-D21</f>
        <v>0</v>
      </c>
      <c r="F21" s="11"/>
    </row>
    <row r="22" spans="1:6" ht="56.25">
      <c r="A22" s="17" t="s">
        <v>5</v>
      </c>
      <c r="B22" s="18" t="s">
        <v>2003</v>
      </c>
      <c r="C22" s="19">
        <f>'Dự toán Chi tiết 2025'!L141</f>
        <v>849000000</v>
      </c>
      <c r="D22" s="19"/>
      <c r="E22" s="19">
        <f t="shared" ref="E22:E28" si="0">C22-D22</f>
        <v>849000000</v>
      </c>
      <c r="F22" s="11"/>
    </row>
    <row r="23" spans="1:6" ht="37.5">
      <c r="A23" s="17" t="s">
        <v>6</v>
      </c>
      <c r="B23" s="18" t="s">
        <v>66</v>
      </c>
      <c r="C23" s="19">
        <f>'Dự toán Chi tiết 2025'!L142</f>
        <v>64000000</v>
      </c>
      <c r="D23" s="19"/>
      <c r="E23" s="19">
        <f t="shared" si="0"/>
        <v>64000000</v>
      </c>
      <c r="F23" s="11"/>
    </row>
    <row r="24" spans="1:6" ht="37.5" hidden="1">
      <c r="A24" s="17" t="s">
        <v>158</v>
      </c>
      <c r="B24" s="18" t="s">
        <v>67</v>
      </c>
      <c r="C24" s="19">
        <f>'Dự toán Chi tiết 2025'!L143</f>
        <v>0</v>
      </c>
      <c r="D24" s="19"/>
      <c r="E24" s="19">
        <f t="shared" si="0"/>
        <v>0</v>
      </c>
      <c r="F24" s="11"/>
    </row>
    <row r="25" spans="1:6" ht="37.5">
      <c r="A25" s="17" t="s">
        <v>157</v>
      </c>
      <c r="B25" s="18" t="s">
        <v>904</v>
      </c>
      <c r="C25" s="19">
        <f>'Dự toán Chi tiết 2025'!L144</f>
        <v>99200000</v>
      </c>
      <c r="D25" s="19"/>
      <c r="E25" s="19">
        <f t="shared" si="0"/>
        <v>99200000</v>
      </c>
      <c r="F25" s="11"/>
    </row>
    <row r="26" spans="1:6" ht="93.75" hidden="1">
      <c r="A26" s="17" t="s">
        <v>1278</v>
      </c>
      <c r="B26" s="18" t="s">
        <v>905</v>
      </c>
      <c r="C26" s="19">
        <f>'Dự toán Chi tiết 2025'!L145</f>
        <v>0</v>
      </c>
      <c r="D26" s="19"/>
      <c r="E26" s="19">
        <f t="shared" si="0"/>
        <v>0</v>
      </c>
      <c r="F26" s="11"/>
    </row>
    <row r="27" spans="1:6" ht="37.5">
      <c r="A27" s="17" t="s">
        <v>158</v>
      </c>
      <c r="B27" s="18" t="s">
        <v>68</v>
      </c>
      <c r="C27" s="19">
        <f>'Dự toán Chi tiết 2025'!L146</f>
        <v>68000000</v>
      </c>
      <c r="D27" s="19"/>
      <c r="E27" s="19">
        <f t="shared" si="0"/>
        <v>68000000</v>
      </c>
      <c r="F27" s="11"/>
    </row>
    <row r="28" spans="1:6" ht="187.5">
      <c r="A28" s="17" t="s">
        <v>159</v>
      </c>
      <c r="B28" s="18" t="s">
        <v>1294</v>
      </c>
      <c r="C28" s="19">
        <f>'Dự toán Chi tiết 2025'!L147</f>
        <v>1020000000</v>
      </c>
      <c r="D28" s="19"/>
      <c r="E28" s="19">
        <f t="shared" si="0"/>
        <v>1020000000</v>
      </c>
      <c r="F28" s="11"/>
    </row>
    <row r="29" spans="1:6" s="16" customFormat="1" ht="58.5">
      <c r="A29" s="12">
        <v>2</v>
      </c>
      <c r="B29" s="13" t="s">
        <v>2002</v>
      </c>
      <c r="C29" s="14">
        <f>'Dự toán Chi tiết 2025'!L136+'Dự toán Chi tiết 2025'!L137</f>
        <v>3334000000</v>
      </c>
      <c r="D29" s="14"/>
      <c r="E29" s="14">
        <f>C29-D29</f>
        <v>3334000000</v>
      </c>
      <c r="F29" s="15"/>
    </row>
  </sheetData>
  <mergeCells count="7">
    <mergeCell ref="A7:F7"/>
    <mergeCell ref="A8:F8"/>
    <mergeCell ref="A1:B1"/>
    <mergeCell ref="A2:B2"/>
    <mergeCell ref="A4:F4"/>
    <mergeCell ref="A5:F5"/>
    <mergeCell ref="A6:F6"/>
  </mergeCells>
  <pageMargins left="0.5" right="0.39" top="0.27" bottom="0.35" header="0.31496062992125984" footer="0.31496062992125984"/>
  <pageSetup paperSize="9" scale="80" fitToHeight="0" orientation="portrait" horizontalDpi="120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28"/>
  <sheetViews>
    <sheetView topLeftCell="A16" workbookViewId="0">
      <selection activeCell="F14" sqref="F14"/>
    </sheetView>
  </sheetViews>
  <sheetFormatPr defaultRowHeight="18.75"/>
  <cols>
    <col min="1" max="1" width="7.140625" style="2" customWidth="1"/>
    <col min="2" max="2" width="38.5703125" style="2" customWidth="1"/>
    <col min="3" max="3" width="18.85546875" style="2" customWidth="1"/>
    <col min="4" max="5" width="21.140625" style="2" customWidth="1"/>
    <col min="6" max="6" width="19.42578125" style="2" customWidth="1"/>
    <col min="7" max="7" width="20" style="2" customWidth="1"/>
    <col min="8"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7" ht="25.5" customHeight="1">
      <c r="A1" s="1798" t="s">
        <v>73</v>
      </c>
      <c r="B1" s="1798"/>
      <c r="G1" s="3"/>
    </row>
    <row r="2" spans="1:7">
      <c r="A2" s="1798" t="s">
        <v>74</v>
      </c>
      <c r="B2" s="1798"/>
      <c r="C2" s="4"/>
      <c r="D2" s="4"/>
      <c r="E2" s="4"/>
      <c r="F2" s="4"/>
    </row>
    <row r="3" spans="1:7">
      <c r="A3" s="5"/>
    </row>
    <row r="4" spans="1:7">
      <c r="A4" s="1798" t="str">
        <f>'TTDVNN V '!A4:G4</f>
        <v>DỰ TOÁN THU, CHI NGÂN SÁCH NHÀ NƯỚC NĂM 2025</v>
      </c>
      <c r="B4" s="1798"/>
      <c r="C4" s="1798"/>
      <c r="D4" s="1798"/>
      <c r="E4" s="1798"/>
      <c r="F4" s="1798"/>
      <c r="G4" s="1798"/>
    </row>
    <row r="5" spans="1:7">
      <c r="A5" s="1798" t="s">
        <v>72</v>
      </c>
      <c r="B5" s="1798"/>
      <c r="C5" s="1798"/>
      <c r="D5" s="1798"/>
      <c r="E5" s="1798"/>
      <c r="F5" s="1798"/>
      <c r="G5" s="1798"/>
    </row>
    <row r="6" spans="1:7">
      <c r="A6" s="1798" t="s">
        <v>76</v>
      </c>
      <c r="B6" s="1798"/>
      <c r="C6" s="1798"/>
      <c r="D6" s="1798"/>
      <c r="E6" s="1798"/>
      <c r="F6" s="1798"/>
      <c r="G6" s="1798"/>
    </row>
    <row r="7" spans="1:7">
      <c r="A7" s="1798" t="s">
        <v>17</v>
      </c>
      <c r="B7" s="1798"/>
      <c r="C7" s="1798"/>
      <c r="D7" s="1798"/>
      <c r="E7" s="1798"/>
      <c r="F7" s="1798"/>
      <c r="G7" s="1798"/>
    </row>
    <row r="8" spans="1:7">
      <c r="A8" s="1799">
        <f>'TTDVNN V '!A8:G8</f>
        <v>0</v>
      </c>
      <c r="B8" s="1799"/>
      <c r="C8" s="1799"/>
      <c r="D8" s="1799"/>
      <c r="E8" s="1799"/>
      <c r="F8" s="1799"/>
      <c r="G8" s="1799"/>
    </row>
    <row r="9" spans="1:7">
      <c r="G9" s="6" t="s">
        <v>43</v>
      </c>
    </row>
    <row r="10" spans="1:7"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7">
      <c r="A11" s="8" t="s">
        <v>20</v>
      </c>
      <c r="B11" s="8" t="s">
        <v>21</v>
      </c>
      <c r="C11" s="8" t="s">
        <v>22</v>
      </c>
      <c r="D11" s="8" t="s">
        <v>23</v>
      </c>
      <c r="E11" s="8" t="str">
        <f>'TTDVNN V '!E12</f>
        <v>(5)</v>
      </c>
      <c r="F11" s="8" t="str">
        <f>'TTDVNN V '!F12</f>
        <v>(6)=(3)-(4)+(5)</v>
      </c>
      <c r="G11" s="8" t="s">
        <v>25</v>
      </c>
    </row>
    <row r="12" spans="1:7" ht="37.5">
      <c r="A12" s="7" t="s">
        <v>2</v>
      </c>
      <c r="B12" s="9" t="s">
        <v>3</v>
      </c>
      <c r="C12" s="10"/>
      <c r="D12" s="10"/>
      <c r="E12" s="10"/>
      <c r="F12" s="10"/>
      <c r="G12" s="11"/>
    </row>
    <row r="13" spans="1:7" ht="37.5">
      <c r="A13" s="7" t="s">
        <v>12</v>
      </c>
      <c r="B13" s="9" t="s">
        <v>84</v>
      </c>
      <c r="C13" s="10">
        <f>C14</f>
        <v>693000000</v>
      </c>
      <c r="D13" s="10">
        <f>D14</f>
        <v>31000000</v>
      </c>
      <c r="E13" s="10">
        <f>E14</f>
        <v>31000000</v>
      </c>
      <c r="F13" s="10">
        <f>F14</f>
        <v>693000000</v>
      </c>
      <c r="G13" s="11"/>
    </row>
    <row r="14" spans="1:7">
      <c r="A14" s="7"/>
      <c r="B14" s="9" t="s">
        <v>14</v>
      </c>
      <c r="C14" s="10">
        <f>C15+C19</f>
        <v>693000000</v>
      </c>
      <c r="D14" s="10">
        <f>D15+D19</f>
        <v>31000000</v>
      </c>
      <c r="E14" s="10">
        <f>E15+E19</f>
        <v>31000000</v>
      </c>
      <c r="F14" s="10">
        <f>F15+F19</f>
        <v>693000000</v>
      </c>
      <c r="G14" s="11"/>
    </row>
    <row r="15" spans="1:7" s="16" customFormat="1" ht="39">
      <c r="A15" s="12">
        <v>1</v>
      </c>
      <c r="B15" s="13" t="s">
        <v>9</v>
      </c>
      <c r="C15" s="14">
        <f>SUM(C16:C18)</f>
        <v>387000000</v>
      </c>
      <c r="D15" s="14">
        <f>SUM(D16:D18)</f>
        <v>4000000</v>
      </c>
      <c r="E15" s="14">
        <f>SUM(E16:E18)</f>
        <v>31000000</v>
      </c>
      <c r="F15" s="14">
        <f>SUM(F16:F18)</f>
        <v>414000000</v>
      </c>
      <c r="G15" s="15"/>
    </row>
    <row r="16" spans="1:7" ht="37.5">
      <c r="A16" s="17" t="s">
        <v>5</v>
      </c>
      <c r="B16" s="18" t="s">
        <v>26</v>
      </c>
      <c r="C16" s="19">
        <f>'Dự toán Chi tiết 2025'!L260</f>
        <v>240000000</v>
      </c>
      <c r="D16" s="19"/>
      <c r="E16" s="19"/>
      <c r="F16" s="19">
        <f>C16-D16+E16</f>
        <v>240000000</v>
      </c>
      <c r="G16" s="11"/>
    </row>
    <row r="17" spans="1:7" ht="37.5">
      <c r="A17" s="17" t="s">
        <v>6</v>
      </c>
      <c r="B17" s="18" t="str">
        <f>'TTDVNN V '!B18</f>
        <v>Kinh phí thực hiện cải cách tiền lương</v>
      </c>
      <c r="C17" s="19">
        <f>'Dự toán Chi tiết 2025'!L262</f>
        <v>107000000</v>
      </c>
      <c r="D17" s="19"/>
      <c r="E17" s="19">
        <f>D13</f>
        <v>31000000</v>
      </c>
      <c r="F17" s="19">
        <f>C17-D17+E17</f>
        <v>138000000</v>
      </c>
      <c r="G17" s="11"/>
    </row>
    <row r="18" spans="1:7" ht="37.5">
      <c r="A18" s="17" t="s">
        <v>157</v>
      </c>
      <c r="B18" s="18" t="s">
        <v>27</v>
      </c>
      <c r="C18" s="19">
        <f>'Dự toán Chi tiết 2025'!L263</f>
        <v>40000000</v>
      </c>
      <c r="D18" s="19">
        <f>C18*10%</f>
        <v>4000000</v>
      </c>
      <c r="E18" s="19"/>
      <c r="F18" s="19">
        <f>C18-D18+E18</f>
        <v>36000000</v>
      </c>
      <c r="G18" s="11"/>
    </row>
    <row r="19" spans="1:7" s="16" customFormat="1" ht="39">
      <c r="A19" s="12">
        <v>2</v>
      </c>
      <c r="B19" s="13" t="s">
        <v>10</v>
      </c>
      <c r="C19" s="14">
        <f>SUM(C20:C28)</f>
        <v>306000000</v>
      </c>
      <c r="D19" s="14">
        <f>SUM(D20:D28)</f>
        <v>27000000</v>
      </c>
      <c r="E19" s="14"/>
      <c r="F19" s="14">
        <f>SUM(F20:F28)</f>
        <v>279000000</v>
      </c>
      <c r="G19" s="15"/>
    </row>
    <row r="20" spans="1:7">
      <c r="A20" s="17" t="s">
        <v>8</v>
      </c>
      <c r="B20" s="18" t="s">
        <v>77</v>
      </c>
      <c r="C20" s="19">
        <f>'Dự toán Chi tiết 2025'!L266</f>
        <v>50000000</v>
      </c>
      <c r="D20" s="19">
        <f>C20*10%</f>
        <v>5000000</v>
      </c>
      <c r="E20" s="19"/>
      <c r="F20" s="19">
        <f t="shared" ref="F20:F28" si="0">C20-D20</f>
        <v>45000000</v>
      </c>
      <c r="G20" s="11"/>
    </row>
    <row r="21" spans="1:7">
      <c r="A21" s="17" t="s">
        <v>11</v>
      </c>
      <c r="B21" s="18" t="s">
        <v>33</v>
      </c>
      <c r="C21" s="19">
        <f>'Dự toán Chi tiết 2025'!L268</f>
        <v>36000000</v>
      </c>
      <c r="D21" s="19"/>
      <c r="E21" s="19"/>
      <c r="F21" s="19">
        <f t="shared" si="0"/>
        <v>36000000</v>
      </c>
      <c r="G21" s="11"/>
    </row>
    <row r="22" spans="1:7">
      <c r="A22" s="17" t="s">
        <v>13</v>
      </c>
      <c r="B22" s="18" t="s">
        <v>80</v>
      </c>
      <c r="C22" s="19">
        <f>'Dự toán Chi tiết 2025'!L269</f>
        <v>100000000</v>
      </c>
      <c r="D22" s="19">
        <f t="shared" ref="D22:D28" si="1">C22*10%</f>
        <v>10000000</v>
      </c>
      <c r="E22" s="19"/>
      <c r="F22" s="19">
        <f t="shared" si="0"/>
        <v>90000000</v>
      </c>
      <c r="G22" s="11"/>
    </row>
    <row r="23" spans="1:7" ht="37.5">
      <c r="A23" s="17" t="s">
        <v>28</v>
      </c>
      <c r="B23" s="18" t="s">
        <v>81</v>
      </c>
      <c r="C23" s="19">
        <f>'Dự toán Chi tiết 2025'!L270</f>
        <v>10000000</v>
      </c>
      <c r="D23" s="19">
        <f t="shared" si="1"/>
        <v>1000000</v>
      </c>
      <c r="E23" s="19"/>
      <c r="F23" s="19">
        <f t="shared" si="0"/>
        <v>9000000</v>
      </c>
      <c r="G23" s="11"/>
    </row>
    <row r="24" spans="1:7">
      <c r="A24" s="17" t="s">
        <v>29</v>
      </c>
      <c r="B24" s="18" t="str">
        <f>'Dự toán Chi tiết 2025'!B267</f>
        <v>Sửa chữa tài sản cố định</v>
      </c>
      <c r="C24" s="19">
        <f>'Dự toán Chi tiết 2025'!L267</f>
        <v>20000000</v>
      </c>
      <c r="D24" s="19">
        <f t="shared" si="1"/>
        <v>2000000</v>
      </c>
      <c r="E24" s="19"/>
      <c r="F24" s="19">
        <f t="shared" si="0"/>
        <v>18000000</v>
      </c>
      <c r="G24" s="11"/>
    </row>
    <row r="25" spans="1:7" ht="60.75" customHeight="1">
      <c r="A25" s="17" t="s">
        <v>30</v>
      </c>
      <c r="B25" s="18" t="str">
        <f>'Dự toán Chi tiết 2025'!B272</f>
        <v>Tổ chức tuyên truyền, sơ kết, tổng kết, tài liệu và các nhiệm vụ khác được UBND thành phố giao</v>
      </c>
      <c r="C25" s="19">
        <f>'Dự toán Chi tiết 2025'!L272</f>
        <v>20000000</v>
      </c>
      <c r="D25" s="19">
        <f t="shared" si="1"/>
        <v>2000000</v>
      </c>
      <c r="E25" s="19"/>
      <c r="F25" s="19">
        <f t="shared" si="0"/>
        <v>18000000</v>
      </c>
      <c r="G25" s="11"/>
    </row>
    <row r="26" spans="1:7" ht="37.5">
      <c r="A26" s="17" t="s">
        <v>31</v>
      </c>
      <c r="B26" s="18" t="s">
        <v>83</v>
      </c>
      <c r="C26" s="19">
        <f>'Dự toán Chi tiết 2025'!L274</f>
        <v>30000000</v>
      </c>
      <c r="D26" s="19">
        <f t="shared" si="1"/>
        <v>3000000</v>
      </c>
      <c r="E26" s="19"/>
      <c r="F26" s="19">
        <f t="shared" si="0"/>
        <v>27000000</v>
      </c>
      <c r="G26" s="11"/>
    </row>
    <row r="27" spans="1:7">
      <c r="A27" s="17" t="s">
        <v>32</v>
      </c>
      <c r="B27" s="20" t="str">
        <f>'Dự toán Chi tiết 2025'!B276</f>
        <v>Hội nghị Điển hình tiên tiến</v>
      </c>
      <c r="C27" s="19">
        <f>'Dự toán Chi tiết 2025'!L276</f>
        <v>20000000</v>
      </c>
      <c r="D27" s="19">
        <f t="shared" si="1"/>
        <v>2000000</v>
      </c>
      <c r="E27" s="19"/>
      <c r="F27" s="19">
        <f t="shared" si="0"/>
        <v>18000000</v>
      </c>
      <c r="G27" s="11"/>
    </row>
    <row r="28" spans="1:7" ht="56.25">
      <c r="A28" s="17" t="s">
        <v>38</v>
      </c>
      <c r="B28" s="18" t="s">
        <v>1449</v>
      </c>
      <c r="C28" s="19">
        <v>20000000</v>
      </c>
      <c r="D28" s="19">
        <f t="shared" si="1"/>
        <v>2000000</v>
      </c>
      <c r="E28" s="19"/>
      <c r="F28" s="19">
        <f t="shared" si="0"/>
        <v>18000000</v>
      </c>
      <c r="G28" s="11"/>
    </row>
  </sheetData>
  <mergeCells count="7">
    <mergeCell ref="A8:G8"/>
    <mergeCell ref="A2:B2"/>
    <mergeCell ref="A1:B1"/>
    <mergeCell ref="A4:G4"/>
    <mergeCell ref="A5:G5"/>
    <mergeCell ref="A6:G6"/>
    <mergeCell ref="A7:G7"/>
  </mergeCells>
  <pageMargins left="0.47" right="0.44" top="0.6" bottom="0.74803149606299213" header="0.31496062992125984" footer="0.31496062992125984"/>
  <pageSetup paperSize="9" scale="64" fitToHeight="0"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58"/>
  <sheetViews>
    <sheetView topLeftCell="A51" zoomScale="90" zoomScaleNormal="90" workbookViewId="0">
      <selection activeCell="B57" sqref="B57"/>
    </sheetView>
  </sheetViews>
  <sheetFormatPr defaultRowHeight="18.75"/>
  <cols>
    <col min="1" max="1" width="7.140625" style="288" customWidth="1"/>
    <col min="2" max="2" width="38.5703125" style="288" customWidth="1"/>
    <col min="3" max="3" width="19.28515625" style="288" customWidth="1"/>
    <col min="4" max="5" width="21.140625" style="288" customWidth="1"/>
    <col min="6" max="6" width="19.42578125" style="288" customWidth="1"/>
    <col min="7" max="7" width="20" style="288" customWidth="1"/>
    <col min="8" max="8" width="18" style="288" hidden="1" customWidth="1"/>
    <col min="9" max="9" width="0" style="288" hidden="1" customWidth="1"/>
    <col min="10" max="10" width="19.42578125" style="288" bestFit="1" customWidth="1"/>
    <col min="11" max="260" width="9.140625" style="288"/>
    <col min="261" max="261" width="7.140625" style="288" customWidth="1"/>
    <col min="262" max="262" width="47.7109375" style="288" customWidth="1"/>
    <col min="263" max="263" width="19.28515625" style="288" customWidth="1"/>
    <col min="264" max="516" width="9.140625" style="288"/>
    <col min="517" max="517" width="7.140625" style="288" customWidth="1"/>
    <col min="518" max="518" width="47.7109375" style="288" customWidth="1"/>
    <col min="519" max="519" width="19.28515625" style="288" customWidth="1"/>
    <col min="520" max="772" width="9.140625" style="288"/>
    <col min="773" max="773" width="7.140625" style="288" customWidth="1"/>
    <col min="774" max="774" width="47.7109375" style="288" customWidth="1"/>
    <col min="775" max="775" width="19.28515625" style="288" customWidth="1"/>
    <col min="776" max="1028" width="9.140625" style="288"/>
    <col min="1029" max="1029" width="7.140625" style="288" customWidth="1"/>
    <col min="1030" max="1030" width="47.7109375" style="288" customWidth="1"/>
    <col min="1031" max="1031" width="19.28515625" style="288" customWidth="1"/>
    <col min="1032" max="1284" width="9.140625" style="288"/>
    <col min="1285" max="1285" width="7.140625" style="288" customWidth="1"/>
    <col min="1286" max="1286" width="47.7109375" style="288" customWidth="1"/>
    <col min="1287" max="1287" width="19.28515625" style="288" customWidth="1"/>
    <col min="1288" max="1540" width="9.140625" style="288"/>
    <col min="1541" max="1541" width="7.140625" style="288" customWidth="1"/>
    <col min="1542" max="1542" width="47.7109375" style="288" customWidth="1"/>
    <col min="1543" max="1543" width="19.28515625" style="288" customWidth="1"/>
    <col min="1544" max="1796" width="9.140625" style="288"/>
    <col min="1797" max="1797" width="7.140625" style="288" customWidth="1"/>
    <col min="1798" max="1798" width="47.7109375" style="288" customWidth="1"/>
    <col min="1799" max="1799" width="19.28515625" style="288" customWidth="1"/>
    <col min="1800" max="2052" width="9.140625" style="288"/>
    <col min="2053" max="2053" width="7.140625" style="288" customWidth="1"/>
    <col min="2054" max="2054" width="47.7109375" style="288" customWidth="1"/>
    <col min="2055" max="2055" width="19.28515625" style="288" customWidth="1"/>
    <col min="2056" max="2308" width="9.140625" style="288"/>
    <col min="2309" max="2309" width="7.140625" style="288" customWidth="1"/>
    <col min="2310" max="2310" width="47.7109375" style="288" customWidth="1"/>
    <col min="2311" max="2311" width="19.28515625" style="288" customWidth="1"/>
    <col min="2312" max="2564" width="9.140625" style="288"/>
    <col min="2565" max="2565" width="7.140625" style="288" customWidth="1"/>
    <col min="2566" max="2566" width="47.7109375" style="288" customWidth="1"/>
    <col min="2567" max="2567" width="19.28515625" style="288" customWidth="1"/>
    <col min="2568" max="2820" width="9.140625" style="288"/>
    <col min="2821" max="2821" width="7.140625" style="288" customWidth="1"/>
    <col min="2822" max="2822" width="47.7109375" style="288" customWidth="1"/>
    <col min="2823" max="2823" width="19.28515625" style="288" customWidth="1"/>
    <col min="2824" max="3076" width="9.140625" style="288"/>
    <col min="3077" max="3077" width="7.140625" style="288" customWidth="1"/>
    <col min="3078" max="3078" width="47.7109375" style="288" customWidth="1"/>
    <col min="3079" max="3079" width="19.28515625" style="288" customWidth="1"/>
    <col min="3080" max="3332" width="9.140625" style="288"/>
    <col min="3333" max="3333" width="7.140625" style="288" customWidth="1"/>
    <col min="3334" max="3334" width="47.7109375" style="288" customWidth="1"/>
    <col min="3335" max="3335" width="19.28515625" style="288" customWidth="1"/>
    <col min="3336" max="3588" width="9.140625" style="288"/>
    <col min="3589" max="3589" width="7.140625" style="288" customWidth="1"/>
    <col min="3590" max="3590" width="47.7109375" style="288" customWidth="1"/>
    <col min="3591" max="3591" width="19.28515625" style="288" customWidth="1"/>
    <col min="3592" max="3844" width="9.140625" style="288"/>
    <col min="3845" max="3845" width="7.140625" style="288" customWidth="1"/>
    <col min="3846" max="3846" width="47.7109375" style="288" customWidth="1"/>
    <col min="3847" max="3847" width="19.28515625" style="288" customWidth="1"/>
    <col min="3848" max="4100" width="9.140625" style="288"/>
    <col min="4101" max="4101" width="7.140625" style="288" customWidth="1"/>
    <col min="4102" max="4102" width="47.7109375" style="288" customWidth="1"/>
    <col min="4103" max="4103" width="19.28515625" style="288" customWidth="1"/>
    <col min="4104" max="4356" width="9.140625" style="288"/>
    <col min="4357" max="4357" width="7.140625" style="288" customWidth="1"/>
    <col min="4358" max="4358" width="47.7109375" style="288" customWidth="1"/>
    <col min="4359" max="4359" width="19.28515625" style="288" customWidth="1"/>
    <col min="4360" max="4612" width="9.140625" style="288"/>
    <col min="4613" max="4613" width="7.140625" style="288" customWidth="1"/>
    <col min="4614" max="4614" width="47.7109375" style="288" customWidth="1"/>
    <col min="4615" max="4615" width="19.28515625" style="288" customWidth="1"/>
    <col min="4616" max="4868" width="9.140625" style="288"/>
    <col min="4869" max="4869" width="7.140625" style="288" customWidth="1"/>
    <col min="4870" max="4870" width="47.7109375" style="288" customWidth="1"/>
    <col min="4871" max="4871" width="19.28515625" style="288" customWidth="1"/>
    <col min="4872" max="5124" width="9.140625" style="288"/>
    <col min="5125" max="5125" width="7.140625" style="288" customWidth="1"/>
    <col min="5126" max="5126" width="47.7109375" style="288" customWidth="1"/>
    <col min="5127" max="5127" width="19.28515625" style="288" customWidth="1"/>
    <col min="5128" max="5380" width="9.140625" style="288"/>
    <col min="5381" max="5381" width="7.140625" style="288" customWidth="1"/>
    <col min="5382" max="5382" width="47.7109375" style="288" customWidth="1"/>
    <col min="5383" max="5383" width="19.28515625" style="288" customWidth="1"/>
    <col min="5384" max="5636" width="9.140625" style="288"/>
    <col min="5637" max="5637" width="7.140625" style="288" customWidth="1"/>
    <col min="5638" max="5638" width="47.7109375" style="288" customWidth="1"/>
    <col min="5639" max="5639" width="19.28515625" style="288" customWidth="1"/>
    <col min="5640" max="5892" width="9.140625" style="288"/>
    <col min="5893" max="5893" width="7.140625" style="288" customWidth="1"/>
    <col min="5894" max="5894" width="47.7109375" style="288" customWidth="1"/>
    <col min="5895" max="5895" width="19.28515625" style="288" customWidth="1"/>
    <col min="5896" max="6148" width="9.140625" style="288"/>
    <col min="6149" max="6149" width="7.140625" style="288" customWidth="1"/>
    <col min="6150" max="6150" width="47.7109375" style="288" customWidth="1"/>
    <col min="6151" max="6151" width="19.28515625" style="288" customWidth="1"/>
    <col min="6152" max="6404" width="9.140625" style="288"/>
    <col min="6405" max="6405" width="7.140625" style="288" customWidth="1"/>
    <col min="6406" max="6406" width="47.7109375" style="288" customWidth="1"/>
    <col min="6407" max="6407" width="19.28515625" style="288" customWidth="1"/>
    <col min="6408" max="6660" width="9.140625" style="288"/>
    <col min="6661" max="6661" width="7.140625" style="288" customWidth="1"/>
    <col min="6662" max="6662" width="47.7109375" style="288" customWidth="1"/>
    <col min="6663" max="6663" width="19.28515625" style="288" customWidth="1"/>
    <col min="6664" max="6916" width="9.140625" style="288"/>
    <col min="6917" max="6917" width="7.140625" style="288" customWidth="1"/>
    <col min="6918" max="6918" width="47.7109375" style="288" customWidth="1"/>
    <col min="6919" max="6919" width="19.28515625" style="288" customWidth="1"/>
    <col min="6920" max="7172" width="9.140625" style="288"/>
    <col min="7173" max="7173" width="7.140625" style="288" customWidth="1"/>
    <col min="7174" max="7174" width="47.7109375" style="288" customWidth="1"/>
    <col min="7175" max="7175" width="19.28515625" style="288" customWidth="1"/>
    <col min="7176" max="7428" width="9.140625" style="288"/>
    <col min="7429" max="7429" width="7.140625" style="288" customWidth="1"/>
    <col min="7430" max="7430" width="47.7109375" style="288" customWidth="1"/>
    <col min="7431" max="7431" width="19.28515625" style="288" customWidth="1"/>
    <col min="7432" max="7684" width="9.140625" style="288"/>
    <col min="7685" max="7685" width="7.140625" style="288" customWidth="1"/>
    <col min="7686" max="7686" width="47.7109375" style="288" customWidth="1"/>
    <col min="7687" max="7687" width="19.28515625" style="288" customWidth="1"/>
    <col min="7688" max="7940" width="9.140625" style="288"/>
    <col min="7941" max="7941" width="7.140625" style="288" customWidth="1"/>
    <col min="7942" max="7942" width="47.7109375" style="288" customWidth="1"/>
    <col min="7943" max="7943" width="19.28515625" style="288" customWidth="1"/>
    <col min="7944" max="8196" width="9.140625" style="288"/>
    <col min="8197" max="8197" width="7.140625" style="288" customWidth="1"/>
    <col min="8198" max="8198" width="47.7109375" style="288" customWidth="1"/>
    <col min="8199" max="8199" width="19.28515625" style="288" customWidth="1"/>
    <col min="8200" max="8452" width="9.140625" style="288"/>
    <col min="8453" max="8453" width="7.140625" style="288" customWidth="1"/>
    <col min="8454" max="8454" width="47.7109375" style="288" customWidth="1"/>
    <col min="8455" max="8455" width="19.28515625" style="288" customWidth="1"/>
    <col min="8456" max="8708" width="9.140625" style="288"/>
    <col min="8709" max="8709" width="7.140625" style="288" customWidth="1"/>
    <col min="8710" max="8710" width="47.7109375" style="288" customWidth="1"/>
    <col min="8711" max="8711" width="19.28515625" style="288" customWidth="1"/>
    <col min="8712" max="8964" width="9.140625" style="288"/>
    <col min="8965" max="8965" width="7.140625" style="288" customWidth="1"/>
    <col min="8966" max="8966" width="47.7109375" style="288" customWidth="1"/>
    <col min="8967" max="8967" width="19.28515625" style="288" customWidth="1"/>
    <col min="8968" max="9220" width="9.140625" style="288"/>
    <col min="9221" max="9221" width="7.140625" style="288" customWidth="1"/>
    <col min="9222" max="9222" width="47.7109375" style="288" customWidth="1"/>
    <col min="9223" max="9223" width="19.28515625" style="288" customWidth="1"/>
    <col min="9224" max="9476" width="9.140625" style="288"/>
    <col min="9477" max="9477" width="7.140625" style="288" customWidth="1"/>
    <col min="9478" max="9478" width="47.7109375" style="288" customWidth="1"/>
    <col min="9479" max="9479" width="19.28515625" style="288" customWidth="1"/>
    <col min="9480" max="9732" width="9.140625" style="288"/>
    <col min="9733" max="9733" width="7.140625" style="288" customWidth="1"/>
    <col min="9734" max="9734" width="47.7109375" style="288" customWidth="1"/>
    <col min="9735" max="9735" width="19.28515625" style="288" customWidth="1"/>
    <col min="9736" max="9988" width="9.140625" style="288"/>
    <col min="9989" max="9989" width="7.140625" style="288" customWidth="1"/>
    <col min="9990" max="9990" width="47.7109375" style="288" customWidth="1"/>
    <col min="9991" max="9991" width="19.28515625" style="288" customWidth="1"/>
    <col min="9992" max="10244" width="9.140625" style="288"/>
    <col min="10245" max="10245" width="7.140625" style="288" customWidth="1"/>
    <col min="10246" max="10246" width="47.7109375" style="288" customWidth="1"/>
    <col min="10247" max="10247" width="19.28515625" style="288" customWidth="1"/>
    <col min="10248" max="10500" width="9.140625" style="288"/>
    <col min="10501" max="10501" width="7.140625" style="288" customWidth="1"/>
    <col min="10502" max="10502" width="47.7109375" style="288" customWidth="1"/>
    <col min="10503" max="10503" width="19.28515625" style="288" customWidth="1"/>
    <col min="10504" max="10756" width="9.140625" style="288"/>
    <col min="10757" max="10757" width="7.140625" style="288" customWidth="1"/>
    <col min="10758" max="10758" width="47.7109375" style="288" customWidth="1"/>
    <col min="10759" max="10759" width="19.28515625" style="288" customWidth="1"/>
    <col min="10760" max="11012" width="9.140625" style="288"/>
    <col min="11013" max="11013" width="7.140625" style="288" customWidth="1"/>
    <col min="11014" max="11014" width="47.7109375" style="288" customWidth="1"/>
    <col min="11015" max="11015" width="19.28515625" style="288" customWidth="1"/>
    <col min="11016" max="11268" width="9.140625" style="288"/>
    <col min="11269" max="11269" width="7.140625" style="288" customWidth="1"/>
    <col min="11270" max="11270" width="47.7109375" style="288" customWidth="1"/>
    <col min="11271" max="11271" width="19.28515625" style="288" customWidth="1"/>
    <col min="11272" max="11524" width="9.140625" style="288"/>
    <col min="11525" max="11525" width="7.140625" style="288" customWidth="1"/>
    <col min="11526" max="11526" width="47.7109375" style="288" customWidth="1"/>
    <col min="11527" max="11527" width="19.28515625" style="288" customWidth="1"/>
    <col min="11528" max="11780" width="9.140625" style="288"/>
    <col min="11781" max="11781" width="7.140625" style="288" customWidth="1"/>
    <col min="11782" max="11782" width="47.7109375" style="288" customWidth="1"/>
    <col min="11783" max="11783" width="19.28515625" style="288" customWidth="1"/>
    <col min="11784" max="12036" width="9.140625" style="288"/>
    <col min="12037" max="12037" width="7.140625" style="288" customWidth="1"/>
    <col min="12038" max="12038" width="47.7109375" style="288" customWidth="1"/>
    <col min="12039" max="12039" width="19.28515625" style="288" customWidth="1"/>
    <col min="12040" max="12292" width="9.140625" style="288"/>
    <col min="12293" max="12293" width="7.140625" style="288" customWidth="1"/>
    <col min="12294" max="12294" width="47.7109375" style="288" customWidth="1"/>
    <col min="12295" max="12295" width="19.28515625" style="288" customWidth="1"/>
    <col min="12296" max="12548" width="9.140625" style="288"/>
    <col min="12549" max="12549" width="7.140625" style="288" customWidth="1"/>
    <col min="12550" max="12550" width="47.7109375" style="288" customWidth="1"/>
    <col min="12551" max="12551" width="19.28515625" style="288" customWidth="1"/>
    <col min="12552" max="12804" width="9.140625" style="288"/>
    <col min="12805" max="12805" width="7.140625" style="288" customWidth="1"/>
    <col min="12806" max="12806" width="47.7109375" style="288" customWidth="1"/>
    <col min="12807" max="12807" width="19.28515625" style="288" customWidth="1"/>
    <col min="12808" max="13060" width="9.140625" style="288"/>
    <col min="13061" max="13061" width="7.140625" style="288" customWidth="1"/>
    <col min="13062" max="13062" width="47.7109375" style="288" customWidth="1"/>
    <col min="13063" max="13063" width="19.28515625" style="288" customWidth="1"/>
    <col min="13064" max="13316" width="9.140625" style="288"/>
    <col min="13317" max="13317" width="7.140625" style="288" customWidth="1"/>
    <col min="13318" max="13318" width="47.7109375" style="288" customWidth="1"/>
    <col min="13319" max="13319" width="19.28515625" style="288" customWidth="1"/>
    <col min="13320" max="13572" width="9.140625" style="288"/>
    <col min="13573" max="13573" width="7.140625" style="288" customWidth="1"/>
    <col min="13574" max="13574" width="47.7109375" style="288" customWidth="1"/>
    <col min="13575" max="13575" width="19.28515625" style="288" customWidth="1"/>
    <col min="13576" max="13828" width="9.140625" style="288"/>
    <col min="13829" max="13829" width="7.140625" style="288" customWidth="1"/>
    <col min="13830" max="13830" width="47.7109375" style="288" customWidth="1"/>
    <col min="13831" max="13831" width="19.28515625" style="288" customWidth="1"/>
    <col min="13832" max="14084" width="9.140625" style="288"/>
    <col min="14085" max="14085" width="7.140625" style="288" customWidth="1"/>
    <col min="14086" max="14086" width="47.7109375" style="288" customWidth="1"/>
    <col min="14087" max="14087" width="19.28515625" style="288" customWidth="1"/>
    <col min="14088" max="14340" width="9.140625" style="288"/>
    <col min="14341" max="14341" width="7.140625" style="288" customWidth="1"/>
    <col min="14342" max="14342" width="47.7109375" style="288" customWidth="1"/>
    <col min="14343" max="14343" width="19.28515625" style="288" customWidth="1"/>
    <col min="14344" max="14596" width="9.140625" style="288"/>
    <col min="14597" max="14597" width="7.140625" style="288" customWidth="1"/>
    <col min="14598" max="14598" width="47.7109375" style="288" customWidth="1"/>
    <col min="14599" max="14599" width="19.28515625" style="288" customWidth="1"/>
    <col min="14600" max="14852" width="9.140625" style="288"/>
    <col min="14853" max="14853" width="7.140625" style="288" customWidth="1"/>
    <col min="14854" max="14854" width="47.7109375" style="288" customWidth="1"/>
    <col min="14855" max="14855" width="19.28515625" style="288" customWidth="1"/>
    <col min="14856" max="15108" width="9.140625" style="288"/>
    <col min="15109" max="15109" width="7.140625" style="288" customWidth="1"/>
    <col min="15110" max="15110" width="47.7109375" style="288" customWidth="1"/>
    <col min="15111" max="15111" width="19.28515625" style="288" customWidth="1"/>
    <col min="15112" max="15364" width="9.140625" style="288"/>
    <col min="15365" max="15365" width="7.140625" style="288" customWidth="1"/>
    <col min="15366" max="15366" width="47.7109375" style="288" customWidth="1"/>
    <col min="15367" max="15367" width="19.28515625" style="288" customWidth="1"/>
    <col min="15368" max="15620" width="9.140625" style="288"/>
    <col min="15621" max="15621" width="7.140625" style="288" customWidth="1"/>
    <col min="15622" max="15622" width="47.7109375" style="288" customWidth="1"/>
    <col min="15623" max="15623" width="19.28515625" style="288" customWidth="1"/>
    <col min="15624" max="15876" width="9.140625" style="288"/>
    <col min="15877" max="15877" width="7.140625" style="288" customWidth="1"/>
    <col min="15878" max="15878" width="47.7109375" style="288" customWidth="1"/>
    <col min="15879" max="15879" width="19.28515625" style="288" customWidth="1"/>
    <col min="15880" max="16132" width="9.140625" style="288"/>
    <col min="16133" max="16133" width="7.140625" style="288" customWidth="1"/>
    <col min="16134" max="16134" width="47.7109375" style="288" customWidth="1"/>
    <col min="16135" max="16135" width="19.28515625" style="288" customWidth="1"/>
    <col min="16136" max="16384" width="9.140625" style="288"/>
  </cols>
  <sheetData>
    <row r="1" spans="1:10" ht="40.5" customHeight="1">
      <c r="A1" s="1801" t="s">
        <v>85</v>
      </c>
      <c r="B1" s="1801"/>
      <c r="C1" s="1801"/>
      <c r="G1" s="1334"/>
    </row>
    <row r="2" spans="1:10">
      <c r="A2" s="1802" t="s">
        <v>89</v>
      </c>
      <c r="B2" s="1802"/>
      <c r="C2" s="1802"/>
      <c r="D2" s="1335"/>
      <c r="E2" s="1335"/>
      <c r="F2" s="1335"/>
    </row>
    <row r="3" spans="1:10">
      <c r="A3" s="1336"/>
    </row>
    <row r="4" spans="1:10">
      <c r="A4" s="1802" t="str">
        <f>'TTDVNN V '!A4:G4</f>
        <v>DỰ TOÁN THU, CHI NGÂN SÁCH NHÀ NƯỚC NĂM 2025</v>
      </c>
      <c r="B4" s="1802"/>
      <c r="C4" s="1802"/>
      <c r="D4" s="1802"/>
      <c r="E4" s="1802"/>
      <c r="F4" s="1802"/>
      <c r="G4" s="1802"/>
    </row>
    <row r="5" spans="1:10">
      <c r="A5" s="1802" t="s">
        <v>86</v>
      </c>
      <c r="B5" s="1802"/>
      <c r="C5" s="1802"/>
      <c r="D5" s="1802"/>
      <c r="E5" s="1802"/>
      <c r="F5" s="1802"/>
      <c r="G5" s="1802"/>
    </row>
    <row r="6" spans="1:10">
      <c r="A6" s="1802" t="s">
        <v>88</v>
      </c>
      <c r="B6" s="1802"/>
      <c r="C6" s="1802"/>
      <c r="D6" s="1802"/>
      <c r="E6" s="1802"/>
      <c r="F6" s="1802"/>
      <c r="G6" s="1802"/>
    </row>
    <row r="7" spans="1:10">
      <c r="A7" s="1802" t="s">
        <v>17</v>
      </c>
      <c r="B7" s="1802"/>
      <c r="C7" s="1802"/>
      <c r="D7" s="1802"/>
      <c r="E7" s="1802"/>
      <c r="F7" s="1802"/>
      <c r="G7" s="1802"/>
    </row>
    <row r="8" spans="1:10">
      <c r="A8" s="1800">
        <f>'TTDVNN V '!A8:G8</f>
        <v>0</v>
      </c>
      <c r="B8" s="1800"/>
      <c r="C8" s="1800"/>
      <c r="D8" s="1800"/>
      <c r="E8" s="1800"/>
      <c r="F8" s="1800"/>
      <c r="G8" s="1800"/>
    </row>
    <row r="9" spans="1:10">
      <c r="G9" s="289" t="s">
        <v>43</v>
      </c>
    </row>
    <row r="10" spans="1:10" ht="117" customHeight="1">
      <c r="A10" s="290" t="s">
        <v>0</v>
      </c>
      <c r="B10" s="290" t="s">
        <v>1</v>
      </c>
      <c r="C10" s="290" t="str">
        <f>'TTDVNN V '!C11</f>
        <v>Dự toán 
năm 2025</v>
      </c>
      <c r="D10" s="290" t="s">
        <v>18</v>
      </c>
      <c r="E10" s="290" t="str">
        <f>'TTDVNN V '!E11</f>
        <v>Thực hiện cải cách tiền lương từ nguồn tiết kiệm chi 10% của đơn vị</v>
      </c>
      <c r="F10" s="290" t="s">
        <v>117</v>
      </c>
      <c r="G10" s="290" t="s">
        <v>19</v>
      </c>
      <c r="H10" s="298">
        <f>C15+C33+C45</f>
        <v>1810000000</v>
      </c>
    </row>
    <row r="11" spans="1:10">
      <c r="A11" s="291" t="s">
        <v>20</v>
      </c>
      <c r="B11" s="291" t="s">
        <v>21</v>
      </c>
      <c r="C11" s="291" t="s">
        <v>22</v>
      </c>
      <c r="D11" s="291" t="s">
        <v>23</v>
      </c>
      <c r="E11" s="291" t="str">
        <f>'TTDVNN V '!E12</f>
        <v>(5)</v>
      </c>
      <c r="F11" s="291" t="str">
        <f>'TTDVNN V '!F12</f>
        <v>(6)=(3)-(4)+(5)</v>
      </c>
      <c r="G11" s="291" t="s">
        <v>25</v>
      </c>
    </row>
    <row r="12" spans="1:10">
      <c r="A12" s="290" t="s">
        <v>2</v>
      </c>
      <c r="B12" s="292" t="s">
        <v>712</v>
      </c>
      <c r="C12" s="293">
        <v>250000000</v>
      </c>
      <c r="D12" s="293"/>
      <c r="E12" s="293"/>
      <c r="F12" s="293">
        <f>C12</f>
        <v>250000000</v>
      </c>
      <c r="G12" s="294"/>
    </row>
    <row r="13" spans="1:10" ht="37.5">
      <c r="A13" s="290" t="s">
        <v>12</v>
      </c>
      <c r="B13" s="292" t="s">
        <v>84</v>
      </c>
      <c r="C13" s="293">
        <f>C14+C32+C44</f>
        <v>11704000000</v>
      </c>
      <c r="D13" s="293">
        <f>D14+D32+D44</f>
        <v>1010000000</v>
      </c>
      <c r="E13" s="293">
        <f>E14+E32+E44</f>
        <v>843000000</v>
      </c>
      <c r="F13" s="293">
        <f>F14+F32+F44</f>
        <v>11537000000</v>
      </c>
      <c r="G13" s="294"/>
      <c r="H13" s="298">
        <f>C13-D13+E13</f>
        <v>11537000000</v>
      </c>
      <c r="I13" s="298">
        <f>H13-F13</f>
        <v>0</v>
      </c>
    </row>
    <row r="14" spans="1:10" ht="37.5">
      <c r="A14" s="290">
        <v>1</v>
      </c>
      <c r="B14" s="292" t="s">
        <v>90</v>
      </c>
      <c r="C14" s="293">
        <f>C15+C19</f>
        <v>7587000000</v>
      </c>
      <c r="D14" s="293">
        <f>D15+D19</f>
        <v>720000000</v>
      </c>
      <c r="E14" s="293">
        <f>E15+E19</f>
        <v>190000000</v>
      </c>
      <c r="F14" s="293">
        <f>F15+F19</f>
        <v>7057000000</v>
      </c>
      <c r="G14" s="294"/>
      <c r="H14" s="298">
        <f t="shared" ref="H14:H57" si="0">C14-D14+E14</f>
        <v>7057000000</v>
      </c>
      <c r="I14" s="298">
        <f t="shared" ref="I14:I58" si="1">H14-F14</f>
        <v>0</v>
      </c>
      <c r="J14" s="298">
        <f>F14-'Dự toán Chi tiết 2025'!L280</f>
        <v>-530000000</v>
      </c>
    </row>
    <row r="15" spans="1:10" s="1337" customFormat="1" ht="39">
      <c r="A15" s="299" t="s">
        <v>5</v>
      </c>
      <c r="B15" s="300" t="s">
        <v>9</v>
      </c>
      <c r="C15" s="301">
        <f>SUM(C16:C18)</f>
        <v>405000000</v>
      </c>
      <c r="D15" s="301">
        <f>SUM(D16:D18)</f>
        <v>8000000</v>
      </c>
      <c r="E15" s="301">
        <f>SUM(E16:E18)</f>
        <v>190000000</v>
      </c>
      <c r="F15" s="301">
        <f>SUM(F16:F18)</f>
        <v>587000000</v>
      </c>
      <c r="G15" s="302"/>
      <c r="H15" s="298">
        <f t="shared" si="0"/>
        <v>587000000</v>
      </c>
      <c r="I15" s="298">
        <f t="shared" si="1"/>
        <v>0</v>
      </c>
    </row>
    <row r="16" spans="1:10" ht="37.5">
      <c r="A16" s="295" t="s">
        <v>91</v>
      </c>
      <c r="B16" s="296" t="s">
        <v>26</v>
      </c>
      <c r="C16" s="297">
        <f>'Dự toán Chi tiết 2025'!L288</f>
        <v>325000000</v>
      </c>
      <c r="D16" s="297"/>
      <c r="E16" s="297"/>
      <c r="F16" s="297">
        <f>C16-D16+E16</f>
        <v>325000000</v>
      </c>
      <c r="G16" s="294"/>
      <c r="H16" s="298">
        <f t="shared" si="0"/>
        <v>325000000</v>
      </c>
      <c r="I16" s="298">
        <f t="shared" si="1"/>
        <v>0</v>
      </c>
    </row>
    <row r="17" spans="1:10" ht="37.5">
      <c r="A17" s="295" t="s">
        <v>91</v>
      </c>
      <c r="B17" s="296" t="str">
        <f>'TTDVNN V '!B18</f>
        <v>Kinh phí thực hiện cải cách tiền lương</v>
      </c>
      <c r="C17" s="297"/>
      <c r="D17" s="297"/>
      <c r="E17" s="297">
        <f>'Dự toán Chi tiết 2025'!L289</f>
        <v>190000000</v>
      </c>
      <c r="F17" s="297">
        <f>C17-D17+E17</f>
        <v>190000000</v>
      </c>
      <c r="G17" s="294"/>
      <c r="H17" s="298">
        <f t="shared" si="0"/>
        <v>190000000</v>
      </c>
      <c r="I17" s="298">
        <f t="shared" si="1"/>
        <v>0</v>
      </c>
    </row>
    <row r="18" spans="1:10" ht="37.5">
      <c r="A18" s="295" t="s">
        <v>91</v>
      </c>
      <c r="B18" s="296" t="s">
        <v>27</v>
      </c>
      <c r="C18" s="297">
        <f>'Dự toán Chi tiết 2025'!L291</f>
        <v>80000000</v>
      </c>
      <c r="D18" s="297">
        <f>C18*10%</f>
        <v>8000000</v>
      </c>
      <c r="E18" s="297"/>
      <c r="F18" s="297">
        <f>C18-D18+E18</f>
        <v>72000000</v>
      </c>
      <c r="G18" s="294"/>
      <c r="H18" s="298">
        <f t="shared" si="0"/>
        <v>72000000</v>
      </c>
      <c r="I18" s="298">
        <f t="shared" si="1"/>
        <v>0</v>
      </c>
    </row>
    <row r="19" spans="1:10" s="1337" customFormat="1" ht="39">
      <c r="A19" s="299" t="s">
        <v>6</v>
      </c>
      <c r="B19" s="300" t="s">
        <v>10</v>
      </c>
      <c r="C19" s="301">
        <f>SUM(C20:C31)</f>
        <v>7182000000</v>
      </c>
      <c r="D19" s="301">
        <f>SUM(D20:D31)</f>
        <v>712000000</v>
      </c>
      <c r="E19" s="301">
        <f>SUM(E20:E31)</f>
        <v>0</v>
      </c>
      <c r="F19" s="301">
        <f>SUM(F20:F31)</f>
        <v>6470000000</v>
      </c>
      <c r="G19" s="302"/>
      <c r="H19" s="298">
        <f t="shared" si="0"/>
        <v>6470000000</v>
      </c>
      <c r="I19" s="298">
        <f t="shared" si="1"/>
        <v>0</v>
      </c>
      <c r="J19" s="1338">
        <f>C19-'Dự toán Chi tiết 2025'!L293</f>
        <v>0</v>
      </c>
    </row>
    <row r="20" spans="1:10" ht="93.75">
      <c r="A20" s="295" t="s">
        <v>91</v>
      </c>
      <c r="B20" s="296" t="s">
        <v>2037</v>
      </c>
      <c r="C20" s="297">
        <f>'Dự toán Chi tiết 2025'!L294</f>
        <v>5100000000</v>
      </c>
      <c r="D20" s="297">
        <f>C20*10%</f>
        <v>510000000</v>
      </c>
      <c r="E20" s="297"/>
      <c r="F20" s="297">
        <f t="shared" ref="F20:F31" si="2">C20-D20</f>
        <v>4590000000</v>
      </c>
      <c r="G20" s="294"/>
      <c r="H20" s="298">
        <f t="shared" si="0"/>
        <v>4590000000</v>
      </c>
      <c r="I20" s="298">
        <f t="shared" si="1"/>
        <v>0</v>
      </c>
    </row>
    <row r="21" spans="1:10" ht="117" customHeight="1">
      <c r="A21" s="295" t="s">
        <v>91</v>
      </c>
      <c r="B21" s="296" t="str">
        <f>'Dự toán Chi tiết 2025'!B295</f>
        <v>Kinh phí để thanh toán trả nợ chi phí tổ chức Chương trình Chào năm mới 2025 và thực hiện Tổ chức chương trình Chào năm mới 2026,…</v>
      </c>
      <c r="C21" s="297">
        <f>'Dự toán Chi tiết 2025'!L295</f>
        <v>700000000</v>
      </c>
      <c r="D21" s="297">
        <f t="shared" ref="D21:D30" si="3">C21*10%</f>
        <v>70000000</v>
      </c>
      <c r="E21" s="297"/>
      <c r="F21" s="297">
        <f t="shared" si="2"/>
        <v>630000000</v>
      </c>
      <c r="G21" s="294"/>
      <c r="H21" s="298">
        <f t="shared" si="0"/>
        <v>630000000</v>
      </c>
      <c r="I21" s="298">
        <f t="shared" si="1"/>
        <v>0</v>
      </c>
    </row>
    <row r="22" spans="1:10" ht="161.25" customHeight="1">
      <c r="A22" s="295" t="s">
        <v>91</v>
      </c>
      <c r="B22" s="296" t="str">
        <f>'Dự toán Chi tiết 2025'!B297</f>
        <v>Chủ trì, phối hợp tổ chức và tham gia các hoạt động văn hoá văn nghệ kỷ niệm các ngày lễ lớn trong năm, các hoạt động văn hóa văn nghệ trên địa bàn thành phố, tham gia các hoạt động văn hóa văn nghệ do tỉnh tổ chức và các nhiệm vụ khác UBND thành phố giao</v>
      </c>
      <c r="C22" s="297">
        <f>'Dự toán Chi tiết 2025'!L297</f>
        <v>550000000</v>
      </c>
      <c r="D22" s="297">
        <f t="shared" si="3"/>
        <v>55000000</v>
      </c>
      <c r="E22" s="297"/>
      <c r="F22" s="297">
        <f t="shared" si="2"/>
        <v>495000000</v>
      </c>
      <c r="G22" s="294"/>
      <c r="H22" s="298">
        <f t="shared" si="0"/>
        <v>495000000</v>
      </c>
      <c r="I22" s="298">
        <f t="shared" si="1"/>
        <v>0</v>
      </c>
    </row>
    <row r="23" spans="1:10" ht="75">
      <c r="A23" s="295" t="s">
        <v>91</v>
      </c>
      <c r="B23" s="296" t="s">
        <v>965</v>
      </c>
      <c r="C23" s="297">
        <f>'Dự toán Chi tiết 2025'!L298</f>
        <v>250000000</v>
      </c>
      <c r="D23" s="297">
        <f t="shared" si="3"/>
        <v>25000000</v>
      </c>
      <c r="E23" s="297"/>
      <c r="F23" s="297">
        <f t="shared" si="2"/>
        <v>225000000</v>
      </c>
      <c r="G23" s="294"/>
      <c r="H23" s="298">
        <f t="shared" si="0"/>
        <v>225000000</v>
      </c>
      <c r="I23" s="298">
        <f t="shared" si="1"/>
        <v>0</v>
      </c>
    </row>
    <row r="24" spans="1:10" ht="37.5">
      <c r="A24" s="295" t="s">
        <v>91</v>
      </c>
      <c r="B24" s="296" t="str">
        <f>'Dự toán Chi tiết 2025'!B305</f>
        <v>Ra quân trồng cây đầu năm và tổ chức hoạt động Vườn hoa Ba Tơ</v>
      </c>
      <c r="C24" s="297">
        <f>'Dự toán Chi tiết 2025'!L305</f>
        <v>140000000</v>
      </c>
      <c r="D24" s="297">
        <f t="shared" si="3"/>
        <v>14000000</v>
      </c>
      <c r="E24" s="297"/>
      <c r="F24" s="297">
        <f t="shared" si="2"/>
        <v>126000000</v>
      </c>
      <c r="G24" s="294"/>
      <c r="H24" s="298">
        <f t="shared" si="0"/>
        <v>126000000</v>
      </c>
      <c r="I24" s="298">
        <f t="shared" si="1"/>
        <v>0</v>
      </c>
    </row>
    <row r="25" spans="1:10" hidden="1">
      <c r="A25" s="295" t="s">
        <v>91</v>
      </c>
      <c r="B25" s="296" t="s">
        <v>976</v>
      </c>
      <c r="C25" s="297">
        <f>'Dự toán Chi tiết 2025'!L309</f>
        <v>0</v>
      </c>
      <c r="D25" s="297">
        <f t="shared" si="3"/>
        <v>0</v>
      </c>
      <c r="E25" s="297"/>
      <c r="F25" s="297">
        <f t="shared" si="2"/>
        <v>0</v>
      </c>
      <c r="G25" s="294"/>
      <c r="H25" s="298">
        <f t="shared" si="0"/>
        <v>0</v>
      </c>
      <c r="I25" s="298">
        <f t="shared" si="1"/>
        <v>0</v>
      </c>
    </row>
    <row r="26" spans="1:10">
      <c r="A26" s="295" t="s">
        <v>91</v>
      </c>
      <c r="B26" s="296" t="str">
        <f>'Dự toán Chi tiết 2025'!B310</f>
        <v>Hoạt động thư viện</v>
      </c>
      <c r="C26" s="297">
        <f>'Dự toán Chi tiết 2025'!L310</f>
        <v>20000000</v>
      </c>
      <c r="D26" s="297"/>
      <c r="E26" s="297"/>
      <c r="F26" s="297">
        <f t="shared" si="2"/>
        <v>20000000</v>
      </c>
      <c r="G26" s="294"/>
      <c r="H26" s="298">
        <f t="shared" si="0"/>
        <v>20000000</v>
      </c>
      <c r="I26" s="298">
        <f t="shared" si="1"/>
        <v>0</v>
      </c>
    </row>
    <row r="27" spans="1:10" ht="37.5">
      <c r="A27" s="295" t="s">
        <v>91</v>
      </c>
      <c r="B27" s="296" t="str">
        <f>'Dự toán Chi tiết 2025'!B296</f>
        <v>Cuộc thi sáng tác biểu trưng (logo) TP Quảng Ngãi</v>
      </c>
      <c r="C27" s="297">
        <f>'Dự toán Chi tiết 2025'!L296</f>
        <v>200000000</v>
      </c>
      <c r="D27" s="297">
        <f t="shared" si="3"/>
        <v>20000000</v>
      </c>
      <c r="E27" s="297"/>
      <c r="F27" s="297">
        <f t="shared" si="2"/>
        <v>180000000</v>
      </c>
      <c r="G27" s="294"/>
      <c r="H27" s="298"/>
      <c r="I27" s="298"/>
    </row>
    <row r="28" spans="1:10" ht="67.5" customHeight="1">
      <c r="A28" s="295" t="s">
        <v>91</v>
      </c>
      <c r="B28" s="296" t="str">
        <f>'Dự toán Chi tiết 2025'!B300</f>
        <v>Chương trình văn nghệ khai mạc và văn nghệ Chào mừng Đại hội Đại biểu Đảng bộ thành phố</v>
      </c>
      <c r="C28" s="297">
        <f>'Dự toán Chi tiết 2025'!L300</f>
        <v>100000000</v>
      </c>
      <c r="D28" s="297">
        <f t="shared" si="3"/>
        <v>10000000</v>
      </c>
      <c r="E28" s="297"/>
      <c r="F28" s="297">
        <f t="shared" si="2"/>
        <v>90000000</v>
      </c>
      <c r="G28" s="294"/>
      <c r="H28" s="298"/>
      <c r="I28" s="298"/>
    </row>
    <row r="29" spans="1:10" ht="67.5" customHeight="1">
      <c r="A29" s="295" t="s">
        <v>91</v>
      </c>
      <c r="B29" s="296" t="str">
        <f>'Dự toán Chi tiết 2025'!B311</f>
        <v>Trang bị 01 bộ âm thanh phục vụ hoạt động tang, lễ, viếng nghĩa trang, phục vụ cướng chế,…</v>
      </c>
      <c r="C29" s="297">
        <f>'Dự toán Chi tiết 2025'!L311</f>
        <v>20000000</v>
      </c>
      <c r="D29" s="297">
        <f t="shared" si="3"/>
        <v>2000000</v>
      </c>
      <c r="E29" s="297"/>
      <c r="F29" s="297">
        <f t="shared" si="2"/>
        <v>18000000</v>
      </c>
      <c r="G29" s="294"/>
      <c r="H29" s="298"/>
      <c r="I29" s="298"/>
    </row>
    <row r="30" spans="1:10" ht="37.5">
      <c r="A30" s="295" t="s">
        <v>91</v>
      </c>
      <c r="B30" s="296" t="str">
        <f>'Dự toán Chi tiết 2025'!B308</f>
        <v>Mua bảo hiểm, xăng, dầu, nhớt, bảo dưỡng xe,…</v>
      </c>
      <c r="C30" s="297">
        <f>'Dự toán Chi tiết 2025'!L308</f>
        <v>60000000</v>
      </c>
      <c r="D30" s="297">
        <f t="shared" si="3"/>
        <v>6000000</v>
      </c>
      <c r="E30" s="297"/>
      <c r="F30" s="297">
        <f t="shared" si="2"/>
        <v>54000000</v>
      </c>
      <c r="G30" s="294"/>
      <c r="H30" s="298"/>
      <c r="I30" s="298"/>
    </row>
    <row r="31" spans="1:10" ht="37.5">
      <c r="A31" s="295" t="s">
        <v>91</v>
      </c>
      <c r="B31" s="296" t="str">
        <f>'Dự toán Chi tiết 2025'!B314</f>
        <v>Thuê mướn hợp đồng lái xe tuyên truyền</v>
      </c>
      <c r="C31" s="297">
        <f>'Dự toán Chi tiết 2025'!L314</f>
        <v>42000000</v>
      </c>
      <c r="D31" s="297"/>
      <c r="E31" s="297"/>
      <c r="F31" s="297">
        <f t="shared" si="2"/>
        <v>42000000</v>
      </c>
      <c r="G31" s="304"/>
      <c r="H31" s="298">
        <f>C31-D31+E31</f>
        <v>42000000</v>
      </c>
      <c r="I31" s="298">
        <f t="shared" si="1"/>
        <v>0</v>
      </c>
    </row>
    <row r="32" spans="1:10" ht="37.5">
      <c r="A32" s="290">
        <v>2</v>
      </c>
      <c r="B32" s="292" t="s">
        <v>101</v>
      </c>
      <c r="C32" s="293">
        <f>C33+C37</f>
        <v>2454000000</v>
      </c>
      <c r="D32" s="293">
        <f>D33+D37</f>
        <v>187000000</v>
      </c>
      <c r="E32" s="293">
        <f>E33+E37</f>
        <v>333000000</v>
      </c>
      <c r="F32" s="293">
        <f>F33+F37</f>
        <v>2600000000</v>
      </c>
      <c r="G32" s="294"/>
      <c r="H32" s="298">
        <f t="shared" si="0"/>
        <v>2600000000</v>
      </c>
      <c r="I32" s="298">
        <f t="shared" si="1"/>
        <v>0</v>
      </c>
    </row>
    <row r="33" spans="1:9" ht="39">
      <c r="A33" s="299" t="s">
        <v>8</v>
      </c>
      <c r="B33" s="300" t="s">
        <v>9</v>
      </c>
      <c r="C33" s="301">
        <f>SUM(C34:C36)</f>
        <v>704000000</v>
      </c>
      <c r="D33" s="301">
        <f>SUM(D34:D36)</f>
        <v>12000000</v>
      </c>
      <c r="E33" s="301">
        <f>SUM(E34:E36)</f>
        <v>333000000</v>
      </c>
      <c r="F33" s="301">
        <f>SUM(F34:F36)</f>
        <v>1025000000</v>
      </c>
      <c r="G33" s="294"/>
      <c r="H33" s="298">
        <f t="shared" si="0"/>
        <v>1025000000</v>
      </c>
      <c r="I33" s="298">
        <f t="shared" si="1"/>
        <v>0</v>
      </c>
    </row>
    <row r="34" spans="1:9" ht="37.5">
      <c r="A34" s="295" t="s">
        <v>91</v>
      </c>
      <c r="B34" s="296" t="s">
        <v>26</v>
      </c>
      <c r="C34" s="297">
        <f>'Dự toán Chi tiết 2025'!L327</f>
        <v>584000000</v>
      </c>
      <c r="D34" s="297"/>
      <c r="E34" s="297"/>
      <c r="F34" s="297">
        <f>C34-D34+E34</f>
        <v>584000000</v>
      </c>
      <c r="G34" s="294"/>
      <c r="H34" s="298">
        <f t="shared" si="0"/>
        <v>584000000</v>
      </c>
      <c r="I34" s="298">
        <f t="shared" si="1"/>
        <v>0</v>
      </c>
    </row>
    <row r="35" spans="1:9" ht="37.5">
      <c r="A35" s="295"/>
      <c r="B35" s="296" t="str">
        <f>B17</f>
        <v>Kinh phí thực hiện cải cách tiền lương</v>
      </c>
      <c r="C35" s="297"/>
      <c r="D35" s="297"/>
      <c r="E35" s="297">
        <f>'Dự toán Chi tiết 2025'!L328</f>
        <v>333000000</v>
      </c>
      <c r="F35" s="297">
        <f>C35-D35+E35</f>
        <v>333000000</v>
      </c>
      <c r="G35" s="294"/>
      <c r="H35" s="298">
        <f t="shared" si="0"/>
        <v>333000000</v>
      </c>
      <c r="I35" s="298">
        <f t="shared" si="1"/>
        <v>0</v>
      </c>
    </row>
    <row r="36" spans="1:9" ht="37.5">
      <c r="A36" s="295" t="s">
        <v>91</v>
      </c>
      <c r="B36" s="296" t="s">
        <v>27</v>
      </c>
      <c r="C36" s="297">
        <f>'Dự toán Chi tiết 2025'!L330</f>
        <v>120000000</v>
      </c>
      <c r="D36" s="297">
        <f>C36*10%</f>
        <v>12000000</v>
      </c>
      <c r="E36" s="297"/>
      <c r="F36" s="297">
        <f>C36-D36+E36</f>
        <v>108000000</v>
      </c>
      <c r="G36" s="302"/>
      <c r="H36" s="298">
        <f t="shared" si="0"/>
        <v>108000000</v>
      </c>
      <c r="I36" s="298">
        <f t="shared" si="1"/>
        <v>0</v>
      </c>
    </row>
    <row r="37" spans="1:9" ht="39">
      <c r="A37" s="299" t="s">
        <v>11</v>
      </c>
      <c r="B37" s="300" t="s">
        <v>10</v>
      </c>
      <c r="C37" s="301">
        <f>SUM(C38:C43)</f>
        <v>1750000000</v>
      </c>
      <c r="D37" s="301">
        <f>SUM(D38:D43)</f>
        <v>175000000</v>
      </c>
      <c r="E37" s="301">
        <f>SUM(E38:E43)</f>
        <v>0</v>
      </c>
      <c r="F37" s="301">
        <f>SUM(F38:F43)</f>
        <v>1575000000</v>
      </c>
      <c r="G37" s="294"/>
      <c r="H37" s="298">
        <f t="shared" si="0"/>
        <v>1575000000</v>
      </c>
      <c r="I37" s="298">
        <f t="shared" si="1"/>
        <v>0</v>
      </c>
    </row>
    <row r="38" spans="1:9" ht="189" customHeight="1">
      <c r="A38" s="1339" t="s">
        <v>91</v>
      </c>
      <c r="B38" s="303" t="str">
        <f>'Dự toán Chi tiết 2025'!B335</f>
        <v>Chủ trì và phối hợp tổ chức các hoạt động thể dục thể thao trên địa bàn thành phố, giao lưu với các đơn vị khác và tham gia hoạt động thể dục thể thao do tỉnh tổ chức; Kinh phí tham gia Đại hội TDTT cấp thành phố và cấp tỉnh và tổ chức các giải chào mừng ĐH Đảng các cấp.</v>
      </c>
      <c r="C38" s="1340">
        <f>'Dự toán Chi tiết 2025'!L335</f>
        <v>1600000000</v>
      </c>
      <c r="D38" s="297">
        <f>C38*10%</f>
        <v>160000000</v>
      </c>
      <c r="E38" s="297"/>
      <c r="F38" s="297">
        <f>C38-D38</f>
        <v>1440000000</v>
      </c>
      <c r="G38" s="297"/>
      <c r="H38" s="298">
        <f t="shared" si="0"/>
        <v>1440000000</v>
      </c>
      <c r="I38" s="298">
        <f t="shared" si="1"/>
        <v>0</v>
      </c>
    </row>
    <row r="39" spans="1:9" ht="75">
      <c r="A39" s="1339" t="s">
        <v>91</v>
      </c>
      <c r="B39" s="303" t="str">
        <f>'Dự toán Chi tiết 2025'!B337</f>
        <v>Kinh phí phối hợp với Liên đoàn Điền kinh tổ chức giải việt dã Bước chạy vào xuân thành phố Quảng Ngãi năm 2025</v>
      </c>
      <c r="C39" s="1340">
        <f>'Dự toán Chi tiết 2025'!L337</f>
        <v>150000000</v>
      </c>
      <c r="D39" s="297">
        <f>C39*10%</f>
        <v>15000000</v>
      </c>
      <c r="E39" s="297"/>
      <c r="F39" s="297">
        <f>C39-D39</f>
        <v>135000000</v>
      </c>
      <c r="G39" s="297"/>
      <c r="H39" s="298">
        <f t="shared" si="0"/>
        <v>135000000</v>
      </c>
      <c r="I39" s="298">
        <f t="shared" si="1"/>
        <v>0</v>
      </c>
    </row>
    <row r="40" spans="1:9" ht="73.5" hidden="1" customHeight="1">
      <c r="A40" s="1339" t="s">
        <v>91</v>
      </c>
      <c r="B40" s="303" t="str">
        <f>'Dự toán Chi tiết 2025'!B338</f>
        <v>Tổ chức giải Pickleball TP Quảng Ngãi mở rộng năm 2025; các nhiệm vụ phát sinh được UBND thành phố giao</v>
      </c>
      <c r="C40" s="1340">
        <f>'Dự toán Chi tiết 2025'!L338</f>
        <v>0</v>
      </c>
      <c r="D40" s="297">
        <f>C40*10%</f>
        <v>0</v>
      </c>
      <c r="E40" s="297"/>
      <c r="F40" s="297">
        <f>C40-D40</f>
        <v>0</v>
      </c>
      <c r="G40" s="297"/>
      <c r="H40" s="298">
        <f t="shared" si="0"/>
        <v>0</v>
      </c>
      <c r="I40" s="298">
        <f t="shared" si="1"/>
        <v>0</v>
      </c>
    </row>
    <row r="41" spans="1:9" ht="73.5" hidden="1" customHeight="1">
      <c r="A41" s="1339"/>
      <c r="B41" s="303" t="str">
        <f>'Dự toán Chi tiết 2025'!B340</f>
        <v>Kinh phí tham gia Đại hội TDTT cấp thành phố và cấp tỉnh</v>
      </c>
      <c r="C41" s="1340">
        <f>'Dự toán Chi tiết 2025'!L340</f>
        <v>0</v>
      </c>
      <c r="D41" s="297">
        <f t="shared" ref="D41:D42" si="4">C41*10%</f>
        <v>0</v>
      </c>
      <c r="E41" s="297"/>
      <c r="F41" s="297">
        <f t="shared" ref="F41:F42" si="5">C41-D41</f>
        <v>0</v>
      </c>
      <c r="G41" s="297"/>
      <c r="H41" s="298"/>
      <c r="I41" s="298"/>
    </row>
    <row r="42" spans="1:9" ht="73.5" hidden="1" customHeight="1">
      <c r="A42" s="1339"/>
      <c r="B42" s="303" t="str">
        <f>'Dự toán Chi tiết 2025'!B341</f>
        <v>Tổ chức Giải Futsal các CLB để Chào mừng ĐH Đảng các cấp</v>
      </c>
      <c r="C42" s="1340">
        <f>'Dự toán Chi tiết 2025'!L341</f>
        <v>0</v>
      </c>
      <c r="D42" s="297">
        <f t="shared" si="4"/>
        <v>0</v>
      </c>
      <c r="E42" s="297"/>
      <c r="F42" s="297">
        <f t="shared" si="5"/>
        <v>0</v>
      </c>
      <c r="G42" s="297"/>
      <c r="H42" s="298"/>
      <c r="I42" s="298"/>
    </row>
    <row r="43" spans="1:9" hidden="1">
      <c r="A43" s="1339" t="s">
        <v>91</v>
      </c>
      <c r="B43" s="303" t="s">
        <v>987</v>
      </c>
      <c r="C43" s="1340">
        <f>'Dự toán Chi tiết 2025'!L339</f>
        <v>0</v>
      </c>
      <c r="D43" s="297">
        <f>C43*10%</f>
        <v>0</v>
      </c>
      <c r="E43" s="297"/>
      <c r="F43" s="297">
        <f>C43-D43</f>
        <v>0</v>
      </c>
      <c r="G43" s="297"/>
      <c r="H43" s="298">
        <f t="shared" si="0"/>
        <v>0</v>
      </c>
      <c r="I43" s="298">
        <f t="shared" si="1"/>
        <v>0</v>
      </c>
    </row>
    <row r="44" spans="1:9" s="1342" customFormat="1" ht="37.5">
      <c r="A44" s="290">
        <v>3</v>
      </c>
      <c r="B44" s="292" t="s">
        <v>105</v>
      </c>
      <c r="C44" s="293">
        <f>C45+C49</f>
        <v>1663000000</v>
      </c>
      <c r="D44" s="293">
        <f>D45+D49</f>
        <v>103000000</v>
      </c>
      <c r="E44" s="293">
        <f>E45+E49</f>
        <v>320000000</v>
      </c>
      <c r="F44" s="293">
        <f>F45+F49</f>
        <v>1880000000</v>
      </c>
      <c r="G44" s="1341"/>
      <c r="H44" s="298">
        <f t="shared" si="0"/>
        <v>1880000000</v>
      </c>
      <c r="I44" s="298">
        <f t="shared" si="1"/>
        <v>0</v>
      </c>
    </row>
    <row r="45" spans="1:9" ht="39">
      <c r="A45" s="299" t="s">
        <v>106</v>
      </c>
      <c r="B45" s="300" t="s">
        <v>9</v>
      </c>
      <c r="C45" s="301">
        <f>SUM(C46:C48)</f>
        <v>701000000</v>
      </c>
      <c r="D45" s="301">
        <f>SUM(D46:D48)</f>
        <v>14000000</v>
      </c>
      <c r="E45" s="301">
        <f>SUM(E46:E48)</f>
        <v>320000000</v>
      </c>
      <c r="F45" s="301">
        <f>SUM(F46:F48)</f>
        <v>1007000000</v>
      </c>
      <c r="G45" s="294"/>
      <c r="H45" s="298">
        <f t="shared" si="0"/>
        <v>1007000000</v>
      </c>
      <c r="I45" s="298">
        <f t="shared" si="1"/>
        <v>0</v>
      </c>
    </row>
    <row r="46" spans="1:9" ht="37.5">
      <c r="A46" s="295" t="s">
        <v>91</v>
      </c>
      <c r="B46" s="296" t="s">
        <v>26</v>
      </c>
      <c r="C46" s="297">
        <f>'Dự toán Chi tiết 2025'!L352</f>
        <v>561000000</v>
      </c>
      <c r="D46" s="297"/>
      <c r="E46" s="297"/>
      <c r="F46" s="297">
        <f>C46-D46+E46</f>
        <v>561000000</v>
      </c>
      <c r="G46" s="294"/>
      <c r="H46" s="298">
        <f t="shared" si="0"/>
        <v>561000000</v>
      </c>
      <c r="I46" s="298">
        <f t="shared" si="1"/>
        <v>0</v>
      </c>
    </row>
    <row r="47" spans="1:9" ht="37.5">
      <c r="A47" s="295" t="s">
        <v>91</v>
      </c>
      <c r="B47" s="296" t="str">
        <f>B17</f>
        <v>Kinh phí thực hiện cải cách tiền lương</v>
      </c>
      <c r="C47" s="297"/>
      <c r="D47" s="297"/>
      <c r="E47" s="297">
        <f>'Dự toán Chi tiết 2025'!L353</f>
        <v>320000000</v>
      </c>
      <c r="F47" s="297">
        <f>C47-D47+E47</f>
        <v>320000000</v>
      </c>
      <c r="G47" s="294"/>
      <c r="H47" s="298">
        <f t="shared" si="0"/>
        <v>320000000</v>
      </c>
      <c r="I47" s="298">
        <f t="shared" si="1"/>
        <v>0</v>
      </c>
    </row>
    <row r="48" spans="1:9" ht="37.5">
      <c r="A48" s="295" t="s">
        <v>91</v>
      </c>
      <c r="B48" s="296" t="s">
        <v>27</v>
      </c>
      <c r="C48" s="297">
        <f>'Dự toán Chi tiết 2025'!L355</f>
        <v>140000000</v>
      </c>
      <c r="D48" s="297">
        <f>C48*10%</f>
        <v>14000000</v>
      </c>
      <c r="E48" s="297"/>
      <c r="F48" s="297">
        <f>C48-D48+E48</f>
        <v>126000000</v>
      </c>
      <c r="G48" s="302"/>
      <c r="H48" s="298">
        <f t="shared" si="0"/>
        <v>126000000</v>
      </c>
      <c r="I48" s="298">
        <f t="shared" si="1"/>
        <v>0</v>
      </c>
    </row>
    <row r="49" spans="1:9" ht="39">
      <c r="A49" s="299" t="s">
        <v>107</v>
      </c>
      <c r="B49" s="300" t="s">
        <v>10</v>
      </c>
      <c r="C49" s="301">
        <f>SUM(C50:C57)</f>
        <v>962000000</v>
      </c>
      <c r="D49" s="301">
        <f>SUM(D50:D57)</f>
        <v>89000000</v>
      </c>
      <c r="E49" s="301">
        <f>SUM(E50:E57)</f>
        <v>0</v>
      </c>
      <c r="F49" s="301">
        <f>SUM(F50:F57)</f>
        <v>873000000</v>
      </c>
      <c r="G49" s="1378">
        <f>SUM(G50:G57)</f>
        <v>0</v>
      </c>
      <c r="H49" s="298">
        <f t="shared" si="0"/>
        <v>873000000</v>
      </c>
      <c r="I49" s="298">
        <f t="shared" si="1"/>
        <v>0</v>
      </c>
    </row>
    <row r="50" spans="1:9">
      <c r="A50" s="295" t="s">
        <v>91</v>
      </c>
      <c r="B50" s="296" t="s">
        <v>108</v>
      </c>
      <c r="C50" s="1340">
        <f>'Dự toán Chi tiết 2025'!L358</f>
        <v>72000000</v>
      </c>
      <c r="D50" s="297"/>
      <c r="E50" s="297"/>
      <c r="F50" s="297">
        <f>C50-D50</f>
        <v>72000000</v>
      </c>
      <c r="G50" s="304"/>
      <c r="H50" s="298">
        <f t="shared" si="0"/>
        <v>72000000</v>
      </c>
      <c r="I50" s="298">
        <f t="shared" si="1"/>
        <v>0</v>
      </c>
    </row>
    <row r="51" spans="1:9" ht="37.5">
      <c r="A51" s="295" t="s">
        <v>91</v>
      </c>
      <c r="B51" s="296" t="s">
        <v>993</v>
      </c>
      <c r="C51" s="1340">
        <f>'Dự toán Chi tiết 2025'!L364</f>
        <v>100000000</v>
      </c>
      <c r="D51" s="297">
        <f t="shared" ref="D51:D57" si="6">C51*10%</f>
        <v>10000000</v>
      </c>
      <c r="E51" s="297"/>
      <c r="F51" s="297">
        <f t="shared" ref="F51:F57" si="7">C51-D51</f>
        <v>90000000</v>
      </c>
      <c r="G51" s="294"/>
      <c r="H51" s="298">
        <f t="shared" si="0"/>
        <v>90000000</v>
      </c>
      <c r="I51" s="298">
        <f t="shared" si="1"/>
        <v>0</v>
      </c>
    </row>
    <row r="52" spans="1:9" hidden="1">
      <c r="A52" s="295" t="s">
        <v>91</v>
      </c>
      <c r="B52" s="296" t="s">
        <v>987</v>
      </c>
      <c r="C52" s="1340">
        <f>'Dự toán Chi tiết 2025'!L365</f>
        <v>0</v>
      </c>
      <c r="D52" s="297">
        <f t="shared" si="6"/>
        <v>0</v>
      </c>
      <c r="E52" s="297"/>
      <c r="F52" s="297">
        <f t="shared" si="7"/>
        <v>0</v>
      </c>
      <c r="G52" s="304"/>
      <c r="H52" s="298">
        <f t="shared" si="0"/>
        <v>0</v>
      </c>
      <c r="I52" s="298">
        <f t="shared" si="1"/>
        <v>0</v>
      </c>
    </row>
    <row r="53" spans="1:9" ht="93.75" hidden="1">
      <c r="A53" s="295" t="s">
        <v>91</v>
      </c>
      <c r="B53" s="296" t="s">
        <v>994</v>
      </c>
      <c r="C53" s="1340">
        <f>'Dự toán Chi tiết 2025'!L366</f>
        <v>0</v>
      </c>
      <c r="D53" s="297">
        <f t="shared" si="6"/>
        <v>0</v>
      </c>
      <c r="E53" s="297"/>
      <c r="F53" s="297">
        <f t="shared" si="7"/>
        <v>0</v>
      </c>
      <c r="G53" s="304" t="s">
        <v>1279</v>
      </c>
      <c r="H53" s="298">
        <f t="shared" si="0"/>
        <v>0</v>
      </c>
      <c r="I53" s="298">
        <f t="shared" si="1"/>
        <v>0</v>
      </c>
    </row>
    <row r="54" spans="1:9" ht="37.5">
      <c r="A54" s="295" t="s">
        <v>91</v>
      </c>
      <c r="B54" s="296" t="s">
        <v>113</v>
      </c>
      <c r="C54" s="1340">
        <f>'Dự toán Chi tiết 2025'!L368</f>
        <v>50000000</v>
      </c>
      <c r="D54" s="297">
        <f t="shared" si="6"/>
        <v>5000000</v>
      </c>
      <c r="E54" s="297"/>
      <c r="F54" s="297">
        <f t="shared" si="7"/>
        <v>45000000</v>
      </c>
      <c r="G54" s="304"/>
      <c r="H54" s="298">
        <f t="shared" si="0"/>
        <v>45000000</v>
      </c>
      <c r="I54" s="298">
        <f t="shared" si="1"/>
        <v>0</v>
      </c>
    </row>
    <row r="55" spans="1:9" ht="87.6" customHeight="1">
      <c r="A55" s="295" t="s">
        <v>91</v>
      </c>
      <c r="B55" s="296" t="s">
        <v>995</v>
      </c>
      <c r="C55" s="1340">
        <f>'Dự toán Chi tiết 2025'!L370</f>
        <v>500000000</v>
      </c>
      <c r="D55" s="297">
        <f t="shared" si="6"/>
        <v>50000000</v>
      </c>
      <c r="E55" s="297"/>
      <c r="F55" s="297">
        <f t="shared" si="7"/>
        <v>450000000</v>
      </c>
      <c r="G55" s="304" t="s">
        <v>1279</v>
      </c>
      <c r="H55" s="298">
        <f t="shared" si="0"/>
        <v>450000000</v>
      </c>
      <c r="I55" s="298">
        <f t="shared" si="1"/>
        <v>0</v>
      </c>
    </row>
    <row r="56" spans="1:9" ht="87.6" hidden="1" customHeight="1">
      <c r="A56" s="295" t="s">
        <v>91</v>
      </c>
      <c r="B56" s="296" t="str">
        <f>'Dự toán Chi tiết 2025'!B369</f>
        <v>Tuyên truyền Đại hội Đảng các cấp</v>
      </c>
      <c r="C56" s="1340">
        <f>'Dự toán Chi tiết 2025'!L369</f>
        <v>0</v>
      </c>
      <c r="D56" s="297">
        <f t="shared" si="6"/>
        <v>0</v>
      </c>
      <c r="E56" s="297"/>
      <c r="F56" s="297">
        <f t="shared" si="7"/>
        <v>0</v>
      </c>
      <c r="G56" s="304"/>
      <c r="H56" s="298"/>
      <c r="I56" s="298"/>
    </row>
    <row r="57" spans="1:9" ht="150">
      <c r="A57" s="295" t="s">
        <v>91</v>
      </c>
      <c r="B57" s="296" t="str">
        <f>'Dự toán Chi tiết 2025'!B372</f>
        <v>Chi trả tiền nhuận bút và các hoạt động sửa chữa, mua sắm các hoạt động liên quan đến công tác truyền thanh</v>
      </c>
      <c r="C57" s="1340">
        <f>'Dự toán Chi tiết 2025'!L372</f>
        <v>240000000</v>
      </c>
      <c r="D57" s="297">
        <f t="shared" si="6"/>
        <v>24000000</v>
      </c>
      <c r="E57" s="297"/>
      <c r="F57" s="297">
        <f t="shared" si="7"/>
        <v>216000000</v>
      </c>
      <c r="G57" s="304" t="s">
        <v>118</v>
      </c>
      <c r="H57" s="298">
        <f t="shared" si="0"/>
        <v>216000000</v>
      </c>
      <c r="I57" s="298">
        <f t="shared" si="1"/>
        <v>0</v>
      </c>
    </row>
    <row r="58" spans="1:9">
      <c r="I58" s="298">
        <f t="shared" si="1"/>
        <v>0</v>
      </c>
    </row>
  </sheetData>
  <mergeCells count="7">
    <mergeCell ref="A8:G8"/>
    <mergeCell ref="A1:C1"/>
    <mergeCell ref="A2:C2"/>
    <mergeCell ref="A4:G4"/>
    <mergeCell ref="A5:G5"/>
    <mergeCell ref="A6:G6"/>
    <mergeCell ref="A7:G7"/>
  </mergeCells>
  <pageMargins left="0.49" right="0.45" top="0.83" bottom="0.74803149606299213" header="0.31496062992125984" footer="0.31496062992125984"/>
  <pageSetup paperSize="9" scale="63" fitToHeight="0" orientation="portrait" r:id="rId1"/>
  <headerFoot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69"/>
  <sheetViews>
    <sheetView tabSelected="1" zoomScale="70" zoomScaleNormal="70" workbookViewId="0">
      <selection activeCell="A3" sqref="A3:AF3"/>
    </sheetView>
  </sheetViews>
  <sheetFormatPr defaultColWidth="11.5703125" defaultRowHeight="18.75"/>
  <cols>
    <col min="1" max="1" width="7.5703125" style="1388" bestFit="1" customWidth="1"/>
    <col min="2" max="2" width="58.85546875" style="1388" customWidth="1"/>
    <col min="3" max="3" width="22.5703125" style="1392" bestFit="1" customWidth="1"/>
    <col min="4" max="4" width="22.42578125" style="1388" customWidth="1"/>
    <col min="5" max="5" width="16.42578125" style="1388" customWidth="1"/>
    <col min="6" max="6" width="17.7109375" style="1388" customWidth="1"/>
    <col min="7" max="8" width="15.28515625" style="1388" customWidth="1"/>
    <col min="9" max="10" width="15.28515625" style="1388" hidden="1" customWidth="1"/>
    <col min="11" max="11" width="15.28515625" style="1388" customWidth="1"/>
    <col min="12" max="12" width="19.5703125" style="1388" customWidth="1"/>
    <col min="13" max="13" width="15.28515625" style="1388" customWidth="1"/>
    <col min="14" max="14" width="16.42578125" style="1388" customWidth="1"/>
    <col min="15" max="15" width="17.7109375" style="1388" customWidth="1"/>
    <col min="16" max="16" width="15.28515625" style="1388" customWidth="1"/>
    <col min="17" max="27" width="15.28515625" style="1388" hidden="1" customWidth="1"/>
    <col min="28" max="28" width="25.28515625" style="1529" customWidth="1"/>
    <col min="29" max="29" width="15.28515625" style="1388" customWidth="1"/>
    <col min="30" max="30" width="16.42578125" style="1388" customWidth="1"/>
    <col min="31" max="31" width="17.7109375" style="1388" customWidth="1"/>
    <col min="32" max="32" width="21.140625" style="1388" customWidth="1"/>
    <col min="33" max="33" width="12.7109375" style="1388" hidden="1" customWidth="1"/>
    <col min="34" max="34" width="17.7109375" style="1388" hidden="1" customWidth="1"/>
    <col min="35" max="35" width="0" style="1388" hidden="1" customWidth="1"/>
    <col min="36" max="36" width="12.42578125" style="1388" hidden="1" customWidth="1"/>
    <col min="37" max="37" width="17.7109375" style="1388" hidden="1" customWidth="1"/>
    <col min="38" max="38" width="0" style="1388" hidden="1" customWidth="1"/>
    <col min="39" max="40" width="13.7109375" style="1388" bestFit="1" customWidth="1"/>
    <col min="41" max="43" width="16.7109375" style="1388" customWidth="1"/>
    <col min="44" max="44" width="25.28515625" style="1388" bestFit="1" customWidth="1"/>
    <col min="45" max="45" width="22" style="1388" bestFit="1" customWidth="1"/>
    <col min="46" max="47" width="13.7109375" style="1388" bestFit="1" customWidth="1"/>
    <col min="48" max="16384" width="11.5703125" style="1388"/>
  </cols>
  <sheetData>
    <row r="1" spans="1:47">
      <c r="A1" s="1810" t="s">
        <v>2177</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459"/>
    </row>
    <row r="2" spans="1:47">
      <c r="A2" s="1550"/>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459"/>
    </row>
    <row r="3" spans="1:47">
      <c r="A3" s="1667" t="s">
        <v>2178</v>
      </c>
      <c r="B3" s="1667"/>
      <c r="C3" s="1667"/>
      <c r="D3" s="1667"/>
      <c r="E3" s="1667"/>
      <c r="F3" s="1667"/>
      <c r="G3" s="1667"/>
      <c r="H3" s="1667"/>
      <c r="I3" s="1667"/>
      <c r="J3" s="1667"/>
      <c r="K3" s="1667"/>
      <c r="L3" s="1667"/>
      <c r="M3" s="1667"/>
      <c r="N3" s="1667"/>
      <c r="O3" s="1667"/>
      <c r="P3" s="1667"/>
      <c r="Q3" s="1667"/>
      <c r="R3" s="1667"/>
      <c r="S3" s="1667"/>
      <c r="T3" s="1667"/>
      <c r="U3" s="1667"/>
      <c r="V3" s="1667"/>
      <c r="W3" s="1667"/>
      <c r="X3" s="1667"/>
      <c r="Y3" s="1667"/>
      <c r="Z3" s="1667"/>
      <c r="AA3" s="1667"/>
      <c r="AB3" s="1667"/>
      <c r="AC3" s="1667"/>
      <c r="AD3" s="1667"/>
      <c r="AE3" s="1667"/>
      <c r="AF3" s="1667"/>
      <c r="AG3" s="1545"/>
    </row>
    <row r="4" spans="1:47">
      <c r="A4" s="1668" t="s">
        <v>2179</v>
      </c>
      <c r="B4" s="1668"/>
      <c r="C4" s="1668"/>
      <c r="D4" s="1668"/>
      <c r="E4" s="1668"/>
      <c r="F4" s="1668"/>
      <c r="G4" s="1668"/>
      <c r="H4" s="1668"/>
      <c r="I4" s="1668"/>
      <c r="J4" s="1668"/>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546"/>
    </row>
    <row r="5" spans="1:47" s="1625" customFormat="1">
      <c r="A5" s="1623"/>
      <c r="B5" s="1623"/>
      <c r="C5" s="1624" t="e">
        <f>#REF!+#REF!+#REF!+#REF!+C16+C17+C18+C21+C25+C28+C32+C35+C39+C40</f>
        <v>#REF!</v>
      </c>
      <c r="D5" s="1623"/>
      <c r="E5" s="1623"/>
      <c r="F5" s="1623"/>
      <c r="G5" s="1623"/>
      <c r="H5" s="1623"/>
      <c r="I5" s="1623"/>
      <c r="J5" s="1623"/>
      <c r="K5" s="1624" t="e">
        <f>#REF!+#REF!+#REF!+#REF!+K16+K17+K18+K21+K25+K28+K32+K35+K39+K40</f>
        <v>#REF!</v>
      </c>
      <c r="L5" s="1623"/>
      <c r="M5" s="1623"/>
      <c r="N5" s="1623"/>
      <c r="O5" s="1623"/>
      <c r="P5" s="1623"/>
      <c r="Q5" s="1623"/>
      <c r="R5" s="1623"/>
      <c r="S5" s="1623"/>
      <c r="T5" s="1623"/>
      <c r="U5" s="1623"/>
      <c r="V5" s="1623"/>
      <c r="W5" s="1623"/>
      <c r="X5" s="1623"/>
      <c r="Y5" s="1623"/>
      <c r="Z5" s="1623"/>
      <c r="AA5" s="1623"/>
      <c r="AB5" s="1624">
        <f>AB15+P15+O15+N15</f>
        <v>186101.09400000004</v>
      </c>
      <c r="AC5" s="1623"/>
      <c r="AD5" s="1623"/>
      <c r="AE5" s="1623"/>
      <c r="AF5" s="1664" t="s">
        <v>2175</v>
      </c>
      <c r="AG5" s="1623"/>
    </row>
    <row r="6" spans="1:47">
      <c r="A6" s="1803" t="s">
        <v>0</v>
      </c>
      <c r="B6" s="1803" t="s">
        <v>1617</v>
      </c>
      <c r="C6" s="1821" t="s">
        <v>2161</v>
      </c>
      <c r="D6" s="1821"/>
      <c r="E6" s="1821"/>
      <c r="F6" s="1821"/>
      <c r="G6" s="1821"/>
      <c r="H6" s="1821"/>
      <c r="I6" s="1549"/>
      <c r="J6" s="1811" t="s">
        <v>2132</v>
      </c>
      <c r="K6" s="1812"/>
      <c r="L6" s="1812"/>
      <c r="M6" s="1812"/>
      <c r="N6" s="1812"/>
      <c r="O6" s="1812"/>
      <c r="P6" s="1812"/>
      <c r="Q6" s="1812"/>
      <c r="R6" s="1812"/>
      <c r="S6" s="1812"/>
      <c r="T6" s="1812"/>
      <c r="U6" s="1812"/>
      <c r="V6" s="1812"/>
      <c r="W6" s="1812"/>
      <c r="X6" s="1812"/>
      <c r="Y6" s="1812"/>
      <c r="Z6" s="1812"/>
      <c r="AA6" s="1812"/>
      <c r="AB6" s="1812"/>
      <c r="AC6" s="1812"/>
      <c r="AD6" s="1812"/>
      <c r="AE6" s="1812"/>
      <c r="AF6" s="1813"/>
      <c r="AG6" s="1546"/>
      <c r="AS6" s="1389" t="e">
        <f>AS7+AS8</f>
        <v>#REF!</v>
      </c>
      <c r="AT6" s="1389" t="e">
        <f>AT7+AT8</f>
        <v>#REF!</v>
      </c>
    </row>
    <row r="7" spans="1:47" s="1443" customFormat="1" ht="16.5" customHeight="1">
      <c r="A7" s="1807"/>
      <c r="B7" s="1807"/>
      <c r="C7" s="1821"/>
      <c r="D7" s="1821"/>
      <c r="E7" s="1821"/>
      <c r="F7" s="1821"/>
      <c r="G7" s="1821"/>
      <c r="H7" s="1821"/>
      <c r="I7" s="1555"/>
      <c r="J7" s="1814" t="s">
        <v>1627</v>
      </c>
      <c r="K7" s="1814" t="s">
        <v>1627</v>
      </c>
      <c r="L7" s="1817" t="s">
        <v>2155</v>
      </c>
      <c r="M7" s="1818"/>
      <c r="N7" s="1818"/>
      <c r="O7" s="1818"/>
      <c r="P7" s="1819"/>
      <c r="Q7" s="1554"/>
      <c r="R7" s="1803" t="s">
        <v>2145</v>
      </c>
      <c r="S7" s="1803" t="s">
        <v>2126</v>
      </c>
      <c r="T7" s="1554"/>
      <c r="U7" s="1554"/>
      <c r="V7" s="1554"/>
      <c r="W7" s="1554"/>
      <c r="X7" s="1554"/>
      <c r="Y7" s="1554"/>
      <c r="Z7" s="1548"/>
      <c r="AA7" s="1548"/>
      <c r="AB7" s="1820" t="s">
        <v>2133</v>
      </c>
      <c r="AC7" s="1820"/>
      <c r="AD7" s="1820"/>
      <c r="AE7" s="1820"/>
      <c r="AF7" s="1820"/>
      <c r="AG7" s="1442"/>
      <c r="AS7" s="1451" t="e">
        <f>#REF!-#REF!</f>
        <v>#REF!</v>
      </c>
      <c r="AT7" s="1452" t="e">
        <f>#REF!-#REF!</f>
        <v>#REF!</v>
      </c>
    </row>
    <row r="8" spans="1:47" ht="24.75" customHeight="1">
      <c r="A8" s="1807"/>
      <c r="B8" s="1807"/>
      <c r="C8" s="1805" t="s">
        <v>1627</v>
      </c>
      <c r="D8" s="1805" t="s">
        <v>2111</v>
      </c>
      <c r="E8" s="1805" t="s">
        <v>2095</v>
      </c>
      <c r="F8" s="1805" t="s">
        <v>2096</v>
      </c>
      <c r="G8" s="1805" t="s">
        <v>2097</v>
      </c>
      <c r="H8" s="1805" t="s">
        <v>2131</v>
      </c>
      <c r="I8" s="1589"/>
      <c r="J8" s="1815"/>
      <c r="K8" s="1815"/>
      <c r="L8" s="1805" t="s">
        <v>1627</v>
      </c>
      <c r="M8" s="1805" t="s">
        <v>2111</v>
      </c>
      <c r="N8" s="1805" t="s">
        <v>2095</v>
      </c>
      <c r="O8" s="1805" t="s">
        <v>2096</v>
      </c>
      <c r="P8" s="1805" t="s">
        <v>2097</v>
      </c>
      <c r="Q8" s="1807" t="s">
        <v>2131</v>
      </c>
      <c r="R8" s="1807"/>
      <c r="S8" s="1807"/>
      <c r="T8" s="1805" t="s">
        <v>1627</v>
      </c>
      <c r="U8" s="1552" t="s">
        <v>2120</v>
      </c>
      <c r="V8" s="1552" t="s">
        <v>2127</v>
      </c>
      <c r="W8" s="1803" t="s">
        <v>2128</v>
      </c>
      <c r="X8" s="1552"/>
      <c r="Y8" s="1552"/>
      <c r="Z8" s="1805" t="s">
        <v>2126</v>
      </c>
      <c r="AA8" s="1803" t="s">
        <v>2143</v>
      </c>
      <c r="AB8" s="1806" t="s">
        <v>1627</v>
      </c>
      <c r="AC8" s="1805" t="s">
        <v>2111</v>
      </c>
      <c r="AD8" s="1805" t="s">
        <v>2095</v>
      </c>
      <c r="AE8" s="1805" t="s">
        <v>2096</v>
      </c>
      <c r="AF8" s="1805" t="s">
        <v>2097</v>
      </c>
      <c r="AG8" s="1808" t="s">
        <v>2098</v>
      </c>
      <c r="AH8" s="1803" t="s">
        <v>2099</v>
      </c>
      <c r="AR8" s="1389" t="e">
        <f>AR9-AR15</f>
        <v>#REF!</v>
      </c>
      <c r="AS8" s="1447" t="e">
        <f>#REF!-#REF!</f>
        <v>#REF!</v>
      </c>
      <c r="AT8" s="1389" t="e">
        <f>#REF!-#REF!</f>
        <v>#REF!</v>
      </c>
    </row>
    <row r="9" spans="1:47" ht="84" customHeight="1">
      <c r="A9" s="1804"/>
      <c r="B9" s="1804"/>
      <c r="C9" s="1805"/>
      <c r="D9" s="1805"/>
      <c r="E9" s="1805"/>
      <c r="F9" s="1805"/>
      <c r="G9" s="1805"/>
      <c r="H9" s="1805"/>
      <c r="I9" s="1551"/>
      <c r="J9" s="1816"/>
      <c r="K9" s="1816"/>
      <c r="L9" s="1805"/>
      <c r="M9" s="1805"/>
      <c r="N9" s="1805"/>
      <c r="O9" s="1805"/>
      <c r="P9" s="1805"/>
      <c r="Q9" s="1804"/>
      <c r="R9" s="1804"/>
      <c r="S9" s="1804"/>
      <c r="T9" s="1805"/>
      <c r="U9" s="1553"/>
      <c r="V9" s="1553"/>
      <c r="W9" s="1804"/>
      <c r="X9" s="1553" t="s">
        <v>2129</v>
      </c>
      <c r="Y9" s="1553" t="s">
        <v>2130</v>
      </c>
      <c r="Z9" s="1805"/>
      <c r="AA9" s="1804"/>
      <c r="AB9" s="1806"/>
      <c r="AC9" s="1805"/>
      <c r="AD9" s="1805"/>
      <c r="AE9" s="1805"/>
      <c r="AF9" s="1805"/>
      <c r="AG9" s="1809"/>
      <c r="AH9" s="1804"/>
      <c r="AR9" s="1389">
        <f>J15-C15</f>
        <v>-37628.897729999939</v>
      </c>
      <c r="AS9" s="1447">
        <f>AS10-C15</f>
        <v>0</v>
      </c>
      <c r="AT9" s="1388">
        <f>287.93012+265.253428+51.48</f>
        <v>604.66354799999999</v>
      </c>
      <c r="AU9" s="1389" t="e">
        <f>AT9-AS6+AT6</f>
        <v>#REF!</v>
      </c>
    </row>
    <row r="10" spans="1:47">
      <c r="A10" s="1547" t="s">
        <v>167</v>
      </c>
      <c r="B10" s="1461" t="s">
        <v>1268</v>
      </c>
      <c r="C10" s="1547" t="s">
        <v>2153</v>
      </c>
      <c r="D10" s="1547">
        <v>2</v>
      </c>
      <c r="E10" s="1547">
        <v>3</v>
      </c>
      <c r="F10" s="1547">
        <v>4</v>
      </c>
      <c r="G10" s="1547">
        <v>5</v>
      </c>
      <c r="H10" s="1547">
        <v>6</v>
      </c>
      <c r="I10" s="1547"/>
      <c r="J10" s="1547"/>
      <c r="K10" s="1547" t="s">
        <v>2144</v>
      </c>
      <c r="L10" s="1547" t="s">
        <v>2156</v>
      </c>
      <c r="M10" s="1547">
        <v>9</v>
      </c>
      <c r="N10" s="1547">
        <v>10</v>
      </c>
      <c r="O10" s="1547">
        <v>11</v>
      </c>
      <c r="P10" s="1547">
        <v>12</v>
      </c>
      <c r="Q10" s="1547"/>
      <c r="R10" s="1547">
        <v>13</v>
      </c>
      <c r="S10" s="1547">
        <v>14</v>
      </c>
      <c r="T10" s="1547"/>
      <c r="U10" s="1547"/>
      <c r="V10" s="1547"/>
      <c r="W10" s="1547"/>
      <c r="X10" s="1547"/>
      <c r="Y10" s="1547"/>
      <c r="Z10" s="1547">
        <v>11</v>
      </c>
      <c r="AA10" s="1547"/>
      <c r="AB10" s="1547" t="s">
        <v>2154</v>
      </c>
      <c r="AC10" s="1547">
        <v>16</v>
      </c>
      <c r="AD10" s="1547">
        <v>17</v>
      </c>
      <c r="AE10" s="1547">
        <v>18</v>
      </c>
      <c r="AF10" s="1547">
        <v>19</v>
      </c>
      <c r="AG10" s="1466"/>
      <c r="AH10" s="1436">
        <v>16</v>
      </c>
      <c r="AS10" s="1447">
        <f>AB15+L15</f>
        <v>186101.09400000004</v>
      </c>
    </row>
    <row r="11" spans="1:47" hidden="1">
      <c r="A11" s="1547" t="s">
        <v>167</v>
      </c>
      <c r="B11" s="1461" t="s">
        <v>2100</v>
      </c>
      <c r="C11" s="1437" t="e">
        <f>SUM(C12:C14)</f>
        <v>#REF!</v>
      </c>
      <c r="D11" s="1437"/>
      <c r="E11" s="1437">
        <f t="shared" ref="E11:AH11" si="0">SUM(E12:E14)</f>
        <v>219512</v>
      </c>
      <c r="F11" s="1437">
        <f t="shared" si="0"/>
        <v>140684</v>
      </c>
      <c r="G11" s="1437">
        <f t="shared" si="0"/>
        <v>122272</v>
      </c>
      <c r="H11" s="1437"/>
      <c r="I11" s="1437"/>
      <c r="J11" s="1437"/>
      <c r="K11" s="1437"/>
      <c r="L11" s="1437">
        <f>SUM(L12:L14)</f>
        <v>482468</v>
      </c>
      <c r="M11" s="1437"/>
      <c r="N11" s="1437">
        <f t="shared" ref="N11:P11" si="1">SUM(N12:N14)</f>
        <v>219512</v>
      </c>
      <c r="O11" s="1437">
        <f t="shared" si="1"/>
        <v>140684</v>
      </c>
      <c r="P11" s="1437">
        <f t="shared" si="1"/>
        <v>122272</v>
      </c>
      <c r="Q11" s="1437"/>
      <c r="R11" s="1437"/>
      <c r="S11" s="1437"/>
      <c r="T11" s="1437"/>
      <c r="U11" s="1437"/>
      <c r="V11" s="1437"/>
      <c r="W11" s="1437"/>
      <c r="X11" s="1437"/>
      <c r="Y11" s="1437"/>
      <c r="Z11" s="1437"/>
      <c r="AA11" s="1437"/>
      <c r="AB11" s="1521">
        <f>SUM(AB12:AB14)</f>
        <v>482468</v>
      </c>
      <c r="AC11" s="1437"/>
      <c r="AD11" s="1437">
        <f t="shared" ref="AD11:AF11" si="2">SUM(AD12:AD14)</f>
        <v>219512</v>
      </c>
      <c r="AE11" s="1437">
        <f t="shared" si="2"/>
        <v>140684</v>
      </c>
      <c r="AF11" s="1437">
        <f t="shared" si="2"/>
        <v>122272</v>
      </c>
      <c r="AG11" s="1467"/>
      <c r="AH11" s="1437">
        <f t="shared" si="0"/>
        <v>90654</v>
      </c>
    </row>
    <row r="12" spans="1:47" hidden="1">
      <c r="A12" s="315" t="s">
        <v>2</v>
      </c>
      <c r="B12" s="1462" t="s">
        <v>2101</v>
      </c>
      <c r="C12" s="1360" t="e">
        <f>SUM(E12:E12)+F12+G12+#REF!</f>
        <v>#REF!</v>
      </c>
      <c r="D12" s="317"/>
      <c r="E12" s="1522">
        <f>130379+10813</f>
        <v>141192</v>
      </c>
      <c r="F12" s="1522">
        <f>27643+89361</f>
        <v>117004</v>
      </c>
      <c r="G12" s="1522">
        <f>117259+1408</f>
        <v>118667</v>
      </c>
      <c r="H12" s="1522"/>
      <c r="I12" s="1522"/>
      <c r="J12" s="1522"/>
      <c r="K12" s="1522"/>
      <c r="L12" s="317">
        <f>SUM(N12:N12)+O12+P12+AT12</f>
        <v>376863</v>
      </c>
      <c r="M12" s="1522"/>
      <c r="N12" s="1522">
        <f>130379+10813</f>
        <v>141192</v>
      </c>
      <c r="O12" s="1522">
        <f>27643+89361</f>
        <v>117004</v>
      </c>
      <c r="P12" s="1522">
        <f>117259+1408</f>
        <v>118667</v>
      </c>
      <c r="Q12" s="1522"/>
      <c r="R12" s="1522"/>
      <c r="S12" s="1522"/>
      <c r="T12" s="1522"/>
      <c r="U12" s="1522"/>
      <c r="V12" s="1522"/>
      <c r="W12" s="1522"/>
      <c r="X12" s="1522"/>
      <c r="Y12" s="1522"/>
      <c r="Z12" s="1522"/>
      <c r="AA12" s="1522"/>
      <c r="AB12" s="1523">
        <f>SUM(AD12:AD12)+AE12+AF12+AY12</f>
        <v>376863</v>
      </c>
      <c r="AC12" s="1522"/>
      <c r="AD12" s="1522">
        <f>130379+10813</f>
        <v>141192</v>
      </c>
      <c r="AE12" s="1522">
        <f>27643+89361</f>
        <v>117004</v>
      </c>
      <c r="AF12" s="1522">
        <f>117259+1408</f>
        <v>118667</v>
      </c>
      <c r="AG12" s="1468"/>
      <c r="AH12" s="1438">
        <v>90654</v>
      </c>
    </row>
    <row r="13" spans="1:47" hidden="1">
      <c r="A13" s="315" t="s">
        <v>12</v>
      </c>
      <c r="B13" s="1462" t="s">
        <v>624</v>
      </c>
      <c r="C13" s="1360" t="e">
        <f>SUM(E13:E13)+F13+G13+#REF!</f>
        <v>#REF!</v>
      </c>
      <c r="D13" s="317"/>
      <c r="E13" s="1522">
        <f>56+77718</f>
        <v>77774</v>
      </c>
      <c r="F13" s="1522">
        <f>9248+3218</f>
        <v>12466</v>
      </c>
      <c r="G13" s="1522">
        <v>3605</v>
      </c>
      <c r="H13" s="1522"/>
      <c r="I13" s="1522"/>
      <c r="J13" s="1522"/>
      <c r="K13" s="1522"/>
      <c r="L13" s="317">
        <f>SUM(N13:N13)+O13+P13+AT13</f>
        <v>93845</v>
      </c>
      <c r="M13" s="1522"/>
      <c r="N13" s="1522">
        <f>56+77718</f>
        <v>77774</v>
      </c>
      <c r="O13" s="1522">
        <f>9248+3218</f>
        <v>12466</v>
      </c>
      <c r="P13" s="1522">
        <v>3605</v>
      </c>
      <c r="Q13" s="1522"/>
      <c r="R13" s="1522"/>
      <c r="S13" s="1522"/>
      <c r="T13" s="1522"/>
      <c r="U13" s="1522"/>
      <c r="V13" s="1522"/>
      <c r="W13" s="1522"/>
      <c r="X13" s="1522"/>
      <c r="Y13" s="1522"/>
      <c r="Z13" s="1522"/>
      <c r="AA13" s="1522"/>
      <c r="AB13" s="1523">
        <f>SUM(AD13:AD13)+AE13+AF13+AY13</f>
        <v>93845</v>
      </c>
      <c r="AC13" s="1522"/>
      <c r="AD13" s="1522">
        <f>56+77718</f>
        <v>77774</v>
      </c>
      <c r="AE13" s="1522">
        <f>9248+3218</f>
        <v>12466</v>
      </c>
      <c r="AF13" s="1522">
        <v>3605</v>
      </c>
      <c r="AG13" s="1468"/>
      <c r="AH13" s="1438"/>
    </row>
    <row r="14" spans="1:47" hidden="1">
      <c r="A14" s="315" t="s">
        <v>70</v>
      </c>
      <c r="B14" s="1462" t="s">
        <v>2102</v>
      </c>
      <c r="C14" s="1360" t="e">
        <f>SUM(E14:E14)+F14+G14+#REF!</f>
        <v>#REF!</v>
      </c>
      <c r="D14" s="317"/>
      <c r="E14" s="1522">
        <v>546</v>
      </c>
      <c r="F14" s="1522">
        <v>11214</v>
      </c>
      <c r="G14" s="1522"/>
      <c r="H14" s="1522"/>
      <c r="I14" s="1522"/>
      <c r="J14" s="1522"/>
      <c r="K14" s="1522"/>
      <c r="L14" s="317">
        <f>SUM(N14:N14)+O14+P14+AT14</f>
        <v>11760</v>
      </c>
      <c r="M14" s="1522"/>
      <c r="N14" s="1522">
        <v>546</v>
      </c>
      <c r="O14" s="1522">
        <v>11214</v>
      </c>
      <c r="P14" s="1522"/>
      <c r="Q14" s="1522"/>
      <c r="R14" s="1522"/>
      <c r="S14" s="1522"/>
      <c r="T14" s="1522"/>
      <c r="U14" s="1522"/>
      <c r="V14" s="1522"/>
      <c r="W14" s="1522"/>
      <c r="X14" s="1522"/>
      <c r="Y14" s="1522"/>
      <c r="Z14" s="1522"/>
      <c r="AA14" s="1522"/>
      <c r="AB14" s="1523">
        <f>SUM(AD14:AD14)+AE14+AF14+AY14</f>
        <v>11760</v>
      </c>
      <c r="AC14" s="1522"/>
      <c r="AD14" s="1522">
        <v>546</v>
      </c>
      <c r="AE14" s="1522">
        <v>11214</v>
      </c>
      <c r="AF14" s="1522"/>
      <c r="AG14" s="1468"/>
      <c r="AH14" s="1438"/>
    </row>
    <row r="15" spans="1:47">
      <c r="A15" s="1547"/>
      <c r="B15" s="1461" t="s">
        <v>762</v>
      </c>
      <c r="C15" s="1437">
        <f t="shared" ref="C15:H15" si="3">SUM(C16:C41)-C37-C38</f>
        <v>186101.09399999998</v>
      </c>
      <c r="D15" s="1437">
        <f t="shared" si="3"/>
        <v>373</v>
      </c>
      <c r="E15" s="1437">
        <f t="shared" si="3"/>
        <v>12050</v>
      </c>
      <c r="F15" s="1437">
        <f t="shared" si="3"/>
        <v>36229.093999999997</v>
      </c>
      <c r="G15" s="1437">
        <f t="shared" si="3"/>
        <v>134383</v>
      </c>
      <c r="H15" s="1437">
        <f t="shared" si="3"/>
        <v>3066</v>
      </c>
      <c r="I15" s="1437"/>
      <c r="J15" s="1437">
        <f>SUM(J16:J41)-J37-J38</f>
        <v>148472.19627000004</v>
      </c>
      <c r="K15" s="1521">
        <f>K21+K18+K25+K28+K16+K17+K32+K35+K39+K40+K19+K20</f>
        <v>186101.09400000004</v>
      </c>
      <c r="L15" s="1437">
        <f t="shared" ref="L15:Q15" si="4">SUM(L16:L41)-L37-L38</f>
        <v>35793.005993999999</v>
      </c>
      <c r="M15" s="1437">
        <f t="shared" si="4"/>
        <v>0</v>
      </c>
      <c r="N15" s="1437">
        <f t="shared" si="4"/>
        <v>100</v>
      </c>
      <c r="O15" s="1437">
        <f t="shared" si="4"/>
        <v>1503.9147890000002</v>
      </c>
      <c r="P15" s="1437">
        <f t="shared" si="4"/>
        <v>34189.091204999997</v>
      </c>
      <c r="Q15" s="1437">
        <f t="shared" si="4"/>
        <v>0</v>
      </c>
      <c r="R15" s="1437">
        <f t="shared" ref="R15:R20" si="5">T15</f>
        <v>111498.66648799997</v>
      </c>
      <c r="S15" s="1437">
        <f t="shared" ref="S15:S20" si="6">Z15</f>
        <v>1180.523788</v>
      </c>
      <c r="T15" s="1437">
        <f t="shared" ref="T15:Z15" si="7">SUM(T16:T41)-T37-T38</f>
        <v>111498.66648799997</v>
      </c>
      <c r="U15" s="1437">
        <f t="shared" si="7"/>
        <v>101030.17744899998</v>
      </c>
      <c r="V15" s="1437">
        <f t="shared" si="7"/>
        <v>4136.9953560000004</v>
      </c>
      <c r="W15" s="1437">
        <f t="shared" si="7"/>
        <v>220.08537699999999</v>
      </c>
      <c r="X15" s="1437">
        <f t="shared" si="7"/>
        <v>995.47864100000004</v>
      </c>
      <c r="Y15" s="1437">
        <f t="shared" si="7"/>
        <v>5115.9296650000006</v>
      </c>
      <c r="Z15" s="1437">
        <f t="shared" si="7"/>
        <v>1180.523788</v>
      </c>
      <c r="AA15" s="1437"/>
      <c r="AB15" s="1521">
        <f>AB21+AB18+AB25+AB28+AB16+AB17+AB32+AB35+AB39+AB40+AB19+AB20</f>
        <v>150308.08800600003</v>
      </c>
      <c r="AC15" s="1521">
        <f>AC21+AC18+AC25+AC28+AC16+AC17+AC32+AC35+AC39+AC40</f>
        <v>373</v>
      </c>
      <c r="AD15" s="1521">
        <f>AD21+AD18+AD25+AD28+AD16+AD17+AD32+AD35+AD39+AD40</f>
        <v>14461</v>
      </c>
      <c r="AE15" s="1521">
        <f>AE21+AE18+AE25+AE28+AE16+AE17+AE32+AE35+AE39+AE40</f>
        <v>35280.179210999995</v>
      </c>
      <c r="AF15" s="1521">
        <f>AF21+AF18+AF25+AF28+AF16+AF17+AF32+AF35+AF39+AF40</f>
        <v>100193.90879500001</v>
      </c>
      <c r="AG15" s="1467" t="e">
        <f>SUM(AG16:AG41)-#REF!-AG37-AG38-#REF!</f>
        <v>#REF!</v>
      </c>
      <c r="AH15" s="1437" t="e">
        <f>SUM(AH16:AH41)-#REF!-AH37-AH38-#REF!</f>
        <v>#REF!</v>
      </c>
      <c r="AI15" s="1388">
        <f>SUM(E15:G15)*0.5%</f>
        <v>913.3104699999999</v>
      </c>
      <c r="AJ15" s="1435"/>
      <c r="AM15" s="1389">
        <f>L15+R15+S15</f>
        <v>148472.19626999996</v>
      </c>
      <c r="AN15" s="1389"/>
      <c r="AR15" s="1389" t="e">
        <f>#REF!+#REF!</f>
        <v>#REF!</v>
      </c>
      <c r="AS15" s="1389">
        <f>AD15+N15</f>
        <v>14561</v>
      </c>
      <c r="AT15" s="1389">
        <f>AS15-E15</f>
        <v>2511</v>
      </c>
      <c r="AU15" s="1389">
        <f>C15-L15-AB15</f>
        <v>0</v>
      </c>
    </row>
    <row r="16" spans="1:47">
      <c r="A16" s="315">
        <v>1</v>
      </c>
      <c r="B16" s="1463" t="s">
        <v>2107</v>
      </c>
      <c r="C16" s="1591">
        <f>SUM(D16:H16)</f>
        <v>6426.808</v>
      </c>
      <c r="D16" s="1522"/>
      <c r="E16" s="1524">
        <v>1950</v>
      </c>
      <c r="F16" s="1524">
        <f>('[6]Giao các đơn vị'!K16)/1000000</f>
        <v>1770.808</v>
      </c>
      <c r="G16" s="1524"/>
      <c r="H16" s="1524">
        <v>2706</v>
      </c>
      <c r="I16" s="1524"/>
      <c r="J16" s="1535">
        <f t="shared" ref="J16:J21" si="8">L16+T16+Z16</f>
        <v>6426.8079990000006</v>
      </c>
      <c r="K16" s="1437">
        <f>L16+AB16</f>
        <v>445.012652</v>
      </c>
      <c r="L16" s="1522">
        <f>SUM(M16:Q16)</f>
        <v>445.012652</v>
      </c>
      <c r="M16" s="1524"/>
      <c r="N16" s="1524">
        <f>'Kinh tế V_điều chỉnh'!G33/1000000</f>
        <v>100</v>
      </c>
      <c r="O16" s="1524">
        <f>'Kinh tế V_điều chỉnh'!G18/1000000</f>
        <v>345.012652</v>
      </c>
      <c r="P16" s="1646">
        <v>0</v>
      </c>
      <c r="Q16" s="1524"/>
      <c r="R16" s="1437">
        <f t="shared" si="5"/>
        <v>5716.5419190000002</v>
      </c>
      <c r="S16" s="1437">
        <f t="shared" si="6"/>
        <v>265.25342799999999</v>
      </c>
      <c r="T16" s="1524">
        <f>U16+V16+W16+X16+Y16</f>
        <v>5716.5419190000002</v>
      </c>
      <c r="U16" s="1524"/>
      <c r="V16" s="1524"/>
      <c r="W16" s="1524">
        <f>220.085377</f>
        <v>220.08537699999999</v>
      </c>
      <c r="X16" s="1524">
        <v>995.47864100000004</v>
      </c>
      <c r="Y16" s="1524">
        <f>4500.977901</f>
        <v>4500.9779010000002</v>
      </c>
      <c r="Z16" s="1524">
        <v>265.25342799999999</v>
      </c>
      <c r="AA16" s="1524"/>
      <c r="AB16" s="1525">
        <f>SUM(AC16:AF16)</f>
        <v>0</v>
      </c>
      <c r="AC16" s="1646"/>
      <c r="AD16" s="1646">
        <v>0</v>
      </c>
      <c r="AE16" s="1646">
        <f>('[6]Giao các đơn vị'!W16)/1000000</f>
        <v>0</v>
      </c>
      <c r="AF16" s="1646">
        <v>0</v>
      </c>
      <c r="AG16" s="1469">
        <v>0</v>
      </c>
      <c r="AH16" s="1439">
        <v>0</v>
      </c>
      <c r="AM16" s="1435">
        <f>AB16-C16</f>
        <v>-6426.808</v>
      </c>
      <c r="AN16" s="1435">
        <f>C16-AB16</f>
        <v>6426.808</v>
      </c>
      <c r="AO16" s="1389">
        <f t="shared" ref="AO16:AO21" si="9">AB16-C16</f>
        <v>-6426.808</v>
      </c>
      <c r="AP16" s="1389">
        <f t="shared" ref="AP16:AP21" si="10">AB16+L16</f>
        <v>445.012652</v>
      </c>
      <c r="AQ16" s="1389">
        <f>AP16-AO16</f>
        <v>6871.8206520000003</v>
      </c>
      <c r="AR16" s="1389">
        <f t="shared" ref="AR16:AR21" si="11">J16-C16</f>
        <v>-9.999994290410541E-7</v>
      </c>
      <c r="AS16" s="1389"/>
    </row>
    <row r="17" spans="1:47" ht="37.5">
      <c r="A17" s="315">
        <v>2</v>
      </c>
      <c r="B17" s="1463" t="s">
        <v>1018</v>
      </c>
      <c r="C17" s="1591">
        <f>SUM(D17:H17)</f>
        <v>137037.4</v>
      </c>
      <c r="D17" s="1522">
        <f>'Lap động tbxh_điều chỉnh'!F52/1000000</f>
        <v>373</v>
      </c>
      <c r="E17" s="1524"/>
      <c r="F17" s="1524">
        <f>('[6]Giao các đơn vị'!K9)/1000000</f>
        <v>2281.4</v>
      </c>
      <c r="G17" s="1524">
        <f>('[6]Giao các đơn vị'!K132)/1000000-E17</f>
        <v>134383</v>
      </c>
      <c r="H17" s="1524"/>
      <c r="I17" s="1524"/>
      <c r="J17" s="1535">
        <f t="shared" si="8"/>
        <v>137003.56600000002</v>
      </c>
      <c r="K17" s="1437">
        <f>L17+AB17</f>
        <v>34594.767131000001</v>
      </c>
      <c r="L17" s="1522">
        <f>SUM(M17:Q17)</f>
        <v>34594.767131000001</v>
      </c>
      <c r="M17" s="1524"/>
      <c r="N17" s="1524"/>
      <c r="O17" s="1524">
        <f>'Lap động tbxh_điều chỉnh'!G16/1000000</f>
        <v>405.675926</v>
      </c>
      <c r="P17" s="1524">
        <f>'Lap động tbxh_điều chỉnh'!G30/1000000</f>
        <v>34189.091204999997</v>
      </c>
      <c r="Q17" s="1524"/>
      <c r="R17" s="1437">
        <f t="shared" si="5"/>
        <v>102357.318869</v>
      </c>
      <c r="S17" s="1437">
        <f t="shared" si="6"/>
        <v>51.48</v>
      </c>
      <c r="T17" s="1524">
        <f>U17+V17+W17+X17+Y17</f>
        <v>102357.318869</v>
      </c>
      <c r="U17" s="1524">
        <v>97605.371748999998</v>
      </c>
      <c r="V17" s="1524">
        <v>4136.9953560000004</v>
      </c>
      <c r="W17" s="1524"/>
      <c r="X17" s="1524"/>
      <c r="Y17" s="1524">
        <v>614.95176400000003</v>
      </c>
      <c r="Z17" s="1524">
        <v>51.48</v>
      </c>
      <c r="AA17" s="1524">
        <f>C17-K17</f>
        <v>102442.63286899999</v>
      </c>
      <c r="AB17" s="1525">
        <f>SUM(AC17:AF17)</f>
        <v>0</v>
      </c>
      <c r="AC17" s="1646"/>
      <c r="AD17" s="1646"/>
      <c r="AE17" s="1646">
        <f>('[6]Giao các đơn vị'!W9)/1000000</f>
        <v>0</v>
      </c>
      <c r="AF17" s="1646">
        <f>('[6]Giao các đơn vị'!W132)/1000000-AD17</f>
        <v>0</v>
      </c>
      <c r="AG17" s="1469">
        <v>0</v>
      </c>
      <c r="AH17" s="1439">
        <v>0</v>
      </c>
      <c r="AM17" s="1435">
        <f>AB17-C17</f>
        <v>-137037.4</v>
      </c>
      <c r="AN17" s="1435">
        <f>C17-AB17</f>
        <v>137037.4</v>
      </c>
      <c r="AO17" s="1389">
        <f t="shared" si="9"/>
        <v>-137037.4</v>
      </c>
      <c r="AP17" s="1389">
        <f t="shared" si="10"/>
        <v>34594.767131000001</v>
      </c>
      <c r="AQ17" s="1389">
        <f>AP17-AO17</f>
        <v>171632.16713099999</v>
      </c>
      <c r="AR17" s="1389">
        <f t="shared" si="11"/>
        <v>-33.833999999973457</v>
      </c>
    </row>
    <row r="18" spans="1:47">
      <c r="A18" s="315">
        <v>3</v>
      </c>
      <c r="B18" s="1463" t="s">
        <v>2106</v>
      </c>
      <c r="C18" s="1591">
        <f>SUM(D18:H18)</f>
        <v>1457.3</v>
      </c>
      <c r="D18" s="1522"/>
      <c r="E18" s="1524"/>
      <c r="F18" s="1524">
        <f>('[6]Giao các đơn vị'!K10)/1000000</f>
        <v>1097.3</v>
      </c>
      <c r="G18" s="1524"/>
      <c r="H18" s="1524">
        <v>360</v>
      </c>
      <c r="I18" s="1524"/>
      <c r="J18" s="1535">
        <f t="shared" si="8"/>
        <v>1457.2969999999998</v>
      </c>
      <c r="K18" s="1437">
        <f>L18+AB18</f>
        <v>27.764980000000001</v>
      </c>
      <c r="L18" s="1522">
        <f>SUM(M18:Q18)</f>
        <v>27.764980000000001</v>
      </c>
      <c r="M18" s="1524"/>
      <c r="N18" s="1524"/>
      <c r="O18" s="1524">
        <f>'Y tế V_điều chỉnh'!G15/1000000</f>
        <v>27.764980000000001</v>
      </c>
      <c r="P18" s="1524"/>
      <c r="Q18" s="1524"/>
      <c r="R18" s="1437">
        <f t="shared" si="5"/>
        <v>1141.6018999999999</v>
      </c>
      <c r="S18" s="1437">
        <f t="shared" si="6"/>
        <v>287.93011999999999</v>
      </c>
      <c r="T18" s="1524">
        <f>U18+V18+W18+X18+Y18</f>
        <v>1141.6018999999999</v>
      </c>
      <c r="U18" s="1524">
        <f>1141.6019</f>
        <v>1141.6018999999999</v>
      </c>
      <c r="V18" s="1524"/>
      <c r="W18" s="1524"/>
      <c r="X18" s="1524"/>
      <c r="Y18" s="1524"/>
      <c r="Z18" s="1524">
        <v>287.93011999999999</v>
      </c>
      <c r="AA18" s="1524"/>
      <c r="AB18" s="1525">
        <f>SUM(AC18:AF18)</f>
        <v>0</v>
      </c>
      <c r="AC18" s="1646"/>
      <c r="AD18" s="1646">
        <v>0</v>
      </c>
      <c r="AE18" s="1646">
        <f>('[6]Giao các đơn vị'!W10)/1000000</f>
        <v>0</v>
      </c>
      <c r="AF18" s="1646">
        <v>0</v>
      </c>
      <c r="AG18" s="1469">
        <v>0</v>
      </c>
      <c r="AH18" s="1439">
        <v>0</v>
      </c>
      <c r="AM18" s="1435">
        <f>AB18-C18</f>
        <v>-1457.3</v>
      </c>
      <c r="AN18" s="1435">
        <f>C18-AB18</f>
        <v>1457.3</v>
      </c>
      <c r="AO18" s="1389">
        <f t="shared" si="9"/>
        <v>-1457.3</v>
      </c>
      <c r="AP18" s="1389">
        <f t="shared" si="10"/>
        <v>27.764980000000001</v>
      </c>
      <c r="AQ18" s="1389">
        <f>AP18-AO18</f>
        <v>1485.0649799999999</v>
      </c>
      <c r="AR18" s="1389">
        <f t="shared" si="11"/>
        <v>-3.0000000001564331E-3</v>
      </c>
    </row>
    <row r="19" spans="1:47">
      <c r="A19" s="315">
        <v>4</v>
      </c>
      <c r="B19" s="1463" t="s">
        <v>2164</v>
      </c>
      <c r="C19" s="1591">
        <f>SUM(D19:H19)</f>
        <v>2423.152</v>
      </c>
      <c r="D19" s="1522"/>
      <c r="E19" s="1524"/>
      <c r="F19" s="1524">
        <f>'Văn hóa và TT V_ điều chỉnh'!C17/1000000</f>
        <v>2423.152</v>
      </c>
      <c r="G19" s="1524"/>
      <c r="H19" s="1524"/>
      <c r="I19" s="1524"/>
      <c r="J19" s="1535">
        <f t="shared" si="8"/>
        <v>1730.2276459999998</v>
      </c>
      <c r="K19" s="1437">
        <f>L19+AB19</f>
        <v>300.695626</v>
      </c>
      <c r="L19" s="1522">
        <f>SUM(M19:Q19)</f>
        <v>300.695626</v>
      </c>
      <c r="M19" s="1524"/>
      <c r="N19" s="1524"/>
      <c r="O19" s="1524">
        <f>'Văn hóa và TT V_ điều chỉnh'!G16/1000000</f>
        <v>300.695626</v>
      </c>
      <c r="P19" s="1524"/>
      <c r="Q19" s="1524"/>
      <c r="R19" s="1437">
        <f t="shared" si="5"/>
        <v>1141.6018999999999</v>
      </c>
      <c r="S19" s="1437">
        <f t="shared" si="6"/>
        <v>287.93011999999999</v>
      </c>
      <c r="T19" s="1524">
        <f>U19+V19+W19+X19+Y19</f>
        <v>1141.6018999999999</v>
      </c>
      <c r="U19" s="1524">
        <f>1141.6019</f>
        <v>1141.6018999999999</v>
      </c>
      <c r="V19" s="1524"/>
      <c r="W19" s="1524"/>
      <c r="X19" s="1524"/>
      <c r="Y19" s="1524"/>
      <c r="Z19" s="1524">
        <v>287.93011999999999</v>
      </c>
      <c r="AA19" s="1524"/>
      <c r="AB19" s="1525">
        <f>SUM(AC19:AF19)</f>
        <v>0</v>
      </c>
      <c r="AC19" s="1646"/>
      <c r="AD19" s="1646">
        <v>0</v>
      </c>
      <c r="AE19" s="1646">
        <f>('[6]Giao các đơn vị'!W10)/1000000</f>
        <v>0</v>
      </c>
      <c r="AF19" s="1646">
        <v>0</v>
      </c>
      <c r="AG19" s="1469">
        <v>0</v>
      </c>
      <c r="AH19" s="1439">
        <v>0</v>
      </c>
      <c r="AM19" s="1435">
        <f>AB19-C19</f>
        <v>-2423.152</v>
      </c>
      <c r="AN19" s="1435">
        <f>C19-AB19</f>
        <v>2423.152</v>
      </c>
      <c r="AO19" s="1389">
        <f t="shared" si="9"/>
        <v>-2423.152</v>
      </c>
      <c r="AP19" s="1389">
        <f t="shared" si="10"/>
        <v>300.695626</v>
      </c>
      <c r="AQ19" s="1389">
        <f>AP19-AO19</f>
        <v>2723.8476260000002</v>
      </c>
      <c r="AR19" s="1389">
        <f t="shared" si="11"/>
        <v>-692.92435400000022</v>
      </c>
    </row>
    <row r="20" spans="1:47">
      <c r="A20" s="315">
        <v>5</v>
      </c>
      <c r="B20" s="1463" t="s">
        <v>212</v>
      </c>
      <c r="C20" s="1591">
        <f>SUM(D20:H20)</f>
        <v>4217.2</v>
      </c>
      <c r="D20" s="1522"/>
      <c r="E20" s="1524">
        <f>('Quản lý đô thị V'!C27+'Quản lý đô thị V'!C29+'Quản lý đô thị V'!C30)/1000000</f>
        <v>1400</v>
      </c>
      <c r="F20" s="1524">
        <f>('Quản lý đô thị V'!C17+'Quản lý đô thị V'!C22+'Quản lý đô thị V'!C23+'Quản lý đô thị V'!C24+'Quản lý đô thị V'!C26+'Quản lý đô thị V'!C28+'Quản lý đô thị V'!C31+'Quản lý đô thị V'!C32)/1000000</f>
        <v>2817.2</v>
      </c>
      <c r="G20" s="1524"/>
      <c r="H20" s="1524"/>
      <c r="I20" s="1524"/>
      <c r="J20" s="1535">
        <f t="shared" ref="J20" si="12">L20+T20+Z20</f>
        <v>1854.2976249999999</v>
      </c>
      <c r="K20" s="1437">
        <f>L20+AB20</f>
        <v>424.76560499999999</v>
      </c>
      <c r="L20" s="1522">
        <f>SUM(M20:Q20)</f>
        <v>424.76560499999999</v>
      </c>
      <c r="M20" s="1524"/>
      <c r="N20" s="1524"/>
      <c r="O20" s="1524">
        <f>'Quản lý đô thị _điều chỉnh'!G15/1000000</f>
        <v>424.76560499999999</v>
      </c>
      <c r="P20" s="1524"/>
      <c r="Q20" s="1524"/>
      <c r="R20" s="1437">
        <f t="shared" si="5"/>
        <v>1141.6018999999999</v>
      </c>
      <c r="S20" s="1437">
        <f t="shared" si="6"/>
        <v>287.93011999999999</v>
      </c>
      <c r="T20" s="1524">
        <f>U20+V20+W20+X20+Y20</f>
        <v>1141.6018999999999</v>
      </c>
      <c r="U20" s="1524">
        <f>1141.6019</f>
        <v>1141.6018999999999</v>
      </c>
      <c r="V20" s="1524"/>
      <c r="W20" s="1524"/>
      <c r="X20" s="1524"/>
      <c r="Y20" s="1524"/>
      <c r="Z20" s="1524">
        <v>287.93011999999999</v>
      </c>
      <c r="AA20" s="1524"/>
      <c r="AB20" s="1525">
        <f>SUM(AC20:AF20)</f>
        <v>0</v>
      </c>
      <c r="AC20" s="1646"/>
      <c r="AD20" s="1646">
        <v>0</v>
      </c>
      <c r="AE20" s="1646">
        <f>('[6]Giao các đơn vị'!W11)/1000000</f>
        <v>0</v>
      </c>
      <c r="AF20" s="1646">
        <v>0</v>
      </c>
      <c r="AG20" s="1469">
        <v>0</v>
      </c>
      <c r="AH20" s="1439">
        <v>0</v>
      </c>
      <c r="AM20" s="1435">
        <f>AB20-C20</f>
        <v>-4217.2</v>
      </c>
      <c r="AN20" s="1435">
        <f>C20-AB20</f>
        <v>4217.2</v>
      </c>
      <c r="AO20" s="1389">
        <f t="shared" ref="AO20" si="13">AB20-C20</f>
        <v>-4217.2</v>
      </c>
      <c r="AP20" s="1389">
        <f t="shared" ref="AP20" si="14">AB20+L20</f>
        <v>424.76560499999999</v>
      </c>
      <c r="AQ20" s="1389">
        <f>AP20-AO20</f>
        <v>4641.9656049999994</v>
      </c>
      <c r="AR20" s="1389">
        <f t="shared" si="11"/>
        <v>-2362.9023749999997</v>
      </c>
    </row>
    <row r="21" spans="1:47">
      <c r="A21" s="315">
        <v>6</v>
      </c>
      <c r="B21" s="1464" t="s">
        <v>1040</v>
      </c>
      <c r="C21" s="1591">
        <f t="shared" ref="C21:C41" si="15">SUM(D21:H21)</f>
        <v>12796.8</v>
      </c>
      <c r="D21" s="1522"/>
      <c r="E21" s="1524">
        <v>500</v>
      </c>
      <c r="F21" s="1524">
        <f>('[6]Giao các đơn vị'!K18)/1000000-E21</f>
        <v>12296.8</v>
      </c>
      <c r="G21" s="1524"/>
      <c r="H21" s="1524"/>
      <c r="I21" s="1524"/>
      <c r="J21" s="1535">
        <f t="shared" si="8"/>
        <v>0</v>
      </c>
      <c r="K21" s="1437">
        <f t="shared" ref="K21:K41" si="16">L21+AB21</f>
        <v>111634.06044900001</v>
      </c>
      <c r="L21" s="1648">
        <f t="shared" ref="L21:L41" si="17">SUM(M21:Q21)</f>
        <v>0</v>
      </c>
      <c r="M21" s="1524"/>
      <c r="N21" s="1524"/>
      <c r="O21" s="1524"/>
      <c r="P21" s="1524"/>
      <c r="Q21" s="1524"/>
      <c r="R21" s="1437">
        <f t="shared" ref="R21:R40" si="18">T21</f>
        <v>0</v>
      </c>
      <c r="S21" s="1437">
        <f t="shared" ref="S21:S42" si="19">Z21</f>
        <v>0</v>
      </c>
      <c r="T21" s="1524">
        <f t="shared" ref="T21:T41" si="20">U21+V21+W21+X21+Y21</f>
        <v>0</v>
      </c>
      <c r="U21" s="1524"/>
      <c r="V21" s="1524"/>
      <c r="W21" s="1524"/>
      <c r="X21" s="1524"/>
      <c r="Y21" s="1524"/>
      <c r="Z21" s="1524"/>
      <c r="AA21" s="1524"/>
      <c r="AB21" s="1525">
        <f t="shared" ref="AB21:AB41" si="21">SUM(AC21:AF21)</f>
        <v>111634.06044900001</v>
      </c>
      <c r="AC21" s="1524">
        <f>AC22+AC23+AC24</f>
        <v>273</v>
      </c>
      <c r="AD21" s="1524">
        <f t="shared" ref="AD21:AF21" si="22">AD22+AD23+AD24</f>
        <v>500</v>
      </c>
      <c r="AE21" s="1524">
        <f t="shared" si="22"/>
        <v>14255.169504</v>
      </c>
      <c r="AF21" s="1524">
        <f t="shared" si="22"/>
        <v>96605.890945000006</v>
      </c>
      <c r="AG21" s="1469">
        <v>0</v>
      </c>
      <c r="AH21" s="1439">
        <v>0</v>
      </c>
      <c r="AM21" s="1435">
        <f t="shared" ref="AM21:AM35" si="23">AB21-C21</f>
        <v>98837.260449000009</v>
      </c>
      <c r="AN21" s="1435">
        <f t="shared" ref="AN21:AN40" si="24">C21-AB21</f>
        <v>-98837.260449000009</v>
      </c>
      <c r="AO21" s="1389">
        <f t="shared" si="9"/>
        <v>98837.260449000009</v>
      </c>
      <c r="AP21" s="1389">
        <f t="shared" si="10"/>
        <v>111634.06044900001</v>
      </c>
      <c r="AQ21" s="1389">
        <f t="shared" ref="AQ21:AQ41" si="25">AP21-AO21</f>
        <v>12796.800000000003</v>
      </c>
      <c r="AR21" s="1389">
        <f t="shared" si="11"/>
        <v>-12796.8</v>
      </c>
      <c r="AS21" s="1388">
        <f>'VP HĐND&amp;UBND V_điều chỉnh'!F14/1000000</f>
        <v>111643.77664900001</v>
      </c>
      <c r="AT21" s="1447">
        <f>AS21-AB21</f>
        <v>9.7161999999952968</v>
      </c>
    </row>
    <row r="22" spans="1:47">
      <c r="A22" s="1626" t="s">
        <v>91</v>
      </c>
      <c r="B22" s="1464" t="s">
        <v>1040</v>
      </c>
      <c r="C22" s="1591"/>
      <c r="D22" s="1522"/>
      <c r="E22" s="1524"/>
      <c r="F22" s="1524"/>
      <c r="G22" s="1524"/>
      <c r="H22" s="1524"/>
      <c r="I22" s="1524"/>
      <c r="J22" s="1535"/>
      <c r="K22" s="1437">
        <f t="shared" si="16"/>
        <v>12796.8</v>
      </c>
      <c r="L22" s="1648"/>
      <c r="M22" s="1524"/>
      <c r="N22" s="1524"/>
      <c r="O22" s="1524"/>
      <c r="P22" s="1524"/>
      <c r="Q22" s="1524"/>
      <c r="R22" s="1437"/>
      <c r="S22" s="1437">
        <f t="shared" si="19"/>
        <v>0</v>
      </c>
      <c r="T22" s="1524"/>
      <c r="U22" s="1524"/>
      <c r="V22" s="1524"/>
      <c r="W22" s="1524"/>
      <c r="X22" s="1524"/>
      <c r="Y22" s="1524"/>
      <c r="Z22" s="1524"/>
      <c r="AA22" s="1524"/>
      <c r="AB22" s="1525">
        <f>AC22+AD22+AE22+AF22</f>
        <v>12796.8</v>
      </c>
      <c r="AC22" s="1524"/>
      <c r="AD22" s="1524">
        <f>E21</f>
        <v>500</v>
      </c>
      <c r="AE22" s="1524">
        <f>F21</f>
        <v>12296.8</v>
      </c>
      <c r="AF22" s="1524"/>
      <c r="AG22" s="1469"/>
      <c r="AH22" s="1439"/>
      <c r="AM22" s="1435">
        <f t="shared" si="23"/>
        <v>12796.8</v>
      </c>
      <c r="AN22" s="1435">
        <f t="shared" si="24"/>
        <v>-12796.8</v>
      </c>
      <c r="AO22" s="1389"/>
      <c r="AP22" s="1389"/>
      <c r="AQ22" s="1389"/>
      <c r="AR22" s="1389"/>
      <c r="AT22" s="1447"/>
    </row>
    <row r="23" spans="1:47" ht="37.5">
      <c r="A23" s="1626" t="s">
        <v>91</v>
      </c>
      <c r="B23" s="1464" t="s">
        <v>2135</v>
      </c>
      <c r="C23" s="1591"/>
      <c r="D23" s="1522"/>
      <c r="E23" s="1524"/>
      <c r="F23" s="1524"/>
      <c r="G23" s="1524"/>
      <c r="H23" s="1524"/>
      <c r="I23" s="1524"/>
      <c r="J23" s="1535"/>
      <c r="K23" s="1437">
        <f t="shared" si="16"/>
        <v>97695.655549000003</v>
      </c>
      <c r="L23" s="1648"/>
      <c r="M23" s="1524"/>
      <c r="N23" s="1524"/>
      <c r="O23" s="1524"/>
      <c r="P23" s="1524"/>
      <c r="Q23" s="1524"/>
      <c r="R23" s="1437">
        <f t="shared" si="18"/>
        <v>0</v>
      </c>
      <c r="S23" s="1437">
        <f t="shared" si="19"/>
        <v>0</v>
      </c>
      <c r="T23" s="1524"/>
      <c r="U23" s="1524"/>
      <c r="V23" s="1524"/>
      <c r="W23" s="1524"/>
      <c r="X23" s="1524"/>
      <c r="Y23" s="1524"/>
      <c r="Z23" s="1524"/>
      <c r="AA23" s="1524"/>
      <c r="AB23" s="1525">
        <f t="shared" si="21"/>
        <v>97695.655549000003</v>
      </c>
      <c r="AC23" s="1524">
        <f>'[7]Sheet1 (2)'!$K$51/1000000</f>
        <v>273</v>
      </c>
      <c r="AD23" s="1524"/>
      <c r="AE23" s="1524">
        <f>'[7]Sheet1 (2)'!$K$15/1000000</f>
        <v>816.76460399999996</v>
      </c>
      <c r="AF23" s="1524">
        <f>'[7]Sheet1 (2)'!$K$30/1000000</f>
        <v>96605.890945000006</v>
      </c>
      <c r="AG23" s="1469"/>
      <c r="AH23" s="1439"/>
      <c r="AM23" s="1435">
        <f t="shared" si="23"/>
        <v>97695.655549000003</v>
      </c>
      <c r="AN23" s="1435">
        <f t="shared" si="24"/>
        <v>-97695.655549000003</v>
      </c>
      <c r="AO23" s="1389"/>
      <c r="AP23" s="1389"/>
      <c r="AQ23" s="1389"/>
      <c r="AR23" s="1389"/>
      <c r="AT23" s="1447"/>
    </row>
    <row r="24" spans="1:47">
      <c r="A24" s="1626" t="s">
        <v>91</v>
      </c>
      <c r="B24" s="1464" t="s">
        <v>2136</v>
      </c>
      <c r="C24" s="1591"/>
      <c r="D24" s="1522"/>
      <c r="E24" s="1524"/>
      <c r="F24" s="1524"/>
      <c r="G24" s="1524"/>
      <c r="H24" s="1524"/>
      <c r="I24" s="1524"/>
      <c r="J24" s="1535"/>
      <c r="K24" s="1437">
        <f t="shared" si="16"/>
        <v>1141.6049</v>
      </c>
      <c r="L24" s="1648"/>
      <c r="M24" s="1524"/>
      <c r="N24" s="1524"/>
      <c r="O24" s="1524"/>
      <c r="P24" s="1524"/>
      <c r="Q24" s="1524"/>
      <c r="R24" s="1437">
        <f t="shared" si="18"/>
        <v>0</v>
      </c>
      <c r="S24" s="1437">
        <f t="shared" si="19"/>
        <v>0</v>
      </c>
      <c r="T24" s="1524"/>
      <c r="U24" s="1524"/>
      <c r="V24" s="1524"/>
      <c r="W24" s="1524"/>
      <c r="X24" s="1524"/>
      <c r="Y24" s="1524"/>
      <c r="Z24" s="1524"/>
      <c r="AA24" s="1524"/>
      <c r="AB24" s="1525">
        <f t="shared" si="21"/>
        <v>1141.6049</v>
      </c>
      <c r="AC24" s="1524"/>
      <c r="AD24" s="1524"/>
      <c r="AE24" s="1524">
        <f>[8]TH!$H$8/1000000</f>
        <v>1141.6049</v>
      </c>
      <c r="AF24" s="1524"/>
      <c r="AG24" s="1469"/>
      <c r="AH24" s="1439"/>
      <c r="AM24" s="1435">
        <f t="shared" si="23"/>
        <v>1141.6049</v>
      </c>
      <c r="AN24" s="1435">
        <f t="shared" si="24"/>
        <v>-1141.6049</v>
      </c>
      <c r="AO24" s="1389"/>
      <c r="AP24" s="1389"/>
      <c r="AQ24" s="1389"/>
      <c r="AR24" s="1389"/>
      <c r="AT24" s="1447"/>
    </row>
    <row r="25" spans="1:47">
      <c r="A25" s="315">
        <v>7</v>
      </c>
      <c r="B25" s="1463" t="s">
        <v>2162</v>
      </c>
      <c r="C25" s="1647">
        <f t="shared" si="15"/>
        <v>0</v>
      </c>
      <c r="D25" s="1522"/>
      <c r="E25" s="1524"/>
      <c r="F25" s="1524"/>
      <c r="G25" s="1524"/>
      <c r="H25" s="1524"/>
      <c r="I25" s="1524"/>
      <c r="J25" s="1535">
        <f>L25+T25+Z25</f>
        <v>0</v>
      </c>
      <c r="K25" s="1437">
        <f t="shared" si="16"/>
        <v>4787.9130363333334</v>
      </c>
      <c r="L25" s="1648">
        <f t="shared" si="17"/>
        <v>0</v>
      </c>
      <c r="M25" s="1524"/>
      <c r="N25" s="1524"/>
      <c r="O25" s="1524"/>
      <c r="P25" s="1524"/>
      <c r="Q25" s="1524"/>
      <c r="R25" s="1437">
        <f t="shared" si="18"/>
        <v>0</v>
      </c>
      <c r="S25" s="1437">
        <f t="shared" si="19"/>
        <v>0</v>
      </c>
      <c r="T25" s="1524">
        <f t="shared" si="20"/>
        <v>0</v>
      </c>
      <c r="U25" s="1524"/>
      <c r="V25" s="1524"/>
      <c r="W25" s="1524"/>
      <c r="X25" s="1524"/>
      <c r="Y25" s="1524"/>
      <c r="Z25" s="1524"/>
      <c r="AA25" s="1524"/>
      <c r="AB25" s="1525">
        <f t="shared" si="21"/>
        <v>4787.9130363333334</v>
      </c>
      <c r="AC25" s="1524"/>
      <c r="AD25" s="1524">
        <f>AD26+AD27</f>
        <v>1669.5</v>
      </c>
      <c r="AE25" s="1524">
        <f>AE26+AE27</f>
        <v>3118.4130363333334</v>
      </c>
      <c r="AF25" s="1524"/>
      <c r="AG25" s="1469">
        <v>0</v>
      </c>
      <c r="AH25" s="1439">
        <v>0</v>
      </c>
      <c r="AM25" s="1435">
        <f t="shared" si="23"/>
        <v>4787.9130363333334</v>
      </c>
      <c r="AN25" s="1435">
        <f t="shared" si="24"/>
        <v>-4787.9130363333334</v>
      </c>
      <c r="AO25" s="1389">
        <f>AB25-C25</f>
        <v>4787.9130363333334</v>
      </c>
      <c r="AP25" s="1389">
        <f>AB25+L25</f>
        <v>4787.9130363333334</v>
      </c>
      <c r="AQ25" s="1389">
        <f t="shared" si="25"/>
        <v>0</v>
      </c>
      <c r="AR25" s="1389">
        <f>J25-C25</f>
        <v>0</v>
      </c>
      <c r="AS25" s="1388">
        <f>('ĐT_Kinh tế, HT &amp;Đô thị_V'!F15/1000000)-PL_01!AB25</f>
        <v>0</v>
      </c>
    </row>
    <row r="26" spans="1:47">
      <c r="A26" s="1626" t="s">
        <v>91</v>
      </c>
      <c r="B26" s="1463" t="s">
        <v>2137</v>
      </c>
      <c r="C26" s="1591"/>
      <c r="D26" s="1522"/>
      <c r="E26" s="1524"/>
      <c r="F26" s="1524"/>
      <c r="G26" s="1524"/>
      <c r="H26" s="1524"/>
      <c r="I26" s="1524"/>
      <c r="J26" s="1535"/>
      <c r="K26" s="1437">
        <f t="shared" si="16"/>
        <v>995.47864133333337</v>
      </c>
      <c r="L26" s="1648"/>
      <c r="M26" s="1524"/>
      <c r="N26" s="1524"/>
      <c r="O26" s="1524"/>
      <c r="P26" s="1524"/>
      <c r="Q26" s="1524"/>
      <c r="R26" s="1437">
        <f t="shared" si="18"/>
        <v>0</v>
      </c>
      <c r="S26" s="1437">
        <f t="shared" si="19"/>
        <v>0</v>
      </c>
      <c r="T26" s="1524"/>
      <c r="U26" s="1524"/>
      <c r="V26" s="1524"/>
      <c r="W26" s="1524"/>
      <c r="X26" s="1524"/>
      <c r="Y26" s="1524"/>
      <c r="Z26" s="1524"/>
      <c r="AA26" s="1524"/>
      <c r="AB26" s="1525">
        <f t="shared" si="21"/>
        <v>995.47864133333337</v>
      </c>
      <c r="AC26" s="1524"/>
      <c r="AD26" s="1524">
        <f>[9]TH!$J$24/1000000</f>
        <v>269.5</v>
      </c>
      <c r="AE26" s="1524">
        <f>[9]TH!$J$10/1000000</f>
        <v>725.97864133333337</v>
      </c>
      <c r="AF26" s="1524"/>
      <c r="AG26" s="1469"/>
      <c r="AH26" s="1439"/>
      <c r="AM26" s="1435">
        <f t="shared" si="23"/>
        <v>995.47864133333337</v>
      </c>
      <c r="AN26" s="1435">
        <f t="shared" si="24"/>
        <v>-995.47864133333337</v>
      </c>
      <c r="AO26" s="1389"/>
      <c r="AP26" s="1389"/>
      <c r="AQ26" s="1389"/>
      <c r="AR26" s="1389"/>
    </row>
    <row r="27" spans="1:47">
      <c r="A27" s="1626" t="s">
        <v>91</v>
      </c>
      <c r="B27" s="1463" t="s">
        <v>2163</v>
      </c>
      <c r="C27" s="1591"/>
      <c r="D27" s="1522"/>
      <c r="E27" s="1524"/>
      <c r="F27" s="1524"/>
      <c r="G27" s="1524"/>
      <c r="H27" s="1524"/>
      <c r="I27" s="1524"/>
      <c r="J27" s="1535"/>
      <c r="K27" s="1437">
        <f t="shared" si="16"/>
        <v>3792.4343949999998</v>
      </c>
      <c r="L27" s="1648"/>
      <c r="M27" s="1524"/>
      <c r="N27" s="1524"/>
      <c r="O27" s="1524"/>
      <c r="P27" s="1524"/>
      <c r="Q27" s="1524"/>
      <c r="R27" s="1437">
        <f t="shared" si="18"/>
        <v>0</v>
      </c>
      <c r="S27" s="1437">
        <f t="shared" si="19"/>
        <v>0</v>
      </c>
      <c r="T27" s="1524"/>
      <c r="U27" s="1524"/>
      <c r="V27" s="1524"/>
      <c r="W27" s="1524"/>
      <c r="X27" s="1524"/>
      <c r="Y27" s="1524"/>
      <c r="Z27" s="1524"/>
      <c r="AA27" s="1524"/>
      <c r="AB27" s="1525">
        <f t="shared" si="21"/>
        <v>3792.4343949999998</v>
      </c>
      <c r="AC27" s="1524"/>
      <c r="AD27" s="1524">
        <f>E20-N20</f>
        <v>1400</v>
      </c>
      <c r="AE27" s="1524">
        <f>F20-O20</f>
        <v>2392.4343949999998</v>
      </c>
      <c r="AF27" s="1524"/>
      <c r="AG27" s="1469"/>
      <c r="AH27" s="1439"/>
      <c r="AM27" s="1435">
        <f t="shared" si="23"/>
        <v>3792.4343949999998</v>
      </c>
      <c r="AN27" s="1435">
        <f t="shared" si="24"/>
        <v>-3792.4343949999998</v>
      </c>
      <c r="AO27" s="1389"/>
      <c r="AP27" s="1389"/>
      <c r="AQ27" s="1389"/>
      <c r="AR27" s="1389"/>
    </row>
    <row r="28" spans="1:47">
      <c r="A28" s="315">
        <v>8</v>
      </c>
      <c r="B28" s="1463" t="s">
        <v>2168</v>
      </c>
      <c r="C28" s="1591">
        <f t="shared" si="15"/>
        <v>10857.281999999999</v>
      </c>
      <c r="D28" s="1522"/>
      <c r="E28" s="1524">
        <f>'[6]Dự toán Chi tiết 2025'!L662/1000000</f>
        <v>7700</v>
      </c>
      <c r="F28" s="1524">
        <f>('[6]Giao các đơn vị'!K15)/1000000-E28</f>
        <v>3157.2819999999992</v>
      </c>
      <c r="G28" s="1524"/>
      <c r="H28" s="1524"/>
      <c r="I28" s="1524"/>
      <c r="J28" s="1535">
        <f>L28+T28+Z28</f>
        <v>0</v>
      </c>
      <c r="K28" s="1437">
        <f t="shared" si="16"/>
        <v>15973.211665333332</v>
      </c>
      <c r="L28" s="1648">
        <f t="shared" si="17"/>
        <v>0</v>
      </c>
      <c r="M28" s="1524"/>
      <c r="N28" s="1524"/>
      <c r="O28" s="1524"/>
      <c r="P28" s="1524"/>
      <c r="Q28" s="1524"/>
      <c r="R28" s="1437">
        <f t="shared" si="18"/>
        <v>0</v>
      </c>
      <c r="S28" s="1437">
        <f t="shared" si="19"/>
        <v>0</v>
      </c>
      <c r="T28" s="1524">
        <f t="shared" si="20"/>
        <v>0</v>
      </c>
      <c r="U28" s="1524"/>
      <c r="V28" s="1524"/>
      <c r="W28" s="1524"/>
      <c r="X28" s="1524"/>
      <c r="Y28" s="1524"/>
      <c r="Z28" s="1524"/>
      <c r="AA28" s="1524"/>
      <c r="AB28" s="1525">
        <f>AB29+AB30+AB31</f>
        <v>15973.211665333332</v>
      </c>
      <c r="AC28" s="1525"/>
      <c r="AD28" s="1525">
        <f t="shared" ref="AD28:AL28" si="26">AD29+AD30+AD31</f>
        <v>11737.5</v>
      </c>
      <c r="AE28" s="1525">
        <f t="shared" si="26"/>
        <v>3798.0176653333324</v>
      </c>
      <c r="AF28" s="1525">
        <f t="shared" si="26"/>
        <v>437.69400000000002</v>
      </c>
      <c r="AG28" s="1525">
        <f t="shared" si="26"/>
        <v>0</v>
      </c>
      <c r="AH28" s="1525">
        <f t="shared" si="26"/>
        <v>0</v>
      </c>
      <c r="AI28" s="1525">
        <f t="shared" si="26"/>
        <v>0</v>
      </c>
      <c r="AJ28" s="1525">
        <f t="shared" si="26"/>
        <v>0</v>
      </c>
      <c r="AK28" s="1525">
        <f t="shared" si="26"/>
        <v>0</v>
      </c>
      <c r="AL28" s="1525">
        <f t="shared" si="26"/>
        <v>0</v>
      </c>
      <c r="AM28" s="1435">
        <f t="shared" si="23"/>
        <v>5115.9296653333331</v>
      </c>
      <c r="AN28" s="1435">
        <f t="shared" si="24"/>
        <v>-5115.9296653333331</v>
      </c>
      <c r="AO28" s="1389">
        <f>AB28-C28</f>
        <v>5115.9296653333331</v>
      </c>
      <c r="AP28" s="1389">
        <f>AB28+L28</f>
        <v>15973.211665333332</v>
      </c>
      <c r="AQ28" s="1389">
        <f t="shared" si="25"/>
        <v>10857.281999999999</v>
      </c>
      <c r="AR28" s="1389">
        <f>J28-C28</f>
        <v>-10857.281999999999</v>
      </c>
      <c r="AS28" s="1446">
        <f>'ĐT_TN &amp; MT_ điều chỉnh'!F16/1000000</f>
        <v>15973.211665333332</v>
      </c>
      <c r="AT28" s="1447">
        <f>('ĐT_TN &amp; MT_ điều chỉnh'!F39+'ĐT_TN &amp; MT_ điều chỉnh'!F40+'ĐT_TN &amp; MT_ điều chỉnh'!F47)/1000000</f>
        <v>4037.5</v>
      </c>
      <c r="AU28" s="1447">
        <f>AS28-AB28</f>
        <v>0</v>
      </c>
    </row>
    <row r="29" spans="1:47">
      <c r="A29" s="1626" t="s">
        <v>91</v>
      </c>
      <c r="B29" s="1463" t="s">
        <v>752</v>
      </c>
      <c r="C29" s="1591"/>
      <c r="D29" s="1522"/>
      <c r="E29" s="1524"/>
      <c r="F29" s="1524"/>
      <c r="G29" s="1524"/>
      <c r="H29" s="1524"/>
      <c r="I29" s="1524"/>
      <c r="J29" s="1535"/>
      <c r="K29" s="1437">
        <f t="shared" si="16"/>
        <v>10857.281999999999</v>
      </c>
      <c r="L29" s="1648"/>
      <c r="M29" s="1524"/>
      <c r="N29" s="1524"/>
      <c r="O29" s="1524"/>
      <c r="P29" s="1524"/>
      <c r="Q29" s="1524"/>
      <c r="R29" s="1437">
        <f t="shared" si="18"/>
        <v>0</v>
      </c>
      <c r="S29" s="1437">
        <f t="shared" si="19"/>
        <v>0</v>
      </c>
      <c r="T29" s="1524"/>
      <c r="U29" s="1524"/>
      <c r="V29" s="1524"/>
      <c r="W29" s="1524"/>
      <c r="X29" s="1524"/>
      <c r="Y29" s="1524"/>
      <c r="Z29" s="1524"/>
      <c r="AA29" s="1524"/>
      <c r="AB29" s="1525">
        <f t="shared" si="21"/>
        <v>10857.281999999999</v>
      </c>
      <c r="AC29" s="1524"/>
      <c r="AD29" s="1524">
        <f>E28</f>
        <v>7700</v>
      </c>
      <c r="AE29" s="1524">
        <f>F28</f>
        <v>3157.2819999999992</v>
      </c>
      <c r="AF29" s="1524"/>
      <c r="AG29" s="1469"/>
      <c r="AH29" s="1439"/>
      <c r="AM29" s="1435">
        <f t="shared" si="23"/>
        <v>10857.281999999999</v>
      </c>
      <c r="AN29" s="1435">
        <f t="shared" si="24"/>
        <v>-10857.281999999999</v>
      </c>
      <c r="AO29" s="1389"/>
      <c r="AP29" s="1389"/>
      <c r="AQ29" s="1389"/>
      <c r="AR29" s="1389"/>
      <c r="AS29" s="1446"/>
      <c r="AT29" s="1447"/>
      <c r="AU29" s="1447"/>
    </row>
    <row r="30" spans="1:47">
      <c r="A30" s="1626" t="s">
        <v>91</v>
      </c>
      <c r="B30" s="1463" t="s">
        <v>2140</v>
      </c>
      <c r="C30" s="1591"/>
      <c r="D30" s="1522"/>
      <c r="E30" s="1524"/>
      <c r="F30" s="1524"/>
      <c r="G30" s="1524"/>
      <c r="H30" s="1524"/>
      <c r="I30" s="1524"/>
      <c r="J30" s="1535"/>
      <c r="K30" s="1437">
        <f t="shared" si="16"/>
        <v>4500.9779013333336</v>
      </c>
      <c r="L30" s="1648"/>
      <c r="M30" s="1524"/>
      <c r="N30" s="1524"/>
      <c r="O30" s="1524"/>
      <c r="P30" s="1524"/>
      <c r="Q30" s="1524"/>
      <c r="R30" s="1437">
        <f t="shared" si="18"/>
        <v>0</v>
      </c>
      <c r="S30" s="1437">
        <f t="shared" si="19"/>
        <v>0</v>
      </c>
      <c r="T30" s="1524"/>
      <c r="U30" s="1524"/>
      <c r="V30" s="1524"/>
      <c r="W30" s="1524"/>
      <c r="X30" s="1524"/>
      <c r="Y30" s="1524"/>
      <c r="Z30" s="1524"/>
      <c r="AA30" s="1524"/>
      <c r="AB30" s="1525">
        <f t="shared" si="21"/>
        <v>4500.9779013333336</v>
      </c>
      <c r="AC30" s="1524"/>
      <c r="AD30" s="1524">
        <f>[9]TH!$K$23/1000000</f>
        <v>4037.5</v>
      </c>
      <c r="AE30" s="1524">
        <f>[9]TH!$K$10/1000000</f>
        <v>463.47790133333331</v>
      </c>
      <c r="AF30" s="1524"/>
      <c r="AG30" s="1469"/>
      <c r="AH30" s="1439"/>
      <c r="AM30" s="1435">
        <f t="shared" si="23"/>
        <v>4500.9779013333336</v>
      </c>
      <c r="AN30" s="1435">
        <f t="shared" si="24"/>
        <v>-4500.9779013333336</v>
      </c>
      <c r="AO30" s="1389"/>
      <c r="AP30" s="1389"/>
      <c r="AQ30" s="1389"/>
      <c r="AR30" s="1389"/>
      <c r="AS30" s="1446"/>
      <c r="AT30" s="1447"/>
      <c r="AU30" s="1447"/>
    </row>
    <row r="31" spans="1:47" ht="37.5">
      <c r="A31" s="1626" t="s">
        <v>91</v>
      </c>
      <c r="B31" s="1464" t="s">
        <v>2135</v>
      </c>
      <c r="C31" s="1591"/>
      <c r="D31" s="1522"/>
      <c r="E31" s="1524"/>
      <c r="F31" s="1524"/>
      <c r="G31" s="1524"/>
      <c r="H31" s="1524"/>
      <c r="I31" s="1524"/>
      <c r="J31" s="1535"/>
      <c r="K31" s="1437">
        <f t="shared" si="16"/>
        <v>614.95176400000003</v>
      </c>
      <c r="L31" s="1648"/>
      <c r="M31" s="1524"/>
      <c r="N31" s="1524"/>
      <c r="O31" s="1524"/>
      <c r="P31" s="1524"/>
      <c r="Q31" s="1524"/>
      <c r="R31" s="1437">
        <f t="shared" si="18"/>
        <v>0</v>
      </c>
      <c r="S31" s="1437">
        <f t="shared" si="19"/>
        <v>0</v>
      </c>
      <c r="T31" s="1524"/>
      <c r="U31" s="1524"/>
      <c r="V31" s="1524"/>
      <c r="W31" s="1524"/>
      <c r="X31" s="1524"/>
      <c r="Y31" s="1524"/>
      <c r="Z31" s="1524"/>
      <c r="AA31" s="1524"/>
      <c r="AB31" s="1525">
        <f t="shared" si="21"/>
        <v>614.95176400000003</v>
      </c>
      <c r="AC31" s="1524"/>
      <c r="AD31" s="1524"/>
      <c r="AE31" s="1524">
        <f>'[10]Sheet1 (2)'!$L$15/1000000</f>
        <v>177.25776400000001</v>
      </c>
      <c r="AF31" s="1524">
        <f>'[10]Sheet1 (2)'!$L$28/1000000</f>
        <v>437.69400000000002</v>
      </c>
      <c r="AG31" s="1469"/>
      <c r="AH31" s="1439"/>
      <c r="AM31" s="1435">
        <f t="shared" si="23"/>
        <v>614.95176400000003</v>
      </c>
      <c r="AN31" s="1435">
        <f t="shared" si="24"/>
        <v>-614.95176400000003</v>
      </c>
      <c r="AO31" s="1389"/>
      <c r="AP31" s="1389"/>
      <c r="AQ31" s="1389"/>
      <c r="AR31" s="1389"/>
      <c r="AS31" s="1446"/>
      <c r="AT31" s="1447"/>
      <c r="AU31" s="1447"/>
    </row>
    <row r="32" spans="1:47">
      <c r="A32" s="315">
        <v>9</v>
      </c>
      <c r="B32" s="1463" t="s">
        <v>2165</v>
      </c>
      <c r="C32" s="1647">
        <f t="shared" si="15"/>
        <v>0</v>
      </c>
      <c r="D32" s="1522"/>
      <c r="E32" s="1524"/>
      <c r="F32" s="1524"/>
      <c r="G32" s="1524"/>
      <c r="H32" s="1524"/>
      <c r="I32" s="1524"/>
      <c r="J32" s="1535">
        <f>L32+T32+Z32</f>
        <v>0</v>
      </c>
      <c r="K32" s="1437">
        <f t="shared" si="16"/>
        <v>2342.5417513333332</v>
      </c>
      <c r="L32" s="1648">
        <f t="shared" si="17"/>
        <v>0</v>
      </c>
      <c r="M32" s="1524"/>
      <c r="N32" s="1524"/>
      <c r="O32" s="1524"/>
      <c r="P32" s="1524"/>
      <c r="Q32" s="1524"/>
      <c r="R32" s="1437">
        <f t="shared" si="18"/>
        <v>0</v>
      </c>
      <c r="S32" s="1437">
        <f t="shared" si="19"/>
        <v>0</v>
      </c>
      <c r="T32" s="1524">
        <f t="shared" si="20"/>
        <v>0</v>
      </c>
      <c r="U32" s="1524"/>
      <c r="V32" s="1524"/>
      <c r="W32" s="1524"/>
      <c r="X32" s="1524"/>
      <c r="Y32" s="1524"/>
      <c r="Z32" s="1524"/>
      <c r="AA32" s="1524"/>
      <c r="AB32" s="1525">
        <f t="shared" si="21"/>
        <v>2342.5417513333332</v>
      </c>
      <c r="AC32" s="1524"/>
      <c r="AD32" s="1524">
        <f t="shared" ref="AD32:AE32" si="27">AD33+AD34</f>
        <v>54</v>
      </c>
      <c r="AE32" s="1524">
        <f t="shared" si="27"/>
        <v>2288.5417513333332</v>
      </c>
      <c r="AF32" s="1524"/>
      <c r="AG32" s="1469">
        <v>0</v>
      </c>
      <c r="AH32" s="1439">
        <v>0</v>
      </c>
      <c r="AM32" s="1435">
        <f t="shared" si="23"/>
        <v>2342.5417513333332</v>
      </c>
      <c r="AN32" s="1435">
        <f t="shared" si="24"/>
        <v>-2342.5417513333332</v>
      </c>
      <c r="AO32" s="1389">
        <f>AB32-C32</f>
        <v>2342.5417513333332</v>
      </c>
      <c r="AP32" s="1389">
        <f>AB32+L32</f>
        <v>2342.5417513333332</v>
      </c>
      <c r="AQ32" s="1389">
        <f t="shared" si="25"/>
        <v>0</v>
      </c>
      <c r="AR32" s="1389">
        <f>J32-C32</f>
        <v>0</v>
      </c>
      <c r="AS32" s="1388">
        <f>'ĐT_Văn hoá KH và TT_V'!F16/1000000</f>
        <v>2342.5417513333337</v>
      </c>
      <c r="AT32" s="1447">
        <f>AS32-AB32</f>
        <v>0</v>
      </c>
    </row>
    <row r="33" spans="1:46">
      <c r="A33" s="1626" t="s">
        <v>91</v>
      </c>
      <c r="B33" s="1463" t="s">
        <v>2152</v>
      </c>
      <c r="C33" s="1591"/>
      <c r="D33" s="1522"/>
      <c r="E33" s="1524"/>
      <c r="F33" s="1524"/>
      <c r="G33" s="1524"/>
      <c r="H33" s="1524"/>
      <c r="I33" s="1524"/>
      <c r="J33" s="1535"/>
      <c r="K33" s="1437">
        <f t="shared" si="16"/>
        <v>2122.4563739999999</v>
      </c>
      <c r="L33" s="1648"/>
      <c r="M33" s="1524"/>
      <c r="N33" s="1524"/>
      <c r="O33" s="1524"/>
      <c r="P33" s="1524"/>
      <c r="Q33" s="1524"/>
      <c r="R33" s="1437">
        <f t="shared" si="18"/>
        <v>0</v>
      </c>
      <c r="S33" s="1437">
        <f t="shared" si="19"/>
        <v>0</v>
      </c>
      <c r="T33" s="1524"/>
      <c r="U33" s="1524"/>
      <c r="V33" s="1524"/>
      <c r="W33" s="1524"/>
      <c r="X33" s="1524"/>
      <c r="Y33" s="1524"/>
      <c r="Z33" s="1524"/>
      <c r="AA33" s="1524"/>
      <c r="AB33" s="1525">
        <f t="shared" si="21"/>
        <v>2122.4563739999999</v>
      </c>
      <c r="AC33" s="1524"/>
      <c r="AD33" s="1524"/>
      <c r="AE33" s="1524">
        <f>F19-O19</f>
        <v>2122.4563739999999</v>
      </c>
      <c r="AF33" s="1524"/>
      <c r="AG33" s="1469"/>
      <c r="AH33" s="1439"/>
      <c r="AM33" s="1435">
        <f t="shared" si="23"/>
        <v>2122.4563739999999</v>
      </c>
      <c r="AN33" s="1435">
        <f t="shared" si="24"/>
        <v>-2122.4563739999999</v>
      </c>
      <c r="AO33" s="1389"/>
      <c r="AP33" s="1389"/>
      <c r="AQ33" s="1389"/>
      <c r="AR33" s="1389"/>
      <c r="AT33" s="1447"/>
    </row>
    <row r="34" spans="1:46">
      <c r="A34" s="1626" t="s">
        <v>91</v>
      </c>
      <c r="B34" s="1463" t="s">
        <v>2137</v>
      </c>
      <c r="C34" s="1591"/>
      <c r="D34" s="1522"/>
      <c r="E34" s="1524"/>
      <c r="F34" s="1524"/>
      <c r="G34" s="1524"/>
      <c r="H34" s="1524"/>
      <c r="I34" s="1524"/>
      <c r="J34" s="1535"/>
      <c r="K34" s="1437">
        <f t="shared" si="16"/>
        <v>220.08537733333335</v>
      </c>
      <c r="L34" s="1648"/>
      <c r="M34" s="1524"/>
      <c r="N34" s="1524"/>
      <c r="O34" s="1524"/>
      <c r="P34" s="1524"/>
      <c r="Q34" s="1524"/>
      <c r="R34" s="1437">
        <f t="shared" si="18"/>
        <v>0</v>
      </c>
      <c r="S34" s="1437">
        <f t="shared" si="19"/>
        <v>0</v>
      </c>
      <c r="T34" s="1524"/>
      <c r="U34" s="1524"/>
      <c r="V34" s="1524"/>
      <c r="W34" s="1524"/>
      <c r="X34" s="1524"/>
      <c r="Y34" s="1524"/>
      <c r="Z34" s="1524"/>
      <c r="AA34" s="1524"/>
      <c r="AB34" s="1525">
        <f t="shared" si="21"/>
        <v>220.08537733333335</v>
      </c>
      <c r="AC34" s="1524"/>
      <c r="AD34" s="1524">
        <f>[9]TH!$L$22/1000000</f>
        <v>54</v>
      </c>
      <c r="AE34" s="1524">
        <f>[9]TH!$L$10/1000000</f>
        <v>166.08537733333335</v>
      </c>
      <c r="AF34" s="1524"/>
      <c r="AG34" s="1469"/>
      <c r="AH34" s="1439"/>
      <c r="AM34" s="1435">
        <f t="shared" si="23"/>
        <v>220.08537733333335</v>
      </c>
      <c r="AN34" s="1435">
        <f t="shared" si="24"/>
        <v>-220.08537733333335</v>
      </c>
      <c r="AO34" s="1389"/>
      <c r="AP34" s="1389"/>
      <c r="AQ34" s="1389"/>
      <c r="AR34" s="1389"/>
      <c r="AT34" s="1447"/>
    </row>
    <row r="35" spans="1:46">
      <c r="A35" s="315">
        <v>10</v>
      </c>
      <c r="B35" s="1463" t="s">
        <v>1140</v>
      </c>
      <c r="C35" s="1591">
        <f t="shared" si="15"/>
        <v>6885.152</v>
      </c>
      <c r="D35" s="1522"/>
      <c r="E35" s="1524">
        <f>E37+E40+E38</f>
        <v>500</v>
      </c>
      <c r="F35" s="1524">
        <f>F37+F40+F38</f>
        <v>6385.152</v>
      </c>
      <c r="G35" s="1524"/>
      <c r="H35" s="1524"/>
      <c r="I35" s="1524"/>
      <c r="J35" s="1535">
        <f>L35+T35+Z35</f>
        <v>0</v>
      </c>
      <c r="K35" s="1437">
        <f t="shared" si="16"/>
        <v>10965.697555999999</v>
      </c>
      <c r="L35" s="1648">
        <f t="shared" si="17"/>
        <v>0</v>
      </c>
      <c r="M35" s="1524"/>
      <c r="N35" s="1524"/>
      <c r="O35" s="1524"/>
      <c r="P35" s="1524"/>
      <c r="Q35" s="1524"/>
      <c r="R35" s="1437">
        <f t="shared" si="18"/>
        <v>0</v>
      </c>
      <c r="S35" s="1437">
        <f t="shared" si="19"/>
        <v>0</v>
      </c>
      <c r="T35" s="1524">
        <f t="shared" si="20"/>
        <v>0</v>
      </c>
      <c r="U35" s="1524"/>
      <c r="V35" s="1524"/>
      <c r="W35" s="1524"/>
      <c r="X35" s="1524"/>
      <c r="Y35" s="1524"/>
      <c r="Z35" s="1524"/>
      <c r="AA35" s="1524"/>
      <c r="AB35" s="1525">
        <f>AB36+AB37+AB38</f>
        <v>10965.697555999999</v>
      </c>
      <c r="AC35" s="1525">
        <f>AC36+AC37+AC38</f>
        <v>100</v>
      </c>
      <c r="AD35" s="1525">
        <f t="shared" ref="AD35:AF35" si="28">AD36+AD37+AD38</f>
        <v>500</v>
      </c>
      <c r="AE35" s="1525">
        <f t="shared" si="28"/>
        <v>7215.3737060000003</v>
      </c>
      <c r="AF35" s="1525">
        <f t="shared" si="28"/>
        <v>3150.3238500000002</v>
      </c>
      <c r="AG35" s="1469">
        <f>AG37+AG40+AG38</f>
        <v>0</v>
      </c>
      <c r="AH35" s="1439">
        <f>AH37+AH40+AH38</f>
        <v>0</v>
      </c>
      <c r="AM35" s="1435">
        <f t="shared" si="23"/>
        <v>4080.5455559999991</v>
      </c>
      <c r="AN35" s="1435">
        <f t="shared" si="24"/>
        <v>-4080.5455559999991</v>
      </c>
      <c r="AO35" s="1389">
        <f>AB35-C35</f>
        <v>4080.5455559999991</v>
      </c>
      <c r="AP35" s="1389">
        <f>AB35+L35</f>
        <v>10965.697555999999</v>
      </c>
      <c r="AQ35" s="1389">
        <f t="shared" si="25"/>
        <v>6885.152</v>
      </c>
      <c r="AR35" s="1389">
        <f>J35-C35</f>
        <v>-6885.152</v>
      </c>
      <c r="AS35" s="1388">
        <f>'ĐT_ Nội vụ_ điều chỉnh'!F15/1000000</f>
        <v>12431.147355999999</v>
      </c>
      <c r="AT35" s="1447">
        <f>AS35-AB35</f>
        <v>1465.4498000000003</v>
      </c>
    </row>
    <row r="36" spans="1:46" ht="37.5">
      <c r="A36" s="315"/>
      <c r="B36" s="1464" t="s">
        <v>2135</v>
      </c>
      <c r="C36" s="1591"/>
      <c r="D36" s="1522"/>
      <c r="E36" s="1524"/>
      <c r="F36" s="1524"/>
      <c r="G36" s="1524"/>
      <c r="H36" s="1524"/>
      <c r="I36" s="1524"/>
      <c r="J36" s="1535"/>
      <c r="K36" s="1437">
        <f t="shared" si="16"/>
        <v>4080.545556</v>
      </c>
      <c r="L36" s="1648"/>
      <c r="M36" s="1524"/>
      <c r="N36" s="1524"/>
      <c r="O36" s="1524"/>
      <c r="P36" s="1524"/>
      <c r="Q36" s="1524"/>
      <c r="R36" s="1437">
        <f t="shared" si="18"/>
        <v>0</v>
      </c>
      <c r="S36" s="1437">
        <f t="shared" si="19"/>
        <v>0</v>
      </c>
      <c r="T36" s="1524"/>
      <c r="U36" s="1524"/>
      <c r="V36" s="1524"/>
      <c r="W36" s="1524"/>
      <c r="X36" s="1524"/>
      <c r="Y36" s="1524"/>
      <c r="Z36" s="1524"/>
      <c r="AA36" s="1524"/>
      <c r="AB36" s="1525">
        <f>AC36+AD36+AE36+AF36</f>
        <v>4080.545556</v>
      </c>
      <c r="AC36" s="1522">
        <f>'[10]Sheet1 (2)'!$J$49/1000000</f>
        <v>100</v>
      </c>
      <c r="AD36" s="1524"/>
      <c r="AE36" s="1524">
        <f>'[7]Sheet1 (2)'!$J$15/1000000</f>
        <v>830.22170600000004</v>
      </c>
      <c r="AF36" s="1524">
        <f>'[7]Sheet1 (2)'!$J$28/1000000</f>
        <v>3150.3238500000002</v>
      </c>
      <c r="AG36" s="1469"/>
      <c r="AH36" s="1439"/>
      <c r="AM36" s="1435"/>
      <c r="AN36" s="1435">
        <f t="shared" si="24"/>
        <v>-4080.545556</v>
      </c>
      <c r="AO36" s="1389"/>
      <c r="AP36" s="1389"/>
      <c r="AQ36" s="1389"/>
      <c r="AR36" s="1389"/>
      <c r="AT36" s="1447"/>
    </row>
    <row r="37" spans="1:46" s="1397" customFormat="1" ht="37.5">
      <c r="A37" s="1393">
        <v>12.1</v>
      </c>
      <c r="B37" s="1465" t="s">
        <v>2119</v>
      </c>
      <c r="C37" s="1591">
        <f t="shared" si="15"/>
        <v>2385.152</v>
      </c>
      <c r="D37" s="1526"/>
      <c r="E37" s="1524">
        <v>500</v>
      </c>
      <c r="F37" s="1524">
        <f>('[6]Giao các đơn vị'!K14)/1000000-E37</f>
        <v>1885.152</v>
      </c>
      <c r="G37" s="1524"/>
      <c r="H37" s="1524"/>
      <c r="I37" s="1524"/>
      <c r="J37" s="1535">
        <f t="shared" ref="J37:J42" si="29">L37+T37+Z37</f>
        <v>0</v>
      </c>
      <c r="K37" s="1437">
        <f t="shared" si="16"/>
        <v>2385.152</v>
      </c>
      <c r="L37" s="1648">
        <f t="shared" si="17"/>
        <v>0</v>
      </c>
      <c r="M37" s="1524"/>
      <c r="N37" s="1524"/>
      <c r="O37" s="1524"/>
      <c r="P37" s="1524"/>
      <c r="Q37" s="1524"/>
      <c r="R37" s="1437">
        <f t="shared" si="18"/>
        <v>0</v>
      </c>
      <c r="S37" s="1437">
        <f t="shared" si="19"/>
        <v>0</v>
      </c>
      <c r="T37" s="1524">
        <f t="shared" si="20"/>
        <v>0</v>
      </c>
      <c r="U37" s="1524"/>
      <c r="V37" s="1524"/>
      <c r="W37" s="1524"/>
      <c r="X37" s="1524"/>
      <c r="Y37" s="1524"/>
      <c r="Z37" s="1524"/>
      <c r="AA37" s="1524"/>
      <c r="AB37" s="1525">
        <f t="shared" ref="AB37:AB38" si="30">AC37+AD37+AE37+AF37</f>
        <v>2385.152</v>
      </c>
      <c r="AC37" s="1524"/>
      <c r="AD37" s="1524">
        <v>500</v>
      </c>
      <c r="AE37" s="1524">
        <f>F37</f>
        <v>1885.152</v>
      </c>
      <c r="AF37" s="1524"/>
      <c r="AG37" s="1469">
        <v>0</v>
      </c>
      <c r="AH37" s="1439">
        <v>0</v>
      </c>
      <c r="AM37" s="1435">
        <f>AB37-C37</f>
        <v>0</v>
      </c>
      <c r="AN37" s="1435">
        <f t="shared" si="24"/>
        <v>0</v>
      </c>
      <c r="AO37" s="1389"/>
      <c r="AP37" s="1389"/>
      <c r="AQ37" s="1389">
        <f t="shared" si="25"/>
        <v>0</v>
      </c>
      <c r="AR37" s="1389"/>
    </row>
    <row r="38" spans="1:46" s="1397" customFormat="1">
      <c r="A38" s="1393">
        <v>12.2</v>
      </c>
      <c r="B38" s="1465" t="s">
        <v>1344</v>
      </c>
      <c r="C38" s="1591">
        <f t="shared" si="15"/>
        <v>4500</v>
      </c>
      <c r="D38" s="1526"/>
      <c r="E38" s="1524"/>
      <c r="F38" s="1524">
        <f>'[6]Giao các đơn vị'!G26/1000000</f>
        <v>4500</v>
      </c>
      <c r="G38" s="1524"/>
      <c r="H38" s="1524"/>
      <c r="I38" s="1524"/>
      <c r="J38" s="1535">
        <f t="shared" si="29"/>
        <v>0</v>
      </c>
      <c r="K38" s="1437">
        <f t="shared" si="16"/>
        <v>4500</v>
      </c>
      <c r="L38" s="1648">
        <f t="shared" si="17"/>
        <v>0</v>
      </c>
      <c r="M38" s="1524"/>
      <c r="N38" s="1524"/>
      <c r="O38" s="1524"/>
      <c r="P38" s="1524"/>
      <c r="Q38" s="1524"/>
      <c r="R38" s="1437">
        <f t="shared" si="18"/>
        <v>0</v>
      </c>
      <c r="S38" s="1437">
        <f t="shared" si="19"/>
        <v>0</v>
      </c>
      <c r="T38" s="1524">
        <f t="shared" si="20"/>
        <v>0</v>
      </c>
      <c r="U38" s="1524"/>
      <c r="V38" s="1524"/>
      <c r="W38" s="1524"/>
      <c r="X38" s="1524"/>
      <c r="Y38" s="1524"/>
      <c r="Z38" s="1524"/>
      <c r="AA38" s="1524"/>
      <c r="AB38" s="1525">
        <f t="shared" si="30"/>
        <v>4500</v>
      </c>
      <c r="AC38" s="1524"/>
      <c r="AD38" s="1524"/>
      <c r="AE38" s="1524">
        <f>'ĐT_ Nội vụ_ điều chỉnh'!F33/1000000</f>
        <v>4500</v>
      </c>
      <c r="AF38" s="1524"/>
      <c r="AG38" s="1469">
        <v>0</v>
      </c>
      <c r="AH38" s="1439">
        <v>0</v>
      </c>
      <c r="AM38" s="1435">
        <f>AB38-C38</f>
        <v>0</v>
      </c>
      <c r="AN38" s="1435">
        <f t="shared" si="24"/>
        <v>0</v>
      </c>
      <c r="AO38" s="1389"/>
      <c r="AP38" s="1389"/>
      <c r="AQ38" s="1389">
        <f t="shared" si="25"/>
        <v>0</v>
      </c>
      <c r="AR38" s="1389">
        <f>J38-C38</f>
        <v>-4500</v>
      </c>
    </row>
    <row r="39" spans="1:46" ht="75">
      <c r="A39" s="315">
        <v>13</v>
      </c>
      <c r="B39" s="1463" t="str">
        <f>'[6]Giao các đơn vị'!B25</f>
        <v>Chi quản lý nhà nước trong năm như bổ sung tiền lương cho biên chế tuyển dụng mới, nâng lương trước hạn, chế độ nghỉ việc và các nội dung quản lý nhà nước khác</v>
      </c>
      <c r="C39" s="1591">
        <f t="shared" si="15"/>
        <v>4000</v>
      </c>
      <c r="D39" s="1522"/>
      <c r="E39" s="1524"/>
      <c r="F39" s="1524">
        <v>4000</v>
      </c>
      <c r="G39" s="1524"/>
      <c r="H39" s="1524"/>
      <c r="I39" s="1524"/>
      <c r="J39" s="1535">
        <f t="shared" si="29"/>
        <v>0</v>
      </c>
      <c r="K39" s="1437">
        <f t="shared" si="16"/>
        <v>4604.6635480000004</v>
      </c>
      <c r="L39" s="1648">
        <f t="shared" si="17"/>
        <v>0</v>
      </c>
      <c r="M39" s="1524"/>
      <c r="N39" s="1524"/>
      <c r="O39" s="1524"/>
      <c r="P39" s="1524"/>
      <c r="Q39" s="1524"/>
      <c r="R39" s="1437">
        <f t="shared" si="18"/>
        <v>0</v>
      </c>
      <c r="S39" s="1437">
        <f t="shared" si="19"/>
        <v>0</v>
      </c>
      <c r="T39" s="1524">
        <f t="shared" si="20"/>
        <v>0</v>
      </c>
      <c r="U39" s="1524"/>
      <c r="V39" s="1524"/>
      <c r="W39" s="1524"/>
      <c r="X39" s="1524"/>
      <c r="Y39" s="1524"/>
      <c r="Z39" s="1524">
        <v>0</v>
      </c>
      <c r="AA39" s="1524"/>
      <c r="AB39" s="1525">
        <f>SUM(AC39:AF39)</f>
        <v>4604.6635480000004</v>
      </c>
      <c r="AC39" s="1524"/>
      <c r="AD39" s="1524"/>
      <c r="AE39" s="1524">
        <f>4000+604.663548</f>
        <v>4604.6635480000004</v>
      </c>
      <c r="AF39" s="1524"/>
      <c r="AG39" s="1469"/>
      <c r="AH39" s="1439"/>
      <c r="AM39" s="1435">
        <f>AB39-C39</f>
        <v>604.66354800000045</v>
      </c>
      <c r="AN39" s="1435">
        <f t="shared" si="24"/>
        <v>-604.66354800000045</v>
      </c>
      <c r="AO39" s="1389">
        <f>AB39-C39</f>
        <v>604.66354800000045</v>
      </c>
      <c r="AP39" s="1389">
        <f>AB39+L39</f>
        <v>4604.6635480000004</v>
      </c>
      <c r="AQ39" s="1389">
        <f t="shared" si="25"/>
        <v>4000</v>
      </c>
      <c r="AR39" s="1389">
        <f>J39-C39</f>
        <v>-4000</v>
      </c>
    </row>
    <row r="40" spans="1:46" hidden="1">
      <c r="A40" s="315">
        <v>14</v>
      </c>
      <c r="B40" s="1463" t="s">
        <v>2108</v>
      </c>
      <c r="C40" s="1591">
        <f t="shared" si="15"/>
        <v>0</v>
      </c>
      <c r="D40" s="1522"/>
      <c r="E40" s="1524"/>
      <c r="F40" s="1524"/>
      <c r="G40" s="1524"/>
      <c r="H40" s="1524"/>
      <c r="I40" s="1524"/>
      <c r="J40" s="1535">
        <f t="shared" si="29"/>
        <v>0</v>
      </c>
      <c r="K40" s="1437">
        <f t="shared" si="16"/>
        <v>0</v>
      </c>
      <c r="L40" s="1648">
        <f t="shared" si="17"/>
        <v>0</v>
      </c>
      <c r="M40" s="1524"/>
      <c r="N40" s="1524"/>
      <c r="O40" s="1524"/>
      <c r="P40" s="1524"/>
      <c r="Q40" s="1524"/>
      <c r="R40" s="1437">
        <f t="shared" si="18"/>
        <v>0</v>
      </c>
      <c r="S40" s="1437">
        <f t="shared" si="19"/>
        <v>0</v>
      </c>
      <c r="T40" s="1524">
        <f t="shared" si="20"/>
        <v>0</v>
      </c>
      <c r="U40" s="1524"/>
      <c r="V40" s="1524"/>
      <c r="W40" s="1524"/>
      <c r="X40" s="1524"/>
      <c r="Y40" s="1524"/>
      <c r="Z40" s="1524"/>
      <c r="AA40" s="1524"/>
      <c r="AB40" s="1525">
        <f t="shared" si="21"/>
        <v>0</v>
      </c>
      <c r="AC40" s="1524"/>
      <c r="AD40" s="1524"/>
      <c r="AE40" s="1524"/>
      <c r="AF40" s="1524"/>
      <c r="AG40" s="1469">
        <v>0</v>
      </c>
      <c r="AH40" s="1439">
        <v>0</v>
      </c>
      <c r="AM40" s="1435">
        <f>AB40-C40</f>
        <v>0</v>
      </c>
      <c r="AN40" s="1435">
        <f t="shared" si="24"/>
        <v>0</v>
      </c>
      <c r="AO40" s="1389">
        <f>AB40-C40</f>
        <v>0</v>
      </c>
      <c r="AP40" s="1389">
        <f>AB40+L40</f>
        <v>0</v>
      </c>
      <c r="AQ40" s="1389">
        <f t="shared" si="25"/>
        <v>0</v>
      </c>
      <c r="AR40" s="1389">
        <f>J40-C40</f>
        <v>0</v>
      </c>
    </row>
    <row r="41" spans="1:46" ht="37.5" hidden="1">
      <c r="A41" s="315">
        <v>15</v>
      </c>
      <c r="B41" s="1464" t="s">
        <v>2109</v>
      </c>
      <c r="C41" s="1591">
        <f t="shared" si="15"/>
        <v>0</v>
      </c>
      <c r="D41" s="1522"/>
      <c r="E41" s="1524"/>
      <c r="F41" s="1524"/>
      <c r="G41" s="1524">
        <v>0</v>
      </c>
      <c r="H41" s="1524"/>
      <c r="I41" s="1524"/>
      <c r="J41" s="1535">
        <f t="shared" si="29"/>
        <v>0</v>
      </c>
      <c r="K41" s="1437">
        <f t="shared" si="16"/>
        <v>0</v>
      </c>
      <c r="L41" s="1522">
        <f t="shared" si="17"/>
        <v>0</v>
      </c>
      <c r="M41" s="1524"/>
      <c r="N41" s="1524"/>
      <c r="O41" s="1524">
        <v>0</v>
      </c>
      <c r="P41" s="1524">
        <v>0</v>
      </c>
      <c r="Q41" s="1524"/>
      <c r="R41" s="1524"/>
      <c r="S41" s="1437">
        <f t="shared" si="19"/>
        <v>0</v>
      </c>
      <c r="T41" s="1524">
        <f t="shared" si="20"/>
        <v>0</v>
      </c>
      <c r="U41" s="1524"/>
      <c r="V41" s="1524"/>
      <c r="W41" s="1524"/>
      <c r="X41" s="1524"/>
      <c r="Y41" s="1524"/>
      <c r="Z41" s="1524"/>
      <c r="AA41" s="1524"/>
      <c r="AB41" s="1525">
        <f t="shared" si="21"/>
        <v>0</v>
      </c>
      <c r="AC41" s="1524"/>
      <c r="AD41" s="1524"/>
      <c r="AE41" s="1524"/>
      <c r="AF41" s="1524">
        <v>0</v>
      </c>
      <c r="AG41" s="1469">
        <v>0</v>
      </c>
      <c r="AH41" s="1439">
        <v>0</v>
      </c>
      <c r="AO41" s="1389">
        <f>AB41-C41</f>
        <v>0</v>
      </c>
      <c r="AP41" s="1389">
        <f>AB41+L41</f>
        <v>0</v>
      </c>
      <c r="AQ41" s="1389">
        <f t="shared" si="25"/>
        <v>0</v>
      </c>
      <c r="AR41" s="1389">
        <f>J41-C41</f>
        <v>0</v>
      </c>
    </row>
    <row r="42" spans="1:46" s="1392" customFormat="1" hidden="1">
      <c r="A42" s="1440" t="s">
        <v>12</v>
      </c>
      <c r="B42" s="1440" t="s">
        <v>2110</v>
      </c>
      <c r="C42" s="1440"/>
      <c r="D42" s="1440"/>
      <c r="E42" s="1440"/>
      <c r="F42" s="1440"/>
      <c r="G42" s="1440"/>
      <c r="H42" s="1440"/>
      <c r="I42" s="1440"/>
      <c r="J42" s="1535">
        <f t="shared" si="29"/>
        <v>0</v>
      </c>
      <c r="K42" s="1535"/>
      <c r="L42" s="1522">
        <f>SUM(M42:Z42)</f>
        <v>0</v>
      </c>
      <c r="M42" s="1440"/>
      <c r="N42" s="1440"/>
      <c r="O42" s="1440"/>
      <c r="P42" s="1440"/>
      <c r="Q42" s="1440"/>
      <c r="R42" s="1440"/>
      <c r="S42" s="1437">
        <f t="shared" si="19"/>
        <v>0</v>
      </c>
      <c r="T42" s="1440"/>
      <c r="U42" s="1440"/>
      <c r="V42" s="1440"/>
      <c r="W42" s="1440"/>
      <c r="X42" s="1440"/>
      <c r="Y42" s="1440"/>
      <c r="Z42" s="1440"/>
      <c r="AA42" s="1440"/>
      <c r="AB42" s="1527"/>
      <c r="AC42" s="1440"/>
      <c r="AD42" s="1440"/>
      <c r="AE42" s="1440"/>
      <c r="AF42" s="1440"/>
      <c r="AO42" s="1389">
        <f>AB42-C42</f>
        <v>0</v>
      </c>
    </row>
    <row r="43" spans="1:46">
      <c r="C43" s="1391"/>
      <c r="F43" s="1389"/>
      <c r="K43" s="1435">
        <f>K15-C15</f>
        <v>0</v>
      </c>
      <c r="AE43" s="1389"/>
      <c r="AO43" s="1389"/>
      <c r="AP43" s="1389"/>
      <c r="AQ43" s="1389"/>
    </row>
    <row r="44" spans="1:46">
      <c r="B44" s="1440" t="s">
        <v>1973</v>
      </c>
      <c r="C44" s="1627" t="s">
        <v>2147</v>
      </c>
      <c r="D44" s="1436" t="s">
        <v>2148</v>
      </c>
      <c r="E44" s="1628" t="s">
        <v>2151</v>
      </c>
      <c r="F44" s="1629" t="s">
        <v>2149</v>
      </c>
      <c r="L44" s="1389">
        <f>K16+K17+K18+K19+K20</f>
        <v>35793.005993999999</v>
      </c>
      <c r="AR44" s="1529"/>
    </row>
    <row r="45" spans="1:46">
      <c r="B45" s="1436" t="s">
        <v>214</v>
      </c>
      <c r="C45" s="1627">
        <f>C17</f>
        <v>137037.4</v>
      </c>
      <c r="D45" s="1629">
        <f>34481.007699+113.759432</f>
        <v>34594.767131000001</v>
      </c>
      <c r="E45" s="1629">
        <f>C56</f>
        <v>51.48</v>
      </c>
      <c r="F45" s="1629">
        <f>C45-D45-E45</f>
        <v>102391.152869</v>
      </c>
      <c r="T45" s="1435"/>
      <c r="Z45" s="1389"/>
      <c r="AA45" s="1389"/>
      <c r="AC45" s="1389"/>
      <c r="AR45" s="1529"/>
      <c r="AS45" s="1435"/>
    </row>
    <row r="46" spans="1:46">
      <c r="B46" s="1436" t="s">
        <v>753</v>
      </c>
      <c r="C46" s="1627">
        <f>C16</f>
        <v>6426.808</v>
      </c>
      <c r="D46" s="1629">
        <f>L16</f>
        <v>445.012652</v>
      </c>
      <c r="E46" s="1629">
        <f>S16</f>
        <v>265.25342799999999</v>
      </c>
      <c r="F46" s="1629">
        <f t="shared" ref="F46:F47" si="31">C46-D46-E46</f>
        <v>5716.5419199999997</v>
      </c>
      <c r="T46" s="1435"/>
      <c r="Z46" s="1389"/>
      <c r="AA46" s="1389"/>
      <c r="AR46" s="1435"/>
    </row>
    <row r="47" spans="1:46">
      <c r="B47" s="1436" t="s">
        <v>2146</v>
      </c>
      <c r="C47" s="1627">
        <f>C18</f>
        <v>1457.3</v>
      </c>
      <c r="D47" s="1629">
        <f>L18</f>
        <v>27.764980000000001</v>
      </c>
      <c r="E47" s="1629">
        <f>S18</f>
        <v>287.93011999999999</v>
      </c>
      <c r="F47" s="1629">
        <f t="shared" si="31"/>
        <v>1141.6049</v>
      </c>
      <c r="T47" s="1435"/>
      <c r="AD47" s="1389"/>
      <c r="AR47" s="1435"/>
    </row>
    <row r="48" spans="1:46">
      <c r="B48" s="1436" t="s">
        <v>570</v>
      </c>
      <c r="C48" s="1627"/>
      <c r="D48" s="1629">
        <v>0</v>
      </c>
      <c r="E48" s="1629"/>
      <c r="F48" s="1629"/>
      <c r="T48" s="1435"/>
      <c r="AD48" s="1389"/>
      <c r="AR48" s="1435"/>
    </row>
    <row r="49" spans="1:44">
      <c r="B49" s="1436" t="s">
        <v>2150</v>
      </c>
      <c r="C49" s="1627"/>
      <c r="D49" s="1629">
        <v>0</v>
      </c>
      <c r="E49" s="1629"/>
      <c r="F49" s="1629"/>
      <c r="T49" s="1435"/>
      <c r="AD49" s="1389"/>
      <c r="AR49" s="1435"/>
    </row>
    <row r="50" spans="1:44">
      <c r="B50" s="1634"/>
      <c r="C50" s="1630">
        <f>C45+C46+C47+C48+C49</f>
        <v>144921.50799999997</v>
      </c>
      <c r="D50" s="1630">
        <f t="shared" ref="D50:F50" si="32">D45+D46+D47+D48+D49</f>
        <v>35067.544762999998</v>
      </c>
      <c r="E50" s="1630">
        <f t="shared" si="32"/>
        <v>604.66354799999999</v>
      </c>
      <c r="F50" s="1630">
        <f t="shared" si="32"/>
        <v>109249.29968900001</v>
      </c>
      <c r="AR50" s="1435"/>
    </row>
    <row r="51" spans="1:44">
      <c r="A51" s="1631"/>
      <c r="B51" s="1631"/>
      <c r="C51" s="1635"/>
      <c r="D51" s="1635"/>
      <c r="E51" s="1635"/>
      <c r="F51" s="1635"/>
      <c r="AR51" s="1435"/>
    </row>
    <row r="52" spans="1:44">
      <c r="A52" s="1633"/>
      <c r="B52" s="1633"/>
      <c r="C52" s="1636"/>
      <c r="D52" s="1636"/>
      <c r="E52" s="1636"/>
      <c r="F52" s="1636"/>
      <c r="AR52" s="1435"/>
    </row>
    <row r="53" spans="1:44">
      <c r="C53" s="1632"/>
      <c r="D53" s="1633"/>
      <c r="E53" s="1633"/>
      <c r="F53" s="1633"/>
      <c r="O53" s="1389"/>
    </row>
    <row r="54" spans="1:44">
      <c r="B54" s="1440" t="s">
        <v>19</v>
      </c>
      <c r="C54" s="1641" t="s">
        <v>2157</v>
      </c>
      <c r="D54" s="1641" t="s">
        <v>2158</v>
      </c>
      <c r="E54" s="1641" t="s">
        <v>2159</v>
      </c>
      <c r="F54" s="1436"/>
      <c r="O54" s="1389"/>
      <c r="AR54" s="1389"/>
    </row>
    <row r="55" spans="1:44">
      <c r="B55" s="1436"/>
      <c r="C55" s="1650">
        <f>C56+C57+C58+C59+C60</f>
        <v>604.66354799999999</v>
      </c>
      <c r="D55" s="1642">
        <f>D56+D57+D58+D59+D60+D61+D62</f>
        <v>0</v>
      </c>
      <c r="E55" s="1643">
        <f>C55-D55</f>
        <v>604.66354799999999</v>
      </c>
      <c r="F55" s="1436" t="s">
        <v>2160</v>
      </c>
      <c r="O55" s="1389"/>
      <c r="AR55" s="1389"/>
    </row>
    <row r="56" spans="1:44">
      <c r="B56" s="1436" t="s">
        <v>214</v>
      </c>
      <c r="C56" s="1644">
        <v>51.48</v>
      </c>
      <c r="D56" s="1436"/>
      <c r="E56" s="1436"/>
      <c r="F56" s="1436"/>
    </row>
    <row r="57" spans="1:44">
      <c r="B57" s="1436" t="s">
        <v>753</v>
      </c>
      <c r="C57" s="1644">
        <v>265.25342799999999</v>
      </c>
      <c r="D57" s="1436"/>
      <c r="E57" s="1436"/>
      <c r="F57" s="1436"/>
    </row>
    <row r="58" spans="1:44">
      <c r="B58" s="1436" t="s">
        <v>2146</v>
      </c>
      <c r="C58" s="1644">
        <v>287.93011999999999</v>
      </c>
      <c r="D58" s="1436"/>
      <c r="E58" s="1436"/>
      <c r="F58" s="1436"/>
    </row>
    <row r="59" spans="1:44">
      <c r="B59" s="1436" t="s">
        <v>570</v>
      </c>
      <c r="C59" s="1644"/>
      <c r="D59" s="1436"/>
      <c r="E59" s="1436"/>
      <c r="F59" s="1436"/>
    </row>
    <row r="60" spans="1:44">
      <c r="B60" s="1436" t="s">
        <v>2150</v>
      </c>
      <c r="C60" s="1644"/>
      <c r="D60" s="1436"/>
      <c r="E60" s="1436"/>
      <c r="F60" s="1436"/>
    </row>
    <row r="61" spans="1:44">
      <c r="B61" s="1645" t="s">
        <v>1147</v>
      </c>
      <c r="C61" s="1440"/>
      <c r="D61" s="1436"/>
      <c r="E61" s="1436"/>
      <c r="F61" s="1436"/>
    </row>
    <row r="62" spans="1:44">
      <c r="B62" s="1645" t="s">
        <v>2103</v>
      </c>
      <c r="C62" s="1440"/>
      <c r="D62" s="1436"/>
      <c r="E62" s="1436"/>
      <c r="F62" s="1436"/>
    </row>
    <row r="63" spans="1:44">
      <c r="B63" s="1389">
        <f>K16+K17+K18+K19+K20</f>
        <v>35793.005993999999</v>
      </c>
    </row>
    <row r="64" spans="1:44">
      <c r="B64" s="1389">
        <f>C16+C17+C18+C19+C20</f>
        <v>151561.85999999999</v>
      </c>
    </row>
    <row r="65" spans="2:2">
      <c r="B65" s="1649">
        <f>B64-B63</f>
        <v>115768.85400599998</v>
      </c>
    </row>
    <row r="66" spans="2:2">
      <c r="B66" s="1389">
        <f>'Y tế V_điều chỉnh'!M14+'Quản lý đô thị _điều chỉnh'!I15+'Kinh tế V_điều chỉnh'!K15+'Lap động tbxh_điều chỉnh'!K16+'Văn hóa và TT V_ điều chỉnh'!L16</f>
        <v>115768854006</v>
      </c>
    </row>
    <row r="67" spans="2:2">
      <c r="B67" s="1529">
        <f>C55*1000000</f>
        <v>604663548</v>
      </c>
    </row>
    <row r="68" spans="2:2">
      <c r="B68" s="1529">
        <f>B66-B67</f>
        <v>115164190458</v>
      </c>
    </row>
    <row r="69" spans="2:2">
      <c r="B69" s="1529"/>
    </row>
  </sheetData>
  <mergeCells count="36">
    <mergeCell ref="E8:E9"/>
    <mergeCell ref="AE8:AE9"/>
    <mergeCell ref="G8:G9"/>
    <mergeCell ref="L8:L9"/>
    <mergeCell ref="H8:H9"/>
    <mergeCell ref="A1:AF1"/>
    <mergeCell ref="A3:AF3"/>
    <mergeCell ref="A4:AF4"/>
    <mergeCell ref="A6:A9"/>
    <mergeCell ref="B6:B9"/>
    <mergeCell ref="J6:AF6"/>
    <mergeCell ref="J7:J9"/>
    <mergeCell ref="L7:P7"/>
    <mergeCell ref="AB7:AF7"/>
    <mergeCell ref="C6:H7"/>
    <mergeCell ref="K7:K9"/>
    <mergeCell ref="R7:R9"/>
    <mergeCell ref="F8:F9"/>
    <mergeCell ref="S7:S9"/>
    <mergeCell ref="C8:C9"/>
    <mergeCell ref="D8:D9"/>
    <mergeCell ref="AH8:AH9"/>
    <mergeCell ref="M8:M9"/>
    <mergeCell ref="N8:N9"/>
    <mergeCell ref="O8:O9"/>
    <mergeCell ref="P8:P9"/>
    <mergeCell ref="Z8:Z9"/>
    <mergeCell ref="AB8:AB9"/>
    <mergeCell ref="W8:W9"/>
    <mergeCell ref="Q8:Q9"/>
    <mergeCell ref="T8:T9"/>
    <mergeCell ref="AC8:AC9"/>
    <mergeCell ref="AD8:AD9"/>
    <mergeCell ref="AF8:AF9"/>
    <mergeCell ref="AG8:AG9"/>
    <mergeCell ref="AA8:AA9"/>
  </mergeCells>
  <pageMargins left="0.51181102362204722" right="0.31496062992125984" top="0.74803149606299213" bottom="0.74803149606299213" header="0.31496062992125984" footer="0.31496062992125984"/>
  <pageSetup paperSize="9" scale="37" fitToHeight="0"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
  <sheetViews>
    <sheetView workbookViewId="0">
      <selection activeCell="A20" sqref="A20:F20"/>
    </sheetView>
  </sheetViews>
  <sheetFormatPr defaultColWidth="11.5703125" defaultRowHeight="18.75"/>
  <cols>
    <col min="1" max="1" width="11.5703125" style="1388"/>
    <col min="2" max="2" width="56.7109375" style="1388" customWidth="1"/>
    <col min="3" max="3" width="21.7109375" style="1388" customWidth="1"/>
    <col min="4" max="5" width="21.140625" style="1388" customWidth="1"/>
    <col min="6" max="6" width="25.140625" style="1651" customWidth="1"/>
    <col min="7" max="7" width="16.5703125" style="1388" hidden="1" customWidth="1"/>
    <col min="8" max="10" width="0" style="1388" hidden="1" customWidth="1"/>
    <col min="11" max="16384" width="11.5703125" style="1388"/>
  </cols>
  <sheetData>
    <row r="1" spans="1:7">
      <c r="A1" s="1810" t="s">
        <v>2176</v>
      </c>
      <c r="B1" s="1810"/>
      <c r="C1" s="1810"/>
      <c r="D1" s="1810"/>
      <c r="E1" s="1810"/>
      <c r="F1" s="1810"/>
    </row>
    <row r="2" spans="1:7">
      <c r="A2" s="1639"/>
      <c r="B2" s="1639"/>
      <c r="C2" s="1639"/>
      <c r="D2" s="1639"/>
      <c r="E2" s="1639"/>
      <c r="F2" s="1639"/>
    </row>
    <row r="3" spans="1:7">
      <c r="A3" s="1810" t="s">
        <v>2174</v>
      </c>
      <c r="B3" s="1810"/>
      <c r="C3" s="1810"/>
      <c r="D3" s="1810"/>
      <c r="E3" s="1810"/>
      <c r="F3" s="1810"/>
    </row>
    <row r="4" spans="1:7">
      <c r="A4" s="1827" t="str">
        <f>PL_01!A4:AF4</f>
        <v>(Kèm theo Tờ trình số         /TTr-UBND ngày        /02/2025 của UBND thành phố)</v>
      </c>
      <c r="B4" s="1827"/>
      <c r="C4" s="1827"/>
      <c r="D4" s="1827"/>
      <c r="E4" s="1827"/>
      <c r="F4" s="1827"/>
    </row>
    <row r="5" spans="1:7">
      <c r="A5" s="1652"/>
      <c r="B5" s="1652"/>
      <c r="C5" s="1652"/>
      <c r="D5" s="1652"/>
      <c r="E5" s="1652"/>
      <c r="F5" s="1653"/>
    </row>
    <row r="6" spans="1:7">
      <c r="C6" s="1389"/>
      <c r="D6" s="1823" t="s">
        <v>2175</v>
      </c>
      <c r="E6" s="1823"/>
      <c r="F6" s="1823"/>
    </row>
    <row r="7" spans="1:7" ht="50.25" customHeight="1">
      <c r="A7" s="1828" t="s">
        <v>0</v>
      </c>
      <c r="B7" s="1828" t="s">
        <v>1617</v>
      </c>
      <c r="C7" s="1828" t="s">
        <v>1627</v>
      </c>
      <c r="D7" s="1824" t="s">
        <v>1720</v>
      </c>
      <c r="E7" s="1825"/>
      <c r="F7" s="1826"/>
    </row>
    <row r="8" spans="1:7" ht="37.5">
      <c r="A8" s="1828"/>
      <c r="B8" s="1828"/>
      <c r="C8" s="1828"/>
      <c r="D8" s="290" t="s">
        <v>2171</v>
      </c>
      <c r="E8" s="290" t="s">
        <v>2173</v>
      </c>
      <c r="F8" s="1662" t="s">
        <v>2172</v>
      </c>
    </row>
    <row r="9" spans="1:7">
      <c r="A9" s="290" t="s">
        <v>167</v>
      </c>
      <c r="B9" s="290" t="s">
        <v>1268</v>
      </c>
      <c r="C9" s="290">
        <v>1</v>
      </c>
      <c r="D9" s="290">
        <v>2</v>
      </c>
      <c r="E9" s="290"/>
      <c r="F9" s="290">
        <v>3</v>
      </c>
    </row>
    <row r="10" spans="1:7" s="1392" customFormat="1">
      <c r="A10" s="290"/>
      <c r="B10" s="1654" t="s">
        <v>2169</v>
      </c>
      <c r="C10" s="1655">
        <f>C11+C17</f>
        <v>150308.08800600001</v>
      </c>
      <c r="D10" s="1655">
        <f t="shared" ref="D10:F10" si="0">D11+D17</f>
        <v>34539.233999999997</v>
      </c>
      <c r="E10" s="1655">
        <f t="shared" si="0"/>
        <v>7130.4547876666666</v>
      </c>
      <c r="F10" s="1655">
        <f t="shared" si="0"/>
        <v>108638.39921833333</v>
      </c>
    </row>
    <row r="11" spans="1:7" s="1392" customFormat="1" ht="18" customHeight="1">
      <c r="A11" s="290" t="s">
        <v>2</v>
      </c>
      <c r="B11" s="1654" t="s">
        <v>2170</v>
      </c>
      <c r="C11" s="1655">
        <f>SUM(C12:C16)</f>
        <v>145703.42445799999</v>
      </c>
      <c r="D11" s="1655">
        <f>SUM(D12:D16)</f>
        <v>30539.233999999997</v>
      </c>
      <c r="E11" s="1655">
        <f>SUM(E12:E16)</f>
        <v>7130.4547876666666</v>
      </c>
      <c r="F11" s="1655">
        <f>SUM(F12:F16)</f>
        <v>108033.73567033334</v>
      </c>
      <c r="G11" s="1657" t="e">
        <f>D11+F11+#REF!+#REF!</f>
        <v>#REF!</v>
      </c>
    </row>
    <row r="12" spans="1:7" ht="18" customHeight="1">
      <c r="A12" s="295">
        <v>1</v>
      </c>
      <c r="B12" s="1663" t="str">
        <f>PL_01!B32</f>
        <v>Phòng Văn hoá, khoa học và Thông tin</v>
      </c>
      <c r="C12" s="1659">
        <f>D12+E12+F12</f>
        <v>2342.5417513333332</v>
      </c>
      <c r="D12" s="1659"/>
      <c r="E12" s="1659">
        <f>PL_01!AB32</f>
        <v>2342.5417513333332</v>
      </c>
      <c r="F12" s="1660"/>
      <c r="G12" s="1435"/>
    </row>
    <row r="13" spans="1:7" ht="18" customHeight="1">
      <c r="A13" s="295">
        <v>2</v>
      </c>
      <c r="B13" s="1506" t="str">
        <f>PL_01!B25</f>
        <v>Phòng Kinh tế, Hạ tầng và đô thị</v>
      </c>
      <c r="C13" s="1659">
        <f t="shared" ref="C13:C16" si="1">D13+E13+F13</f>
        <v>4787.9130363333334</v>
      </c>
      <c r="D13" s="1659"/>
      <c r="E13" s="1659">
        <f>PL_01!AB25</f>
        <v>4787.9130363333334</v>
      </c>
      <c r="F13" s="1660"/>
      <c r="G13" s="1435"/>
    </row>
    <row r="14" spans="1:7">
      <c r="A14" s="295">
        <v>3</v>
      </c>
      <c r="B14" s="1658" t="str">
        <f>'[11]Biểu 06'!B20</f>
        <v>Văn phòng HĐND và UBND thành phố</v>
      </c>
      <c r="C14" s="1659">
        <f t="shared" si="1"/>
        <v>111634.06044900001</v>
      </c>
      <c r="D14" s="1659">
        <f>PL_01!AB22</f>
        <v>12796.8</v>
      </c>
      <c r="E14" s="1659"/>
      <c r="F14" s="1660">
        <f>PL_01!AB23+PL_01!AB24</f>
        <v>98837.260449000009</v>
      </c>
    </row>
    <row r="15" spans="1:7">
      <c r="A15" s="295">
        <v>4</v>
      </c>
      <c r="B15" s="1658" t="str">
        <f>PL_01!B35</f>
        <v>Phòng Nội vụ thành phố</v>
      </c>
      <c r="C15" s="1659">
        <f t="shared" si="1"/>
        <v>10965.697555999999</v>
      </c>
      <c r="D15" s="1659">
        <f>PL_01!AB37+PL_01!AB38</f>
        <v>6885.152</v>
      </c>
      <c r="E15" s="1659"/>
      <c r="F15" s="1660">
        <f>PL_01!AB36</f>
        <v>4080.545556</v>
      </c>
    </row>
    <row r="16" spans="1:7">
      <c r="A16" s="295">
        <v>5</v>
      </c>
      <c r="B16" s="1658" t="str">
        <f>'[11]Biểu 06'!B30</f>
        <v>Phòng Tài nguyên và Môi trường thành phố</v>
      </c>
      <c r="C16" s="1659">
        <f t="shared" si="1"/>
        <v>15973.211665333332</v>
      </c>
      <c r="D16" s="1659">
        <f>PL_01!AB29</f>
        <v>10857.281999999999</v>
      </c>
      <c r="E16" s="1659"/>
      <c r="F16" s="1660">
        <f>PL_01!AB30+PL_01!AB31</f>
        <v>5115.929665333334</v>
      </c>
    </row>
    <row r="17" spans="1:6" s="1392" customFormat="1" ht="92.25" customHeight="1">
      <c r="A17" s="290" t="s">
        <v>12</v>
      </c>
      <c r="B17" s="1661" t="str">
        <f>'[11]Biểu 06'!B48</f>
        <v>Chi quản lý nhà nước trong năm như bổ sung tiền lương cho biên chế tuyển dụng mới, nâng lương trước hạn, chế độ nghỉ việc và các nội dung quản lý nhà nước khác</v>
      </c>
      <c r="C17" s="1655">
        <f>D17+E17+F17</f>
        <v>4604.6635480000004</v>
      </c>
      <c r="D17" s="1655">
        <v>4000</v>
      </c>
      <c r="E17" s="1655"/>
      <c r="F17" s="1656">
        <f>PL_01!AB39-'PL_ 02 '!D17</f>
        <v>604.66354800000045</v>
      </c>
    </row>
    <row r="18" spans="1:6" hidden="1">
      <c r="A18" s="295">
        <v>6</v>
      </c>
      <c r="B18" s="1658" t="str">
        <f>'[11]Biểu 06'!B19</f>
        <v>Kinh phí đào tạo</v>
      </c>
      <c r="C18" s="1659">
        <f>D18+F18</f>
        <v>1409</v>
      </c>
      <c r="D18" s="1659"/>
      <c r="E18" s="1659"/>
      <c r="F18" s="1660">
        <f>'[11]Biểu 06'!C19</f>
        <v>1409</v>
      </c>
    </row>
    <row r="19" spans="1:6">
      <c r="C19" s="1389"/>
      <c r="D19" s="1389"/>
      <c r="E19" s="1389"/>
    </row>
    <row r="20" spans="1:6" ht="96.75" customHeight="1">
      <c r="A20" s="1822"/>
      <c r="B20" s="1822"/>
      <c r="C20" s="1822"/>
      <c r="D20" s="1822"/>
      <c r="E20" s="1822"/>
      <c r="F20" s="1822"/>
    </row>
  </sheetData>
  <mergeCells count="9">
    <mergeCell ref="A1:F1"/>
    <mergeCell ref="A20:F20"/>
    <mergeCell ref="D6:F6"/>
    <mergeCell ref="D7:F7"/>
    <mergeCell ref="A3:F3"/>
    <mergeCell ref="A4:F4"/>
    <mergeCell ref="A7:A8"/>
    <mergeCell ref="B7:B8"/>
    <mergeCell ref="C7:C8"/>
  </mergeCells>
  <pageMargins left="0.7" right="0.7" top="0.75" bottom="0.75" header="0.3" footer="0.3"/>
  <pageSetup paperSize="9" scale="55" fitToHeight="0"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52"/>
  <sheetViews>
    <sheetView topLeftCell="B1" zoomScale="70" zoomScaleNormal="70" workbookViewId="0">
      <selection activeCell="T2" sqref="T1:AA1048576"/>
    </sheetView>
  </sheetViews>
  <sheetFormatPr defaultColWidth="11.5703125" defaultRowHeight="18.75"/>
  <cols>
    <col min="1" max="1" width="7.42578125" style="1388" bestFit="1" customWidth="1"/>
    <col min="2" max="2" width="58.85546875" style="1388" customWidth="1"/>
    <col min="3" max="3" width="22.42578125" style="1392" bestFit="1" customWidth="1"/>
    <col min="4" max="4" width="22.42578125" style="1388" customWidth="1"/>
    <col min="5" max="5" width="16.42578125" style="1388" customWidth="1"/>
    <col min="6" max="6" width="17.7109375" style="1388" customWidth="1"/>
    <col min="7" max="8" width="15.28515625" style="1388" customWidth="1"/>
    <col min="9" max="9" width="15.28515625" style="1388" hidden="1" customWidth="1"/>
    <col min="10" max="10" width="15.28515625" style="1621" hidden="1" customWidth="1"/>
    <col min="11" max="13" width="15.28515625" style="1388" customWidth="1"/>
    <col min="14" max="14" width="16.42578125" style="1388" customWidth="1"/>
    <col min="15" max="15" width="17.7109375" style="1388" customWidth="1"/>
    <col min="16" max="17" width="15.28515625" style="1388" customWidth="1"/>
    <col min="18" max="19" width="15.28515625" style="1613" customWidth="1"/>
    <col min="20" max="20" width="15.28515625" style="1388" hidden="1" customWidth="1"/>
    <col min="21" max="27" width="15.28515625" style="1613" hidden="1" customWidth="1"/>
    <col min="28" max="28" width="25.28515625" style="1529" customWidth="1"/>
    <col min="29" max="29" width="15.28515625" style="1388" customWidth="1"/>
    <col min="30" max="30" width="16.42578125" style="1388" customWidth="1"/>
    <col min="31" max="31" width="17.7109375" style="1388" customWidth="1"/>
    <col min="32" max="32" width="21.140625" style="1388" customWidth="1"/>
    <col min="33" max="33" width="12.7109375" style="1388" hidden="1" customWidth="1"/>
    <col min="34" max="34" width="17.7109375" style="1388" hidden="1" customWidth="1"/>
    <col min="35" max="35" width="0" style="1388" hidden="1" customWidth="1"/>
    <col min="36" max="36" width="12.42578125" style="1388" hidden="1" customWidth="1"/>
    <col min="37" max="37" width="17.7109375" style="1388" hidden="1" customWidth="1"/>
    <col min="38" max="38" width="0" style="1388" hidden="1" customWidth="1"/>
    <col min="39" max="40" width="11.5703125" style="1388"/>
    <col min="41" max="43" width="16.7109375" style="1388" customWidth="1"/>
    <col min="44" max="44" width="25.140625" style="1388" bestFit="1" customWidth="1"/>
    <col min="45" max="45" width="21.85546875" style="1388" bestFit="1" customWidth="1"/>
    <col min="46" max="47" width="13.5703125" style="1388" bestFit="1" customWidth="1"/>
    <col min="48" max="16384" width="11.5703125" style="1388"/>
  </cols>
  <sheetData>
    <row r="1" spans="1:47">
      <c r="A1" s="1810" t="s">
        <v>2124</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459"/>
    </row>
    <row r="2" spans="1:47">
      <c r="A2" s="1538"/>
      <c r="B2" s="1538"/>
      <c r="C2" s="1538"/>
      <c r="D2" s="1538"/>
      <c r="E2" s="1538"/>
      <c r="F2" s="1538"/>
      <c r="G2" s="1538"/>
      <c r="H2" s="1538"/>
      <c r="I2" s="1538"/>
      <c r="J2" s="1615"/>
      <c r="K2" s="1538"/>
      <c r="L2" s="1538"/>
      <c r="M2" s="1538"/>
      <c r="N2" s="1538"/>
      <c r="O2" s="1538"/>
      <c r="P2" s="1538"/>
      <c r="Q2" s="1538"/>
      <c r="R2" s="1601"/>
      <c r="S2" s="1601"/>
      <c r="T2" s="1538"/>
      <c r="U2" s="1601"/>
      <c r="V2" s="1601"/>
      <c r="W2" s="1601"/>
      <c r="X2" s="1601"/>
      <c r="Y2" s="1601"/>
      <c r="Z2" s="1601"/>
      <c r="AA2" s="1601"/>
      <c r="AB2" s="1538"/>
      <c r="AC2" s="1538"/>
      <c r="AD2" s="1538"/>
      <c r="AE2" s="1538"/>
      <c r="AF2" s="1538"/>
      <c r="AG2" s="1459"/>
    </row>
    <row r="3" spans="1:47">
      <c r="A3" s="1667" t="s">
        <v>2094</v>
      </c>
      <c r="B3" s="1667"/>
      <c r="C3" s="1667"/>
      <c r="D3" s="1667"/>
      <c r="E3" s="1667"/>
      <c r="F3" s="1667"/>
      <c r="G3" s="1667"/>
      <c r="H3" s="1667"/>
      <c r="I3" s="1667"/>
      <c r="J3" s="1667"/>
      <c r="K3" s="1667"/>
      <c r="L3" s="1667"/>
      <c r="M3" s="1667"/>
      <c r="N3" s="1667"/>
      <c r="O3" s="1667"/>
      <c r="P3" s="1667"/>
      <c r="Q3" s="1667"/>
      <c r="R3" s="1667"/>
      <c r="S3" s="1667"/>
      <c r="T3" s="1667"/>
      <c r="U3" s="1667"/>
      <c r="V3" s="1667"/>
      <c r="W3" s="1667"/>
      <c r="X3" s="1667"/>
      <c r="Y3" s="1667"/>
      <c r="Z3" s="1667"/>
      <c r="AA3" s="1667"/>
      <c r="AB3" s="1667"/>
      <c r="AC3" s="1667"/>
      <c r="AD3" s="1667"/>
      <c r="AE3" s="1667"/>
      <c r="AF3" s="1667"/>
      <c r="AG3" s="1536"/>
    </row>
    <row r="4" spans="1:47">
      <c r="A4" s="1668" t="s">
        <v>2125</v>
      </c>
      <c r="B4" s="1668"/>
      <c r="C4" s="1668"/>
      <c r="D4" s="1668"/>
      <c r="E4" s="1668"/>
      <c r="F4" s="1668"/>
      <c r="G4" s="1668"/>
      <c r="H4" s="1668"/>
      <c r="I4" s="1668"/>
      <c r="J4" s="1668"/>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537"/>
    </row>
    <row r="5" spans="1:47" ht="19.5">
      <c r="A5" s="1537"/>
      <c r="B5" s="1537"/>
      <c r="C5" s="1590"/>
      <c r="D5" s="1537"/>
      <c r="E5" s="1537"/>
      <c r="F5" s="1537"/>
      <c r="G5" s="1537"/>
      <c r="H5" s="1537"/>
      <c r="I5" s="1537"/>
      <c r="J5" s="1616"/>
      <c r="K5" s="1581"/>
      <c r="L5" s="1537"/>
      <c r="M5" s="1537"/>
      <c r="N5" s="1537"/>
      <c r="O5" s="1537"/>
      <c r="P5" s="1537"/>
      <c r="Q5" s="1537"/>
      <c r="R5" s="1602"/>
      <c r="S5" s="1602"/>
      <c r="T5" s="1537"/>
      <c r="U5" s="1602"/>
      <c r="V5" s="1602"/>
      <c r="W5" s="1602"/>
      <c r="X5" s="1602"/>
      <c r="Y5" s="1602"/>
      <c r="Z5" s="1602"/>
      <c r="AA5" s="1602"/>
      <c r="AB5" s="1470"/>
      <c r="AC5" s="1537"/>
      <c r="AD5" s="1537"/>
      <c r="AE5" s="1537"/>
      <c r="AF5" s="1537"/>
      <c r="AG5" s="1537"/>
    </row>
    <row r="6" spans="1:47">
      <c r="A6" s="1803" t="s">
        <v>0</v>
      </c>
      <c r="B6" s="1803" t="s">
        <v>1617</v>
      </c>
      <c r="C6" s="1821" t="s">
        <v>2113</v>
      </c>
      <c r="D6" s="1821"/>
      <c r="E6" s="1821"/>
      <c r="F6" s="1821"/>
      <c r="G6" s="1821"/>
      <c r="H6" s="1821"/>
      <c r="I6" s="1543"/>
      <c r="J6" s="1811" t="s">
        <v>2132</v>
      </c>
      <c r="K6" s="1812"/>
      <c r="L6" s="1812"/>
      <c r="M6" s="1812"/>
      <c r="N6" s="1812"/>
      <c r="O6" s="1812"/>
      <c r="P6" s="1812"/>
      <c r="Q6" s="1812"/>
      <c r="R6" s="1812"/>
      <c r="S6" s="1812"/>
      <c r="T6" s="1812"/>
      <c r="U6" s="1812"/>
      <c r="V6" s="1812"/>
      <c r="W6" s="1812"/>
      <c r="X6" s="1812"/>
      <c r="Y6" s="1812"/>
      <c r="Z6" s="1812"/>
      <c r="AA6" s="1812"/>
      <c r="AB6" s="1812"/>
      <c r="AC6" s="1812"/>
      <c r="AD6" s="1812"/>
      <c r="AE6" s="1812"/>
      <c r="AF6" s="1813"/>
      <c r="AG6" s="1537"/>
      <c r="AS6" s="1389">
        <f>AS7+AS8</f>
        <v>430.69999999999982</v>
      </c>
      <c r="AT6" s="1389">
        <f>AT7+AT8</f>
        <v>70.700000000000045</v>
      </c>
    </row>
    <row r="7" spans="1:47" s="1443" customFormat="1" ht="16.5" customHeight="1">
      <c r="A7" s="1807"/>
      <c r="B7" s="1807"/>
      <c r="C7" s="1821"/>
      <c r="D7" s="1821"/>
      <c r="E7" s="1821"/>
      <c r="F7" s="1821"/>
      <c r="G7" s="1821"/>
      <c r="H7" s="1821"/>
      <c r="I7" s="1555"/>
      <c r="J7" s="1832" t="s">
        <v>1627</v>
      </c>
      <c r="K7" s="1814" t="s">
        <v>1627</v>
      </c>
      <c r="L7" s="1817" t="s">
        <v>2134</v>
      </c>
      <c r="M7" s="1818"/>
      <c r="N7" s="1818"/>
      <c r="O7" s="1818"/>
      <c r="P7" s="1819"/>
      <c r="Q7" s="1542"/>
      <c r="R7" s="1603"/>
      <c r="S7" s="1603"/>
      <c r="T7" s="1542"/>
      <c r="U7" s="1603"/>
      <c r="V7" s="1603"/>
      <c r="W7" s="1603"/>
      <c r="X7" s="1603"/>
      <c r="Y7" s="1603"/>
      <c r="Z7" s="1604"/>
      <c r="AA7" s="1604"/>
      <c r="AB7" s="1820" t="s">
        <v>2133</v>
      </c>
      <c r="AC7" s="1820"/>
      <c r="AD7" s="1820"/>
      <c r="AE7" s="1820"/>
      <c r="AF7" s="1820"/>
      <c r="AG7" s="1442"/>
      <c r="AS7" s="1451">
        <f>AB17-C17</f>
        <v>376.69999999999982</v>
      </c>
      <c r="AT7" s="1452">
        <f>C18-L18</f>
        <v>34.700000000000045</v>
      </c>
    </row>
    <row r="8" spans="1:47" ht="24.75" customHeight="1">
      <c r="A8" s="1807"/>
      <c r="B8" s="1807"/>
      <c r="C8" s="1805" t="s">
        <v>1627</v>
      </c>
      <c r="D8" s="1805" t="s">
        <v>2111</v>
      </c>
      <c r="E8" s="1805" t="s">
        <v>2095</v>
      </c>
      <c r="F8" s="1805" t="s">
        <v>2096</v>
      </c>
      <c r="G8" s="1805" t="s">
        <v>2097</v>
      </c>
      <c r="H8" s="1805" t="s">
        <v>2131</v>
      </c>
      <c r="I8" s="1589"/>
      <c r="J8" s="1833"/>
      <c r="K8" s="1815"/>
      <c r="L8" s="1805" t="s">
        <v>1627</v>
      </c>
      <c r="M8" s="1805" t="s">
        <v>2111</v>
      </c>
      <c r="N8" s="1805" t="s">
        <v>2095</v>
      </c>
      <c r="O8" s="1805" t="s">
        <v>2096</v>
      </c>
      <c r="P8" s="1805" t="s">
        <v>2097</v>
      </c>
      <c r="Q8" s="1807" t="s">
        <v>2131</v>
      </c>
      <c r="R8" s="1829" t="s">
        <v>2142</v>
      </c>
      <c r="S8" s="1831" t="s">
        <v>2126</v>
      </c>
      <c r="T8" s="1805" t="s">
        <v>1627</v>
      </c>
      <c r="U8" s="1605" t="s">
        <v>2120</v>
      </c>
      <c r="V8" s="1605" t="s">
        <v>2127</v>
      </c>
      <c r="W8" s="1829" t="s">
        <v>2128</v>
      </c>
      <c r="X8" s="1605"/>
      <c r="Y8" s="1605"/>
      <c r="Z8" s="1831" t="s">
        <v>2126</v>
      </c>
      <c r="AA8" s="1829" t="s">
        <v>2143</v>
      </c>
      <c r="AB8" s="1806" t="s">
        <v>1627</v>
      </c>
      <c r="AC8" s="1805" t="s">
        <v>2111</v>
      </c>
      <c r="AD8" s="1805" t="s">
        <v>2095</v>
      </c>
      <c r="AE8" s="1805" t="s">
        <v>2096</v>
      </c>
      <c r="AF8" s="1805" t="s">
        <v>2097</v>
      </c>
      <c r="AG8" s="1808" t="s">
        <v>2098</v>
      </c>
      <c r="AH8" s="1803" t="s">
        <v>2099</v>
      </c>
      <c r="AR8" s="1389">
        <f>AR9-AR15</f>
        <v>-42622.423000999959</v>
      </c>
      <c r="AS8" s="1447">
        <f>AB16-C16</f>
        <v>54</v>
      </c>
      <c r="AT8" s="1389">
        <f>C19-L19</f>
        <v>36</v>
      </c>
    </row>
    <row r="9" spans="1:47" ht="84" customHeight="1">
      <c r="A9" s="1804"/>
      <c r="B9" s="1804"/>
      <c r="C9" s="1805"/>
      <c r="D9" s="1805"/>
      <c r="E9" s="1805"/>
      <c r="F9" s="1805"/>
      <c r="G9" s="1805"/>
      <c r="H9" s="1805"/>
      <c r="I9" s="1539"/>
      <c r="J9" s="1834"/>
      <c r="K9" s="1816"/>
      <c r="L9" s="1805"/>
      <c r="M9" s="1805"/>
      <c r="N9" s="1805"/>
      <c r="O9" s="1805"/>
      <c r="P9" s="1805"/>
      <c r="Q9" s="1804"/>
      <c r="R9" s="1830"/>
      <c r="S9" s="1831"/>
      <c r="T9" s="1805"/>
      <c r="U9" s="1606"/>
      <c r="V9" s="1606"/>
      <c r="W9" s="1830"/>
      <c r="X9" s="1606" t="s">
        <v>2129</v>
      </c>
      <c r="Y9" s="1606" t="s">
        <v>2130</v>
      </c>
      <c r="Z9" s="1831"/>
      <c r="AA9" s="1830"/>
      <c r="AB9" s="1806"/>
      <c r="AC9" s="1805"/>
      <c r="AD9" s="1805"/>
      <c r="AE9" s="1805"/>
      <c r="AF9" s="1805"/>
      <c r="AG9" s="1809"/>
      <c r="AH9" s="1804"/>
      <c r="AR9" s="1389">
        <f>J15-C15</f>
        <v>-67011.303000999964</v>
      </c>
      <c r="AS9" s="1447">
        <f>AS10-C15</f>
        <v>-33.833999999973457</v>
      </c>
      <c r="AT9" s="1388">
        <f>287.93012+265.253428+51.48</f>
        <v>604.66354799999999</v>
      </c>
      <c r="AU9" s="1389">
        <f>AT9-AS6+AT6</f>
        <v>244.66354800000022</v>
      </c>
    </row>
    <row r="10" spans="1:47">
      <c r="A10" s="1540" t="s">
        <v>167</v>
      </c>
      <c r="B10" s="1461" t="s">
        <v>1268</v>
      </c>
      <c r="C10" s="1540">
        <v>1</v>
      </c>
      <c r="D10" s="1540">
        <v>2</v>
      </c>
      <c r="E10" s="1540">
        <v>3</v>
      </c>
      <c r="F10" s="1540">
        <v>4</v>
      </c>
      <c r="G10" s="1540">
        <v>5</v>
      </c>
      <c r="H10" s="1540"/>
      <c r="I10" s="1540"/>
      <c r="J10" s="1617"/>
      <c r="K10" s="1540"/>
      <c r="L10" s="1540">
        <v>6</v>
      </c>
      <c r="M10" s="1540">
        <v>7</v>
      </c>
      <c r="N10" s="1540">
        <v>8</v>
      </c>
      <c r="O10" s="1540">
        <v>9</v>
      </c>
      <c r="P10" s="1540">
        <v>10</v>
      </c>
      <c r="Q10" s="1540"/>
      <c r="R10" s="1607"/>
      <c r="S10" s="1607"/>
      <c r="T10" s="1540"/>
      <c r="U10" s="1607"/>
      <c r="V10" s="1607"/>
      <c r="W10" s="1607"/>
      <c r="X10" s="1607"/>
      <c r="Y10" s="1607"/>
      <c r="Z10" s="1607">
        <v>11</v>
      </c>
      <c r="AA10" s="1607"/>
      <c r="AB10" s="1540">
        <v>12</v>
      </c>
      <c r="AC10" s="1540">
        <v>13</v>
      </c>
      <c r="AD10" s="1540">
        <v>14</v>
      </c>
      <c r="AE10" s="1540">
        <v>15</v>
      </c>
      <c r="AF10" s="1540">
        <v>16</v>
      </c>
      <c r="AG10" s="1466"/>
      <c r="AH10" s="1436">
        <v>16</v>
      </c>
      <c r="AS10" s="1447">
        <f>AB15+L15</f>
        <v>214183.84000000003</v>
      </c>
    </row>
    <row r="11" spans="1:47" hidden="1">
      <c r="A11" s="1540" t="s">
        <v>167</v>
      </c>
      <c r="B11" s="1461" t="s">
        <v>2100</v>
      </c>
      <c r="C11" s="1437" t="e">
        <f>SUM(C12:C14)</f>
        <v>#REF!</v>
      </c>
      <c r="D11" s="1437"/>
      <c r="E11" s="1437">
        <f t="shared" ref="E11:AH11" si="0">SUM(E12:E14)</f>
        <v>219512</v>
      </c>
      <c r="F11" s="1437">
        <f t="shared" si="0"/>
        <v>140684</v>
      </c>
      <c r="G11" s="1437">
        <f t="shared" si="0"/>
        <v>122272</v>
      </c>
      <c r="H11" s="1437"/>
      <c r="I11" s="1437"/>
      <c r="J11" s="1618"/>
      <c r="K11" s="1437"/>
      <c r="L11" s="1437">
        <f>SUM(L12:L14)</f>
        <v>482468</v>
      </c>
      <c r="M11" s="1437"/>
      <c r="N11" s="1437">
        <f t="shared" ref="N11:P11" si="1">SUM(N12:N14)</f>
        <v>219512</v>
      </c>
      <c r="O11" s="1437">
        <f t="shared" si="1"/>
        <v>140684</v>
      </c>
      <c r="P11" s="1437">
        <f t="shared" si="1"/>
        <v>122272</v>
      </c>
      <c r="Q11" s="1437"/>
      <c r="R11" s="1608"/>
      <c r="S11" s="1608"/>
      <c r="T11" s="1437"/>
      <c r="U11" s="1608"/>
      <c r="V11" s="1608"/>
      <c r="W11" s="1608"/>
      <c r="X11" s="1608"/>
      <c r="Y11" s="1608"/>
      <c r="Z11" s="1608"/>
      <c r="AA11" s="1608"/>
      <c r="AB11" s="1521">
        <f>SUM(AB12:AB14)</f>
        <v>482468</v>
      </c>
      <c r="AC11" s="1437"/>
      <c r="AD11" s="1437">
        <f t="shared" ref="AD11:AF11" si="2">SUM(AD12:AD14)</f>
        <v>219512</v>
      </c>
      <c r="AE11" s="1437">
        <f t="shared" si="2"/>
        <v>140684</v>
      </c>
      <c r="AF11" s="1437">
        <f t="shared" si="2"/>
        <v>122272</v>
      </c>
      <c r="AG11" s="1467"/>
      <c r="AH11" s="1437">
        <f t="shared" si="0"/>
        <v>90654</v>
      </c>
    </row>
    <row r="12" spans="1:47" hidden="1">
      <c r="A12" s="315" t="s">
        <v>2</v>
      </c>
      <c r="B12" s="1462" t="s">
        <v>2101</v>
      </c>
      <c r="C12" s="1360" t="e">
        <f>SUM(E12:E12)+F12+G12+#REF!</f>
        <v>#REF!</v>
      </c>
      <c r="D12" s="317"/>
      <c r="E12" s="1522">
        <f>130379+10813</f>
        <v>141192</v>
      </c>
      <c r="F12" s="1522">
        <f>27643+89361</f>
        <v>117004</v>
      </c>
      <c r="G12" s="1522">
        <f>117259+1408</f>
        <v>118667</v>
      </c>
      <c r="H12" s="1522"/>
      <c r="I12" s="1522"/>
      <c r="J12" s="1619"/>
      <c r="K12" s="1522"/>
      <c r="L12" s="317">
        <f>SUM(N12:N12)+O12+P12+AT12</f>
        <v>376863</v>
      </c>
      <c r="M12" s="1522"/>
      <c r="N12" s="1522">
        <f>130379+10813</f>
        <v>141192</v>
      </c>
      <c r="O12" s="1522">
        <f>27643+89361</f>
        <v>117004</v>
      </c>
      <c r="P12" s="1522">
        <f>117259+1408</f>
        <v>118667</v>
      </c>
      <c r="Q12" s="1522"/>
      <c r="R12" s="1609"/>
      <c r="S12" s="1609"/>
      <c r="T12" s="1522"/>
      <c r="U12" s="1609"/>
      <c r="V12" s="1609"/>
      <c r="W12" s="1609"/>
      <c r="X12" s="1609"/>
      <c r="Y12" s="1609"/>
      <c r="Z12" s="1609"/>
      <c r="AA12" s="1609"/>
      <c r="AB12" s="1523">
        <f>SUM(AD12:AD12)+AE12+AF12+AY12</f>
        <v>376863</v>
      </c>
      <c r="AC12" s="1522"/>
      <c r="AD12" s="1522">
        <f>130379+10813</f>
        <v>141192</v>
      </c>
      <c r="AE12" s="1522">
        <f>27643+89361</f>
        <v>117004</v>
      </c>
      <c r="AF12" s="1522">
        <f>117259+1408</f>
        <v>118667</v>
      </c>
      <c r="AG12" s="1468"/>
      <c r="AH12" s="1438">
        <v>90654</v>
      </c>
    </row>
    <row r="13" spans="1:47" hidden="1">
      <c r="A13" s="315" t="s">
        <v>12</v>
      </c>
      <c r="B13" s="1462" t="s">
        <v>624</v>
      </c>
      <c r="C13" s="1360" t="e">
        <f>SUM(E13:E13)+F13+G13+#REF!</f>
        <v>#REF!</v>
      </c>
      <c r="D13" s="317"/>
      <c r="E13" s="1522">
        <f>56+77718</f>
        <v>77774</v>
      </c>
      <c r="F13" s="1522">
        <f>9248+3218</f>
        <v>12466</v>
      </c>
      <c r="G13" s="1522">
        <v>3605</v>
      </c>
      <c r="H13" s="1522"/>
      <c r="I13" s="1522"/>
      <c r="J13" s="1619"/>
      <c r="K13" s="1522"/>
      <c r="L13" s="317">
        <f>SUM(N13:N13)+O13+P13+AT13</f>
        <v>93845</v>
      </c>
      <c r="M13" s="1522"/>
      <c r="N13" s="1522">
        <f>56+77718</f>
        <v>77774</v>
      </c>
      <c r="O13" s="1522">
        <f>9248+3218</f>
        <v>12466</v>
      </c>
      <c r="P13" s="1522">
        <v>3605</v>
      </c>
      <c r="Q13" s="1522"/>
      <c r="R13" s="1609"/>
      <c r="S13" s="1609"/>
      <c r="T13" s="1522"/>
      <c r="U13" s="1609"/>
      <c r="V13" s="1609"/>
      <c r="W13" s="1609"/>
      <c r="X13" s="1609"/>
      <c r="Y13" s="1609"/>
      <c r="Z13" s="1609"/>
      <c r="AA13" s="1609"/>
      <c r="AB13" s="1523">
        <f>SUM(AD13:AD13)+AE13+AF13+AY13</f>
        <v>93845</v>
      </c>
      <c r="AC13" s="1522"/>
      <c r="AD13" s="1522">
        <f>56+77718</f>
        <v>77774</v>
      </c>
      <c r="AE13" s="1522">
        <f>9248+3218</f>
        <v>12466</v>
      </c>
      <c r="AF13" s="1522">
        <v>3605</v>
      </c>
      <c r="AG13" s="1468"/>
      <c r="AH13" s="1438"/>
    </row>
    <row r="14" spans="1:47" hidden="1">
      <c r="A14" s="315" t="s">
        <v>70</v>
      </c>
      <c r="B14" s="1462" t="s">
        <v>2102</v>
      </c>
      <c r="C14" s="1360" t="e">
        <f>SUM(E14:E14)+F14+G14+#REF!</f>
        <v>#REF!</v>
      </c>
      <c r="D14" s="317"/>
      <c r="E14" s="1522">
        <v>546</v>
      </c>
      <c r="F14" s="1522">
        <v>11214</v>
      </c>
      <c r="G14" s="1522"/>
      <c r="H14" s="1522"/>
      <c r="I14" s="1522"/>
      <c r="J14" s="1619"/>
      <c r="K14" s="1522"/>
      <c r="L14" s="317">
        <f>SUM(N14:N14)+O14+P14+AT14</f>
        <v>11760</v>
      </c>
      <c r="M14" s="1522"/>
      <c r="N14" s="1522">
        <v>546</v>
      </c>
      <c r="O14" s="1522">
        <v>11214</v>
      </c>
      <c r="P14" s="1522"/>
      <c r="Q14" s="1522"/>
      <c r="R14" s="1609"/>
      <c r="S14" s="1609"/>
      <c r="T14" s="1522"/>
      <c r="U14" s="1609"/>
      <c r="V14" s="1609"/>
      <c r="W14" s="1609"/>
      <c r="X14" s="1609"/>
      <c r="Y14" s="1609"/>
      <c r="Z14" s="1609"/>
      <c r="AA14" s="1609"/>
      <c r="AB14" s="1523">
        <f>SUM(AD14:AD14)+AE14+AF14+AY14</f>
        <v>11760</v>
      </c>
      <c r="AC14" s="1522"/>
      <c r="AD14" s="1522">
        <v>546</v>
      </c>
      <c r="AE14" s="1522">
        <v>11214</v>
      </c>
      <c r="AF14" s="1522"/>
      <c r="AG14" s="1468"/>
      <c r="AH14" s="1438"/>
    </row>
    <row r="15" spans="1:47">
      <c r="A15" s="1540"/>
      <c r="B15" s="1461" t="s">
        <v>762</v>
      </c>
      <c r="C15" s="1437">
        <f t="shared" ref="C15:H15" si="3">SUM(C16:C43)-C39-C40</f>
        <v>214217.674</v>
      </c>
      <c r="D15" s="1437">
        <f t="shared" si="3"/>
        <v>1782</v>
      </c>
      <c r="E15" s="1437">
        <f t="shared" si="3"/>
        <v>12750</v>
      </c>
      <c r="F15" s="1437">
        <f t="shared" si="3"/>
        <v>62236.673999999999</v>
      </c>
      <c r="G15" s="1437">
        <f t="shared" si="3"/>
        <v>134383</v>
      </c>
      <c r="H15" s="1437">
        <f t="shared" si="3"/>
        <v>3066</v>
      </c>
      <c r="I15" s="1437"/>
      <c r="J15" s="1618">
        <f>SUM(J16:J43)-J39-J40</f>
        <v>147206.37099900004</v>
      </c>
      <c r="K15" s="1521">
        <f>K16+K17+K18+K19+K20+K24+K25+K28+K32+K33+K34+K37+K41+K42</f>
        <v>214183.84000000005</v>
      </c>
      <c r="L15" s="1437">
        <f t="shared" ref="L15:Q15" si="4">SUM(L16:L43)-L39-L40</f>
        <v>37315.544762999998</v>
      </c>
      <c r="M15" s="1437">
        <f t="shared" si="4"/>
        <v>0</v>
      </c>
      <c r="N15" s="1437">
        <f t="shared" si="4"/>
        <v>100</v>
      </c>
      <c r="O15" s="1437">
        <f t="shared" si="4"/>
        <v>3026.4535579999997</v>
      </c>
      <c r="P15" s="1437">
        <f t="shared" si="4"/>
        <v>34189.091204999997</v>
      </c>
      <c r="Q15" s="1437">
        <f t="shared" si="4"/>
        <v>0</v>
      </c>
      <c r="R15" s="1608">
        <f>T15</f>
        <v>109215.462688</v>
      </c>
      <c r="S15" s="1608">
        <f>Z15</f>
        <v>675.36354800000004</v>
      </c>
      <c r="T15" s="1437">
        <f t="shared" ref="T15:Z15" si="5">SUM(T16:T43)-T39-T40</f>
        <v>109215.462688</v>
      </c>
      <c r="U15" s="1608">
        <f t="shared" si="5"/>
        <v>98746.973648999992</v>
      </c>
      <c r="V15" s="1608">
        <f t="shared" si="5"/>
        <v>4136.9953560000004</v>
      </c>
      <c r="W15" s="1608">
        <f t="shared" si="5"/>
        <v>220.08537699999999</v>
      </c>
      <c r="X15" s="1608">
        <f t="shared" si="5"/>
        <v>995.47864100000004</v>
      </c>
      <c r="Y15" s="1608">
        <f t="shared" si="5"/>
        <v>5115.9296650000006</v>
      </c>
      <c r="Z15" s="1608">
        <f t="shared" si="5"/>
        <v>675.36354800000004</v>
      </c>
      <c r="AA15" s="1608"/>
      <c r="AB15" s="1521">
        <f>AB16+AB17+AB18+AB19+AB20+AB24+AB25+AB28+AB32+AB33+AB34+AB37+AB41+AB42</f>
        <v>176868.29523700004</v>
      </c>
      <c r="AC15" s="1521">
        <f>AC16+AC17+AC18+AC19+AC20+AC24+AC25+AC28+AC32+AC33+AC34+AC37+AC41+AC42</f>
        <v>1782</v>
      </c>
      <c r="AD15" s="1521">
        <f>AD16+AD17+AD18+AD19+AD20+AD24+AD25+AD28+AD32+AD33+AD34+AD37+AD41+AD42</f>
        <v>15161</v>
      </c>
      <c r="AE15" s="1521">
        <f>AE16+AE17+AE18+AE19+AE20+AE24+AE25+AE28+AE32+AE33+AE34+AE37+AE41+AE42</f>
        <v>59824.457641999994</v>
      </c>
      <c r="AF15" s="1521">
        <f>AF16+AF17+AF18+AF19+AF20+AF24+AF25+AF28+AF32+AF33+AF34+AF37+AF41+AF42</f>
        <v>100100.837595</v>
      </c>
      <c r="AG15" s="1467" t="e">
        <f>SUM(AG16:AG43)-#REF!-AG39-AG40-#REF!</f>
        <v>#REF!</v>
      </c>
      <c r="AH15" s="1437" t="e">
        <f>SUM(AH16:AH43)-#REF!-AH39-AH40-#REF!</f>
        <v>#REF!</v>
      </c>
      <c r="AI15" s="1388">
        <f>SUM(E15:G15)*0.5%</f>
        <v>1046.8483699999999</v>
      </c>
      <c r="AJ15" s="1435"/>
      <c r="AM15" s="1389">
        <f>L15+R15+S15</f>
        <v>147206.37099899998</v>
      </c>
      <c r="AN15" s="1389"/>
      <c r="AR15" s="1389">
        <f>AR16+AR17</f>
        <v>-24388.880000000001</v>
      </c>
      <c r="AS15" s="1389">
        <f>AD15+N15</f>
        <v>15261</v>
      </c>
      <c r="AT15" s="1389">
        <f>AS15-E15</f>
        <v>2511</v>
      </c>
      <c r="AU15" s="1389">
        <f>C15-L15-AB15</f>
        <v>33.833999999973457</v>
      </c>
    </row>
    <row r="16" spans="1:47">
      <c r="A16" s="315">
        <v>1</v>
      </c>
      <c r="B16" s="1463" t="s">
        <v>1147</v>
      </c>
      <c r="C16" s="1591">
        <f>SUM(D16:H16)</f>
        <v>21729.08</v>
      </c>
      <c r="D16" s="1522"/>
      <c r="E16" s="1524">
        <f>700</f>
        <v>700</v>
      </c>
      <c r="F16" s="1524">
        <f>('[6]Giao các đơn vị'!K19)/1000000-E16</f>
        <v>21029.08</v>
      </c>
      <c r="G16" s="1524">
        <v>0</v>
      </c>
      <c r="H16" s="1524"/>
      <c r="I16" s="1524"/>
      <c r="J16" s="1620">
        <f>L16+T16+Z16</f>
        <v>0</v>
      </c>
      <c r="K16" s="1437">
        <f t="shared" ref="K16:K43" si="6">L16+AB16</f>
        <v>21783.08</v>
      </c>
      <c r="L16" s="1522">
        <f>SUM(M16:Q16)</f>
        <v>0</v>
      </c>
      <c r="M16" s="1524"/>
      <c r="N16" s="1524"/>
      <c r="O16" s="1524"/>
      <c r="P16" s="1524">
        <v>0</v>
      </c>
      <c r="Q16" s="1524"/>
      <c r="R16" s="1608"/>
      <c r="S16" s="1608">
        <f t="shared" ref="S16:S44" si="7">Z16</f>
        <v>0</v>
      </c>
      <c r="T16" s="1524">
        <f>U16+V16+W16+X16+Y16</f>
        <v>0</v>
      </c>
      <c r="U16" s="1610"/>
      <c r="V16" s="1610"/>
      <c r="W16" s="1610"/>
      <c r="X16" s="1610"/>
      <c r="Y16" s="1610"/>
      <c r="Z16" s="1610"/>
      <c r="AA16" s="1610"/>
      <c r="AB16" s="1525">
        <f>SUM(AC16:AF16)</f>
        <v>21783.08</v>
      </c>
      <c r="AC16" s="1524"/>
      <c r="AD16" s="1524">
        <f>'Thành ủy V_điều chỉnh'!C34/1000000</f>
        <v>700</v>
      </c>
      <c r="AE16" s="1524">
        <f>('Thành ủy V_điều chỉnh'!C12-'Thành ủy V_điều chỉnh'!C34)/1000000</f>
        <v>21083.08</v>
      </c>
      <c r="AF16" s="1524">
        <v>0</v>
      </c>
      <c r="AG16" s="1469">
        <v>0</v>
      </c>
      <c r="AH16" s="1439">
        <v>0</v>
      </c>
      <c r="AI16" s="1389">
        <f>F15-75690</f>
        <v>-13453.326000000001</v>
      </c>
      <c r="AM16" s="1622">
        <f t="shared" ref="AM16:AM37" si="8">AB16-C16</f>
        <v>54</v>
      </c>
      <c r="AN16" s="1622">
        <f t="shared" ref="AN16:AN42" si="9">C16-AB16</f>
        <v>-54</v>
      </c>
      <c r="AO16" s="1389">
        <f>AB16-C16</f>
        <v>54</v>
      </c>
      <c r="AP16" s="1389">
        <f>AB16+L16</f>
        <v>21783.08</v>
      </c>
      <c r="AQ16" s="1389">
        <f>AP16-AO16</f>
        <v>21729.08</v>
      </c>
      <c r="AR16" s="1389">
        <f>J16-C16</f>
        <v>-21729.08</v>
      </c>
      <c r="AS16" s="1389">
        <f>O15+AE15+Z15</f>
        <v>63526.274747999996</v>
      </c>
      <c r="AT16" s="1389">
        <f>AS16-F15</f>
        <v>1289.6007479999971</v>
      </c>
      <c r="AU16" s="1389">
        <f>AU9-AU15</f>
        <v>210.82954800002676</v>
      </c>
    </row>
    <row r="17" spans="1:47">
      <c r="A17" s="315">
        <v>2</v>
      </c>
      <c r="B17" s="1463" t="s">
        <v>2103</v>
      </c>
      <c r="C17" s="1591">
        <f t="shared" ref="C17:C43" si="10">SUM(D17:H17)</f>
        <v>2659.8</v>
      </c>
      <c r="D17" s="1522"/>
      <c r="E17" s="1524">
        <v>0</v>
      </c>
      <c r="F17" s="1524">
        <f>('[6]Giao các đơn vị'!K20)/1000000</f>
        <v>2659.8</v>
      </c>
      <c r="G17" s="1524">
        <v>0</v>
      </c>
      <c r="H17" s="1524"/>
      <c r="I17" s="1524"/>
      <c r="J17" s="1620">
        <f>L17+T17+Z17</f>
        <v>0</v>
      </c>
      <c r="K17" s="1437">
        <f t="shared" si="6"/>
        <v>3036.5</v>
      </c>
      <c r="L17" s="1522">
        <f t="shared" ref="L17:L43" si="11">SUM(M17:Q17)</f>
        <v>0</v>
      </c>
      <c r="M17" s="1524"/>
      <c r="N17" s="1524"/>
      <c r="O17" s="1524"/>
      <c r="P17" s="1524">
        <v>0</v>
      </c>
      <c r="Q17" s="1524"/>
      <c r="R17" s="1608"/>
      <c r="S17" s="1608">
        <f t="shared" si="7"/>
        <v>0</v>
      </c>
      <c r="T17" s="1524">
        <f t="shared" ref="T17:T43" si="12">U17+V17+W17+X17+Y17</f>
        <v>0</v>
      </c>
      <c r="U17" s="1610"/>
      <c r="V17" s="1610"/>
      <c r="W17" s="1610"/>
      <c r="X17" s="1610"/>
      <c r="Y17" s="1610"/>
      <c r="Z17" s="1610"/>
      <c r="AA17" s="1610"/>
      <c r="AB17" s="1525">
        <f t="shared" ref="AB17:AB43" si="13">SUM(AC17:AF17)</f>
        <v>3036.5</v>
      </c>
      <c r="AC17" s="1524"/>
      <c r="AD17" s="1524">
        <v>0</v>
      </c>
      <c r="AE17" s="1524">
        <f>'UBMTTQ V-điều chỉnh'!F15/1000000</f>
        <v>3036.5</v>
      </c>
      <c r="AF17" s="1524">
        <v>0</v>
      </c>
      <c r="AG17" s="1469">
        <v>0</v>
      </c>
      <c r="AH17" s="1439">
        <v>0</v>
      </c>
      <c r="AI17" s="1389">
        <f>SUM(E15:AF15)</f>
        <v>1331190.6801590002</v>
      </c>
      <c r="AM17" s="1622">
        <f t="shared" si="8"/>
        <v>376.69999999999982</v>
      </c>
      <c r="AN17" s="1622">
        <f t="shared" si="9"/>
        <v>-376.69999999999982</v>
      </c>
      <c r="AO17" s="1389">
        <f>AB17-C17</f>
        <v>376.69999999999982</v>
      </c>
      <c r="AP17" s="1389">
        <f>AB17+L17</f>
        <v>3036.5</v>
      </c>
      <c r="AQ17" s="1389">
        <f t="shared" ref="AQ17:AQ43" si="14">AP17-AO17</f>
        <v>2659.8</v>
      </c>
      <c r="AR17" s="1389">
        <f>J17-C17</f>
        <v>-2659.8</v>
      </c>
      <c r="AS17" s="1453">
        <f>P15+AF15</f>
        <v>134289.92879999999</v>
      </c>
      <c r="AT17" s="1389">
        <f>AT15-AT16</f>
        <v>1221.3992520000029</v>
      </c>
    </row>
    <row r="18" spans="1:47">
      <c r="A18" s="315">
        <v>3</v>
      </c>
      <c r="B18" s="1463" t="s">
        <v>2104</v>
      </c>
      <c r="C18" s="1591">
        <f t="shared" si="10"/>
        <v>1351.7</v>
      </c>
      <c r="D18" s="1522"/>
      <c r="E18" s="1524">
        <v>0</v>
      </c>
      <c r="F18" s="1524">
        <f>('[6]Giao các đơn vị'!K22)/1000000</f>
        <v>1351.7</v>
      </c>
      <c r="G18" s="1524">
        <v>0</v>
      </c>
      <c r="H18" s="1524"/>
      <c r="I18" s="1524"/>
      <c r="J18" s="1620">
        <f>L18+T18+Z18</f>
        <v>1351.7</v>
      </c>
      <c r="K18" s="1437">
        <f t="shared" si="6"/>
        <v>1317</v>
      </c>
      <c r="L18" s="1522">
        <f t="shared" si="11"/>
        <v>1317</v>
      </c>
      <c r="M18" s="1524"/>
      <c r="N18" s="1524">
        <v>0</v>
      </c>
      <c r="O18" s="1524">
        <f>'Phụ nữ V -điều chỉnh'!F15/1000000</f>
        <v>1317</v>
      </c>
      <c r="P18" s="1524">
        <v>0</v>
      </c>
      <c r="Q18" s="1524"/>
      <c r="R18" s="1608">
        <f t="shared" ref="R18:R42" si="15">T18</f>
        <v>0</v>
      </c>
      <c r="S18" s="1608">
        <f t="shared" si="7"/>
        <v>34.700000000000003</v>
      </c>
      <c r="T18" s="1524">
        <f t="shared" si="12"/>
        <v>0</v>
      </c>
      <c r="U18" s="1610"/>
      <c r="V18" s="1610"/>
      <c r="W18" s="1610"/>
      <c r="X18" s="1610"/>
      <c r="Y18" s="1610"/>
      <c r="Z18" s="1610">
        <v>34.700000000000003</v>
      </c>
      <c r="AA18" s="1610"/>
      <c r="AB18" s="1525">
        <f t="shared" si="13"/>
        <v>0</v>
      </c>
      <c r="AC18" s="1524"/>
      <c r="AD18" s="1524">
        <v>0</v>
      </c>
      <c r="AE18" s="1524">
        <f>('[6]Giao các đơn vị'!W22)/1000000</f>
        <v>0</v>
      </c>
      <c r="AF18" s="1524">
        <v>0</v>
      </c>
      <c r="AG18" s="1469">
        <v>0</v>
      </c>
      <c r="AH18" s="1439">
        <v>0</v>
      </c>
      <c r="AM18" s="1435">
        <f t="shared" si="8"/>
        <v>-1351.7</v>
      </c>
      <c r="AN18" s="1622">
        <f t="shared" si="9"/>
        <v>1351.7</v>
      </c>
      <c r="AO18" s="1389">
        <f>AB18-C18</f>
        <v>-1351.7</v>
      </c>
      <c r="AP18" s="1389">
        <f>AB18+L18</f>
        <v>1317</v>
      </c>
      <c r="AQ18" s="1389">
        <f t="shared" si="14"/>
        <v>2668.7</v>
      </c>
      <c r="AR18" s="1389"/>
      <c r="AS18" s="1389"/>
      <c r="AT18" s="1389">
        <f>AT17-AE41</f>
        <v>-3023.2642959999976</v>
      </c>
    </row>
    <row r="19" spans="1:47">
      <c r="A19" s="315">
        <v>4</v>
      </c>
      <c r="B19" s="1463" t="s">
        <v>2105</v>
      </c>
      <c r="C19" s="1591">
        <f t="shared" si="10"/>
        <v>967</v>
      </c>
      <c r="D19" s="1522"/>
      <c r="E19" s="1524">
        <v>0</v>
      </c>
      <c r="F19" s="1524">
        <f>('[6]Giao các đơn vị'!K24)/1000000</f>
        <v>967</v>
      </c>
      <c r="G19" s="1524">
        <v>0</v>
      </c>
      <c r="H19" s="1524"/>
      <c r="I19" s="1524"/>
      <c r="J19" s="1620">
        <f>L19+T19+Z19</f>
        <v>967</v>
      </c>
      <c r="K19" s="1437">
        <f t="shared" si="6"/>
        <v>931</v>
      </c>
      <c r="L19" s="1522">
        <f t="shared" si="11"/>
        <v>931</v>
      </c>
      <c r="M19" s="1524"/>
      <c r="N19" s="1524">
        <v>0</v>
      </c>
      <c r="O19" s="1524">
        <f>'Cựu chiến binh V-điều chỉnh'!F15/1000000</f>
        <v>931</v>
      </c>
      <c r="P19" s="1524">
        <v>0</v>
      </c>
      <c r="Q19" s="1524"/>
      <c r="R19" s="1608">
        <f t="shared" si="15"/>
        <v>0</v>
      </c>
      <c r="S19" s="1608">
        <f t="shared" si="7"/>
        <v>36</v>
      </c>
      <c r="T19" s="1524">
        <f t="shared" si="12"/>
        <v>0</v>
      </c>
      <c r="U19" s="1610"/>
      <c r="V19" s="1610"/>
      <c r="W19" s="1610"/>
      <c r="X19" s="1610"/>
      <c r="Y19" s="1610"/>
      <c r="Z19" s="1610">
        <v>36</v>
      </c>
      <c r="AA19" s="1610"/>
      <c r="AB19" s="1525">
        <f t="shared" si="13"/>
        <v>0</v>
      </c>
      <c r="AC19" s="1524"/>
      <c r="AD19" s="1524">
        <v>0</v>
      </c>
      <c r="AE19" s="1524">
        <f>('[6]Giao các đơn vị'!W24)/1000000</f>
        <v>0</v>
      </c>
      <c r="AF19" s="1524">
        <v>0</v>
      </c>
      <c r="AG19" s="1469">
        <v>0</v>
      </c>
      <c r="AH19" s="1439">
        <v>0</v>
      </c>
      <c r="AM19" s="1435">
        <f t="shared" si="8"/>
        <v>-967</v>
      </c>
      <c r="AN19" s="1622">
        <f t="shared" si="9"/>
        <v>967</v>
      </c>
      <c r="AO19" s="1389">
        <f>AB19-C19</f>
        <v>-967</v>
      </c>
      <c r="AP19" s="1389">
        <f>AB19+L19</f>
        <v>931</v>
      </c>
      <c r="AQ19" s="1389">
        <f t="shared" si="14"/>
        <v>1898</v>
      </c>
      <c r="AR19" s="1389">
        <f>J19-C19</f>
        <v>0</v>
      </c>
      <c r="AS19" s="1389"/>
    </row>
    <row r="20" spans="1:47">
      <c r="A20" s="315">
        <v>5</v>
      </c>
      <c r="B20" s="1464" t="s">
        <v>1040</v>
      </c>
      <c r="C20" s="1591">
        <f t="shared" si="10"/>
        <v>12796.8</v>
      </c>
      <c r="D20" s="1522"/>
      <c r="E20" s="1524">
        <v>500</v>
      </c>
      <c r="F20" s="1524">
        <f>('[6]Giao các đơn vị'!K18)/1000000-E20</f>
        <v>12296.8</v>
      </c>
      <c r="G20" s="1524">
        <v>0</v>
      </c>
      <c r="H20" s="1524"/>
      <c r="I20" s="1524"/>
      <c r="J20" s="1620">
        <f>L20+T20+Z20</f>
        <v>0</v>
      </c>
      <c r="K20" s="1437">
        <f t="shared" si="6"/>
        <v>111543.77664900001</v>
      </c>
      <c r="L20" s="1522">
        <f t="shared" si="11"/>
        <v>0</v>
      </c>
      <c r="M20" s="1524"/>
      <c r="N20" s="1524"/>
      <c r="O20" s="1524">
        <v>0</v>
      </c>
      <c r="P20" s="1524">
        <v>0</v>
      </c>
      <c r="Q20" s="1524"/>
      <c r="R20" s="1608">
        <f t="shared" si="15"/>
        <v>0</v>
      </c>
      <c r="S20" s="1608">
        <f t="shared" si="7"/>
        <v>0</v>
      </c>
      <c r="T20" s="1524">
        <f t="shared" si="12"/>
        <v>0</v>
      </c>
      <c r="U20" s="1610"/>
      <c r="V20" s="1610"/>
      <c r="W20" s="1610"/>
      <c r="X20" s="1610"/>
      <c r="Y20" s="1610"/>
      <c r="Z20" s="1610"/>
      <c r="AA20" s="1610"/>
      <c r="AB20" s="1525">
        <f t="shared" si="13"/>
        <v>111543.77664900001</v>
      </c>
      <c r="AC20" s="1524">
        <f>AC21+AC22+AC23</f>
        <v>273</v>
      </c>
      <c r="AD20" s="1524">
        <f t="shared" ref="AD20:AF20" si="16">AD21+AD22+AD23</f>
        <v>500</v>
      </c>
      <c r="AE20" s="1524">
        <f t="shared" si="16"/>
        <v>14264.885704</v>
      </c>
      <c r="AF20" s="1524">
        <f t="shared" si="16"/>
        <v>96505.890945000006</v>
      </c>
      <c r="AG20" s="1469">
        <v>0</v>
      </c>
      <c r="AH20" s="1439">
        <v>0</v>
      </c>
      <c r="AM20" s="1435">
        <f t="shared" si="8"/>
        <v>98746.976649000004</v>
      </c>
      <c r="AN20" s="1622">
        <f t="shared" si="9"/>
        <v>-98746.976649000004</v>
      </c>
      <c r="AO20" s="1389">
        <f>AB20-C20</f>
        <v>98746.976649000004</v>
      </c>
      <c r="AP20" s="1389">
        <f>AB20+L20</f>
        <v>111543.77664900001</v>
      </c>
      <c r="AQ20" s="1389">
        <f t="shared" si="14"/>
        <v>12796.800000000003</v>
      </c>
      <c r="AR20" s="1389">
        <f>J20-C20</f>
        <v>-12796.8</v>
      </c>
      <c r="AS20" s="1388">
        <f>'VP HĐND&amp;UBND V_điều chỉnh'!F14/1000000</f>
        <v>111643.77664900001</v>
      </c>
      <c r="AT20" s="1447">
        <f>AS20-AB20</f>
        <v>100</v>
      </c>
    </row>
    <row r="21" spans="1:47" s="1528" customFormat="1">
      <c r="A21" s="1582"/>
      <c r="B21" s="1583" t="s">
        <v>2139</v>
      </c>
      <c r="C21" s="1592"/>
      <c r="D21" s="1584"/>
      <c r="E21" s="1585"/>
      <c r="F21" s="1585"/>
      <c r="G21" s="1585"/>
      <c r="H21" s="1585"/>
      <c r="I21" s="1585"/>
      <c r="J21" s="1620"/>
      <c r="K21" s="1594">
        <f t="shared" si="6"/>
        <v>12796.8</v>
      </c>
      <c r="L21" s="1584"/>
      <c r="M21" s="1585"/>
      <c r="N21" s="1585"/>
      <c r="O21" s="1585"/>
      <c r="P21" s="1585"/>
      <c r="Q21" s="1585"/>
      <c r="R21" s="1608"/>
      <c r="S21" s="1608">
        <f t="shared" si="7"/>
        <v>0</v>
      </c>
      <c r="T21" s="1585"/>
      <c r="U21" s="1611"/>
      <c r="V21" s="1611"/>
      <c r="W21" s="1611"/>
      <c r="X21" s="1611"/>
      <c r="Y21" s="1611"/>
      <c r="Z21" s="1611"/>
      <c r="AA21" s="1611"/>
      <c r="AB21" s="1586">
        <f>AC21+AD21+AE21+AF21</f>
        <v>12796.8</v>
      </c>
      <c r="AC21" s="1585"/>
      <c r="AD21" s="1585">
        <f>E20</f>
        <v>500</v>
      </c>
      <c r="AE21" s="1585">
        <f>F20</f>
        <v>12296.8</v>
      </c>
      <c r="AF21" s="1585"/>
      <c r="AG21" s="1587"/>
      <c r="AH21" s="1588"/>
      <c r="AM21" s="1435">
        <f t="shared" si="8"/>
        <v>12796.8</v>
      </c>
      <c r="AN21" s="1622">
        <f t="shared" si="9"/>
        <v>-12796.8</v>
      </c>
      <c r="AO21" s="1453"/>
      <c r="AP21" s="1453"/>
      <c r="AQ21" s="1453"/>
      <c r="AR21" s="1453"/>
      <c r="AT21" s="1595"/>
    </row>
    <row r="22" spans="1:47" s="1528" customFormat="1" ht="37.5">
      <c r="A22" s="1582"/>
      <c r="B22" s="1583" t="s">
        <v>2135</v>
      </c>
      <c r="C22" s="1592"/>
      <c r="D22" s="1584"/>
      <c r="E22" s="1585"/>
      <c r="F22" s="1585"/>
      <c r="G22" s="1585"/>
      <c r="H22" s="1585"/>
      <c r="I22" s="1585"/>
      <c r="J22" s="1620"/>
      <c r="K22" s="1594">
        <f t="shared" si="6"/>
        <v>97605.371749000013</v>
      </c>
      <c r="L22" s="1584"/>
      <c r="M22" s="1585"/>
      <c r="N22" s="1585"/>
      <c r="O22" s="1585"/>
      <c r="P22" s="1585"/>
      <c r="Q22" s="1585"/>
      <c r="R22" s="1608">
        <f t="shared" si="15"/>
        <v>0</v>
      </c>
      <c r="S22" s="1608">
        <f t="shared" si="7"/>
        <v>0</v>
      </c>
      <c r="T22" s="1585"/>
      <c r="U22" s="1611"/>
      <c r="V22" s="1611"/>
      <c r="W22" s="1611"/>
      <c r="X22" s="1611"/>
      <c r="Y22" s="1611"/>
      <c r="Z22" s="1611"/>
      <c r="AA22" s="1611"/>
      <c r="AB22" s="1586">
        <f t="shared" si="13"/>
        <v>97605.371749000013</v>
      </c>
      <c r="AC22" s="1585">
        <v>273</v>
      </c>
      <c r="AD22" s="1585"/>
      <c r="AE22" s="1585">
        <f>'[10]Sheet1 (2)'!$K$15/1000000</f>
        <v>826.48080400000003</v>
      </c>
      <c r="AF22" s="1585">
        <f>'[10]Sheet1 (2)'!$K$28/1000000</f>
        <v>96505.890945000006</v>
      </c>
      <c r="AG22" s="1587"/>
      <c r="AH22" s="1588"/>
      <c r="AM22" s="1435">
        <f t="shared" si="8"/>
        <v>97605.371749000013</v>
      </c>
      <c r="AN22" s="1622">
        <f t="shared" si="9"/>
        <v>-97605.371749000013</v>
      </c>
      <c r="AO22" s="1453"/>
      <c r="AP22" s="1453"/>
      <c r="AQ22" s="1453"/>
      <c r="AR22" s="1453"/>
      <c r="AT22" s="1595"/>
    </row>
    <row r="23" spans="1:47" s="1528" customFormat="1">
      <c r="A23" s="1582"/>
      <c r="B23" s="1583" t="s">
        <v>2136</v>
      </c>
      <c r="C23" s="1592"/>
      <c r="D23" s="1584"/>
      <c r="E23" s="1585"/>
      <c r="F23" s="1585"/>
      <c r="G23" s="1585"/>
      <c r="H23" s="1585"/>
      <c r="I23" s="1585"/>
      <c r="J23" s="1620"/>
      <c r="K23" s="1594">
        <f t="shared" si="6"/>
        <v>1141.6049</v>
      </c>
      <c r="L23" s="1584"/>
      <c r="M23" s="1585"/>
      <c r="N23" s="1585"/>
      <c r="O23" s="1585"/>
      <c r="P23" s="1585"/>
      <c r="Q23" s="1585"/>
      <c r="R23" s="1608">
        <f t="shared" si="15"/>
        <v>0</v>
      </c>
      <c r="S23" s="1608">
        <f t="shared" si="7"/>
        <v>0</v>
      </c>
      <c r="T23" s="1585"/>
      <c r="U23" s="1611"/>
      <c r="V23" s="1611"/>
      <c r="W23" s="1611"/>
      <c r="X23" s="1611"/>
      <c r="Y23" s="1611"/>
      <c r="Z23" s="1611"/>
      <c r="AA23" s="1611"/>
      <c r="AB23" s="1586">
        <f t="shared" si="13"/>
        <v>1141.6049</v>
      </c>
      <c r="AC23" s="1585"/>
      <c r="AD23" s="1585"/>
      <c r="AE23" s="1585">
        <f>[8]TH!$H$8/1000000</f>
        <v>1141.6049</v>
      </c>
      <c r="AF23" s="1585"/>
      <c r="AG23" s="1587"/>
      <c r="AH23" s="1588"/>
      <c r="AM23" s="1435">
        <f t="shared" si="8"/>
        <v>1141.6049</v>
      </c>
      <c r="AN23" s="1622">
        <f t="shared" si="9"/>
        <v>-1141.6049</v>
      </c>
      <c r="AO23" s="1453"/>
      <c r="AP23" s="1453"/>
      <c r="AQ23" s="1453"/>
      <c r="AR23" s="1453"/>
      <c r="AT23" s="1595"/>
    </row>
    <row r="24" spans="1:47">
      <c r="A24" s="315">
        <v>6</v>
      </c>
      <c r="B24" s="1463" t="s">
        <v>2106</v>
      </c>
      <c r="C24" s="1591">
        <f t="shared" si="10"/>
        <v>1457.3</v>
      </c>
      <c r="D24" s="1522"/>
      <c r="E24" s="1524">
        <v>0</v>
      </c>
      <c r="F24" s="1524">
        <f>('[6]Giao các đơn vị'!K10)/1000000</f>
        <v>1097.3</v>
      </c>
      <c r="G24" s="1524">
        <v>0</v>
      </c>
      <c r="H24" s="1524">
        <v>360</v>
      </c>
      <c r="I24" s="1524"/>
      <c r="J24" s="1620">
        <f>L24+T24+Z24</f>
        <v>1457.2969999999998</v>
      </c>
      <c r="K24" s="1437">
        <f t="shared" si="6"/>
        <v>27.764980000000001</v>
      </c>
      <c r="L24" s="1522">
        <f t="shared" si="11"/>
        <v>27.764980000000001</v>
      </c>
      <c r="M24" s="1524"/>
      <c r="N24" s="1524">
        <v>0</v>
      </c>
      <c r="O24" s="1524">
        <f>'Y tế V_điều chỉnh'!G15/1000000</f>
        <v>27.764980000000001</v>
      </c>
      <c r="P24" s="1524">
        <v>0</v>
      </c>
      <c r="Q24" s="1524"/>
      <c r="R24" s="1608">
        <f t="shared" si="15"/>
        <v>1141.6018999999999</v>
      </c>
      <c r="S24" s="1608">
        <f t="shared" si="7"/>
        <v>287.93011999999999</v>
      </c>
      <c r="T24" s="1524">
        <f t="shared" si="12"/>
        <v>1141.6018999999999</v>
      </c>
      <c r="U24" s="1610">
        <f>1141.6019</f>
        <v>1141.6018999999999</v>
      </c>
      <c r="V24" s="1610"/>
      <c r="W24" s="1610"/>
      <c r="X24" s="1610"/>
      <c r="Y24" s="1610"/>
      <c r="Z24" s="1610">
        <v>287.93011999999999</v>
      </c>
      <c r="AA24" s="1610"/>
      <c r="AB24" s="1525">
        <f t="shared" si="13"/>
        <v>0</v>
      </c>
      <c r="AC24" s="1524"/>
      <c r="AD24" s="1524">
        <v>0</v>
      </c>
      <c r="AE24" s="1524">
        <f>('[6]Giao các đơn vị'!W10)/1000000</f>
        <v>0</v>
      </c>
      <c r="AF24" s="1524">
        <v>0</v>
      </c>
      <c r="AG24" s="1469">
        <v>0</v>
      </c>
      <c r="AH24" s="1439">
        <v>0</v>
      </c>
      <c r="AM24" s="1435">
        <f t="shared" si="8"/>
        <v>-1457.3</v>
      </c>
      <c r="AN24" s="1622">
        <f t="shared" si="9"/>
        <v>1457.3</v>
      </c>
      <c r="AO24" s="1389">
        <f>AB24-C24</f>
        <v>-1457.3</v>
      </c>
      <c r="AP24" s="1389">
        <f>AB24+L24</f>
        <v>27.764980000000001</v>
      </c>
      <c r="AQ24" s="1389">
        <f t="shared" si="14"/>
        <v>1485.0649799999999</v>
      </c>
      <c r="AR24" s="1389">
        <f>J24-C24</f>
        <v>-3.0000000001564331E-3</v>
      </c>
    </row>
    <row r="25" spans="1:47" ht="37.5">
      <c r="A25" s="315">
        <v>7</v>
      </c>
      <c r="B25" s="1463" t="s">
        <v>2112</v>
      </c>
      <c r="C25" s="1591">
        <f t="shared" si="10"/>
        <v>4217.2</v>
      </c>
      <c r="D25" s="1522"/>
      <c r="E25" s="1524">
        <f>500+500+400</f>
        <v>1400</v>
      </c>
      <c r="F25" s="1524">
        <f>('[6]Giao các đơn vị'!K11)/1000000-E25</f>
        <v>2817.2</v>
      </c>
      <c r="G25" s="1524">
        <v>0</v>
      </c>
      <c r="H25" s="1524"/>
      <c r="I25" s="1524"/>
      <c r="J25" s="1620">
        <f>L25+T25+Z25</f>
        <v>0</v>
      </c>
      <c r="K25" s="1437">
        <f t="shared" si="6"/>
        <v>5212.678641333333</v>
      </c>
      <c r="L25" s="1522">
        <f t="shared" si="11"/>
        <v>0</v>
      </c>
      <c r="M25" s="1524"/>
      <c r="N25" s="1524"/>
      <c r="O25" s="1524">
        <v>0</v>
      </c>
      <c r="P25" s="1524">
        <v>0</v>
      </c>
      <c r="Q25" s="1524"/>
      <c r="R25" s="1608">
        <f t="shared" si="15"/>
        <v>0</v>
      </c>
      <c r="S25" s="1608">
        <f t="shared" si="7"/>
        <v>0</v>
      </c>
      <c r="T25" s="1524">
        <f t="shared" si="12"/>
        <v>0</v>
      </c>
      <c r="U25" s="1610"/>
      <c r="V25" s="1610"/>
      <c r="W25" s="1610"/>
      <c r="X25" s="1610"/>
      <c r="Y25" s="1610"/>
      <c r="Z25" s="1610"/>
      <c r="AA25" s="1610"/>
      <c r="AB25" s="1525">
        <f t="shared" si="13"/>
        <v>5212.678641333333</v>
      </c>
      <c r="AC25" s="1524"/>
      <c r="AD25" s="1524">
        <f>AD26+AD27</f>
        <v>1669.5</v>
      </c>
      <c r="AE25" s="1524">
        <f>AE26+AE27</f>
        <v>3543.178641333333</v>
      </c>
      <c r="AF25" s="1524">
        <v>0</v>
      </c>
      <c r="AG25" s="1469">
        <v>0</v>
      </c>
      <c r="AH25" s="1439">
        <v>0</v>
      </c>
      <c r="AM25" s="1435">
        <f t="shared" si="8"/>
        <v>995.47864133333314</v>
      </c>
      <c r="AN25" s="1622">
        <f t="shared" si="9"/>
        <v>-995.47864133333314</v>
      </c>
      <c r="AO25" s="1389">
        <f>AB25-C25</f>
        <v>995.47864133333314</v>
      </c>
      <c r="AP25" s="1389">
        <f>AB25+L25</f>
        <v>5212.678641333333</v>
      </c>
      <c r="AQ25" s="1389">
        <f t="shared" si="14"/>
        <v>4217.2</v>
      </c>
      <c r="AR25" s="1389">
        <f>J25-C25</f>
        <v>-4217.2</v>
      </c>
      <c r="AS25" s="1388">
        <f>('ĐT_Kinh tế, HT &amp;Đô thị_V'!F15/1000000)-PL_01!AB25</f>
        <v>0</v>
      </c>
    </row>
    <row r="26" spans="1:47" s="1528" customFormat="1">
      <c r="A26" s="1582"/>
      <c r="B26" s="1596" t="s">
        <v>2137</v>
      </c>
      <c r="C26" s="1592"/>
      <c r="D26" s="1584"/>
      <c r="E26" s="1585"/>
      <c r="F26" s="1585"/>
      <c r="G26" s="1585"/>
      <c r="H26" s="1585"/>
      <c r="I26" s="1585"/>
      <c r="J26" s="1620"/>
      <c r="K26" s="1594">
        <f t="shared" si="6"/>
        <v>995.47864133333337</v>
      </c>
      <c r="L26" s="1584"/>
      <c r="M26" s="1585"/>
      <c r="N26" s="1585"/>
      <c r="O26" s="1585"/>
      <c r="P26" s="1585"/>
      <c r="Q26" s="1585"/>
      <c r="R26" s="1608">
        <f t="shared" si="15"/>
        <v>0</v>
      </c>
      <c r="S26" s="1608">
        <f t="shared" si="7"/>
        <v>0</v>
      </c>
      <c r="T26" s="1585"/>
      <c r="U26" s="1611"/>
      <c r="V26" s="1611"/>
      <c r="W26" s="1611"/>
      <c r="X26" s="1611"/>
      <c r="Y26" s="1611"/>
      <c r="Z26" s="1611"/>
      <c r="AA26" s="1611"/>
      <c r="AB26" s="1586">
        <f t="shared" si="13"/>
        <v>995.47864133333337</v>
      </c>
      <c r="AC26" s="1585"/>
      <c r="AD26" s="1585">
        <f>[9]TH!$J$24/1000000</f>
        <v>269.5</v>
      </c>
      <c r="AE26" s="1585">
        <f>[9]TH!$J$10/1000000</f>
        <v>725.97864133333337</v>
      </c>
      <c r="AF26" s="1585"/>
      <c r="AG26" s="1587"/>
      <c r="AH26" s="1588"/>
      <c r="AM26" s="1435">
        <f t="shared" si="8"/>
        <v>995.47864133333337</v>
      </c>
      <c r="AN26" s="1622">
        <f t="shared" si="9"/>
        <v>-995.47864133333337</v>
      </c>
      <c r="AO26" s="1453"/>
      <c r="AP26" s="1453"/>
      <c r="AQ26" s="1453"/>
      <c r="AR26" s="1453"/>
    </row>
    <row r="27" spans="1:47" s="1528" customFormat="1">
      <c r="A27" s="1582"/>
      <c r="B27" s="1596" t="s">
        <v>2138</v>
      </c>
      <c r="C27" s="1592"/>
      <c r="D27" s="1584"/>
      <c r="E27" s="1585"/>
      <c r="F27" s="1585"/>
      <c r="G27" s="1585"/>
      <c r="H27" s="1585"/>
      <c r="I27" s="1585"/>
      <c r="J27" s="1620"/>
      <c r="K27" s="1594">
        <f t="shared" si="6"/>
        <v>4217.2</v>
      </c>
      <c r="L27" s="1584"/>
      <c r="M27" s="1585"/>
      <c r="N27" s="1585"/>
      <c r="O27" s="1585"/>
      <c r="P27" s="1585"/>
      <c r="Q27" s="1585"/>
      <c r="R27" s="1608">
        <f t="shared" si="15"/>
        <v>0</v>
      </c>
      <c r="S27" s="1608">
        <f t="shared" si="7"/>
        <v>0</v>
      </c>
      <c r="T27" s="1585"/>
      <c r="U27" s="1611"/>
      <c r="V27" s="1611"/>
      <c r="W27" s="1611"/>
      <c r="X27" s="1611"/>
      <c r="Y27" s="1611"/>
      <c r="Z27" s="1611"/>
      <c r="AA27" s="1611"/>
      <c r="AB27" s="1586">
        <f t="shared" si="13"/>
        <v>4217.2</v>
      </c>
      <c r="AC27" s="1585"/>
      <c r="AD27" s="1585">
        <f>E25</f>
        <v>1400</v>
      </c>
      <c r="AE27" s="1585">
        <f>F25</f>
        <v>2817.2</v>
      </c>
      <c r="AF27" s="1585"/>
      <c r="AG27" s="1587"/>
      <c r="AH27" s="1588"/>
      <c r="AM27" s="1435">
        <f t="shared" si="8"/>
        <v>4217.2</v>
      </c>
      <c r="AN27" s="1622">
        <f t="shared" si="9"/>
        <v>-4217.2</v>
      </c>
      <c r="AO27" s="1453"/>
      <c r="AP27" s="1453"/>
      <c r="AQ27" s="1453"/>
      <c r="AR27" s="1453"/>
    </row>
    <row r="28" spans="1:47" ht="37.5">
      <c r="A28" s="315">
        <v>8</v>
      </c>
      <c r="B28" s="1463" t="s">
        <v>2117</v>
      </c>
      <c r="C28" s="1591">
        <f t="shared" si="10"/>
        <v>10857.281999999999</v>
      </c>
      <c r="D28" s="1522"/>
      <c r="E28" s="1524">
        <f>'[6]Dự toán Chi tiết 2025'!L662/1000000</f>
        <v>7700</v>
      </c>
      <c r="F28" s="1524">
        <f>('[6]Giao các đơn vị'!K15)/1000000-E28</f>
        <v>3157.2819999999992</v>
      </c>
      <c r="G28" s="1524">
        <v>0</v>
      </c>
      <c r="H28" s="1524"/>
      <c r="I28" s="1524"/>
      <c r="J28" s="1620">
        <f>L28+T28+Z28</f>
        <v>0</v>
      </c>
      <c r="K28" s="1437">
        <f t="shared" si="6"/>
        <v>15973.211665333332</v>
      </c>
      <c r="L28" s="1522">
        <f t="shared" si="11"/>
        <v>0</v>
      </c>
      <c r="M28" s="1524"/>
      <c r="N28" s="1524"/>
      <c r="O28" s="1524">
        <v>0</v>
      </c>
      <c r="P28" s="1524">
        <v>0</v>
      </c>
      <c r="Q28" s="1524"/>
      <c r="R28" s="1608">
        <f t="shared" si="15"/>
        <v>0</v>
      </c>
      <c r="S28" s="1608">
        <f t="shared" si="7"/>
        <v>0</v>
      </c>
      <c r="T28" s="1524">
        <f t="shared" si="12"/>
        <v>0</v>
      </c>
      <c r="U28" s="1610"/>
      <c r="V28" s="1610"/>
      <c r="W28" s="1610"/>
      <c r="X28" s="1610"/>
      <c r="Y28" s="1610"/>
      <c r="Z28" s="1610"/>
      <c r="AA28" s="1610"/>
      <c r="AB28" s="1525">
        <f>AB29+AB30+AB31</f>
        <v>15973.211665333332</v>
      </c>
      <c r="AC28" s="1525">
        <f t="shared" ref="AC28:AL28" si="17">AC29+AC30+AC31</f>
        <v>0</v>
      </c>
      <c r="AD28" s="1525">
        <f t="shared" si="17"/>
        <v>11737.5</v>
      </c>
      <c r="AE28" s="1525">
        <f t="shared" si="17"/>
        <v>3798.0176653333324</v>
      </c>
      <c r="AF28" s="1525">
        <f t="shared" si="17"/>
        <v>437.69400000000002</v>
      </c>
      <c r="AG28" s="1525">
        <f t="shared" si="17"/>
        <v>0</v>
      </c>
      <c r="AH28" s="1525">
        <f t="shared" si="17"/>
        <v>0</v>
      </c>
      <c r="AI28" s="1525">
        <f t="shared" si="17"/>
        <v>0</v>
      </c>
      <c r="AJ28" s="1525">
        <f t="shared" si="17"/>
        <v>0</v>
      </c>
      <c r="AK28" s="1525">
        <f t="shared" si="17"/>
        <v>0</v>
      </c>
      <c r="AL28" s="1525">
        <f t="shared" si="17"/>
        <v>0</v>
      </c>
      <c r="AM28" s="1435">
        <f t="shared" si="8"/>
        <v>5115.9296653333331</v>
      </c>
      <c r="AN28" s="1622">
        <f t="shared" si="9"/>
        <v>-5115.9296653333331</v>
      </c>
      <c r="AO28" s="1389">
        <f>AB28-C28</f>
        <v>5115.9296653333331</v>
      </c>
      <c r="AP28" s="1389">
        <f>AB28+L28</f>
        <v>15973.211665333332</v>
      </c>
      <c r="AQ28" s="1389">
        <f t="shared" si="14"/>
        <v>10857.281999999999</v>
      </c>
      <c r="AR28" s="1389">
        <f>J28-C28</f>
        <v>-10857.281999999999</v>
      </c>
      <c r="AS28" s="1446">
        <f>'ĐT_TN &amp; MT_ điều chỉnh'!F16/1000000</f>
        <v>15973.211665333332</v>
      </c>
      <c r="AT28" s="1447">
        <f>('ĐT_TN &amp; MT_ điều chỉnh'!F39+'ĐT_TN &amp; MT_ điều chỉnh'!F40+'ĐT_TN &amp; MT_ điều chỉnh'!F47)/1000000</f>
        <v>4037.5</v>
      </c>
      <c r="AU28" s="1447">
        <f>AS28-AB28</f>
        <v>0</v>
      </c>
    </row>
    <row r="29" spans="1:47" s="1528" customFormat="1">
      <c r="A29" s="1582"/>
      <c r="B29" s="1596" t="s">
        <v>752</v>
      </c>
      <c r="C29" s="1592"/>
      <c r="D29" s="1584"/>
      <c r="E29" s="1585"/>
      <c r="F29" s="1585"/>
      <c r="G29" s="1585"/>
      <c r="H29" s="1585"/>
      <c r="I29" s="1585"/>
      <c r="J29" s="1620"/>
      <c r="K29" s="1594">
        <f t="shared" si="6"/>
        <v>10857.281999999999</v>
      </c>
      <c r="L29" s="1584"/>
      <c r="M29" s="1585"/>
      <c r="N29" s="1585"/>
      <c r="O29" s="1585"/>
      <c r="P29" s="1585"/>
      <c r="Q29" s="1585"/>
      <c r="R29" s="1608">
        <f t="shared" si="15"/>
        <v>0</v>
      </c>
      <c r="S29" s="1608">
        <f t="shared" si="7"/>
        <v>0</v>
      </c>
      <c r="T29" s="1585"/>
      <c r="U29" s="1611"/>
      <c r="V29" s="1611"/>
      <c r="W29" s="1611"/>
      <c r="X29" s="1611"/>
      <c r="Y29" s="1611"/>
      <c r="Z29" s="1611"/>
      <c r="AA29" s="1611"/>
      <c r="AB29" s="1586">
        <f t="shared" si="13"/>
        <v>10857.281999999999</v>
      </c>
      <c r="AC29" s="1585"/>
      <c r="AD29" s="1585">
        <f>E28</f>
        <v>7700</v>
      </c>
      <c r="AE29" s="1585">
        <f>F28</f>
        <v>3157.2819999999992</v>
      </c>
      <c r="AF29" s="1585"/>
      <c r="AG29" s="1587"/>
      <c r="AH29" s="1588"/>
      <c r="AM29" s="1435">
        <f t="shared" si="8"/>
        <v>10857.281999999999</v>
      </c>
      <c r="AN29" s="1622">
        <f t="shared" si="9"/>
        <v>-10857.281999999999</v>
      </c>
      <c r="AO29" s="1453"/>
      <c r="AP29" s="1453"/>
      <c r="AQ29" s="1453"/>
      <c r="AR29" s="1453"/>
      <c r="AS29" s="1556"/>
      <c r="AT29" s="1595"/>
      <c r="AU29" s="1595"/>
    </row>
    <row r="30" spans="1:47" s="1528" customFormat="1">
      <c r="A30" s="1582"/>
      <c r="B30" s="1596" t="s">
        <v>2140</v>
      </c>
      <c r="C30" s="1592"/>
      <c r="D30" s="1584"/>
      <c r="E30" s="1585"/>
      <c r="F30" s="1585"/>
      <c r="G30" s="1585"/>
      <c r="H30" s="1585"/>
      <c r="I30" s="1585"/>
      <c r="J30" s="1620"/>
      <c r="K30" s="1594">
        <f t="shared" si="6"/>
        <v>4500.9779013333336</v>
      </c>
      <c r="L30" s="1584"/>
      <c r="M30" s="1585"/>
      <c r="N30" s="1585"/>
      <c r="O30" s="1585"/>
      <c r="P30" s="1585"/>
      <c r="Q30" s="1585"/>
      <c r="R30" s="1608">
        <f t="shared" si="15"/>
        <v>0</v>
      </c>
      <c r="S30" s="1608">
        <f t="shared" si="7"/>
        <v>0</v>
      </c>
      <c r="T30" s="1585"/>
      <c r="U30" s="1611"/>
      <c r="V30" s="1611"/>
      <c r="W30" s="1611"/>
      <c r="X30" s="1611"/>
      <c r="Y30" s="1611"/>
      <c r="Z30" s="1611"/>
      <c r="AA30" s="1611"/>
      <c r="AB30" s="1586">
        <f t="shared" si="13"/>
        <v>4500.9779013333336</v>
      </c>
      <c r="AC30" s="1585"/>
      <c r="AD30" s="1585">
        <f>[9]TH!$K$23/1000000</f>
        <v>4037.5</v>
      </c>
      <c r="AE30" s="1585">
        <f>[9]TH!$K$10/1000000</f>
        <v>463.47790133333331</v>
      </c>
      <c r="AF30" s="1585"/>
      <c r="AG30" s="1587"/>
      <c r="AH30" s="1588"/>
      <c r="AM30" s="1435">
        <f t="shared" si="8"/>
        <v>4500.9779013333336</v>
      </c>
      <c r="AN30" s="1622">
        <f t="shared" si="9"/>
        <v>-4500.9779013333336</v>
      </c>
      <c r="AO30" s="1453"/>
      <c r="AP30" s="1453"/>
      <c r="AQ30" s="1453"/>
      <c r="AR30" s="1453"/>
      <c r="AS30" s="1556"/>
      <c r="AT30" s="1595"/>
      <c r="AU30" s="1595"/>
    </row>
    <row r="31" spans="1:47" s="1528" customFormat="1" ht="37.5">
      <c r="A31" s="1582"/>
      <c r="B31" s="1583" t="s">
        <v>2135</v>
      </c>
      <c r="C31" s="1592"/>
      <c r="D31" s="1584"/>
      <c r="E31" s="1585"/>
      <c r="F31" s="1585"/>
      <c r="G31" s="1585"/>
      <c r="H31" s="1585"/>
      <c r="I31" s="1585"/>
      <c r="J31" s="1620"/>
      <c r="K31" s="1594">
        <f t="shared" si="6"/>
        <v>614.95176400000003</v>
      </c>
      <c r="L31" s="1584"/>
      <c r="M31" s="1585"/>
      <c r="N31" s="1585"/>
      <c r="O31" s="1585"/>
      <c r="P31" s="1585"/>
      <c r="Q31" s="1585"/>
      <c r="R31" s="1608">
        <f t="shared" si="15"/>
        <v>0</v>
      </c>
      <c r="S31" s="1608">
        <f t="shared" si="7"/>
        <v>0</v>
      </c>
      <c r="T31" s="1585"/>
      <c r="U31" s="1611"/>
      <c r="V31" s="1611"/>
      <c r="W31" s="1611"/>
      <c r="X31" s="1611"/>
      <c r="Y31" s="1611"/>
      <c r="Z31" s="1611"/>
      <c r="AA31" s="1611"/>
      <c r="AB31" s="1586">
        <f t="shared" si="13"/>
        <v>614.95176400000003</v>
      </c>
      <c r="AC31" s="1585"/>
      <c r="AD31" s="1585"/>
      <c r="AE31" s="1585">
        <f>'[10]Sheet1 (2)'!$L$15/1000000</f>
        <v>177.25776400000001</v>
      </c>
      <c r="AF31" s="1585">
        <f>'[10]Sheet1 (2)'!$L$28/1000000</f>
        <v>437.69400000000002</v>
      </c>
      <c r="AG31" s="1587"/>
      <c r="AH31" s="1588"/>
      <c r="AM31" s="1435">
        <f t="shared" si="8"/>
        <v>614.95176400000003</v>
      </c>
      <c r="AN31" s="1622">
        <f t="shared" si="9"/>
        <v>-614.95176400000003</v>
      </c>
      <c r="AO31" s="1453"/>
      <c r="AP31" s="1453"/>
      <c r="AQ31" s="1453"/>
      <c r="AR31" s="1453"/>
      <c r="AS31" s="1556"/>
      <c r="AT31" s="1595"/>
      <c r="AU31" s="1595"/>
    </row>
    <row r="32" spans="1:47">
      <c r="A32" s="315">
        <v>9</v>
      </c>
      <c r="B32" s="1463" t="s">
        <v>2107</v>
      </c>
      <c r="C32" s="1591">
        <f t="shared" si="10"/>
        <v>6426.808</v>
      </c>
      <c r="D32" s="1522"/>
      <c r="E32" s="1524">
        <v>1950</v>
      </c>
      <c r="F32" s="1524">
        <f>('[6]Giao các đơn vị'!K16)/1000000</f>
        <v>1770.808</v>
      </c>
      <c r="G32" s="1524">
        <v>0</v>
      </c>
      <c r="H32" s="1524">
        <v>2706</v>
      </c>
      <c r="I32" s="1524"/>
      <c r="J32" s="1620">
        <f>L32+T32+Z32</f>
        <v>6426.8079990000006</v>
      </c>
      <c r="K32" s="1437">
        <f t="shared" si="6"/>
        <v>445.012652</v>
      </c>
      <c r="L32" s="1522">
        <f t="shared" si="11"/>
        <v>445.012652</v>
      </c>
      <c r="M32" s="1524"/>
      <c r="N32" s="1524">
        <f>'Kinh tế V_điều chỉnh'!G33/1000000</f>
        <v>100</v>
      </c>
      <c r="O32" s="1524">
        <f>'Kinh tế V_điều chỉnh'!G18/1000000</f>
        <v>345.012652</v>
      </c>
      <c r="P32" s="1524">
        <v>0</v>
      </c>
      <c r="Q32" s="1524"/>
      <c r="R32" s="1608">
        <f t="shared" si="15"/>
        <v>5716.5419190000002</v>
      </c>
      <c r="S32" s="1608">
        <f t="shared" si="7"/>
        <v>265.25342799999999</v>
      </c>
      <c r="T32" s="1524">
        <f>U32+V32+W32+X32+Y32</f>
        <v>5716.5419190000002</v>
      </c>
      <c r="U32" s="1610"/>
      <c r="V32" s="1610"/>
      <c r="W32" s="1610">
        <f>220.085377</f>
        <v>220.08537699999999</v>
      </c>
      <c r="X32" s="1610">
        <v>995.47864100000004</v>
      </c>
      <c r="Y32" s="1610">
        <f>4500.977901</f>
        <v>4500.9779010000002</v>
      </c>
      <c r="Z32" s="1610">
        <v>265.25342799999999</v>
      </c>
      <c r="AA32" s="1610"/>
      <c r="AB32" s="1525">
        <f t="shared" si="13"/>
        <v>0</v>
      </c>
      <c r="AC32" s="1524"/>
      <c r="AD32" s="1524">
        <v>0</v>
      </c>
      <c r="AE32" s="1524">
        <f>('[6]Giao các đơn vị'!W16)/1000000</f>
        <v>0</v>
      </c>
      <c r="AF32" s="1524">
        <v>0</v>
      </c>
      <c r="AG32" s="1469">
        <v>0</v>
      </c>
      <c r="AH32" s="1439">
        <v>0</v>
      </c>
      <c r="AM32" s="1435">
        <f t="shared" si="8"/>
        <v>-6426.808</v>
      </c>
      <c r="AN32" s="1622">
        <f t="shared" si="9"/>
        <v>6426.808</v>
      </c>
      <c r="AO32" s="1389">
        <f>AB32-C32</f>
        <v>-6426.808</v>
      </c>
      <c r="AP32" s="1389">
        <f>AB32+L32</f>
        <v>445.012652</v>
      </c>
      <c r="AQ32" s="1389">
        <f t="shared" si="14"/>
        <v>6871.8206520000003</v>
      </c>
      <c r="AR32" s="1389">
        <f>J32-C32</f>
        <v>-9.999994290410541E-7</v>
      </c>
      <c r="AS32" s="1389"/>
    </row>
    <row r="33" spans="1:46" ht="37.5">
      <c r="A33" s="315">
        <v>10</v>
      </c>
      <c r="B33" s="1463" t="s">
        <v>1018</v>
      </c>
      <c r="C33" s="1591">
        <f t="shared" si="10"/>
        <v>137037.4</v>
      </c>
      <c r="D33" s="1522">
        <f>'Lap động tbxh_điều chỉnh'!F52/1000000</f>
        <v>373</v>
      </c>
      <c r="E33" s="1524"/>
      <c r="F33" s="1524">
        <f>('[6]Giao các đơn vị'!K9)/1000000</f>
        <v>2281.4</v>
      </c>
      <c r="G33" s="1524">
        <f>('[6]Giao các đơn vị'!K132)/1000000-E33</f>
        <v>134383</v>
      </c>
      <c r="H33" s="1524"/>
      <c r="I33" s="1524"/>
      <c r="J33" s="1620">
        <f>L33+T33+Z33</f>
        <v>137003.56600000002</v>
      </c>
      <c r="K33" s="1437">
        <f t="shared" si="6"/>
        <v>34594.767131000001</v>
      </c>
      <c r="L33" s="1522">
        <f t="shared" si="11"/>
        <v>34594.767131000001</v>
      </c>
      <c r="M33" s="1524"/>
      <c r="N33" s="1524"/>
      <c r="O33" s="1524">
        <f>'Lap động tbxh_điều chỉnh'!G16/1000000</f>
        <v>405.675926</v>
      </c>
      <c r="P33" s="1524">
        <f>'Lap động tbxh_điều chỉnh'!G30/1000000</f>
        <v>34189.091204999997</v>
      </c>
      <c r="Q33" s="1524"/>
      <c r="R33" s="1608">
        <f t="shared" si="15"/>
        <v>102357.318869</v>
      </c>
      <c r="S33" s="1608">
        <f t="shared" si="7"/>
        <v>51.48</v>
      </c>
      <c r="T33" s="1524">
        <f t="shared" si="12"/>
        <v>102357.318869</v>
      </c>
      <c r="U33" s="1610">
        <v>97605.371748999998</v>
      </c>
      <c r="V33" s="1610">
        <v>4136.9953560000004</v>
      </c>
      <c r="W33" s="1610"/>
      <c r="X33" s="1610"/>
      <c r="Y33" s="1610">
        <v>614.95176400000003</v>
      </c>
      <c r="Z33" s="1610">
        <v>51.48</v>
      </c>
      <c r="AA33" s="1610">
        <f>C33-K33</f>
        <v>102442.63286899999</v>
      </c>
      <c r="AB33" s="1525">
        <f t="shared" si="13"/>
        <v>0</v>
      </c>
      <c r="AC33" s="1524"/>
      <c r="AD33" s="1524"/>
      <c r="AE33" s="1524">
        <f>('[6]Giao các đơn vị'!W9)/1000000</f>
        <v>0</v>
      </c>
      <c r="AF33" s="1524">
        <f>('[6]Giao các đơn vị'!W132)/1000000-AD33</f>
        <v>0</v>
      </c>
      <c r="AG33" s="1469">
        <v>0</v>
      </c>
      <c r="AH33" s="1439">
        <v>0</v>
      </c>
      <c r="AM33" s="1435">
        <f t="shared" si="8"/>
        <v>-137037.4</v>
      </c>
      <c r="AN33" s="1622">
        <f t="shared" si="9"/>
        <v>137037.4</v>
      </c>
      <c r="AO33" s="1389">
        <f>AB33-C33</f>
        <v>-137037.4</v>
      </c>
      <c r="AP33" s="1389">
        <f>AB33+L33</f>
        <v>34594.767131000001</v>
      </c>
      <c r="AQ33" s="1389">
        <f t="shared" si="14"/>
        <v>171632.16713099999</v>
      </c>
      <c r="AR33" s="1389">
        <f>J33-C33</f>
        <v>-33.833999999973457</v>
      </c>
    </row>
    <row r="34" spans="1:46" ht="37.5">
      <c r="A34" s="315">
        <v>11</v>
      </c>
      <c r="B34" s="1463" t="s">
        <v>2118</v>
      </c>
      <c r="C34" s="1591">
        <f t="shared" si="10"/>
        <v>2423.152</v>
      </c>
      <c r="D34" s="1522"/>
      <c r="E34" s="1524">
        <v>0</v>
      </c>
      <c r="F34" s="1524">
        <f>('[6]Giao các đơn vị'!K8)/1000000</f>
        <v>2423.152</v>
      </c>
      <c r="G34" s="1524">
        <v>0</v>
      </c>
      <c r="H34" s="1524"/>
      <c r="I34" s="1524"/>
      <c r="J34" s="1620">
        <f>L34+T34+Z34</f>
        <v>0</v>
      </c>
      <c r="K34" s="1437">
        <f t="shared" si="6"/>
        <v>2643.2373773333334</v>
      </c>
      <c r="L34" s="1522">
        <f t="shared" si="11"/>
        <v>0</v>
      </c>
      <c r="M34" s="1524"/>
      <c r="N34" s="1524">
        <v>0</v>
      </c>
      <c r="O34" s="1524"/>
      <c r="P34" s="1524">
        <v>0</v>
      </c>
      <c r="Q34" s="1524"/>
      <c r="R34" s="1608">
        <f t="shared" si="15"/>
        <v>0</v>
      </c>
      <c r="S34" s="1608">
        <f t="shared" si="7"/>
        <v>0</v>
      </c>
      <c r="T34" s="1524">
        <f t="shared" si="12"/>
        <v>0</v>
      </c>
      <c r="U34" s="1610"/>
      <c r="V34" s="1610"/>
      <c r="W34" s="1610"/>
      <c r="X34" s="1610"/>
      <c r="Y34" s="1610"/>
      <c r="Z34" s="1610"/>
      <c r="AA34" s="1610"/>
      <c r="AB34" s="1525">
        <f t="shared" si="13"/>
        <v>2643.2373773333334</v>
      </c>
      <c r="AC34" s="1524">
        <f>AC35+AC36</f>
        <v>0</v>
      </c>
      <c r="AD34" s="1524">
        <f t="shared" ref="AD34:AE34" si="18">AD35+AD36</f>
        <v>54</v>
      </c>
      <c r="AE34" s="1524">
        <f t="shared" si="18"/>
        <v>2589.2373773333334</v>
      </c>
      <c r="AF34" s="1524">
        <v>0</v>
      </c>
      <c r="AG34" s="1469">
        <v>0</v>
      </c>
      <c r="AH34" s="1439">
        <v>0</v>
      </c>
      <c r="AM34" s="1435">
        <f t="shared" si="8"/>
        <v>220.08537733333333</v>
      </c>
      <c r="AN34" s="1622">
        <f t="shared" si="9"/>
        <v>-220.08537733333333</v>
      </c>
      <c r="AO34" s="1389">
        <f>AB34-C34</f>
        <v>220.08537733333333</v>
      </c>
      <c r="AP34" s="1389">
        <f>AB34+L34</f>
        <v>2643.2373773333334</v>
      </c>
      <c r="AQ34" s="1389">
        <f t="shared" si="14"/>
        <v>2423.152</v>
      </c>
      <c r="AR34" s="1389">
        <f>J34-C34</f>
        <v>-2423.152</v>
      </c>
      <c r="AS34" s="1388">
        <f>'ĐT_Văn hoá KH và TT_V'!F16/1000000</f>
        <v>2342.5417513333337</v>
      </c>
      <c r="AT34" s="1447">
        <f>AS34-AB34</f>
        <v>-300.69562599999972</v>
      </c>
    </row>
    <row r="35" spans="1:46" s="1528" customFormat="1">
      <c r="A35" s="1582"/>
      <c r="B35" s="1596" t="s">
        <v>2141</v>
      </c>
      <c r="C35" s="1592"/>
      <c r="D35" s="1584"/>
      <c r="E35" s="1585"/>
      <c r="F35" s="1585"/>
      <c r="G35" s="1585"/>
      <c r="H35" s="1585"/>
      <c r="I35" s="1585"/>
      <c r="J35" s="1620"/>
      <c r="K35" s="1594">
        <f t="shared" si="6"/>
        <v>2423.152</v>
      </c>
      <c r="L35" s="1584"/>
      <c r="M35" s="1585"/>
      <c r="N35" s="1585"/>
      <c r="O35" s="1585"/>
      <c r="P35" s="1585"/>
      <c r="Q35" s="1585"/>
      <c r="R35" s="1608">
        <f t="shared" si="15"/>
        <v>0</v>
      </c>
      <c r="S35" s="1608">
        <f t="shared" si="7"/>
        <v>0</v>
      </c>
      <c r="T35" s="1585"/>
      <c r="U35" s="1611"/>
      <c r="V35" s="1611"/>
      <c r="W35" s="1611"/>
      <c r="X35" s="1611"/>
      <c r="Y35" s="1611"/>
      <c r="Z35" s="1611"/>
      <c r="AA35" s="1611"/>
      <c r="AB35" s="1586">
        <f t="shared" si="13"/>
        <v>2423.152</v>
      </c>
      <c r="AC35" s="1585"/>
      <c r="AD35" s="1585"/>
      <c r="AE35" s="1585">
        <f>F34</f>
        <v>2423.152</v>
      </c>
      <c r="AF35" s="1585"/>
      <c r="AG35" s="1587"/>
      <c r="AH35" s="1588"/>
      <c r="AM35" s="1435">
        <f t="shared" si="8"/>
        <v>2423.152</v>
      </c>
      <c r="AN35" s="1622">
        <f t="shared" si="9"/>
        <v>-2423.152</v>
      </c>
      <c r="AO35" s="1453"/>
      <c r="AP35" s="1453"/>
      <c r="AQ35" s="1453"/>
      <c r="AR35" s="1453"/>
      <c r="AT35" s="1595"/>
    </row>
    <row r="36" spans="1:46" s="1528" customFormat="1">
      <c r="A36" s="1582"/>
      <c r="B36" s="1596" t="s">
        <v>2137</v>
      </c>
      <c r="C36" s="1592"/>
      <c r="D36" s="1584"/>
      <c r="E36" s="1585"/>
      <c r="F36" s="1585"/>
      <c r="G36" s="1585"/>
      <c r="H36" s="1585"/>
      <c r="I36" s="1585"/>
      <c r="J36" s="1620"/>
      <c r="K36" s="1594">
        <f t="shared" si="6"/>
        <v>220.08537733333335</v>
      </c>
      <c r="L36" s="1584"/>
      <c r="M36" s="1585"/>
      <c r="N36" s="1585"/>
      <c r="O36" s="1585"/>
      <c r="P36" s="1585"/>
      <c r="Q36" s="1585"/>
      <c r="R36" s="1608">
        <f t="shared" si="15"/>
        <v>0</v>
      </c>
      <c r="S36" s="1608">
        <f t="shared" si="7"/>
        <v>0</v>
      </c>
      <c r="T36" s="1585"/>
      <c r="U36" s="1611"/>
      <c r="V36" s="1611"/>
      <c r="W36" s="1611"/>
      <c r="X36" s="1611"/>
      <c r="Y36" s="1611"/>
      <c r="Z36" s="1611"/>
      <c r="AA36" s="1611"/>
      <c r="AB36" s="1586">
        <f t="shared" si="13"/>
        <v>220.08537733333335</v>
      </c>
      <c r="AC36" s="1585"/>
      <c r="AD36" s="1585">
        <f>[9]TH!$L$22/1000000</f>
        <v>54</v>
      </c>
      <c r="AE36" s="1585">
        <f>[9]TH!$L$10/1000000</f>
        <v>166.08537733333335</v>
      </c>
      <c r="AF36" s="1585"/>
      <c r="AG36" s="1587"/>
      <c r="AH36" s="1588"/>
      <c r="AM36" s="1435">
        <f t="shared" si="8"/>
        <v>220.08537733333335</v>
      </c>
      <c r="AN36" s="1622">
        <f t="shared" si="9"/>
        <v>-220.08537733333335</v>
      </c>
      <c r="AO36" s="1453"/>
      <c r="AP36" s="1453"/>
      <c r="AQ36" s="1453"/>
      <c r="AR36" s="1453"/>
      <c r="AT36" s="1595"/>
    </row>
    <row r="37" spans="1:46">
      <c r="A37" s="315">
        <v>12</v>
      </c>
      <c r="B37" s="1463" t="s">
        <v>1140</v>
      </c>
      <c r="C37" s="1591">
        <f t="shared" si="10"/>
        <v>6885.152</v>
      </c>
      <c r="D37" s="1522"/>
      <c r="E37" s="1524">
        <f>E39+E42+E40</f>
        <v>500</v>
      </c>
      <c r="F37" s="1524">
        <f>F39+F42+F40</f>
        <v>6385.152</v>
      </c>
      <c r="G37" s="1524">
        <f>G39+G42+G40</f>
        <v>0</v>
      </c>
      <c r="H37" s="1524"/>
      <c r="I37" s="1524"/>
      <c r="J37" s="1620">
        <f>L37+T37+Z37</f>
        <v>0</v>
      </c>
      <c r="K37" s="1437">
        <f t="shared" si="6"/>
        <v>11022.147355999999</v>
      </c>
      <c r="L37" s="1522">
        <f t="shared" si="11"/>
        <v>0</v>
      </c>
      <c r="M37" s="1524"/>
      <c r="N37" s="1524">
        <f>N39+N42+N40</f>
        <v>0</v>
      </c>
      <c r="O37" s="1524">
        <f>O39+O42+O40</f>
        <v>0</v>
      </c>
      <c r="P37" s="1524">
        <f>P39+P42+P40</f>
        <v>0</v>
      </c>
      <c r="Q37" s="1524"/>
      <c r="R37" s="1608">
        <f t="shared" si="15"/>
        <v>0</v>
      </c>
      <c r="S37" s="1608">
        <f t="shared" si="7"/>
        <v>0</v>
      </c>
      <c r="T37" s="1524">
        <f t="shared" si="12"/>
        <v>0</v>
      </c>
      <c r="U37" s="1610"/>
      <c r="V37" s="1610"/>
      <c r="W37" s="1610"/>
      <c r="X37" s="1610"/>
      <c r="Y37" s="1610"/>
      <c r="Z37" s="1610"/>
      <c r="AA37" s="1610"/>
      <c r="AB37" s="1525">
        <f>AB38+AB39+AB40</f>
        <v>11022.147355999999</v>
      </c>
      <c r="AC37" s="1525">
        <f>AC38+AC39+AC40</f>
        <v>100</v>
      </c>
      <c r="AD37" s="1525">
        <f t="shared" ref="AD37:AF37" si="19">AD38+AD39+AD40</f>
        <v>500</v>
      </c>
      <c r="AE37" s="1525">
        <f t="shared" si="19"/>
        <v>7264.894706</v>
      </c>
      <c r="AF37" s="1525">
        <f t="shared" si="19"/>
        <v>3157.2526499999999</v>
      </c>
      <c r="AG37" s="1469">
        <f>AG39+AG42+AG40</f>
        <v>0</v>
      </c>
      <c r="AH37" s="1439">
        <f>AH39+AH42+AH40</f>
        <v>0</v>
      </c>
      <c r="AM37" s="1435">
        <f t="shared" si="8"/>
        <v>4136.9953559999994</v>
      </c>
      <c r="AN37" s="1622">
        <f t="shared" si="9"/>
        <v>-4136.9953559999994</v>
      </c>
      <c r="AO37" s="1389">
        <f>AB37-C37</f>
        <v>4136.9953559999994</v>
      </c>
      <c r="AP37" s="1389">
        <f>AB37+L37</f>
        <v>11022.147355999999</v>
      </c>
      <c r="AQ37" s="1389">
        <f t="shared" si="14"/>
        <v>6885.152</v>
      </c>
      <c r="AR37" s="1389">
        <f>J37-C37</f>
        <v>-6885.152</v>
      </c>
      <c r="AS37" s="1388">
        <f>'ĐT_ Nội vụ_ điều chỉnh'!F15/1000000</f>
        <v>12431.147355999999</v>
      </c>
      <c r="AT37" s="1447">
        <f>AS37-AB37</f>
        <v>1409</v>
      </c>
    </row>
    <row r="38" spans="1:46" s="1528" customFormat="1" ht="37.5">
      <c r="A38" s="1582"/>
      <c r="B38" s="1583" t="s">
        <v>2135</v>
      </c>
      <c r="C38" s="1592"/>
      <c r="D38" s="1584"/>
      <c r="E38" s="1585"/>
      <c r="F38" s="1585"/>
      <c r="G38" s="1585"/>
      <c r="H38" s="1585"/>
      <c r="I38" s="1585"/>
      <c r="J38" s="1620"/>
      <c r="K38" s="1594">
        <f t="shared" si="6"/>
        <v>4136.9953559999994</v>
      </c>
      <c r="L38" s="1584"/>
      <c r="M38" s="1585"/>
      <c r="N38" s="1585"/>
      <c r="O38" s="1585"/>
      <c r="P38" s="1585"/>
      <c r="Q38" s="1585"/>
      <c r="R38" s="1608">
        <f t="shared" si="15"/>
        <v>0</v>
      </c>
      <c r="S38" s="1608">
        <f t="shared" si="7"/>
        <v>0</v>
      </c>
      <c r="T38" s="1585"/>
      <c r="U38" s="1611"/>
      <c r="V38" s="1611"/>
      <c r="W38" s="1611"/>
      <c r="X38" s="1611"/>
      <c r="Y38" s="1611"/>
      <c r="Z38" s="1611"/>
      <c r="AA38" s="1611"/>
      <c r="AB38" s="1586">
        <f>AC38+AD38+AE38+AF38</f>
        <v>4136.9953559999994</v>
      </c>
      <c r="AC38" s="1584">
        <f>'[10]Sheet1 (2)'!$J$49/1000000</f>
        <v>100</v>
      </c>
      <c r="AD38" s="1585"/>
      <c r="AE38" s="1585">
        <f>'[10]Sheet1 (2)'!$J$15/1000000</f>
        <v>879.742706</v>
      </c>
      <c r="AF38" s="1585">
        <f>'[10]Sheet1 (2)'!$J$28/1000000</f>
        <v>3157.2526499999999</v>
      </c>
      <c r="AG38" s="1587"/>
      <c r="AH38" s="1588"/>
      <c r="AM38" s="1435"/>
      <c r="AN38" s="1622">
        <f t="shared" si="9"/>
        <v>-4136.9953559999994</v>
      </c>
      <c r="AO38" s="1453"/>
      <c r="AP38" s="1453"/>
      <c r="AQ38" s="1453"/>
      <c r="AR38" s="1453"/>
      <c r="AT38" s="1595"/>
    </row>
    <row r="39" spans="1:46" s="1600" customFormat="1" ht="37.5">
      <c r="A39" s="1597">
        <v>12.1</v>
      </c>
      <c r="B39" s="1598" t="s">
        <v>2119</v>
      </c>
      <c r="C39" s="1592">
        <f t="shared" si="10"/>
        <v>2385.152</v>
      </c>
      <c r="D39" s="1599"/>
      <c r="E39" s="1585">
        <v>500</v>
      </c>
      <c r="F39" s="1585">
        <f>('[6]Giao các đơn vị'!K14)/1000000-E39</f>
        <v>1885.152</v>
      </c>
      <c r="G39" s="1585">
        <v>0</v>
      </c>
      <c r="H39" s="1585"/>
      <c r="I39" s="1585"/>
      <c r="J39" s="1620">
        <f t="shared" ref="J39:J44" si="20">L39+T39+Z39</f>
        <v>0</v>
      </c>
      <c r="K39" s="1594">
        <f t="shared" si="6"/>
        <v>2385.152</v>
      </c>
      <c r="L39" s="1584">
        <f t="shared" si="11"/>
        <v>0</v>
      </c>
      <c r="M39" s="1585"/>
      <c r="N39" s="1585"/>
      <c r="O39" s="1585"/>
      <c r="P39" s="1585">
        <v>0</v>
      </c>
      <c r="Q39" s="1585"/>
      <c r="R39" s="1608">
        <f t="shared" si="15"/>
        <v>0</v>
      </c>
      <c r="S39" s="1608">
        <f t="shared" si="7"/>
        <v>0</v>
      </c>
      <c r="T39" s="1585">
        <f t="shared" si="12"/>
        <v>0</v>
      </c>
      <c r="U39" s="1611"/>
      <c r="V39" s="1611"/>
      <c r="W39" s="1611"/>
      <c r="X39" s="1611"/>
      <c r="Y39" s="1611"/>
      <c r="Z39" s="1611"/>
      <c r="AA39" s="1611"/>
      <c r="AB39" s="1586">
        <f t="shared" ref="AB39:AB40" si="21">AC39+AD39+AE39+AF39</f>
        <v>2385.152</v>
      </c>
      <c r="AC39" s="1585"/>
      <c r="AD39" s="1585">
        <v>500</v>
      </c>
      <c r="AE39" s="1585">
        <f>F39</f>
        <v>1885.152</v>
      </c>
      <c r="AF39" s="1585"/>
      <c r="AG39" s="1587">
        <v>0</v>
      </c>
      <c r="AH39" s="1588">
        <v>0</v>
      </c>
      <c r="AM39" s="1435">
        <f>AB39-C39</f>
        <v>0</v>
      </c>
      <c r="AN39" s="1622">
        <f t="shared" si="9"/>
        <v>0</v>
      </c>
      <c r="AO39" s="1453"/>
      <c r="AP39" s="1453"/>
      <c r="AQ39" s="1453">
        <f t="shared" si="14"/>
        <v>0</v>
      </c>
      <c r="AR39" s="1453"/>
    </row>
    <row r="40" spans="1:46" s="1600" customFormat="1">
      <c r="A40" s="1597">
        <v>12.2</v>
      </c>
      <c r="B40" s="1598" t="s">
        <v>1344</v>
      </c>
      <c r="C40" s="1592">
        <f t="shared" si="10"/>
        <v>4500</v>
      </c>
      <c r="D40" s="1599"/>
      <c r="E40" s="1585"/>
      <c r="F40" s="1585">
        <f>'[6]Giao các đơn vị'!G26/1000000</f>
        <v>4500</v>
      </c>
      <c r="G40" s="1585">
        <v>0</v>
      </c>
      <c r="H40" s="1585"/>
      <c r="I40" s="1585"/>
      <c r="J40" s="1620">
        <f t="shared" si="20"/>
        <v>0</v>
      </c>
      <c r="K40" s="1594">
        <f t="shared" si="6"/>
        <v>4500</v>
      </c>
      <c r="L40" s="1584">
        <f t="shared" si="11"/>
        <v>0</v>
      </c>
      <c r="M40" s="1585"/>
      <c r="N40" s="1585"/>
      <c r="O40" s="1585"/>
      <c r="P40" s="1585">
        <v>0</v>
      </c>
      <c r="Q40" s="1585"/>
      <c r="R40" s="1608">
        <f t="shared" si="15"/>
        <v>0</v>
      </c>
      <c r="S40" s="1608">
        <f t="shared" si="7"/>
        <v>0</v>
      </c>
      <c r="T40" s="1585">
        <f t="shared" si="12"/>
        <v>0</v>
      </c>
      <c r="U40" s="1611"/>
      <c r="V40" s="1611"/>
      <c r="W40" s="1611"/>
      <c r="X40" s="1611"/>
      <c r="Y40" s="1611"/>
      <c r="Z40" s="1611"/>
      <c r="AA40" s="1611"/>
      <c r="AB40" s="1586">
        <f t="shared" si="21"/>
        <v>4500</v>
      </c>
      <c r="AC40" s="1585"/>
      <c r="AD40" s="1585"/>
      <c r="AE40" s="1585">
        <f>'ĐT_ Nội vụ_ điều chỉnh'!F33/1000000</f>
        <v>4500</v>
      </c>
      <c r="AF40" s="1585">
        <v>0</v>
      </c>
      <c r="AG40" s="1587">
        <v>0</v>
      </c>
      <c r="AH40" s="1588">
        <v>0</v>
      </c>
      <c r="AM40" s="1435">
        <f>AB40-C40</f>
        <v>0</v>
      </c>
      <c r="AN40" s="1622">
        <f t="shared" si="9"/>
        <v>0</v>
      </c>
      <c r="AO40" s="1453"/>
      <c r="AP40" s="1453"/>
      <c r="AQ40" s="1453">
        <f t="shared" si="14"/>
        <v>0</v>
      </c>
      <c r="AR40" s="1453">
        <f>J40-C40</f>
        <v>-4500</v>
      </c>
    </row>
    <row r="41" spans="1:46" ht="75">
      <c r="A41" s="315">
        <v>13</v>
      </c>
      <c r="B41" s="1463" t="str">
        <f>'[6]Giao các đơn vị'!B25</f>
        <v>Chi quản lý nhà nước trong năm như bổ sung tiền lương cho biên chế tuyển dụng mới, nâng lương trước hạn, chế độ nghỉ việc và các nội dung quản lý nhà nước khác</v>
      </c>
      <c r="C41" s="1591">
        <f t="shared" si="10"/>
        <v>4000</v>
      </c>
      <c r="D41" s="1522"/>
      <c r="E41" s="1524"/>
      <c r="F41" s="1524">
        <v>4000</v>
      </c>
      <c r="G41" s="1524"/>
      <c r="H41" s="1524"/>
      <c r="I41" s="1524"/>
      <c r="J41" s="1620">
        <f t="shared" si="20"/>
        <v>0</v>
      </c>
      <c r="K41" s="1437">
        <f t="shared" si="6"/>
        <v>4244.6635480000004</v>
      </c>
      <c r="L41" s="1522">
        <f t="shared" si="11"/>
        <v>0</v>
      </c>
      <c r="M41" s="1524"/>
      <c r="N41" s="1524"/>
      <c r="O41" s="1524"/>
      <c r="P41" s="1524"/>
      <c r="Q41" s="1524"/>
      <c r="R41" s="1608">
        <f t="shared" si="15"/>
        <v>0</v>
      </c>
      <c r="S41" s="1608">
        <f t="shared" si="7"/>
        <v>0</v>
      </c>
      <c r="T41" s="1524">
        <f t="shared" si="12"/>
        <v>0</v>
      </c>
      <c r="U41" s="1610"/>
      <c r="V41" s="1610"/>
      <c r="W41" s="1610"/>
      <c r="X41" s="1610"/>
      <c r="Y41" s="1610"/>
      <c r="Z41" s="1610">
        <v>0</v>
      </c>
      <c r="AA41" s="1610"/>
      <c r="AB41" s="1525">
        <f>SUM(AC41:AF41)</f>
        <v>4244.6635480000004</v>
      </c>
      <c r="AC41" s="1524"/>
      <c r="AD41" s="1524"/>
      <c r="AE41" s="1524">
        <f>4000+244.663548</f>
        <v>4244.6635480000004</v>
      </c>
      <c r="AF41" s="1524"/>
      <c r="AG41" s="1469"/>
      <c r="AH41" s="1439"/>
      <c r="AM41" s="1435">
        <f>AB41-C41</f>
        <v>244.66354800000045</v>
      </c>
      <c r="AN41" s="1622">
        <f t="shared" si="9"/>
        <v>-244.66354800000045</v>
      </c>
      <c r="AO41" s="1389">
        <f>AB41-C41</f>
        <v>244.66354800000045</v>
      </c>
      <c r="AP41" s="1389">
        <f>AB41+L41</f>
        <v>4244.6635480000004</v>
      </c>
      <c r="AQ41" s="1389">
        <f t="shared" si="14"/>
        <v>4000</v>
      </c>
      <c r="AR41" s="1389">
        <f>J41-C41</f>
        <v>-4000</v>
      </c>
    </row>
    <row r="42" spans="1:46">
      <c r="A42" s="315">
        <v>14</v>
      </c>
      <c r="B42" s="1463" t="s">
        <v>2108</v>
      </c>
      <c r="C42" s="1591">
        <f t="shared" si="10"/>
        <v>1409</v>
      </c>
      <c r="D42" s="1522">
        <f>'nội vụ V'!C38/1000000</f>
        <v>1409</v>
      </c>
      <c r="E42" s="1524">
        <v>0</v>
      </c>
      <c r="F42" s="1524">
        <v>0</v>
      </c>
      <c r="G42" s="1524">
        <v>0</v>
      </c>
      <c r="H42" s="1524"/>
      <c r="I42" s="1524"/>
      <c r="J42" s="1620">
        <f t="shared" si="20"/>
        <v>0</v>
      </c>
      <c r="K42" s="1437">
        <f t="shared" si="6"/>
        <v>1409</v>
      </c>
      <c r="L42" s="1522">
        <f t="shared" si="11"/>
        <v>0</v>
      </c>
      <c r="M42" s="1524"/>
      <c r="N42" s="1524"/>
      <c r="O42" s="1524">
        <v>0</v>
      </c>
      <c r="P42" s="1524">
        <v>0</v>
      </c>
      <c r="Q42" s="1524"/>
      <c r="R42" s="1608">
        <f t="shared" si="15"/>
        <v>0</v>
      </c>
      <c r="S42" s="1608">
        <f t="shared" si="7"/>
        <v>0</v>
      </c>
      <c r="T42" s="1524">
        <f t="shared" si="12"/>
        <v>0</v>
      </c>
      <c r="U42" s="1610"/>
      <c r="V42" s="1610"/>
      <c r="W42" s="1610"/>
      <c r="X42" s="1610"/>
      <c r="Y42" s="1610"/>
      <c r="Z42" s="1610"/>
      <c r="AA42" s="1610"/>
      <c r="AB42" s="1525">
        <f t="shared" si="13"/>
        <v>1409</v>
      </c>
      <c r="AC42" s="1524">
        <f>'ĐT_ Nội vụ_ điều chỉnh'!C52/1000000</f>
        <v>1409</v>
      </c>
      <c r="AD42" s="1524">
        <v>0</v>
      </c>
      <c r="AE42" s="1524">
        <v>0</v>
      </c>
      <c r="AF42" s="1524">
        <v>0</v>
      </c>
      <c r="AG42" s="1469">
        <v>0</v>
      </c>
      <c r="AH42" s="1439">
        <v>0</v>
      </c>
      <c r="AM42" s="1435">
        <f>AB42-C42</f>
        <v>0</v>
      </c>
      <c r="AN42" s="1622">
        <f t="shared" si="9"/>
        <v>0</v>
      </c>
      <c r="AO42" s="1389">
        <f>AB42-C42</f>
        <v>0</v>
      </c>
      <c r="AP42" s="1389">
        <f>AB42+L42</f>
        <v>1409</v>
      </c>
      <c r="AQ42" s="1389">
        <f t="shared" si="14"/>
        <v>1409</v>
      </c>
      <c r="AR42" s="1389">
        <f>J42-C42</f>
        <v>-1409</v>
      </c>
    </row>
    <row r="43" spans="1:46" s="1528" customFormat="1" ht="37.5" hidden="1">
      <c r="A43" s="1582">
        <v>15</v>
      </c>
      <c r="B43" s="1583" t="s">
        <v>2109</v>
      </c>
      <c r="C43" s="1592">
        <f t="shared" si="10"/>
        <v>0</v>
      </c>
      <c r="D43" s="1584"/>
      <c r="E43" s="1585"/>
      <c r="F43" s="1585"/>
      <c r="G43" s="1585">
        <v>0</v>
      </c>
      <c r="H43" s="1585"/>
      <c r="I43" s="1585"/>
      <c r="J43" s="1620">
        <f t="shared" si="20"/>
        <v>0</v>
      </c>
      <c r="K43" s="1437">
        <f t="shared" si="6"/>
        <v>0</v>
      </c>
      <c r="L43" s="1584">
        <f t="shared" si="11"/>
        <v>0</v>
      </c>
      <c r="M43" s="1585"/>
      <c r="N43" s="1585"/>
      <c r="O43" s="1585">
        <v>0</v>
      </c>
      <c r="P43" s="1585">
        <v>0</v>
      </c>
      <c r="Q43" s="1585"/>
      <c r="R43" s="1611"/>
      <c r="S43" s="1608">
        <f t="shared" si="7"/>
        <v>0</v>
      </c>
      <c r="T43" s="1585">
        <f t="shared" si="12"/>
        <v>0</v>
      </c>
      <c r="U43" s="1611"/>
      <c r="V43" s="1611"/>
      <c r="W43" s="1611"/>
      <c r="X43" s="1611"/>
      <c r="Y43" s="1611"/>
      <c r="Z43" s="1611"/>
      <c r="AA43" s="1611"/>
      <c r="AB43" s="1586">
        <f t="shared" si="13"/>
        <v>0</v>
      </c>
      <c r="AC43" s="1585"/>
      <c r="AD43" s="1585"/>
      <c r="AE43" s="1585"/>
      <c r="AF43" s="1585">
        <v>0</v>
      </c>
      <c r="AG43" s="1587">
        <v>0</v>
      </c>
      <c r="AH43" s="1588">
        <v>0</v>
      </c>
      <c r="AO43" s="1389">
        <f>AB43-C43</f>
        <v>0</v>
      </c>
      <c r="AP43" s="1389">
        <f>AB43+L43</f>
        <v>0</v>
      </c>
      <c r="AQ43" s="1389">
        <f t="shared" si="14"/>
        <v>0</v>
      </c>
      <c r="AR43" s="1453">
        <f>J43-C43</f>
        <v>0</v>
      </c>
    </row>
    <row r="44" spans="1:46" s="1392" customFormat="1" hidden="1">
      <c r="A44" s="1440" t="s">
        <v>12</v>
      </c>
      <c r="B44" s="1440" t="s">
        <v>2110</v>
      </c>
      <c r="C44" s="1440"/>
      <c r="D44" s="1440"/>
      <c r="E44" s="1440"/>
      <c r="F44" s="1440"/>
      <c r="G44" s="1440"/>
      <c r="H44" s="1440"/>
      <c r="I44" s="1440"/>
      <c r="J44" s="1620">
        <f t="shared" si="20"/>
        <v>0</v>
      </c>
      <c r="K44" s="1535"/>
      <c r="L44" s="1522">
        <f>SUM(M44:Z44)</f>
        <v>0</v>
      </c>
      <c r="M44" s="1440"/>
      <c r="N44" s="1440"/>
      <c r="O44" s="1440"/>
      <c r="P44" s="1440"/>
      <c r="Q44" s="1440"/>
      <c r="R44" s="1612"/>
      <c r="S44" s="1608">
        <f t="shared" si="7"/>
        <v>0</v>
      </c>
      <c r="T44" s="1440"/>
      <c r="U44" s="1612"/>
      <c r="V44" s="1612"/>
      <c r="W44" s="1612"/>
      <c r="X44" s="1612"/>
      <c r="Y44" s="1612"/>
      <c r="Z44" s="1612"/>
      <c r="AA44" s="1612"/>
      <c r="AB44" s="1527"/>
      <c r="AC44" s="1440"/>
      <c r="AD44" s="1440"/>
      <c r="AE44" s="1440"/>
      <c r="AF44" s="1440"/>
      <c r="AO44" s="1389">
        <f>AB44-C44</f>
        <v>0</v>
      </c>
    </row>
    <row r="45" spans="1:46" s="1528" customFormat="1">
      <c r="C45" s="1593"/>
      <c r="F45" s="1453"/>
      <c r="J45" s="1621"/>
      <c r="L45" s="1388"/>
      <c r="M45" s="1388"/>
      <c r="N45" s="1388"/>
      <c r="O45" s="1388"/>
      <c r="P45" s="1388"/>
      <c r="Q45" s="1388"/>
      <c r="R45" s="1613"/>
      <c r="S45" s="1613"/>
      <c r="T45" s="1388"/>
      <c r="U45" s="1613"/>
      <c r="V45" s="1613"/>
      <c r="W45" s="1613"/>
      <c r="X45" s="1613"/>
      <c r="Y45" s="1613"/>
      <c r="Z45" s="1613"/>
      <c r="AA45" s="1613"/>
      <c r="AB45" s="1529"/>
      <c r="AC45" s="1388"/>
      <c r="AD45" s="1388"/>
      <c r="AE45" s="1389"/>
      <c r="AF45" s="1388"/>
      <c r="AO45" s="1453"/>
      <c r="AP45" s="1453"/>
      <c r="AQ45" s="1453"/>
    </row>
    <row r="46" spans="1:46" s="1528" customFormat="1">
      <c r="C46" s="1593"/>
      <c r="E46" s="1530"/>
      <c r="F46" s="1453"/>
      <c r="J46" s="1621"/>
      <c r="L46" s="1388"/>
      <c r="M46" s="1388"/>
      <c r="N46" s="1388"/>
      <c r="O46" s="1388"/>
      <c r="P46" s="1388"/>
      <c r="Q46" s="1388"/>
      <c r="R46" s="1613"/>
      <c r="S46" s="1613"/>
      <c r="T46" s="1388"/>
      <c r="U46" s="1613"/>
      <c r="V46" s="1613"/>
      <c r="W46" s="1613"/>
      <c r="X46" s="1613"/>
      <c r="Y46" s="1613"/>
      <c r="Z46" s="1613"/>
      <c r="AA46" s="1613"/>
      <c r="AB46" s="1529"/>
      <c r="AC46" s="1388"/>
      <c r="AD46" s="1388"/>
      <c r="AE46" s="1388"/>
      <c r="AF46" s="1388"/>
      <c r="AR46" s="1557"/>
    </row>
    <row r="47" spans="1:46">
      <c r="T47" s="1435"/>
      <c r="Z47" s="1614"/>
      <c r="AA47" s="1614"/>
      <c r="AC47" s="1389"/>
      <c r="AR47" s="1529"/>
      <c r="AS47" s="1435"/>
    </row>
    <row r="48" spans="1:46">
      <c r="C48" s="1391"/>
      <c r="D48" s="1389"/>
      <c r="T48" s="1435"/>
      <c r="Z48" s="1614"/>
      <c r="AA48" s="1614"/>
      <c r="AR48" s="1435"/>
    </row>
    <row r="49" spans="3:44">
      <c r="C49" s="1391"/>
      <c r="T49" s="1435"/>
      <c r="AD49" s="1389"/>
      <c r="AR49" s="1435"/>
    </row>
    <row r="50" spans="3:44">
      <c r="C50" s="1391"/>
      <c r="AR50" s="1435"/>
    </row>
    <row r="51" spans="3:44">
      <c r="O51" s="1389"/>
    </row>
    <row r="52" spans="3:44">
      <c r="O52" s="1389"/>
      <c r="AR52" s="1389"/>
    </row>
  </sheetData>
  <mergeCells count="36">
    <mergeCell ref="A1:AF1"/>
    <mergeCell ref="A3:AF3"/>
    <mergeCell ref="A4:AF4"/>
    <mergeCell ref="A6:A9"/>
    <mergeCell ref="B6:B9"/>
    <mergeCell ref="C6:H7"/>
    <mergeCell ref="J6:AF6"/>
    <mergeCell ref="J7:J9"/>
    <mergeCell ref="K7:K9"/>
    <mergeCell ref="L7:P7"/>
    <mergeCell ref="T8:T9"/>
    <mergeCell ref="AB7:AF7"/>
    <mergeCell ref="C8:C9"/>
    <mergeCell ref="D8:D9"/>
    <mergeCell ref="E8:E9"/>
    <mergeCell ref="F8:F9"/>
    <mergeCell ref="G8:G9"/>
    <mergeCell ref="H8:H9"/>
    <mergeCell ref="L8:L9"/>
    <mergeCell ref="M8:M9"/>
    <mergeCell ref="N8:N9"/>
    <mergeCell ref="O8:O9"/>
    <mergeCell ref="P8:P9"/>
    <mergeCell ref="Q8:Q9"/>
    <mergeCell ref="R8:R9"/>
    <mergeCell ref="S8:S9"/>
    <mergeCell ref="AE8:AE9"/>
    <mergeCell ref="AF8:AF9"/>
    <mergeCell ref="AG8:AG9"/>
    <mergeCell ref="AH8:AH9"/>
    <mergeCell ref="W8:W9"/>
    <mergeCell ref="Z8:Z9"/>
    <mergeCell ref="AA8:AA9"/>
    <mergeCell ref="AB8:AB9"/>
    <mergeCell ref="AC8:AC9"/>
    <mergeCell ref="AD8:AD9"/>
  </mergeCells>
  <pageMargins left="0.51181102362204722" right="0.31496062992125984" top="0.74803149606299213" bottom="0.74803149606299213" header="0.31496062992125984" footer="0.31496062992125984"/>
  <pageSetup paperSize="9" scale="33" fitToHeight="0"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1"/>
  <sheetViews>
    <sheetView topLeftCell="A4" zoomScale="70" zoomScaleNormal="70" workbookViewId="0">
      <selection activeCell="O15" sqref="O15:O30"/>
    </sheetView>
  </sheetViews>
  <sheetFormatPr defaultColWidth="11.5703125" defaultRowHeight="18.75"/>
  <cols>
    <col min="1" max="1" width="7.42578125" style="1388" bestFit="1" customWidth="1"/>
    <col min="2" max="2" width="58.85546875" style="1388" customWidth="1"/>
    <col min="3" max="3" width="22.42578125" style="1388" bestFit="1" customWidth="1"/>
    <col min="4" max="4" width="22.42578125" style="1388" customWidth="1"/>
    <col min="5" max="5" width="16.42578125" style="1388" customWidth="1"/>
    <col min="6" max="6" width="17.7109375" style="1388" customWidth="1"/>
    <col min="7" max="11" width="15.28515625" style="1388" customWidth="1"/>
    <col min="12" max="12" width="16.42578125" style="1388" customWidth="1"/>
    <col min="13" max="13" width="17.7109375" style="1388" customWidth="1"/>
    <col min="14" max="15" width="15.28515625" style="1388" customWidth="1"/>
    <col min="16" max="16" width="25.28515625" style="1529" customWidth="1"/>
    <col min="17" max="17" width="15.28515625" style="1388" customWidth="1"/>
    <col min="18" max="18" width="16.42578125" style="1388" customWidth="1"/>
    <col min="19" max="19" width="17.7109375" style="1388" customWidth="1"/>
    <col min="20" max="20" width="15.28515625" style="1388" customWidth="1"/>
    <col min="21" max="21" width="12.7109375" style="1388" hidden="1" customWidth="1"/>
    <col min="22" max="22" width="17.7109375" style="1388" hidden="1" customWidth="1"/>
    <col min="23" max="23" width="0" style="1388" hidden="1" customWidth="1"/>
    <col min="24" max="24" width="12.42578125" style="1388" hidden="1" customWidth="1"/>
    <col min="25" max="25" width="17.7109375" style="1388" hidden="1" customWidth="1"/>
    <col min="26" max="26" width="0" style="1388" hidden="1" customWidth="1"/>
    <col min="27" max="27" width="25.140625" style="1388" bestFit="1" customWidth="1"/>
    <col min="28" max="28" width="21.85546875" style="1388" bestFit="1" customWidth="1"/>
    <col min="29" max="30" width="13.5703125" style="1388" bestFit="1" customWidth="1"/>
    <col min="31" max="16384" width="11.5703125" style="1388"/>
  </cols>
  <sheetData>
    <row r="1" spans="1:30">
      <c r="A1" s="1810" t="s">
        <v>2124</v>
      </c>
      <c r="B1" s="1810"/>
      <c r="C1" s="1810"/>
      <c r="D1" s="1810"/>
      <c r="E1" s="1810"/>
      <c r="F1" s="1810"/>
      <c r="G1" s="1810"/>
      <c r="H1" s="1810"/>
      <c r="I1" s="1810"/>
      <c r="J1" s="1810"/>
      <c r="K1" s="1810"/>
      <c r="L1" s="1810"/>
      <c r="M1" s="1810"/>
      <c r="N1" s="1810"/>
      <c r="O1" s="1810"/>
      <c r="P1" s="1810"/>
      <c r="Q1" s="1810"/>
      <c r="R1" s="1810"/>
      <c r="S1" s="1810"/>
      <c r="T1" s="1810"/>
      <c r="U1" s="1459"/>
    </row>
    <row r="2" spans="1:30">
      <c r="A2" s="1531"/>
      <c r="B2" s="1531"/>
      <c r="C2" s="1531"/>
      <c r="D2" s="1531"/>
      <c r="E2" s="1531"/>
      <c r="F2" s="1531"/>
      <c r="G2" s="1531"/>
      <c r="H2" s="1538"/>
      <c r="I2" s="1533"/>
      <c r="J2" s="1531"/>
      <c r="K2" s="1531"/>
      <c r="L2" s="1531"/>
      <c r="M2" s="1531"/>
      <c r="N2" s="1531"/>
      <c r="O2" s="1531"/>
      <c r="P2" s="1531"/>
      <c r="Q2" s="1531"/>
      <c r="R2" s="1531"/>
      <c r="S2" s="1531"/>
      <c r="T2" s="1531"/>
      <c r="U2" s="1459"/>
    </row>
    <row r="3" spans="1:30">
      <c r="A3" s="1667" t="s">
        <v>2094</v>
      </c>
      <c r="B3" s="1667"/>
      <c r="C3" s="1667"/>
      <c r="D3" s="1667"/>
      <c r="E3" s="1667"/>
      <c r="F3" s="1667"/>
      <c r="G3" s="1667"/>
      <c r="H3" s="1667"/>
      <c r="I3" s="1667"/>
      <c r="J3" s="1667"/>
      <c r="K3" s="1667"/>
      <c r="L3" s="1667"/>
      <c r="M3" s="1667"/>
      <c r="N3" s="1667"/>
      <c r="O3" s="1667"/>
      <c r="P3" s="1667"/>
      <c r="Q3" s="1667"/>
      <c r="R3" s="1667"/>
      <c r="S3" s="1667"/>
      <c r="T3" s="1667"/>
      <c r="U3" s="1454"/>
    </row>
    <row r="4" spans="1:30">
      <c r="A4" s="1668" t="s">
        <v>2125</v>
      </c>
      <c r="B4" s="1668"/>
      <c r="C4" s="1668"/>
      <c r="D4" s="1668"/>
      <c r="E4" s="1668"/>
      <c r="F4" s="1668"/>
      <c r="G4" s="1668"/>
      <c r="H4" s="1668"/>
      <c r="I4" s="1668"/>
      <c r="J4" s="1668"/>
      <c r="K4" s="1668"/>
      <c r="L4" s="1668"/>
      <c r="M4" s="1668"/>
      <c r="N4" s="1668"/>
      <c r="O4" s="1668"/>
      <c r="P4" s="1668"/>
      <c r="Q4" s="1668"/>
      <c r="R4" s="1668"/>
      <c r="S4" s="1668"/>
      <c r="T4" s="1668"/>
      <c r="U4" s="1455"/>
    </row>
    <row r="5" spans="1:30">
      <c r="A5" s="1455"/>
      <c r="B5" s="1455"/>
      <c r="C5" s="1455"/>
      <c r="D5" s="1455"/>
      <c r="E5" s="1455"/>
      <c r="F5" s="1455"/>
      <c r="G5" s="1455"/>
      <c r="H5" s="1537"/>
      <c r="I5" s="1532"/>
      <c r="J5" s="1455"/>
      <c r="K5" s="1455"/>
      <c r="L5" s="1455"/>
      <c r="M5" s="1455"/>
      <c r="N5" s="1455"/>
      <c r="O5" s="1455"/>
      <c r="P5" s="1470"/>
      <c r="Q5" s="1455"/>
      <c r="R5" s="1455"/>
      <c r="S5" s="1455"/>
      <c r="T5" s="1455"/>
      <c r="U5" s="1455"/>
    </row>
    <row r="6" spans="1:30">
      <c r="A6" s="1803" t="s">
        <v>0</v>
      </c>
      <c r="B6" s="1803" t="s">
        <v>1617</v>
      </c>
      <c r="C6" s="1811" t="s">
        <v>2113</v>
      </c>
      <c r="D6" s="1812"/>
      <c r="E6" s="1812"/>
      <c r="F6" s="1812"/>
      <c r="G6" s="1813"/>
      <c r="H6" s="1543"/>
      <c r="I6" s="1811" t="s">
        <v>2114</v>
      </c>
      <c r="J6" s="1812"/>
      <c r="K6" s="1812"/>
      <c r="L6" s="1812"/>
      <c r="M6" s="1812"/>
      <c r="N6" s="1812"/>
      <c r="O6" s="1812"/>
      <c r="P6" s="1812"/>
      <c r="Q6" s="1812"/>
      <c r="R6" s="1812"/>
      <c r="S6" s="1812"/>
      <c r="T6" s="1813"/>
      <c r="U6" s="1455"/>
      <c r="AB6" s="1389">
        <f>AB7+AB8</f>
        <v>430.69999999999982</v>
      </c>
      <c r="AC6" s="1389">
        <f>AC7+AC8</f>
        <v>70.700000000000045</v>
      </c>
    </row>
    <row r="7" spans="1:30" s="1443" customFormat="1" ht="16.5" customHeight="1">
      <c r="A7" s="1807"/>
      <c r="B7" s="1807"/>
      <c r="C7" s="1835"/>
      <c r="D7" s="1836"/>
      <c r="E7" s="1836"/>
      <c r="F7" s="1836"/>
      <c r="G7" s="1837"/>
      <c r="H7" s="1555"/>
      <c r="I7" s="1814" t="s">
        <v>1627</v>
      </c>
      <c r="J7" s="1817" t="s">
        <v>2123</v>
      </c>
      <c r="K7" s="1818"/>
      <c r="L7" s="1818"/>
      <c r="M7" s="1818"/>
      <c r="N7" s="1819"/>
      <c r="O7" s="1520"/>
      <c r="P7" s="1820" t="s">
        <v>2115</v>
      </c>
      <c r="Q7" s="1820"/>
      <c r="R7" s="1820"/>
      <c r="S7" s="1820"/>
      <c r="T7" s="1820"/>
      <c r="U7" s="1442"/>
      <c r="AB7" s="1451">
        <f>P17-C17</f>
        <v>376.69999999999982</v>
      </c>
      <c r="AC7" s="1452">
        <f>C18-J18</f>
        <v>34.700000000000045</v>
      </c>
    </row>
    <row r="8" spans="1:30" ht="24.75" customHeight="1">
      <c r="A8" s="1807"/>
      <c r="B8" s="1807"/>
      <c r="C8" s="1805" t="s">
        <v>1627</v>
      </c>
      <c r="D8" s="1805" t="s">
        <v>2111</v>
      </c>
      <c r="E8" s="1805" t="s">
        <v>2095</v>
      </c>
      <c r="F8" s="1805" t="s">
        <v>2096</v>
      </c>
      <c r="G8" s="1805" t="s">
        <v>2097</v>
      </c>
      <c r="H8" s="1544"/>
      <c r="I8" s="1815"/>
      <c r="J8" s="1805" t="s">
        <v>1627</v>
      </c>
      <c r="K8" s="1805" t="s">
        <v>2111</v>
      </c>
      <c r="L8" s="1805" t="s">
        <v>2095</v>
      </c>
      <c r="M8" s="1805" t="s">
        <v>2096</v>
      </c>
      <c r="N8" s="1805" t="s">
        <v>2097</v>
      </c>
      <c r="O8" s="1805" t="s">
        <v>2126</v>
      </c>
      <c r="P8" s="1806" t="s">
        <v>1627</v>
      </c>
      <c r="Q8" s="1805" t="s">
        <v>2111</v>
      </c>
      <c r="R8" s="1805" t="s">
        <v>2095</v>
      </c>
      <c r="S8" s="1805" t="s">
        <v>2096</v>
      </c>
      <c r="T8" s="1805" t="s">
        <v>2097</v>
      </c>
      <c r="U8" s="1808" t="s">
        <v>2098</v>
      </c>
      <c r="V8" s="1803" t="s">
        <v>2099</v>
      </c>
      <c r="AA8" s="1389">
        <f>AA9-AA15</f>
        <v>-169.63168299994413</v>
      </c>
      <c r="AB8" s="1447">
        <f>P16-C16</f>
        <v>54</v>
      </c>
      <c r="AC8" s="1389">
        <f>C19-J19</f>
        <v>36</v>
      </c>
    </row>
    <row r="9" spans="1:30" ht="84" customHeight="1">
      <c r="A9" s="1804"/>
      <c r="B9" s="1804"/>
      <c r="C9" s="1805"/>
      <c r="D9" s="1805"/>
      <c r="E9" s="1805"/>
      <c r="F9" s="1805"/>
      <c r="G9" s="1805"/>
      <c r="H9" s="1541"/>
      <c r="I9" s="1816"/>
      <c r="J9" s="1805"/>
      <c r="K9" s="1805"/>
      <c r="L9" s="1805"/>
      <c r="M9" s="1805"/>
      <c r="N9" s="1805"/>
      <c r="O9" s="1805"/>
      <c r="P9" s="1806"/>
      <c r="Q9" s="1805"/>
      <c r="R9" s="1805"/>
      <c r="S9" s="1805"/>
      <c r="T9" s="1805"/>
      <c r="U9" s="1809"/>
      <c r="V9" s="1804"/>
      <c r="AA9" s="1389">
        <f>I15-C15</f>
        <v>261.06831700005569</v>
      </c>
      <c r="AB9" s="1447">
        <f>AB10-C15</f>
        <v>-414.29523099993821</v>
      </c>
      <c r="AC9" s="1388">
        <f>287.93012+265.253428+51.48</f>
        <v>604.66354799999999</v>
      </c>
      <c r="AD9" s="1389">
        <f>AC9-AB6+AC6</f>
        <v>244.66354800000022</v>
      </c>
    </row>
    <row r="10" spans="1:30">
      <c r="A10" s="1441" t="s">
        <v>167</v>
      </c>
      <c r="B10" s="1461" t="s">
        <v>1268</v>
      </c>
      <c r="C10" s="1441">
        <v>1</v>
      </c>
      <c r="D10" s="1441">
        <v>2</v>
      </c>
      <c r="E10" s="1441">
        <v>3</v>
      </c>
      <c r="F10" s="1441">
        <v>4</v>
      </c>
      <c r="G10" s="1441">
        <v>5</v>
      </c>
      <c r="H10" s="1540"/>
      <c r="I10" s="1534"/>
      <c r="J10" s="1441">
        <v>6</v>
      </c>
      <c r="K10" s="1441">
        <v>7</v>
      </c>
      <c r="L10" s="1441">
        <v>8</v>
      </c>
      <c r="M10" s="1441">
        <v>9</v>
      </c>
      <c r="N10" s="1441">
        <v>10</v>
      </c>
      <c r="O10" s="1441">
        <v>11</v>
      </c>
      <c r="P10" s="1441">
        <v>12</v>
      </c>
      <c r="Q10" s="1441">
        <v>13</v>
      </c>
      <c r="R10" s="1441">
        <v>14</v>
      </c>
      <c r="S10" s="1441">
        <v>15</v>
      </c>
      <c r="T10" s="1441">
        <v>16</v>
      </c>
      <c r="U10" s="1466"/>
      <c r="V10" s="1436">
        <v>16</v>
      </c>
      <c r="AB10" s="1447">
        <f>P15+J15</f>
        <v>210737.37876900006</v>
      </c>
    </row>
    <row r="11" spans="1:30" hidden="1">
      <c r="A11" s="1441" t="s">
        <v>167</v>
      </c>
      <c r="B11" s="1461" t="s">
        <v>2100</v>
      </c>
      <c r="C11" s="1437" t="e">
        <f>SUM(C12:C14)</f>
        <v>#REF!</v>
      </c>
      <c r="D11" s="1437"/>
      <c r="E11" s="1437">
        <f t="shared" ref="E11:V11" si="0">SUM(E12:E14)</f>
        <v>219512</v>
      </c>
      <c r="F11" s="1437">
        <f t="shared" si="0"/>
        <v>140684</v>
      </c>
      <c r="G11" s="1437">
        <f t="shared" si="0"/>
        <v>122272</v>
      </c>
      <c r="H11" s="1437"/>
      <c r="I11" s="1437"/>
      <c r="J11" s="1437">
        <f>SUM(J12:J14)</f>
        <v>482468</v>
      </c>
      <c r="K11" s="1437"/>
      <c r="L11" s="1437">
        <f t="shared" ref="L11:N11" si="1">SUM(L12:L14)</f>
        <v>219512</v>
      </c>
      <c r="M11" s="1437">
        <f t="shared" si="1"/>
        <v>140684</v>
      </c>
      <c r="N11" s="1437">
        <f t="shared" si="1"/>
        <v>122272</v>
      </c>
      <c r="O11" s="1437"/>
      <c r="P11" s="1521">
        <f>SUM(P12:P14)</f>
        <v>482468</v>
      </c>
      <c r="Q11" s="1437"/>
      <c r="R11" s="1437">
        <f t="shared" ref="R11:T11" si="2">SUM(R12:R14)</f>
        <v>219512</v>
      </c>
      <c r="S11" s="1437">
        <f t="shared" si="2"/>
        <v>140684</v>
      </c>
      <c r="T11" s="1437">
        <f t="shared" si="2"/>
        <v>122272</v>
      </c>
      <c r="U11" s="1467"/>
      <c r="V11" s="1437">
        <f t="shared" si="0"/>
        <v>90654</v>
      </c>
    </row>
    <row r="12" spans="1:30" hidden="1">
      <c r="A12" s="315" t="s">
        <v>2</v>
      </c>
      <c r="B12" s="1462" t="s">
        <v>2101</v>
      </c>
      <c r="C12" s="317" t="e">
        <f>SUM(E12:E12)+F12+G12+#REF!</f>
        <v>#REF!</v>
      </c>
      <c r="D12" s="317"/>
      <c r="E12" s="1522">
        <f>130379+10813</f>
        <v>141192</v>
      </c>
      <c r="F12" s="1522">
        <f>27643+89361</f>
        <v>117004</v>
      </c>
      <c r="G12" s="1522">
        <f>117259+1408</f>
        <v>118667</v>
      </c>
      <c r="H12" s="1522"/>
      <c r="I12" s="1522"/>
      <c r="J12" s="317">
        <f>SUM(L12:L12)+M12+N12+AC12</f>
        <v>376863</v>
      </c>
      <c r="K12" s="1522"/>
      <c r="L12" s="1522">
        <f>130379+10813</f>
        <v>141192</v>
      </c>
      <c r="M12" s="1522">
        <f>27643+89361</f>
        <v>117004</v>
      </c>
      <c r="N12" s="1522">
        <f>117259+1408</f>
        <v>118667</v>
      </c>
      <c r="O12" s="1522"/>
      <c r="P12" s="1523">
        <f>SUM(R12:R12)+S12+T12+AH12</f>
        <v>376863</v>
      </c>
      <c r="Q12" s="1522"/>
      <c r="R12" s="1522">
        <f>130379+10813</f>
        <v>141192</v>
      </c>
      <c r="S12" s="1522">
        <f>27643+89361</f>
        <v>117004</v>
      </c>
      <c r="T12" s="1522">
        <f>117259+1408</f>
        <v>118667</v>
      </c>
      <c r="U12" s="1468"/>
      <c r="V12" s="1438">
        <v>90654</v>
      </c>
    </row>
    <row r="13" spans="1:30" hidden="1">
      <c r="A13" s="315" t="s">
        <v>12</v>
      </c>
      <c r="B13" s="1462" t="s">
        <v>624</v>
      </c>
      <c r="C13" s="317" t="e">
        <f>SUM(E13:E13)+F13+G13+#REF!</f>
        <v>#REF!</v>
      </c>
      <c r="D13" s="317"/>
      <c r="E13" s="1522">
        <f>56+77718</f>
        <v>77774</v>
      </c>
      <c r="F13" s="1522">
        <f>9248+3218</f>
        <v>12466</v>
      </c>
      <c r="G13" s="1522">
        <v>3605</v>
      </c>
      <c r="H13" s="1522"/>
      <c r="I13" s="1522"/>
      <c r="J13" s="317">
        <f>SUM(L13:L13)+M13+N13+AC13</f>
        <v>93845</v>
      </c>
      <c r="K13" s="1522"/>
      <c r="L13" s="1522">
        <f>56+77718</f>
        <v>77774</v>
      </c>
      <c r="M13" s="1522">
        <f>9248+3218</f>
        <v>12466</v>
      </c>
      <c r="N13" s="1522">
        <v>3605</v>
      </c>
      <c r="O13" s="1522"/>
      <c r="P13" s="1523">
        <f>SUM(R13:R13)+S13+T13+AH13</f>
        <v>93845</v>
      </c>
      <c r="Q13" s="1522"/>
      <c r="R13" s="1522">
        <f>56+77718</f>
        <v>77774</v>
      </c>
      <c r="S13" s="1522">
        <f>9248+3218</f>
        <v>12466</v>
      </c>
      <c r="T13" s="1522">
        <v>3605</v>
      </c>
      <c r="U13" s="1468"/>
      <c r="V13" s="1438"/>
    </row>
    <row r="14" spans="1:30" hidden="1">
      <c r="A14" s="315" t="s">
        <v>70</v>
      </c>
      <c r="B14" s="1462" t="s">
        <v>2102</v>
      </c>
      <c r="C14" s="317" t="e">
        <f>SUM(E14:E14)+F14+G14+#REF!</f>
        <v>#REF!</v>
      </c>
      <c r="D14" s="317"/>
      <c r="E14" s="1522">
        <v>546</v>
      </c>
      <c r="F14" s="1522">
        <v>11214</v>
      </c>
      <c r="G14" s="1522"/>
      <c r="H14" s="1522"/>
      <c r="I14" s="1522"/>
      <c r="J14" s="317">
        <f>SUM(L14:L14)+M14+N14+AC14</f>
        <v>11760</v>
      </c>
      <c r="K14" s="1522"/>
      <c r="L14" s="1522">
        <v>546</v>
      </c>
      <c r="M14" s="1522">
        <v>11214</v>
      </c>
      <c r="N14" s="1522"/>
      <c r="O14" s="1522"/>
      <c r="P14" s="1523">
        <f>SUM(R14:R14)+S14+T14+AH14</f>
        <v>11760</v>
      </c>
      <c r="Q14" s="1522"/>
      <c r="R14" s="1522">
        <v>546</v>
      </c>
      <c r="S14" s="1522">
        <v>11214</v>
      </c>
      <c r="T14" s="1522"/>
      <c r="U14" s="1468"/>
      <c r="V14" s="1438"/>
    </row>
    <row r="15" spans="1:30">
      <c r="A15" s="1441"/>
      <c r="B15" s="1461" t="s">
        <v>762</v>
      </c>
      <c r="C15" s="1437">
        <f t="shared" ref="C15:T15" si="3">SUM(C16:C32)-C28-C29</f>
        <v>211151.674</v>
      </c>
      <c r="D15" s="1437">
        <f t="shared" si="3"/>
        <v>1782</v>
      </c>
      <c r="E15" s="1437">
        <f>SUM(E16:E32)-E28-E29</f>
        <v>12750</v>
      </c>
      <c r="F15" s="1437">
        <f>SUM(F16:F32)-F28-F29</f>
        <v>62236.673999999999</v>
      </c>
      <c r="G15" s="1437">
        <f t="shared" si="3"/>
        <v>134383</v>
      </c>
      <c r="H15" s="1437"/>
      <c r="I15" s="1437">
        <f>SUM(I16:I32)-I28-I29</f>
        <v>211412.74231700005</v>
      </c>
      <c r="J15" s="1437">
        <f>SUM(J16:J32)-J28-J29</f>
        <v>37315.544762999998</v>
      </c>
      <c r="K15" s="1437">
        <f t="shared" si="3"/>
        <v>0</v>
      </c>
      <c r="L15" s="1437">
        <f>SUM(L16:L32)-L28-L29</f>
        <v>100</v>
      </c>
      <c r="M15" s="1437">
        <f t="shared" si="3"/>
        <v>3026.4535579999997</v>
      </c>
      <c r="N15" s="1437">
        <f t="shared" si="3"/>
        <v>34189.091204999997</v>
      </c>
      <c r="O15" s="1437">
        <f t="shared" si="3"/>
        <v>675.36354800000004</v>
      </c>
      <c r="P15" s="1521">
        <f>SUM(P16:P32)-P28-P29</f>
        <v>173421.83400600005</v>
      </c>
      <c r="Q15" s="1437">
        <f t="shared" si="3"/>
        <v>1782</v>
      </c>
      <c r="R15" s="1437">
        <f>SUM(R16:R32)-R28-R29</f>
        <v>12650</v>
      </c>
      <c r="S15" s="1437">
        <f>SUM(S16:S32)-S28-S29</f>
        <v>58788.996410999993</v>
      </c>
      <c r="T15" s="1437">
        <f t="shared" si="3"/>
        <v>100200.837595</v>
      </c>
      <c r="U15" s="1467" t="e">
        <f>SUM(U16:U32)-#REF!-U28-U29-#REF!</f>
        <v>#REF!</v>
      </c>
      <c r="V15" s="1437" t="e">
        <f>SUM(V16:V32)-#REF!-V28-V29-#REF!</f>
        <v>#REF!</v>
      </c>
      <c r="W15" s="1388">
        <f>SUM(E15:G15)*0.5%</f>
        <v>1046.8483699999999</v>
      </c>
      <c r="X15" s="1435"/>
      <c r="AA15" s="1389">
        <f>AA16+AA17</f>
        <v>430.69999999999982</v>
      </c>
      <c r="AB15" s="1389">
        <f>R15+L15</f>
        <v>12750</v>
      </c>
      <c r="AC15" s="1389">
        <f>AB15-E15</f>
        <v>0</v>
      </c>
      <c r="AD15" s="1389">
        <f>C15-J15-P15</f>
        <v>414.29523099996732</v>
      </c>
    </row>
    <row r="16" spans="1:30">
      <c r="A16" s="315">
        <v>1</v>
      </c>
      <c r="B16" s="1463" t="s">
        <v>1147</v>
      </c>
      <c r="C16" s="1522">
        <f>SUM(D16:G16)</f>
        <v>21729.08</v>
      </c>
      <c r="D16" s="1522"/>
      <c r="E16" s="1524">
        <f>700</f>
        <v>700</v>
      </c>
      <c r="F16" s="1524">
        <f>('[6]Giao các đơn vị'!K19)/1000000-E16</f>
        <v>21029.08</v>
      </c>
      <c r="G16" s="1524">
        <v>0</v>
      </c>
      <c r="H16" s="1524"/>
      <c r="I16" s="1535">
        <f>J16+P16+O16</f>
        <v>21783.08</v>
      </c>
      <c r="J16" s="1522">
        <f>SUM(K16:N16)</f>
        <v>0</v>
      </c>
      <c r="K16" s="1524"/>
      <c r="L16" s="1524">
        <v>0</v>
      </c>
      <c r="M16" s="1524">
        <v>0</v>
      </c>
      <c r="N16" s="1524">
        <v>0</v>
      </c>
      <c r="O16" s="1524"/>
      <c r="P16" s="1525">
        <f>SUM(Q16:T16)</f>
        <v>21783.08</v>
      </c>
      <c r="Q16" s="1524"/>
      <c r="R16" s="1524">
        <f>'Thành ủy V_điều chỉnh'!C34/1000000</f>
        <v>700</v>
      </c>
      <c r="S16" s="1524">
        <f>('Thành ủy V_điều chỉnh'!C12-'Thành ủy V_điều chỉnh'!C34)/1000000</f>
        <v>21083.08</v>
      </c>
      <c r="T16" s="1524">
        <v>0</v>
      </c>
      <c r="U16" s="1469">
        <v>0</v>
      </c>
      <c r="V16" s="1439">
        <v>0</v>
      </c>
      <c r="W16" s="1389">
        <f>F15-75690</f>
        <v>-13453.326000000001</v>
      </c>
      <c r="AA16" s="1389">
        <f>I16-C16</f>
        <v>54</v>
      </c>
      <c r="AB16" s="1389">
        <f>M15+S15+O15</f>
        <v>62490.813516999995</v>
      </c>
      <c r="AC16" s="1389">
        <f>AB16-F15</f>
        <v>254.13951699999598</v>
      </c>
      <c r="AD16" s="1389">
        <f>AD9-AD15</f>
        <v>-169.6316829999671</v>
      </c>
    </row>
    <row r="17" spans="1:30">
      <c r="A17" s="315">
        <v>2</v>
      </c>
      <c r="B17" s="1463" t="s">
        <v>2103</v>
      </c>
      <c r="C17" s="1522">
        <f t="shared" ref="C17:C32" si="4">SUM(D17:G17)</f>
        <v>2659.8</v>
      </c>
      <c r="D17" s="1522"/>
      <c r="E17" s="1524">
        <v>0</v>
      </c>
      <c r="F17" s="1524">
        <f>('[6]Giao các đơn vị'!K20)/1000000</f>
        <v>2659.8</v>
      </c>
      <c r="G17" s="1524">
        <v>0</v>
      </c>
      <c r="H17" s="1524"/>
      <c r="I17" s="1535">
        <f t="shared" ref="I17:I32" si="5">J17+P17+O17</f>
        <v>3036.5</v>
      </c>
      <c r="J17" s="1522">
        <f t="shared" ref="J17:J32" si="6">SUM(K17:N17)</f>
        <v>0</v>
      </c>
      <c r="K17" s="1524"/>
      <c r="L17" s="1524">
        <v>0</v>
      </c>
      <c r="M17" s="1524">
        <f>('[6]Giao các đơn vị'!Q20)/1000000</f>
        <v>0</v>
      </c>
      <c r="N17" s="1524">
        <v>0</v>
      </c>
      <c r="O17" s="1524"/>
      <c r="P17" s="1525">
        <f t="shared" ref="P17:P32" si="7">SUM(Q17:T17)</f>
        <v>3036.5</v>
      </c>
      <c r="Q17" s="1524"/>
      <c r="R17" s="1524">
        <v>0</v>
      </c>
      <c r="S17" s="1524">
        <f>'UBMTTQ V-điều chỉnh'!F15/1000000</f>
        <v>3036.5</v>
      </c>
      <c r="T17" s="1524">
        <v>0</v>
      </c>
      <c r="U17" s="1469">
        <v>0</v>
      </c>
      <c r="V17" s="1439">
        <v>0</v>
      </c>
      <c r="W17" s="1389">
        <f>SUM(E15:T15)</f>
        <v>842932.53740300017</v>
      </c>
      <c r="AA17" s="1389">
        <f t="shared" ref="AA17:AA32" si="8">I17-C17</f>
        <v>376.69999999999982</v>
      </c>
      <c r="AB17" s="1453">
        <f>N15+T15</f>
        <v>134389.92879999999</v>
      </c>
      <c r="AC17" s="1389">
        <f>AC15-AC16</f>
        <v>-254.13951699999598</v>
      </c>
    </row>
    <row r="18" spans="1:30">
      <c r="A18" s="315">
        <v>3</v>
      </c>
      <c r="B18" s="1463" t="s">
        <v>2104</v>
      </c>
      <c r="C18" s="1522">
        <f t="shared" si="4"/>
        <v>1351.7</v>
      </c>
      <c r="D18" s="1522"/>
      <c r="E18" s="1524">
        <v>0</v>
      </c>
      <c r="F18" s="1524">
        <f>('[6]Giao các đơn vị'!K22)/1000000</f>
        <v>1351.7</v>
      </c>
      <c r="G18" s="1524">
        <v>0</v>
      </c>
      <c r="H18" s="1524"/>
      <c r="I18" s="1535">
        <f t="shared" si="5"/>
        <v>1351.7</v>
      </c>
      <c r="J18" s="1522">
        <f t="shared" si="6"/>
        <v>1317</v>
      </c>
      <c r="K18" s="1524"/>
      <c r="L18" s="1524">
        <v>0</v>
      </c>
      <c r="M18" s="1524">
        <f>'Phụ nữ V -điều chỉnh'!F15/1000000</f>
        <v>1317</v>
      </c>
      <c r="N18" s="1524">
        <v>0</v>
      </c>
      <c r="O18" s="1524">
        <v>34.700000000000003</v>
      </c>
      <c r="P18" s="1525">
        <f t="shared" si="7"/>
        <v>0</v>
      </c>
      <c r="Q18" s="1524"/>
      <c r="R18" s="1524">
        <v>0</v>
      </c>
      <c r="S18" s="1524">
        <f>('[6]Giao các đơn vị'!W22)/1000000</f>
        <v>0</v>
      </c>
      <c r="T18" s="1524">
        <v>0</v>
      </c>
      <c r="U18" s="1469">
        <v>0</v>
      </c>
      <c r="V18" s="1439">
        <v>0</v>
      </c>
      <c r="AA18" s="1389">
        <f t="shared" si="8"/>
        <v>0</v>
      </c>
      <c r="AB18" s="1389"/>
      <c r="AC18" s="1389">
        <f>AC17-S30</f>
        <v>-4498.8030649999964</v>
      </c>
    </row>
    <row r="19" spans="1:30">
      <c r="A19" s="315">
        <v>4</v>
      </c>
      <c r="B19" s="1463" t="s">
        <v>2105</v>
      </c>
      <c r="C19" s="1522">
        <f t="shared" si="4"/>
        <v>967</v>
      </c>
      <c r="D19" s="1522"/>
      <c r="E19" s="1524">
        <v>0</v>
      </c>
      <c r="F19" s="1524">
        <f>('[6]Giao các đơn vị'!K24)/1000000</f>
        <v>967</v>
      </c>
      <c r="G19" s="1524">
        <v>0</v>
      </c>
      <c r="H19" s="1524"/>
      <c r="I19" s="1535">
        <f t="shared" si="5"/>
        <v>967</v>
      </c>
      <c r="J19" s="1522">
        <f t="shared" si="6"/>
        <v>931</v>
      </c>
      <c r="K19" s="1524"/>
      <c r="L19" s="1524">
        <v>0</v>
      </c>
      <c r="M19" s="1524">
        <f>'Cựu chiến binh V-điều chỉnh'!F15/1000000</f>
        <v>931</v>
      </c>
      <c r="N19" s="1524">
        <v>0</v>
      </c>
      <c r="O19" s="1524">
        <v>36</v>
      </c>
      <c r="P19" s="1525">
        <f t="shared" si="7"/>
        <v>0</v>
      </c>
      <c r="Q19" s="1524"/>
      <c r="R19" s="1524">
        <v>0</v>
      </c>
      <c r="S19" s="1524">
        <f>('[6]Giao các đơn vị'!W24)/1000000</f>
        <v>0</v>
      </c>
      <c r="T19" s="1524">
        <v>0</v>
      </c>
      <c r="U19" s="1469">
        <v>0</v>
      </c>
      <c r="V19" s="1439">
        <v>0</v>
      </c>
      <c r="AA19" s="1389">
        <f t="shared" si="8"/>
        <v>0</v>
      </c>
      <c r="AB19" s="1389"/>
    </row>
    <row r="20" spans="1:30" s="1567" customFormat="1">
      <c r="A20" s="1560">
        <v>5</v>
      </c>
      <c r="B20" s="1570" t="s">
        <v>1040</v>
      </c>
      <c r="C20" s="1562">
        <f t="shared" si="4"/>
        <v>12796.8</v>
      </c>
      <c r="D20" s="1562"/>
      <c r="E20" s="1563">
        <v>500</v>
      </c>
      <c r="F20" s="1563">
        <f>('[6]Giao các đơn vị'!K18)/1000000-E20</f>
        <v>12296.8</v>
      </c>
      <c r="G20" s="1563">
        <v>0</v>
      </c>
      <c r="H20" s="1563"/>
      <c r="I20" s="1535">
        <f t="shared" si="5"/>
        <v>111283.77664900001</v>
      </c>
      <c r="J20" s="1562">
        <f t="shared" si="6"/>
        <v>0</v>
      </c>
      <c r="K20" s="1563"/>
      <c r="L20" s="1563"/>
      <c r="M20" s="1563">
        <v>0</v>
      </c>
      <c r="N20" s="1563">
        <v>0</v>
      </c>
      <c r="O20" s="1563"/>
      <c r="P20" s="1564">
        <f t="shared" si="7"/>
        <v>111283.77664900001</v>
      </c>
      <c r="Q20" s="1563">
        <f>'VP HĐND&amp;UBND V_điều chỉnh'!C75/1000000</f>
        <v>273</v>
      </c>
      <c r="R20" s="1563">
        <f>'VP HĐND&amp;UBND V_điều chỉnh'!C64/1000000</f>
        <v>500</v>
      </c>
      <c r="S20" s="1563">
        <f>('VP HĐND&amp;UBND V_điều chỉnh'!C17+'VP HĐND&amp;UBND V_điều chỉnh'!C21+'VP HĐND&amp;UBND V_điều chỉnh'!C29+'VP HĐND&amp;UBND V_điều chỉnh'!C35)/1000000</f>
        <v>13904.885704</v>
      </c>
      <c r="T20" s="1563">
        <f>'VP HĐND&amp;UBND V_điều chỉnh'!C66/1000000</f>
        <v>96605.890945000006</v>
      </c>
      <c r="U20" s="1565">
        <v>0</v>
      </c>
      <c r="V20" s="1566">
        <v>0</v>
      </c>
      <c r="AA20" s="1558">
        <f>I20-C20</f>
        <v>98486.976649000004</v>
      </c>
      <c r="AB20" s="1567">
        <f>'VP HĐND&amp;UBND V_điều chỉnh'!F14/1000000</f>
        <v>111643.77664900001</v>
      </c>
      <c r="AC20" s="1568">
        <f>AB20-P20</f>
        <v>360</v>
      </c>
    </row>
    <row r="21" spans="1:30" s="1567" customFormat="1">
      <c r="A21" s="1560">
        <v>6</v>
      </c>
      <c r="B21" s="1561" t="s">
        <v>2106</v>
      </c>
      <c r="C21" s="1562">
        <f t="shared" si="4"/>
        <v>1097.3</v>
      </c>
      <c r="D21" s="1562"/>
      <c r="E21" s="1563">
        <v>0</v>
      </c>
      <c r="F21" s="1563">
        <f>('[6]Giao các đơn vị'!K10)/1000000</f>
        <v>1097.3</v>
      </c>
      <c r="G21" s="1563">
        <v>0</v>
      </c>
      <c r="H21" s="1563"/>
      <c r="I21" s="1535">
        <f t="shared" si="5"/>
        <v>315.69509999999997</v>
      </c>
      <c r="J21" s="1562">
        <f t="shared" si="6"/>
        <v>27.764980000000001</v>
      </c>
      <c r="K21" s="1563"/>
      <c r="L21" s="1563">
        <v>0</v>
      </c>
      <c r="M21" s="1563">
        <f>'Y tế V_điều chỉnh'!G15/1000000</f>
        <v>27.764980000000001</v>
      </c>
      <c r="N21" s="1563">
        <v>0</v>
      </c>
      <c r="O21" s="1563">
        <v>287.93011999999999</v>
      </c>
      <c r="P21" s="1564">
        <f t="shared" si="7"/>
        <v>0</v>
      </c>
      <c r="Q21" s="1563"/>
      <c r="R21" s="1563">
        <v>0</v>
      </c>
      <c r="S21" s="1563">
        <f>('[6]Giao các đơn vị'!W10)/1000000</f>
        <v>0</v>
      </c>
      <c r="T21" s="1563">
        <v>0</v>
      </c>
      <c r="U21" s="1565">
        <v>0</v>
      </c>
      <c r="V21" s="1566">
        <v>0</v>
      </c>
      <c r="AA21" s="1558">
        <f t="shared" si="8"/>
        <v>-781.60490000000004</v>
      </c>
    </row>
    <row r="22" spans="1:30" s="1567" customFormat="1" ht="37.5">
      <c r="A22" s="1560">
        <v>7</v>
      </c>
      <c r="B22" s="1561" t="s">
        <v>2112</v>
      </c>
      <c r="C22" s="1562">
        <f t="shared" si="4"/>
        <v>4217.2</v>
      </c>
      <c r="D22" s="1562"/>
      <c r="E22" s="1563">
        <f>500+500+400</f>
        <v>1400</v>
      </c>
      <c r="F22" s="1563">
        <f>('[6]Giao các đơn vị'!K11)/1000000-E22</f>
        <v>2817.2</v>
      </c>
      <c r="G22" s="1563">
        <v>0</v>
      </c>
      <c r="H22" s="1563"/>
      <c r="I22" s="1535">
        <f t="shared" si="5"/>
        <v>4518.4130363333334</v>
      </c>
      <c r="J22" s="1562">
        <f t="shared" si="6"/>
        <v>0</v>
      </c>
      <c r="K22" s="1563"/>
      <c r="L22" s="1563"/>
      <c r="M22" s="1563">
        <v>0</v>
      </c>
      <c r="N22" s="1563">
        <v>0</v>
      </c>
      <c r="O22" s="1563"/>
      <c r="P22" s="1564">
        <f t="shared" si="7"/>
        <v>4518.4130363333334</v>
      </c>
      <c r="Q22" s="1563"/>
      <c r="R22" s="1563">
        <f>('ĐT_Kinh tế, HT &amp;Đô thị_V'!C33-'ĐT_Kinh tế, HT &amp;Đô thị_V'!C34)/1000000</f>
        <v>1400</v>
      </c>
      <c r="S22" s="1563">
        <f>'ĐT_Kinh tế, HT &amp;Đô thị_V'!C16/1000000</f>
        <v>3118.4130363333334</v>
      </c>
      <c r="T22" s="1563">
        <v>0</v>
      </c>
      <c r="U22" s="1565">
        <v>0</v>
      </c>
      <c r="V22" s="1566">
        <v>0</v>
      </c>
      <c r="AA22" s="1558">
        <f>I22-C22</f>
        <v>301.21303633333355</v>
      </c>
      <c r="AB22" s="1567">
        <f>('ĐT_Kinh tế, HT &amp;Đô thị_V'!F15/1000000)-'TỔNG HỢP ĐIỀU CHỈNH DỰ TOÁN'!P22</f>
        <v>269.50000000000091</v>
      </c>
    </row>
    <row r="23" spans="1:30" s="1567" customFormat="1" ht="37.5">
      <c r="A23" s="1560">
        <v>8</v>
      </c>
      <c r="B23" s="1561" t="s">
        <v>2117</v>
      </c>
      <c r="C23" s="1562">
        <f t="shared" si="4"/>
        <v>10857.281999999999</v>
      </c>
      <c r="D23" s="1562"/>
      <c r="E23" s="1563">
        <f>'[6]Dự toán Chi tiết 2025'!L662/1000000</f>
        <v>7700</v>
      </c>
      <c r="F23" s="1563">
        <f>('[6]Giao các đơn vị'!K15)/1000000-E23</f>
        <v>3157.2819999999992</v>
      </c>
      <c r="G23" s="1563">
        <v>0</v>
      </c>
      <c r="H23" s="1563"/>
      <c r="I23" s="1535">
        <f t="shared" si="5"/>
        <v>11935.711665333332</v>
      </c>
      <c r="J23" s="1562">
        <f t="shared" si="6"/>
        <v>0</v>
      </c>
      <c r="K23" s="1563"/>
      <c r="L23" s="1563"/>
      <c r="M23" s="1563">
        <v>0</v>
      </c>
      <c r="N23" s="1563">
        <v>0</v>
      </c>
      <c r="O23" s="1563"/>
      <c r="P23" s="1564">
        <f t="shared" si="7"/>
        <v>11935.711665333332</v>
      </c>
      <c r="Q23" s="1563"/>
      <c r="R23" s="1563">
        <f>'ĐT_TN &amp; MT_ điều chỉnh'!C38/1000000-('ĐT_TN &amp; MT_ điều chỉnh'!C39+'ĐT_TN &amp; MT_ điều chỉnh'!C40)/1000000</f>
        <v>7700</v>
      </c>
      <c r="S23" s="1563">
        <f>('ĐT_TN &amp; MT_ điều chỉnh'!C18+'ĐT_TN &amp; MT_ điều chỉnh'!C23)/1000000</f>
        <v>3798.0176653333328</v>
      </c>
      <c r="T23" s="1563">
        <f>'ĐT_TN &amp; MT_ điều chỉnh'!F34/1000000</f>
        <v>437.69400000000002</v>
      </c>
      <c r="U23" s="1565">
        <v>0</v>
      </c>
      <c r="V23" s="1566">
        <v>0</v>
      </c>
      <c r="AA23" s="1558">
        <f>I23-C23</f>
        <v>1078.4296653333331</v>
      </c>
      <c r="AB23" s="1571">
        <f>'ĐT_TN &amp; MT_ điều chỉnh'!F16/1000000</f>
        <v>15973.211665333332</v>
      </c>
      <c r="AC23" s="1568">
        <f>('ĐT_TN &amp; MT_ điều chỉnh'!F39+'ĐT_TN &amp; MT_ điều chỉnh'!F40+'ĐT_TN &amp; MT_ điều chỉnh'!F47)/1000000</f>
        <v>4037.5</v>
      </c>
      <c r="AD23" s="1568">
        <f>AB23-P23</f>
        <v>4037.5</v>
      </c>
    </row>
    <row r="24" spans="1:30" s="1567" customFormat="1">
      <c r="A24" s="1560">
        <v>9</v>
      </c>
      <c r="B24" s="1561" t="s">
        <v>2107</v>
      </c>
      <c r="C24" s="1562">
        <f t="shared" si="4"/>
        <v>1770.808</v>
      </c>
      <c r="D24" s="1562"/>
      <c r="E24" s="1563">
        <v>0</v>
      </c>
      <c r="F24" s="1563">
        <f>('[6]Giao các đơn vị'!K16)/1000000</f>
        <v>1770.808</v>
      </c>
      <c r="G24" s="1563">
        <v>0</v>
      </c>
      <c r="H24" s="1563"/>
      <c r="I24" s="1535">
        <f t="shared" si="5"/>
        <v>710.26607999999999</v>
      </c>
      <c r="J24" s="1562">
        <f t="shared" si="6"/>
        <v>445.012652</v>
      </c>
      <c r="K24" s="1563"/>
      <c r="L24" s="1563">
        <f>'Kinh tế V_điều chỉnh'!G33/1000000</f>
        <v>100</v>
      </c>
      <c r="M24" s="1563">
        <f>'Kinh tế V_điều chỉnh'!G18/1000000</f>
        <v>345.012652</v>
      </c>
      <c r="N24" s="1563">
        <v>0</v>
      </c>
      <c r="O24" s="1563">
        <v>265.25342799999999</v>
      </c>
      <c r="P24" s="1564">
        <f t="shared" si="7"/>
        <v>0</v>
      </c>
      <c r="Q24" s="1563"/>
      <c r="R24" s="1563">
        <v>0</v>
      </c>
      <c r="S24" s="1563">
        <f>('[6]Giao các đơn vị'!W16)/1000000</f>
        <v>0</v>
      </c>
      <c r="T24" s="1563">
        <v>0</v>
      </c>
      <c r="U24" s="1565">
        <v>0</v>
      </c>
      <c r="V24" s="1566">
        <v>0</v>
      </c>
      <c r="AA24" s="1558">
        <f t="shared" si="8"/>
        <v>-1060.5419200000001</v>
      </c>
      <c r="AB24" s="1558"/>
    </row>
    <row r="25" spans="1:30" s="1567" customFormat="1" ht="37.5">
      <c r="A25" s="1560">
        <v>10</v>
      </c>
      <c r="B25" s="1561" t="s">
        <v>1018</v>
      </c>
      <c r="C25" s="1562">
        <f t="shared" si="4"/>
        <v>137037.4</v>
      </c>
      <c r="D25" s="1562">
        <f>'Lap động tbxh_điều chỉnh'!F52/1000000</f>
        <v>373</v>
      </c>
      <c r="E25" s="1563"/>
      <c r="F25" s="1563">
        <f>('[6]Giao các đơn vị'!K9)/1000000</f>
        <v>2281.4</v>
      </c>
      <c r="G25" s="1563">
        <f>('[6]Giao các đơn vị'!K132)/1000000-E25</f>
        <v>134383</v>
      </c>
      <c r="H25" s="1563"/>
      <c r="I25" s="1535">
        <f t="shared" si="5"/>
        <v>34646.247131000004</v>
      </c>
      <c r="J25" s="1562">
        <f t="shared" si="6"/>
        <v>34594.767131000001</v>
      </c>
      <c r="K25" s="1563"/>
      <c r="L25" s="1563"/>
      <c r="M25" s="1563">
        <f>'Lap động tbxh_điều chỉnh'!G16/1000000</f>
        <v>405.675926</v>
      </c>
      <c r="N25" s="1563">
        <f>'Lap động tbxh_điều chỉnh'!G30/1000000</f>
        <v>34189.091204999997</v>
      </c>
      <c r="O25" s="1563">
        <v>51.48</v>
      </c>
      <c r="P25" s="1564">
        <f t="shared" si="7"/>
        <v>0</v>
      </c>
      <c r="Q25" s="1563"/>
      <c r="R25" s="1563"/>
      <c r="S25" s="1563">
        <f>('[6]Giao các đơn vị'!W9)/1000000</f>
        <v>0</v>
      </c>
      <c r="T25" s="1563">
        <f>('[6]Giao các đơn vị'!W132)/1000000-R25</f>
        <v>0</v>
      </c>
      <c r="U25" s="1565">
        <v>0</v>
      </c>
      <c r="V25" s="1566">
        <v>0</v>
      </c>
      <c r="AA25" s="1558">
        <f>I25-C25</f>
        <v>-102391.15286899998</v>
      </c>
    </row>
    <row r="26" spans="1:30" s="1567" customFormat="1" ht="37.5">
      <c r="A26" s="1560">
        <v>11</v>
      </c>
      <c r="B26" s="1561" t="s">
        <v>2118</v>
      </c>
      <c r="C26" s="1562">
        <f t="shared" si="4"/>
        <v>2423.152</v>
      </c>
      <c r="D26" s="1562"/>
      <c r="E26" s="1563">
        <v>0</v>
      </c>
      <c r="F26" s="1563">
        <f>('[6]Giao các đơn vị'!K8)/1000000</f>
        <v>2423.152</v>
      </c>
      <c r="G26" s="1563">
        <v>0</v>
      </c>
      <c r="H26" s="1563"/>
      <c r="I26" s="1535">
        <f t="shared" si="5"/>
        <v>2288.5417513333337</v>
      </c>
      <c r="J26" s="1562">
        <f t="shared" si="6"/>
        <v>0</v>
      </c>
      <c r="K26" s="1563"/>
      <c r="L26" s="1563">
        <v>0</v>
      </c>
      <c r="M26" s="1563"/>
      <c r="N26" s="1563">
        <v>0</v>
      </c>
      <c r="O26" s="1563"/>
      <c r="P26" s="1564">
        <f t="shared" si="7"/>
        <v>2288.5417513333337</v>
      </c>
      <c r="Q26" s="1563"/>
      <c r="R26" s="1563"/>
      <c r="S26" s="1563">
        <f>('ĐT_Văn hoá KH và TT_V'!C16-'ĐT_Văn hoá KH và TT_V'!C44)/1000000</f>
        <v>2288.5417513333337</v>
      </c>
      <c r="T26" s="1563">
        <v>0</v>
      </c>
      <c r="U26" s="1565">
        <v>0</v>
      </c>
      <c r="V26" s="1566">
        <v>0</v>
      </c>
      <c r="AA26" s="1558">
        <f>I26-C26</f>
        <v>-134.61024866666639</v>
      </c>
      <c r="AB26" s="1567">
        <f>'ĐT_Văn hoá KH và TT_V'!F16/1000000</f>
        <v>2342.5417513333337</v>
      </c>
      <c r="AC26" s="1568">
        <f>AB26-P26</f>
        <v>54</v>
      </c>
    </row>
    <row r="27" spans="1:30">
      <c r="A27" s="315">
        <v>12</v>
      </c>
      <c r="B27" s="1463" t="s">
        <v>1140</v>
      </c>
      <c r="C27" s="1522">
        <f>C28+C29</f>
        <v>6885.152</v>
      </c>
      <c r="D27" s="1522"/>
      <c r="E27" s="1524">
        <f>E28+E31+E29</f>
        <v>500</v>
      </c>
      <c r="F27" s="1524">
        <f>F28+F31+F29</f>
        <v>6385.152</v>
      </c>
      <c r="G27" s="1524">
        <f>G28+G31+G29</f>
        <v>0</v>
      </c>
      <c r="H27" s="1524"/>
      <c r="I27" s="1535">
        <f t="shared" si="5"/>
        <v>11072.147355999999</v>
      </c>
      <c r="J27" s="1522">
        <f t="shared" si="6"/>
        <v>0</v>
      </c>
      <c r="K27" s="1524"/>
      <c r="L27" s="1524">
        <f>L28+L31+L29</f>
        <v>0</v>
      </c>
      <c r="M27" s="1524">
        <f>M28+M31+M29</f>
        <v>0</v>
      </c>
      <c r="N27" s="1524">
        <f>N28+N31+N29</f>
        <v>0</v>
      </c>
      <c r="O27" s="1524"/>
      <c r="P27" s="1525">
        <f>P28+P29</f>
        <v>11072.147355999999</v>
      </c>
      <c r="Q27" s="1562">
        <f>Q28+Q29</f>
        <v>100</v>
      </c>
      <c r="R27" s="1563">
        <f>R28+R31+R29</f>
        <v>500</v>
      </c>
      <c r="S27" s="1524">
        <f>S28+S31+S29</f>
        <v>7314.894706</v>
      </c>
      <c r="T27" s="1563">
        <f>T28+T31+T29</f>
        <v>3157.2526499999999</v>
      </c>
      <c r="U27" s="1469">
        <f>U28+U31+U29</f>
        <v>0</v>
      </c>
      <c r="V27" s="1439">
        <f>V28+V31+V29</f>
        <v>0</v>
      </c>
      <c r="AA27" s="1389">
        <f t="shared" si="8"/>
        <v>4186.9953559999994</v>
      </c>
      <c r="AB27" s="1388">
        <f>'ĐT_ Nội vụ_ điều chỉnh'!F15/1000000</f>
        <v>12431.147355999999</v>
      </c>
      <c r="AC27" s="1447">
        <f>AB27-P27</f>
        <v>1359</v>
      </c>
    </row>
    <row r="28" spans="1:30" s="1397" customFormat="1" ht="37.5">
      <c r="A28" s="1393">
        <v>12.1</v>
      </c>
      <c r="B28" s="1465" t="s">
        <v>2119</v>
      </c>
      <c r="C28" s="1522">
        <f>SUM(D28:G28)</f>
        <v>2385.152</v>
      </c>
      <c r="D28" s="1526"/>
      <c r="E28" s="1524">
        <v>500</v>
      </c>
      <c r="F28" s="1524">
        <f>('[6]Giao các đơn vị'!K14)/1000000-E28</f>
        <v>1885.152</v>
      </c>
      <c r="G28" s="1524">
        <v>0</v>
      </c>
      <c r="H28" s="1524"/>
      <c r="I28" s="1535">
        <f t="shared" si="5"/>
        <v>6572.1473559999995</v>
      </c>
      <c r="J28" s="1522">
        <f t="shared" si="6"/>
        <v>0</v>
      </c>
      <c r="K28" s="1524"/>
      <c r="L28" s="1524"/>
      <c r="M28" s="1524"/>
      <c r="N28" s="1524">
        <v>0</v>
      </c>
      <c r="O28" s="1524"/>
      <c r="P28" s="1525">
        <f t="shared" si="7"/>
        <v>6572.1473559999995</v>
      </c>
      <c r="Q28" s="1524">
        <f>'ĐT_ Nội vụ_ điều chỉnh'!C51/1000000</f>
        <v>100</v>
      </c>
      <c r="R28" s="1524">
        <v>500</v>
      </c>
      <c r="S28" s="1524">
        <f>('ĐT_ Nội vụ_ điều chỉnh'!F17+'ĐT_ Nội vụ_ điều chỉnh'!F21)/1000000-S29</f>
        <v>2814.894706</v>
      </c>
      <c r="T28" s="1524">
        <f>'ĐT_ Nội vụ_ điều chỉnh'!C37/1000000</f>
        <v>3157.2526499999999</v>
      </c>
      <c r="U28" s="1469">
        <v>0</v>
      </c>
      <c r="V28" s="1439">
        <v>0</v>
      </c>
      <c r="AA28" s="1389"/>
    </row>
    <row r="29" spans="1:30" s="1397" customFormat="1">
      <c r="A29" s="1393">
        <v>12.2</v>
      </c>
      <c r="B29" s="1465" t="s">
        <v>1344</v>
      </c>
      <c r="C29" s="1522">
        <f>SUM(D29:G29)</f>
        <v>4500</v>
      </c>
      <c r="D29" s="1526"/>
      <c r="E29" s="1524"/>
      <c r="F29" s="1524">
        <f>'[6]Giao các đơn vị'!G26/1000000</f>
        <v>4500</v>
      </c>
      <c r="G29" s="1524">
        <v>0</v>
      </c>
      <c r="H29" s="1524"/>
      <c r="I29" s="1535">
        <f t="shared" si="5"/>
        <v>4500</v>
      </c>
      <c r="J29" s="1522">
        <f t="shared" si="6"/>
        <v>0</v>
      </c>
      <c r="K29" s="1524"/>
      <c r="L29" s="1524"/>
      <c r="M29" s="1524"/>
      <c r="N29" s="1524">
        <v>0</v>
      </c>
      <c r="O29" s="1524"/>
      <c r="P29" s="1525">
        <f t="shared" si="7"/>
        <v>4500</v>
      </c>
      <c r="Q29" s="1524"/>
      <c r="R29" s="1524"/>
      <c r="S29" s="1524">
        <f>'ĐT_ Nội vụ_ điều chỉnh'!F33/1000000</f>
        <v>4500</v>
      </c>
      <c r="T29" s="1524">
        <v>0</v>
      </c>
      <c r="U29" s="1469">
        <v>0</v>
      </c>
      <c r="V29" s="1439">
        <v>0</v>
      </c>
      <c r="AA29" s="1389">
        <f t="shared" si="8"/>
        <v>0</v>
      </c>
    </row>
    <row r="30" spans="1:30" s="1579" customFormat="1" ht="75">
      <c r="A30" s="1572">
        <v>13</v>
      </c>
      <c r="B30" s="1573" t="str">
        <f>'[6]Giao các đơn vị'!B25</f>
        <v>Chi quản lý nhà nước trong năm như bổ sung tiền lương cho biên chế tuyển dụng mới, nâng lương trước hạn, chế độ nghỉ việc và các nội dung quản lý nhà nước khác</v>
      </c>
      <c r="C30" s="1574">
        <f t="shared" si="4"/>
        <v>4000</v>
      </c>
      <c r="D30" s="1574"/>
      <c r="E30" s="1575"/>
      <c r="F30" s="1575">
        <v>4000</v>
      </c>
      <c r="G30" s="1575"/>
      <c r="H30" s="1575"/>
      <c r="I30" s="1535">
        <f t="shared" si="5"/>
        <v>4244.6635480000004</v>
      </c>
      <c r="J30" s="1574">
        <f t="shared" si="6"/>
        <v>0</v>
      </c>
      <c r="K30" s="1575"/>
      <c r="L30" s="1575"/>
      <c r="M30" s="1575"/>
      <c r="N30" s="1575"/>
      <c r="O30" s="1575">
        <v>0</v>
      </c>
      <c r="P30" s="1576">
        <f>SUM(Q30:T30)</f>
        <v>4244.6635480000004</v>
      </c>
      <c r="Q30" s="1575"/>
      <c r="R30" s="1575"/>
      <c r="S30" s="1575">
        <f>4000+244.663548</f>
        <v>4244.6635480000004</v>
      </c>
      <c r="T30" s="1575"/>
      <c r="U30" s="1577"/>
      <c r="V30" s="1578"/>
      <c r="AA30" s="1580">
        <f t="shared" si="8"/>
        <v>244.66354800000045</v>
      </c>
    </row>
    <row r="31" spans="1:30">
      <c r="A31" s="315">
        <v>14</v>
      </c>
      <c r="B31" s="1463" t="s">
        <v>2108</v>
      </c>
      <c r="C31" s="1522">
        <f t="shared" si="4"/>
        <v>1409</v>
      </c>
      <c r="D31" s="1522">
        <f>'nội vụ V'!C38/1000000</f>
        <v>1409</v>
      </c>
      <c r="E31" s="1524">
        <v>0</v>
      </c>
      <c r="F31" s="1524">
        <v>0</v>
      </c>
      <c r="G31" s="1524">
        <v>0</v>
      </c>
      <c r="H31" s="1524"/>
      <c r="I31" s="1535">
        <f t="shared" si="5"/>
        <v>1409</v>
      </c>
      <c r="J31" s="1522">
        <f t="shared" si="6"/>
        <v>0</v>
      </c>
      <c r="K31" s="1524">
        <v>0</v>
      </c>
      <c r="L31" s="1524"/>
      <c r="M31" s="1524">
        <v>0</v>
      </c>
      <c r="N31" s="1524">
        <v>0</v>
      </c>
      <c r="O31" s="1524"/>
      <c r="P31" s="1525">
        <f t="shared" si="7"/>
        <v>1409</v>
      </c>
      <c r="Q31" s="1524">
        <f>'ĐT_ Nội vụ_ điều chỉnh'!C52/1000000</f>
        <v>1409</v>
      </c>
      <c r="R31" s="1524">
        <v>0</v>
      </c>
      <c r="S31" s="1524">
        <v>0</v>
      </c>
      <c r="T31" s="1524">
        <v>0</v>
      </c>
      <c r="U31" s="1469">
        <v>0</v>
      </c>
      <c r="V31" s="1439">
        <v>0</v>
      </c>
      <c r="AA31" s="1389">
        <f t="shared" si="8"/>
        <v>0</v>
      </c>
    </row>
    <row r="32" spans="1:30" ht="37.5">
      <c r="A32" s="315">
        <v>15</v>
      </c>
      <c r="B32" s="1464" t="s">
        <v>2109</v>
      </c>
      <c r="C32" s="1522">
        <f t="shared" si="4"/>
        <v>1950</v>
      </c>
      <c r="D32" s="1522"/>
      <c r="E32" s="1524">
        <f>'[6]Giao các đơn vị'!K35/1000000</f>
        <v>1950</v>
      </c>
      <c r="F32" s="1524"/>
      <c r="G32" s="1524">
        <v>0</v>
      </c>
      <c r="H32" s="1524"/>
      <c r="I32" s="1535">
        <f t="shared" si="5"/>
        <v>1850</v>
      </c>
      <c r="J32" s="1522">
        <f t="shared" si="6"/>
        <v>0</v>
      </c>
      <c r="K32" s="1524"/>
      <c r="L32" s="1524"/>
      <c r="M32" s="1524">
        <v>0</v>
      </c>
      <c r="N32" s="1524">
        <v>0</v>
      </c>
      <c r="O32" s="1524"/>
      <c r="P32" s="1525">
        <f t="shared" si="7"/>
        <v>1850</v>
      </c>
      <c r="Q32" s="1524"/>
      <c r="R32" s="1524">
        <f>1950-100</f>
        <v>1850</v>
      </c>
      <c r="S32" s="1524"/>
      <c r="T32" s="1524">
        <v>0</v>
      </c>
      <c r="U32" s="1469">
        <v>0</v>
      </c>
      <c r="V32" s="1439">
        <v>0</v>
      </c>
      <c r="AA32" s="1389">
        <f t="shared" si="8"/>
        <v>-100</v>
      </c>
    </row>
    <row r="33" spans="1:28" s="1392" customFormat="1" hidden="1">
      <c r="A33" s="1440" t="s">
        <v>12</v>
      </c>
      <c r="B33" s="1440" t="s">
        <v>2110</v>
      </c>
      <c r="C33" s="1440"/>
      <c r="D33" s="1440"/>
      <c r="E33" s="1440"/>
      <c r="F33" s="1440"/>
      <c r="G33" s="1440"/>
      <c r="H33" s="1440"/>
      <c r="I33" s="1440"/>
      <c r="J33" s="1522">
        <f t="shared" ref="J33" si="9">SUM(K33:O33)</f>
        <v>0</v>
      </c>
      <c r="K33" s="1440"/>
      <c r="L33" s="1440"/>
      <c r="M33" s="1440"/>
      <c r="N33" s="1440"/>
      <c r="O33" s="1440"/>
      <c r="P33" s="1527"/>
      <c r="Q33" s="1440"/>
      <c r="R33" s="1440"/>
      <c r="S33" s="1440"/>
      <c r="T33" s="1440"/>
    </row>
    <row r="34" spans="1:28" s="1528" customFormat="1">
      <c r="C34" s="1453">
        <f>C32+C24</f>
        <v>3720.808</v>
      </c>
      <c r="F34" s="1453">
        <f>F15</f>
        <v>62236.673999999999</v>
      </c>
      <c r="J34" s="1388"/>
      <c r="K34" s="1388"/>
      <c r="L34" s="1388"/>
      <c r="M34" s="1388"/>
      <c r="N34" s="1388"/>
      <c r="O34" s="1388"/>
      <c r="P34" s="1529"/>
      <c r="Q34" s="1388"/>
      <c r="R34" s="1388"/>
      <c r="S34" s="1389">
        <f>S15+M15</f>
        <v>61815.449968999994</v>
      </c>
      <c r="T34" s="1388"/>
    </row>
    <row r="35" spans="1:28" s="1528" customFormat="1">
      <c r="C35" s="1453">
        <f>C34+2706</f>
        <v>6426.808</v>
      </c>
      <c r="E35" s="1530" t="s">
        <v>2122</v>
      </c>
      <c r="F35" s="1453">
        <f>S34-F34</f>
        <v>-421.2240310000052</v>
      </c>
      <c r="J35" s="1388"/>
      <c r="K35" s="1388"/>
      <c r="L35" s="1388"/>
      <c r="M35" s="1388"/>
      <c r="N35" s="1388"/>
      <c r="O35" s="1388"/>
      <c r="P35" s="1529"/>
      <c r="Q35" s="1388"/>
      <c r="R35" s="1388"/>
      <c r="S35" s="1388"/>
      <c r="T35" s="1388"/>
      <c r="AA35" s="1557">
        <f>1141604900-360000000</f>
        <v>781604900</v>
      </c>
      <c r="AB35" s="1569">
        <f>4500.977901</f>
        <v>4500.9779010000002</v>
      </c>
    </row>
    <row r="36" spans="1:28">
      <c r="O36" s="1389">
        <f>F27+879.742706</f>
        <v>7264.894706</v>
      </c>
      <c r="P36" s="1529">
        <f>S27-F27</f>
        <v>929.742706</v>
      </c>
      <c r="Q36" s="1389">
        <f>S23-F23</f>
        <v>640.7356653333336</v>
      </c>
      <c r="R36" s="1388">
        <v>177.97776400000001</v>
      </c>
      <c r="AA36" s="1529">
        <v>97605371749</v>
      </c>
      <c r="AB36" s="1435">
        <f>AA38+AB35+AA26+AC26+AB37</f>
        <v>5681.0997213333339</v>
      </c>
    </row>
    <row r="37" spans="1:28">
      <c r="C37" s="1389">
        <f>C15-'[6]Giao các đơn vị'!K5/1000000</f>
        <v>-927362.58843186114</v>
      </c>
      <c r="D37" s="1389"/>
      <c r="O37" s="1389">
        <f>S27-O36</f>
        <v>50</v>
      </c>
      <c r="P37" s="1529">
        <v>879.742706</v>
      </c>
      <c r="R37" s="1388">
        <v>463.47790099999997</v>
      </c>
      <c r="AA37" s="1559">
        <f>SUM(AA35:AA36)</f>
        <v>98386976649</v>
      </c>
      <c r="AB37" s="1388">
        <v>265.25342799999999</v>
      </c>
    </row>
    <row r="38" spans="1:28">
      <c r="C38" s="1389"/>
      <c r="P38" s="1529">
        <f>P36-P37</f>
        <v>50</v>
      </c>
      <c r="R38" s="1389">
        <f>S20-F20</f>
        <v>1608.085704000001</v>
      </c>
      <c r="AA38" s="1435">
        <f>995478641/1000000</f>
        <v>995.47864100000004</v>
      </c>
    </row>
    <row r="39" spans="1:28">
      <c r="C39" s="1389">
        <f>I20+I21+I22+I23+I24+I25+I26+I27</f>
        <v>176770.79876900002</v>
      </c>
      <c r="R39" s="1567">
        <v>826.48080400000003</v>
      </c>
      <c r="AA39" s="1435">
        <f>AA38-AA22</f>
        <v>694.26560466666649</v>
      </c>
    </row>
    <row r="40" spans="1:28">
      <c r="M40" s="1389">
        <f>M41-C15</f>
        <v>-414.29523099993821</v>
      </c>
      <c r="R40" s="1567">
        <v>781.60490000000004</v>
      </c>
      <c r="AA40" s="1388">
        <v>220.08537699999999</v>
      </c>
    </row>
    <row r="41" spans="1:28">
      <c r="M41" s="1389">
        <f>J15+P15</f>
        <v>210737.37876900006</v>
      </c>
      <c r="AA41" s="1389">
        <f>AA40-AA26</f>
        <v>354.69562566666639</v>
      </c>
    </row>
  </sheetData>
  <mergeCells count="28">
    <mergeCell ref="A4:T4"/>
    <mergeCell ref="C8:C9"/>
    <mergeCell ref="D8:D9"/>
    <mergeCell ref="K8:K9"/>
    <mergeCell ref="Q8:Q9"/>
    <mergeCell ref="J8:J9"/>
    <mergeCell ref="P8:P9"/>
    <mergeCell ref="P7:T7"/>
    <mergeCell ref="M8:M9"/>
    <mergeCell ref="N8:N9"/>
    <mergeCell ref="I7:I9"/>
    <mergeCell ref="I6:T6"/>
    <mergeCell ref="A1:T1"/>
    <mergeCell ref="U8:U9"/>
    <mergeCell ref="O8:O9"/>
    <mergeCell ref="V8:V9"/>
    <mergeCell ref="R8:R9"/>
    <mergeCell ref="S8:S9"/>
    <mergeCell ref="T8:T9"/>
    <mergeCell ref="L8:L9"/>
    <mergeCell ref="E8:E9"/>
    <mergeCell ref="F8:F9"/>
    <mergeCell ref="G8:G9"/>
    <mergeCell ref="J7:N7"/>
    <mergeCell ref="C6:G7"/>
    <mergeCell ref="A6:A9"/>
    <mergeCell ref="B6:B9"/>
    <mergeCell ref="A3:T3"/>
  </mergeCells>
  <pageMargins left="0.7" right="0.7" top="0.75" bottom="0.75" header="0.3" footer="0.3"/>
  <pageSetup paperSize="9" scale="34" fitToHeight="0"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78"/>
  <sheetViews>
    <sheetView zoomScale="89" zoomScaleNormal="89" workbookViewId="0">
      <selection activeCell="M11" sqref="M11"/>
    </sheetView>
  </sheetViews>
  <sheetFormatPr defaultRowHeight="18.75"/>
  <cols>
    <col min="1" max="1" width="7.140625" style="2" customWidth="1"/>
    <col min="2" max="2" width="38.5703125" style="2" customWidth="1"/>
    <col min="3" max="3" width="21.42578125" style="2" customWidth="1"/>
    <col min="4" max="5" width="21.140625" style="2" customWidth="1"/>
    <col min="6" max="6" width="22.28515625" style="2" customWidth="1"/>
    <col min="7" max="7" width="20" style="2" customWidth="1"/>
    <col min="8" max="8" width="19.42578125" style="2" hidden="1" customWidth="1"/>
    <col min="9" max="9" width="16.5703125" style="2" hidden="1" customWidth="1"/>
    <col min="10" max="10" width="19.42578125" style="2" hidden="1" customWidth="1"/>
    <col min="11" max="12" width="0" style="2" hidden="1" customWidth="1"/>
    <col min="13" max="13" width="30.7109375" style="2" customWidth="1"/>
    <col min="14"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13">
      <c r="A1" s="1838" t="s">
        <v>1281</v>
      </c>
      <c r="B1" s="1838"/>
      <c r="C1" s="1838"/>
      <c r="G1" s="3"/>
    </row>
    <row r="2" spans="1:13">
      <c r="A2" s="1798" t="s">
        <v>119</v>
      </c>
      <c r="B2" s="1798"/>
      <c r="C2" s="1798"/>
      <c r="D2" s="4"/>
      <c r="E2" s="4"/>
      <c r="F2" s="4"/>
    </row>
    <row r="3" spans="1:13">
      <c r="A3" s="1798" t="s">
        <v>2082</v>
      </c>
      <c r="B3" s="1798"/>
      <c r="C3" s="1798"/>
      <c r="D3" s="1798"/>
      <c r="E3" s="1798"/>
      <c r="F3" s="1798"/>
      <c r="G3" s="1798"/>
    </row>
    <row r="4" spans="1:13" hidden="1">
      <c r="A4" s="1798" t="str">
        <f>'TTDVNN V '!A4:G4</f>
        <v>DỰ TOÁN THU, CHI NGÂN SÁCH NHÀ NƯỚC NĂM 2025</v>
      </c>
      <c r="B4" s="1798"/>
      <c r="C4" s="1798"/>
      <c r="D4" s="1798"/>
      <c r="E4" s="1798"/>
      <c r="F4" s="1798"/>
      <c r="G4" s="1798"/>
    </row>
    <row r="5" spans="1:13">
      <c r="A5" s="1798" t="s">
        <v>1280</v>
      </c>
      <c r="B5" s="1798"/>
      <c r="C5" s="1798"/>
      <c r="D5" s="1798"/>
      <c r="E5" s="1798"/>
      <c r="F5" s="1798"/>
      <c r="G5" s="1798"/>
    </row>
    <row r="6" spans="1:13">
      <c r="A6" s="1798" t="s">
        <v>120</v>
      </c>
      <c r="B6" s="1798"/>
      <c r="C6" s="1798"/>
      <c r="D6" s="1798"/>
      <c r="E6" s="1798"/>
      <c r="F6" s="1798"/>
      <c r="G6" s="1798"/>
    </row>
    <row r="7" spans="1:13">
      <c r="A7" s="1798" t="s">
        <v>17</v>
      </c>
      <c r="B7" s="1798"/>
      <c r="C7" s="1798"/>
      <c r="D7" s="1798"/>
      <c r="E7" s="1798"/>
      <c r="F7" s="1798"/>
      <c r="G7" s="1798"/>
    </row>
    <row r="8" spans="1:13">
      <c r="A8" s="1799"/>
      <c r="B8" s="1799"/>
      <c r="C8" s="1799"/>
      <c r="D8" s="1799"/>
      <c r="E8" s="1799"/>
      <c r="F8" s="1799"/>
      <c r="G8" s="1799"/>
    </row>
    <row r="9" spans="1:13">
      <c r="A9" s="1398"/>
      <c r="B9" s="1398"/>
      <c r="C9" s="1398"/>
      <c r="D9" s="1398"/>
      <c r="E9" s="1398"/>
      <c r="F9" s="1398"/>
      <c r="G9" s="1398"/>
    </row>
    <row r="10" spans="1:13">
      <c r="G10" s="6" t="s">
        <v>43</v>
      </c>
    </row>
    <row r="11" spans="1:13" ht="117" customHeight="1">
      <c r="A11" s="7" t="s">
        <v>0</v>
      </c>
      <c r="B11" s="7" t="s">
        <v>1</v>
      </c>
      <c r="C11" s="7" t="str">
        <f>'TTDVNN V '!C11</f>
        <v>Dự toán 
năm 2025</v>
      </c>
      <c r="D11" s="7" t="s">
        <v>18</v>
      </c>
      <c r="E11" s="7" t="str">
        <f>'TTDVNN V '!E11</f>
        <v>Thực hiện cải cách tiền lương từ nguồn tiết kiệm chi 10% của đơn vị</v>
      </c>
      <c r="F11" s="7" t="s">
        <v>117</v>
      </c>
      <c r="G11" s="7" t="s">
        <v>19</v>
      </c>
      <c r="M11" s="240">
        <f>F14-'VP HĐND&amp;UBND V'!F14</f>
        <v>98846976649</v>
      </c>
    </row>
    <row r="12" spans="1:13">
      <c r="A12" s="8" t="s">
        <v>20</v>
      </c>
      <c r="B12" s="8" t="s">
        <v>21</v>
      </c>
      <c r="C12" s="8" t="s">
        <v>22</v>
      </c>
      <c r="D12" s="8" t="s">
        <v>23</v>
      </c>
      <c r="E12" s="8" t="str">
        <f>'TTDVNN V '!E12</f>
        <v>(5)</v>
      </c>
      <c r="F12" s="8" t="str">
        <f>'Trung tâm Chính trị V'!F11</f>
        <v>(6)=(3)-(4)+(5)</v>
      </c>
      <c r="G12" s="8" t="s">
        <v>25</v>
      </c>
    </row>
    <row r="13" spans="1:13" ht="37.5">
      <c r="A13" s="7" t="s">
        <v>167</v>
      </c>
      <c r="B13" s="9" t="s">
        <v>3</v>
      </c>
      <c r="C13" s="10"/>
      <c r="D13" s="10"/>
      <c r="E13" s="10"/>
      <c r="F13" s="10"/>
      <c r="G13" s="11"/>
      <c r="H13" s="240">
        <f>F16-'Dự toán Chi tiết 2025'!L495</f>
        <v>0</v>
      </c>
      <c r="M13" s="2">
        <f>M14-'[12]TỔNG HỢP ĐIỀU CHỈNH DỰ TOÁN'!$AC$20*1000000</f>
        <v>460000000</v>
      </c>
    </row>
    <row r="14" spans="1:13" ht="37.5">
      <c r="A14" s="7" t="s">
        <v>1268</v>
      </c>
      <c r="B14" s="9" t="s">
        <v>84</v>
      </c>
      <c r="C14" s="10">
        <f>C15</f>
        <v>111643776649</v>
      </c>
      <c r="D14" s="10">
        <f>D15</f>
        <v>786600000</v>
      </c>
      <c r="E14" s="10">
        <f>E15</f>
        <v>786600000</v>
      </c>
      <c r="F14" s="10">
        <f>F15</f>
        <v>111643776649</v>
      </c>
      <c r="G14" s="11"/>
      <c r="H14" s="240">
        <f>C14-D14+E14</f>
        <v>111643776649</v>
      </c>
      <c r="I14" s="240">
        <f>H14-F14</f>
        <v>0</v>
      </c>
      <c r="M14" s="240">
        <f>F14-'VP HĐND&amp;UBND V'!F14</f>
        <v>98846976649</v>
      </c>
    </row>
    <row r="15" spans="1:13">
      <c r="A15" s="7" t="s">
        <v>192</v>
      </c>
      <c r="B15" s="9" t="s">
        <v>121</v>
      </c>
      <c r="C15" s="1377">
        <f>C17+C21+C28</f>
        <v>111643776649</v>
      </c>
      <c r="D15" s="1377">
        <f>D17+D21+D28</f>
        <v>786600000</v>
      </c>
      <c r="E15" s="1377">
        <f>E17+E21+E28</f>
        <v>786600000</v>
      </c>
      <c r="F15" s="1377">
        <f>F17+F21+F28</f>
        <v>111643776649</v>
      </c>
      <c r="G15" s="11"/>
      <c r="H15" s="240">
        <f t="shared" ref="H15:H63" si="0">C15-D15+E15</f>
        <v>111643776649</v>
      </c>
      <c r="I15" s="240">
        <f t="shared" ref="I15:I63" si="1">H15-F15</f>
        <v>0</v>
      </c>
      <c r="J15" s="240">
        <f>J16+C28</f>
        <v>111643776649</v>
      </c>
      <c r="M15" s="1444">
        <f>F14-('TỔNG HỢP ĐIỀU CHỈNH DỰ TOÁN'!P20*1000000)</f>
        <v>360000000</v>
      </c>
    </row>
    <row r="16" spans="1:13">
      <c r="A16" s="7" t="s">
        <v>2</v>
      </c>
      <c r="B16" s="9" t="s">
        <v>1282</v>
      </c>
      <c r="C16" s="10">
        <f>C17+C21</f>
        <v>3220900000</v>
      </c>
      <c r="D16" s="10">
        <f>D17+D21</f>
        <v>204100000</v>
      </c>
      <c r="E16" s="10">
        <f>E17+E21</f>
        <v>204100000</v>
      </c>
      <c r="F16" s="10">
        <f>F17+F21</f>
        <v>3220900000</v>
      </c>
      <c r="G16" s="11"/>
      <c r="H16" s="240">
        <f t="shared" si="0"/>
        <v>3220900000</v>
      </c>
      <c r="I16" s="240">
        <f t="shared" si="1"/>
        <v>0</v>
      </c>
      <c r="J16" s="240">
        <f>C17+C21</f>
        <v>3220900000</v>
      </c>
    </row>
    <row r="17" spans="1:14" s="16" customFormat="1" ht="39">
      <c r="A17" s="12">
        <v>1</v>
      </c>
      <c r="B17" s="13" t="s">
        <v>9</v>
      </c>
      <c r="C17" s="14">
        <f>SUM(C18:C20)</f>
        <v>526900000</v>
      </c>
      <c r="D17" s="14">
        <f>SUM(D18:D20)</f>
        <v>8100000</v>
      </c>
      <c r="E17" s="14">
        <f>SUM(E18:E20)</f>
        <v>204100000</v>
      </c>
      <c r="F17" s="14">
        <f>SUM(F18:F20)</f>
        <v>722900000</v>
      </c>
      <c r="G17" s="15"/>
      <c r="H17" s="240">
        <f t="shared" si="0"/>
        <v>722900000</v>
      </c>
      <c r="I17" s="240">
        <f t="shared" si="1"/>
        <v>0</v>
      </c>
      <c r="M17" s="1448">
        <v>1141604900</v>
      </c>
    </row>
    <row r="18" spans="1:14" ht="37.5">
      <c r="A18" s="17" t="s">
        <v>5</v>
      </c>
      <c r="B18" s="18" t="s">
        <v>26</v>
      </c>
      <c r="C18" s="19">
        <f>'Dự toán Chi tiết 2025'!L498</f>
        <v>414000000</v>
      </c>
      <c r="D18" s="19"/>
      <c r="E18" s="19"/>
      <c r="F18" s="19">
        <f>C18-D18+E18</f>
        <v>414000000</v>
      </c>
      <c r="G18" s="11"/>
      <c r="H18" s="240">
        <f t="shared" si="0"/>
        <v>414000000</v>
      </c>
      <c r="I18" s="240">
        <f t="shared" si="1"/>
        <v>0</v>
      </c>
      <c r="M18" s="1448">
        <v>97605371749</v>
      </c>
    </row>
    <row r="19" spans="1:14" ht="37.5">
      <c r="A19" s="17" t="s">
        <v>6</v>
      </c>
      <c r="B19" s="18" t="str">
        <f>'TTDVNN V '!B18</f>
        <v>Kinh phí thực hiện cải cách tiền lương</v>
      </c>
      <c r="C19" s="19">
        <f>'Dự toán Chi tiết 2025'!L500</f>
        <v>31900000</v>
      </c>
      <c r="D19" s="19"/>
      <c r="E19" s="19">
        <f>D16</f>
        <v>204100000</v>
      </c>
      <c r="F19" s="19">
        <f>C19-D19+E19</f>
        <v>236000000</v>
      </c>
      <c r="G19" s="11"/>
      <c r="H19" s="240">
        <f t="shared" si="0"/>
        <v>236000000</v>
      </c>
      <c r="I19" s="240">
        <f t="shared" si="1"/>
        <v>0</v>
      </c>
      <c r="M19" s="1448">
        <f>SUM(M17:M18)</f>
        <v>98746976649</v>
      </c>
      <c r="N19" s="2" t="s">
        <v>2120</v>
      </c>
    </row>
    <row r="20" spans="1:14" ht="37.5">
      <c r="A20" s="17" t="s">
        <v>157</v>
      </c>
      <c r="B20" s="18" t="s">
        <v>27</v>
      </c>
      <c r="C20" s="19">
        <f>'Dự toán Chi tiết 2025'!L501</f>
        <v>81000000</v>
      </c>
      <c r="D20" s="19">
        <f>C20*10%</f>
        <v>8100000</v>
      </c>
      <c r="E20" s="19"/>
      <c r="F20" s="19">
        <f>C20-D20+E20</f>
        <v>72900000</v>
      </c>
      <c r="G20" s="11"/>
      <c r="H20" s="240">
        <f t="shared" si="0"/>
        <v>72900000</v>
      </c>
      <c r="I20" s="240">
        <f t="shared" si="1"/>
        <v>0</v>
      </c>
    </row>
    <row r="21" spans="1:14" s="16" customFormat="1" ht="39">
      <c r="A21" s="12">
        <v>2</v>
      </c>
      <c r="B21" s="13" t="s">
        <v>10</v>
      </c>
      <c r="C21" s="14">
        <f>SUM(C22:C27)</f>
        <v>2694000000</v>
      </c>
      <c r="D21" s="14">
        <f>SUM(D22:D27)</f>
        <v>196000000</v>
      </c>
      <c r="E21" s="14"/>
      <c r="F21" s="14">
        <f>SUM(F22:F27)</f>
        <v>2498000000</v>
      </c>
      <c r="G21" s="15"/>
      <c r="H21" s="240">
        <f t="shared" si="0"/>
        <v>2498000000</v>
      </c>
      <c r="I21" s="240">
        <f t="shared" si="1"/>
        <v>0</v>
      </c>
      <c r="M21" s="311">
        <f>F17+F21+F29+F35</f>
        <v>13954885704</v>
      </c>
    </row>
    <row r="22" spans="1:14" ht="56.25">
      <c r="A22" s="17" t="s">
        <v>8</v>
      </c>
      <c r="B22" s="18" t="s">
        <v>1044</v>
      </c>
      <c r="C22" s="19">
        <f>'Dự toán Chi tiết 2025'!L503</f>
        <v>130000000</v>
      </c>
      <c r="D22" s="19">
        <f>C22*10%</f>
        <v>13000000</v>
      </c>
      <c r="E22" s="19"/>
      <c r="F22" s="19">
        <f t="shared" ref="F22:F27" si="2">C22-D22</f>
        <v>117000000</v>
      </c>
      <c r="G22" s="11"/>
      <c r="H22" s="240">
        <f t="shared" si="0"/>
        <v>117000000</v>
      </c>
      <c r="I22" s="240">
        <f t="shared" si="1"/>
        <v>0</v>
      </c>
      <c r="M22" s="240">
        <f>C17+C21+C29+C35</f>
        <v>13904885704</v>
      </c>
    </row>
    <row r="23" spans="1:14">
      <c r="A23" s="17" t="s">
        <v>11</v>
      </c>
      <c r="B23" s="18" t="s">
        <v>122</v>
      </c>
      <c r="C23" s="19">
        <f>'Dự toán Chi tiết 2025'!L504</f>
        <v>120000000</v>
      </c>
      <c r="D23" s="19">
        <f>C23*10%</f>
        <v>12000000</v>
      </c>
      <c r="E23" s="19"/>
      <c r="F23" s="19">
        <f t="shared" si="2"/>
        <v>108000000</v>
      </c>
      <c r="G23" s="11"/>
      <c r="H23" s="240">
        <f t="shared" si="0"/>
        <v>108000000</v>
      </c>
      <c r="I23" s="240">
        <f t="shared" si="1"/>
        <v>0</v>
      </c>
    </row>
    <row r="24" spans="1:14" ht="37.5">
      <c r="A24" s="17" t="s">
        <v>13</v>
      </c>
      <c r="B24" s="18" t="s">
        <v>123</v>
      </c>
      <c r="C24" s="19">
        <f>'Dự toán Chi tiết 2025'!L505</f>
        <v>94000000</v>
      </c>
      <c r="D24" s="19"/>
      <c r="E24" s="19"/>
      <c r="F24" s="19">
        <f t="shared" si="2"/>
        <v>94000000</v>
      </c>
      <c r="G24" s="20"/>
      <c r="H24" s="240">
        <f t="shared" si="0"/>
        <v>94000000</v>
      </c>
      <c r="I24" s="240">
        <f t="shared" si="1"/>
        <v>0</v>
      </c>
      <c r="M24" s="240">
        <f>M21-M22</f>
        <v>50000000</v>
      </c>
    </row>
    <row r="25" spans="1:14" ht="56.25">
      <c r="A25" s="17" t="s">
        <v>28</v>
      </c>
      <c r="B25" s="18" t="s">
        <v>732</v>
      </c>
      <c r="C25" s="19">
        <f>'Dự toán Chi tiết 2025'!L506</f>
        <v>510000000</v>
      </c>
      <c r="D25" s="19">
        <f>C25*10%</f>
        <v>51000000</v>
      </c>
      <c r="E25" s="19"/>
      <c r="F25" s="19">
        <f t="shared" si="2"/>
        <v>459000000</v>
      </c>
      <c r="G25" s="20"/>
      <c r="H25" s="240">
        <f t="shared" si="0"/>
        <v>459000000</v>
      </c>
      <c r="I25" s="240">
        <f t="shared" si="1"/>
        <v>0</v>
      </c>
    </row>
    <row r="26" spans="1:14" ht="37.5">
      <c r="A26" s="17" t="s">
        <v>29</v>
      </c>
      <c r="B26" s="18" t="s">
        <v>125</v>
      </c>
      <c r="C26" s="19">
        <f>'Dự toán Chi tiết 2025'!L507</f>
        <v>640000000</v>
      </c>
      <c r="D26" s="19"/>
      <c r="E26" s="19"/>
      <c r="F26" s="19">
        <f t="shared" si="2"/>
        <v>640000000</v>
      </c>
      <c r="G26" s="11"/>
      <c r="H26" s="240">
        <f t="shared" si="0"/>
        <v>640000000</v>
      </c>
      <c r="I26" s="240">
        <f t="shared" si="1"/>
        <v>0</v>
      </c>
    </row>
    <row r="27" spans="1:14" ht="112.5">
      <c r="A27" s="17" t="s">
        <v>30</v>
      </c>
      <c r="B27" s="18" t="s">
        <v>720</v>
      </c>
      <c r="C27" s="19">
        <f>'Dự toán Chi tiết 2025'!L508</f>
        <v>1200000000</v>
      </c>
      <c r="D27" s="19">
        <f>C27*10%</f>
        <v>120000000</v>
      </c>
      <c r="E27" s="19"/>
      <c r="F27" s="19">
        <f t="shared" si="2"/>
        <v>1080000000</v>
      </c>
      <c r="G27" s="20"/>
      <c r="H27" s="240">
        <f t="shared" si="0"/>
        <v>1080000000</v>
      </c>
      <c r="I27" s="240">
        <f t="shared" si="1"/>
        <v>0</v>
      </c>
      <c r="K27" s="18"/>
    </row>
    <row r="28" spans="1:14" ht="75">
      <c r="A28" s="7" t="s">
        <v>12</v>
      </c>
      <c r="B28" s="9" t="s">
        <v>1283</v>
      </c>
      <c r="C28" s="10">
        <f>C29+C34</f>
        <v>108422876649</v>
      </c>
      <c r="D28" s="10">
        <f t="shared" ref="D28:F28" si="3">D29+D34</f>
        <v>582500000</v>
      </c>
      <c r="E28" s="10">
        <f t="shared" si="3"/>
        <v>582500000</v>
      </c>
      <c r="F28" s="10">
        <f t="shared" si="3"/>
        <v>108422876649</v>
      </c>
      <c r="G28" s="1379">
        <f>G29+G34</f>
        <v>0</v>
      </c>
      <c r="H28" s="240">
        <f>C28-D28+E28</f>
        <v>108422876649</v>
      </c>
      <c r="I28" s="240">
        <f t="shared" si="1"/>
        <v>0</v>
      </c>
      <c r="J28" s="240">
        <f>C29+C34</f>
        <v>108422876649</v>
      </c>
      <c r="M28" s="240">
        <f>F28-'VP HĐND&amp;UBND V'!F28</f>
        <v>98846976649</v>
      </c>
    </row>
    <row r="29" spans="1:14" ht="39">
      <c r="A29" s="12">
        <v>1</v>
      </c>
      <c r="B29" s="13" t="s">
        <v>9</v>
      </c>
      <c r="C29" s="14">
        <f>SUM(C30:C33)</f>
        <v>4787965704</v>
      </c>
      <c r="D29" s="14">
        <f>SUM(D30:D33)</f>
        <v>54000000</v>
      </c>
      <c r="E29" s="14">
        <f>SUM(E30:E33)</f>
        <v>582500000</v>
      </c>
      <c r="F29" s="14">
        <f>SUM(F30:F33)</f>
        <v>5316465704</v>
      </c>
      <c r="G29" s="15"/>
      <c r="H29" s="240">
        <f t="shared" si="0"/>
        <v>5316465704</v>
      </c>
      <c r="I29" s="240">
        <f t="shared" si="1"/>
        <v>0</v>
      </c>
      <c r="M29" s="240">
        <v>1141604900</v>
      </c>
    </row>
    <row r="30" spans="1:14" ht="37.5">
      <c r="A30" s="17" t="s">
        <v>5</v>
      </c>
      <c r="B30" s="18" t="s">
        <v>26</v>
      </c>
      <c r="C30" s="19">
        <f>'Dự toán Chi tiết 2025'!L515+'[13]Sheet1 (2)'!$K$17+[14]TH!$H$11</f>
        <v>2305474414</v>
      </c>
      <c r="D30" s="19"/>
      <c r="E30" s="19"/>
      <c r="F30" s="19">
        <f>C30-D30+E30</f>
        <v>2305474414</v>
      </c>
      <c r="G30" s="11"/>
      <c r="H30" s="240">
        <f t="shared" si="0"/>
        <v>2305474414</v>
      </c>
      <c r="I30" s="240">
        <f t="shared" si="1"/>
        <v>0</v>
      </c>
      <c r="M30" s="240">
        <v>97605371749</v>
      </c>
    </row>
    <row r="31" spans="1:14" ht="37.5">
      <c r="A31" s="17" t="s">
        <v>6</v>
      </c>
      <c r="B31" s="18" t="str">
        <f>B19</f>
        <v>Kinh phí thực hiện cải cách tiền lương</v>
      </c>
      <c r="C31" s="19">
        <f>'Dự toán Chi tiết 2025'!L517+'[13]Sheet1 (2)'!$K$18+[14]TH!$H$12</f>
        <v>737826778</v>
      </c>
      <c r="D31" s="19"/>
      <c r="E31" s="19">
        <f>D28</f>
        <v>582500000</v>
      </c>
      <c r="F31" s="19">
        <f>C31-D31+E31</f>
        <v>1320326778</v>
      </c>
      <c r="G31" s="11"/>
      <c r="H31" s="240">
        <f t="shared" si="0"/>
        <v>1320326778</v>
      </c>
      <c r="I31" s="240">
        <f t="shared" si="1"/>
        <v>0</v>
      </c>
      <c r="M31" s="240">
        <f>SUM(M29:M30)</f>
        <v>98746976649</v>
      </c>
    </row>
    <row r="32" spans="1:14" ht="37.5">
      <c r="A32" s="17" t="s">
        <v>157</v>
      </c>
      <c r="B32" s="18" t="s">
        <v>27</v>
      </c>
      <c r="C32" s="19">
        <f>'Dự toán Chi tiết 2025'!L519+'[13]Sheet1 (2)'!$K$19+[14]TH!$H$13</f>
        <v>625664512</v>
      </c>
      <c r="D32" s="19">
        <f>540000000*10%</f>
        <v>54000000</v>
      </c>
      <c r="E32" s="19"/>
      <c r="F32" s="19">
        <f>C32-D32+E32</f>
        <v>571664512</v>
      </c>
      <c r="G32" s="11"/>
      <c r="H32" s="240">
        <f t="shared" si="0"/>
        <v>571664512</v>
      </c>
      <c r="I32" s="240">
        <f t="shared" si="1"/>
        <v>0</v>
      </c>
      <c r="M32" s="240">
        <f>M31-M28</f>
        <v>-100000000</v>
      </c>
    </row>
    <row r="33" spans="1:9">
      <c r="A33" s="17" t="s">
        <v>158</v>
      </c>
      <c r="B33" s="18" t="s">
        <v>1284</v>
      </c>
      <c r="C33" s="19">
        <f>'Dự toán Chi tiết 2025'!L518</f>
        <v>1119000000</v>
      </c>
      <c r="D33" s="19"/>
      <c r="E33" s="19"/>
      <c r="F33" s="19">
        <f>C33-D33+E33</f>
        <v>1119000000</v>
      </c>
      <c r="G33" s="11"/>
      <c r="H33" s="240">
        <f t="shared" si="0"/>
        <v>1119000000</v>
      </c>
      <c r="I33" s="240">
        <f t="shared" si="1"/>
        <v>0</v>
      </c>
    </row>
    <row r="34" spans="1:9" ht="39">
      <c r="A34" s="12">
        <v>2</v>
      </c>
      <c r="B34" s="13" t="s">
        <v>10</v>
      </c>
      <c r="C34" s="14">
        <f>C35+C64+C66+C75+C77</f>
        <v>103634910945</v>
      </c>
      <c r="D34" s="14">
        <f t="shared" ref="D34:F34" si="4">D35+D64+D66+D75+D77</f>
        <v>528500000</v>
      </c>
      <c r="E34" s="14">
        <f t="shared" si="4"/>
        <v>0</v>
      </c>
      <c r="F34" s="14">
        <f t="shared" si="4"/>
        <v>103106410945</v>
      </c>
      <c r="G34" s="15"/>
      <c r="H34" s="240">
        <f>C34-D34+E34</f>
        <v>103106410945</v>
      </c>
      <c r="I34" s="240">
        <f t="shared" si="1"/>
        <v>0</v>
      </c>
    </row>
    <row r="35" spans="1:9" ht="19.5">
      <c r="A35" s="12"/>
      <c r="B35" s="13" t="s">
        <v>2007</v>
      </c>
      <c r="C35" s="14">
        <f>SUM(C36:C63)</f>
        <v>5896020000</v>
      </c>
      <c r="D35" s="14">
        <f>SUM(D36:D63)</f>
        <v>478500000</v>
      </c>
      <c r="E35" s="14">
        <f>SUM(E36:E63)</f>
        <v>0</v>
      </c>
      <c r="F35" s="14">
        <f>SUM(F36:F63)</f>
        <v>5417520000</v>
      </c>
      <c r="G35" s="15"/>
      <c r="H35" s="240"/>
      <c r="I35" s="240"/>
    </row>
    <row r="36" spans="1:9" s="1403" customFormat="1" ht="56.25">
      <c r="A36" s="1409" t="s">
        <v>8</v>
      </c>
      <c r="B36" s="1410" t="str">
        <f>'Lap động tbxh_điều chỉnh'!B26</f>
        <v>Chi cho công tác rà soát, thẩm định hồ sơ,.. chính sách bảo trợ hàng năm</v>
      </c>
      <c r="C36" s="1406">
        <f>'Lap động tbxh_điều chỉnh'!H26</f>
        <v>230000000</v>
      </c>
      <c r="D36" s="1407"/>
      <c r="E36" s="1407"/>
      <c r="F36" s="1406">
        <f>C36-D36</f>
        <v>230000000</v>
      </c>
      <c r="G36" s="1424"/>
      <c r="H36" s="1412"/>
      <c r="I36" s="1412"/>
    </row>
    <row r="37" spans="1:9" s="1403" customFormat="1" ht="56.25">
      <c r="A37" s="1409" t="s">
        <v>11</v>
      </c>
      <c r="B37" s="1410" t="str">
        <f>'Lap động tbxh_điều chỉnh'!B27</f>
        <v>Chi tập huấn, tuyên tuyền,... chính sách bảo trợ hàng năm và chi thù lao hoà giải viên lao động</v>
      </c>
      <c r="C37" s="1406">
        <f>'Lap động tbxh_điều chỉnh'!H27</f>
        <v>18000000</v>
      </c>
      <c r="D37" s="1407"/>
      <c r="E37" s="1407"/>
      <c r="F37" s="1406">
        <f t="shared" ref="F37:F44" si="5">C37-D37</f>
        <v>18000000</v>
      </c>
      <c r="G37" s="1424"/>
      <c r="H37" s="1412"/>
      <c r="I37" s="1412"/>
    </row>
    <row r="38" spans="1:9" s="1403" customFormat="1" ht="112.5">
      <c r="A38" s="1409" t="s">
        <v>13</v>
      </c>
      <c r="B38" s="1410" t="str">
        <f>'Lap động tbxh_điều chỉnh'!B28</f>
        <v>Hoạt động điều tra, rà soát, đánh giá hộ nghèo; Quản lý nhà nước về người cao tuổi; bình đẳng giới; ban vì sự tiến bộ của phụ nữ; tệ nạn xã hội, Người khuyết tật; trẻ em; lao động việc làm….</v>
      </c>
      <c r="C38" s="1406">
        <f>'[13]Sheet1 (2)'!$K$27</f>
        <v>70000000</v>
      </c>
      <c r="D38" s="1407"/>
      <c r="E38" s="1407"/>
      <c r="F38" s="1406">
        <f t="shared" si="5"/>
        <v>70000000</v>
      </c>
      <c r="G38" s="1424"/>
      <c r="H38" s="1412"/>
      <c r="I38" s="1412"/>
    </row>
    <row r="39" spans="1:9" s="1403" customFormat="1" ht="112.5">
      <c r="A39" s="1409" t="s">
        <v>28</v>
      </c>
      <c r="B39" s="1413" t="s">
        <v>1067</v>
      </c>
      <c r="C39" s="1406">
        <f>'Y tế V_điều chỉnh'!F23</f>
        <v>90000000</v>
      </c>
      <c r="D39" s="1407"/>
      <c r="E39" s="1407"/>
      <c r="F39" s="1406">
        <f t="shared" si="5"/>
        <v>90000000</v>
      </c>
      <c r="G39" s="1424"/>
      <c r="H39" s="1412"/>
      <c r="I39" s="1412"/>
    </row>
    <row r="40" spans="1:9" s="1403" customFormat="1" ht="56.25">
      <c r="A40" s="1409" t="s">
        <v>29</v>
      </c>
      <c r="B40" s="1413" t="s">
        <v>1068</v>
      </c>
      <c r="C40" s="1406">
        <f>'Y tế V_điều chỉnh'!F24</f>
        <v>117000000</v>
      </c>
      <c r="D40" s="1407"/>
      <c r="E40" s="1407"/>
      <c r="F40" s="1406">
        <f t="shared" si="5"/>
        <v>117000000</v>
      </c>
      <c r="G40" s="1424"/>
      <c r="H40" s="1412"/>
      <c r="I40" s="1412"/>
    </row>
    <row r="41" spans="1:9" s="1403" customFormat="1" ht="56.25">
      <c r="A41" s="1409" t="s">
        <v>30</v>
      </c>
      <c r="B41" s="1413" t="s">
        <v>381</v>
      </c>
      <c r="C41" s="1406">
        <f>'Y tế V_điều chỉnh'!F25</f>
        <v>22500000</v>
      </c>
      <c r="D41" s="1407"/>
      <c r="E41" s="1407"/>
      <c r="F41" s="1406">
        <f t="shared" si="5"/>
        <v>22500000</v>
      </c>
      <c r="G41" s="1424"/>
      <c r="H41" s="1412"/>
      <c r="I41" s="1412"/>
    </row>
    <row r="42" spans="1:9" s="1403" customFormat="1" ht="37.5">
      <c r="A42" s="1409" t="s">
        <v>31</v>
      </c>
      <c r="B42" s="1413" t="s">
        <v>136</v>
      </c>
      <c r="C42" s="1406">
        <f>'Y tế V_điều chỉnh'!F26</f>
        <v>13500000</v>
      </c>
      <c r="D42" s="1407"/>
      <c r="E42" s="1407"/>
      <c r="F42" s="1406">
        <f t="shared" si="5"/>
        <v>13500000</v>
      </c>
      <c r="G42" s="1424"/>
      <c r="H42" s="1412"/>
      <c r="I42" s="1412"/>
    </row>
    <row r="43" spans="1:9" s="1403" customFormat="1" ht="37.5">
      <c r="A43" s="1409" t="s">
        <v>32</v>
      </c>
      <c r="B43" s="1413" t="s">
        <v>2053</v>
      </c>
      <c r="C43" s="1406">
        <f>'Y tế V_điều chỉnh'!F27</f>
        <v>360000000</v>
      </c>
      <c r="D43" s="1407"/>
      <c r="E43" s="1407"/>
      <c r="F43" s="1406">
        <f t="shared" si="5"/>
        <v>360000000</v>
      </c>
      <c r="G43" s="1424"/>
      <c r="H43" s="1412"/>
      <c r="I43" s="1412"/>
    </row>
    <row r="44" spans="1:9" s="1403" customFormat="1" ht="93.75">
      <c r="A44" s="1409" t="s">
        <v>38</v>
      </c>
      <c r="B44" s="1413" t="s">
        <v>1071</v>
      </c>
      <c r="C44" s="1406">
        <f>'Y tế V_điều chỉnh'!F29</f>
        <v>27000000</v>
      </c>
      <c r="D44" s="1407"/>
      <c r="E44" s="1407"/>
      <c r="F44" s="1406">
        <f t="shared" si="5"/>
        <v>27000000</v>
      </c>
      <c r="G44" s="1424"/>
      <c r="H44" s="1412"/>
      <c r="I44" s="1412"/>
    </row>
    <row r="45" spans="1:9">
      <c r="A45" s="1409" t="s">
        <v>39</v>
      </c>
      <c r="B45" s="18" t="s">
        <v>1047</v>
      </c>
      <c r="C45" s="19">
        <f>'Dự toán Chi tiết 2025'!L521</f>
        <v>150000000</v>
      </c>
      <c r="D45" s="19">
        <f>C45*10%</f>
        <v>15000000</v>
      </c>
      <c r="E45" s="19"/>
      <c r="F45" s="19">
        <f>C45-D45</f>
        <v>135000000</v>
      </c>
      <c r="G45" s="11"/>
      <c r="H45" s="240">
        <f t="shared" si="0"/>
        <v>135000000</v>
      </c>
      <c r="I45" s="240">
        <f t="shared" si="1"/>
        <v>0</v>
      </c>
    </row>
    <row r="46" spans="1:9" ht="37.5">
      <c r="A46" s="1409" t="s">
        <v>40</v>
      </c>
      <c r="B46" s="18" t="s">
        <v>1048</v>
      </c>
      <c r="C46" s="19">
        <f>'Dự toán Chi tiết 2025'!L522</f>
        <v>410000000</v>
      </c>
      <c r="D46" s="19">
        <f t="shared" ref="D46:D63" si="6">C46*10%</f>
        <v>41000000</v>
      </c>
      <c r="E46" s="19"/>
      <c r="F46" s="19">
        <f t="shared" ref="F46:F63" si="7">C46-D46</f>
        <v>369000000</v>
      </c>
      <c r="G46" s="11"/>
      <c r="H46" s="240">
        <f t="shared" si="0"/>
        <v>369000000</v>
      </c>
      <c r="I46" s="240">
        <f t="shared" si="1"/>
        <v>0</v>
      </c>
    </row>
    <row r="47" spans="1:9">
      <c r="A47" s="1409" t="s">
        <v>41</v>
      </c>
      <c r="B47" s="18" t="s">
        <v>1050</v>
      </c>
      <c r="C47" s="19">
        <f>'Dự toán Chi tiết 2025'!L524</f>
        <v>20000000</v>
      </c>
      <c r="D47" s="19">
        <f t="shared" si="6"/>
        <v>2000000</v>
      </c>
      <c r="E47" s="19"/>
      <c r="F47" s="19">
        <f t="shared" si="7"/>
        <v>18000000</v>
      </c>
      <c r="G47" s="20"/>
      <c r="H47" s="240">
        <f t="shared" si="0"/>
        <v>18000000</v>
      </c>
      <c r="I47" s="240">
        <f t="shared" si="1"/>
        <v>0</v>
      </c>
    </row>
    <row r="48" spans="1:9" ht="37.5">
      <c r="A48" s="1409" t="s">
        <v>714</v>
      </c>
      <c r="B48" s="18" t="s">
        <v>1051</v>
      </c>
      <c r="C48" s="19">
        <f>'Dự toán Chi tiết 2025'!L525</f>
        <v>100000000</v>
      </c>
      <c r="D48" s="19">
        <f t="shared" si="6"/>
        <v>10000000</v>
      </c>
      <c r="E48" s="19"/>
      <c r="F48" s="19">
        <f t="shared" si="7"/>
        <v>90000000</v>
      </c>
      <c r="G48" s="11"/>
      <c r="H48" s="240">
        <f t="shared" si="0"/>
        <v>90000000</v>
      </c>
      <c r="I48" s="240">
        <f t="shared" si="1"/>
        <v>0</v>
      </c>
    </row>
    <row r="49" spans="1:9" ht="69.75" customHeight="1">
      <c r="A49" s="1409" t="s">
        <v>715</v>
      </c>
      <c r="B49" s="18" t="str">
        <f>'Dự toán Chi tiết 2025'!B526</f>
        <v>Hoạt động thống kê văn bản, chỉ đạo điều hành và hoạt động thủ tục hành chính</v>
      </c>
      <c r="C49" s="19">
        <f>'Dự toán Chi tiết 2025'!L526</f>
        <v>85000000</v>
      </c>
      <c r="D49" s="19">
        <f t="shared" si="6"/>
        <v>8500000</v>
      </c>
      <c r="E49" s="19"/>
      <c r="F49" s="19">
        <f t="shared" si="7"/>
        <v>76500000</v>
      </c>
      <c r="G49" s="20"/>
      <c r="H49" s="240">
        <f t="shared" si="0"/>
        <v>76500000</v>
      </c>
      <c r="I49" s="240">
        <f t="shared" si="1"/>
        <v>0</v>
      </c>
    </row>
    <row r="50" spans="1:9">
      <c r="A50" s="1409" t="s">
        <v>716</v>
      </c>
      <c r="B50" s="18" t="s">
        <v>1052</v>
      </c>
      <c r="C50" s="19">
        <f>'Dự toán Chi tiết 2025'!L527</f>
        <v>170000000</v>
      </c>
      <c r="D50" s="19">
        <f t="shared" si="6"/>
        <v>17000000</v>
      </c>
      <c r="E50" s="19"/>
      <c r="F50" s="19">
        <f t="shared" si="7"/>
        <v>153000000</v>
      </c>
      <c r="G50" s="11"/>
      <c r="H50" s="240">
        <f t="shared" si="0"/>
        <v>153000000</v>
      </c>
      <c r="I50" s="240">
        <f t="shared" si="1"/>
        <v>0</v>
      </c>
    </row>
    <row r="51" spans="1:9">
      <c r="A51" s="1409" t="s">
        <v>717</v>
      </c>
      <c r="B51" s="18" t="s">
        <v>1053</v>
      </c>
      <c r="C51" s="19">
        <f>'Dự toán Chi tiết 2025'!L528</f>
        <v>30000000</v>
      </c>
      <c r="D51" s="19">
        <f t="shared" si="6"/>
        <v>3000000</v>
      </c>
      <c r="E51" s="19"/>
      <c r="F51" s="19">
        <f t="shared" si="7"/>
        <v>27000000</v>
      </c>
      <c r="G51" s="11"/>
      <c r="H51" s="240">
        <f t="shared" si="0"/>
        <v>27000000</v>
      </c>
      <c r="I51" s="240">
        <f t="shared" si="1"/>
        <v>0</v>
      </c>
    </row>
    <row r="52" spans="1:9">
      <c r="A52" s="1409" t="s">
        <v>1525</v>
      </c>
      <c r="B52" s="18" t="s">
        <v>1054</v>
      </c>
      <c r="C52" s="19">
        <f>'Dự toán Chi tiết 2025'!L529</f>
        <v>400000000</v>
      </c>
      <c r="D52" s="19">
        <f t="shared" si="6"/>
        <v>40000000</v>
      </c>
      <c r="E52" s="19"/>
      <c r="F52" s="19">
        <f t="shared" si="7"/>
        <v>360000000</v>
      </c>
      <c r="G52" s="11"/>
      <c r="H52" s="240">
        <f t="shared" si="0"/>
        <v>360000000</v>
      </c>
      <c r="I52" s="240">
        <f t="shared" si="1"/>
        <v>0</v>
      </c>
    </row>
    <row r="53" spans="1:9" ht="37.5">
      <c r="A53" s="1409" t="s">
        <v>2067</v>
      </c>
      <c r="B53" s="18" t="s">
        <v>1055</v>
      </c>
      <c r="C53" s="19">
        <f>'Dự toán Chi tiết 2025'!L530</f>
        <v>120000000</v>
      </c>
      <c r="D53" s="19"/>
      <c r="E53" s="19"/>
      <c r="F53" s="19">
        <f t="shared" si="7"/>
        <v>120000000</v>
      </c>
      <c r="G53" s="11"/>
      <c r="H53" s="240">
        <f t="shared" si="0"/>
        <v>120000000</v>
      </c>
      <c r="I53" s="240">
        <f t="shared" si="1"/>
        <v>0</v>
      </c>
    </row>
    <row r="54" spans="1:9" ht="75">
      <c r="A54" s="1409" t="s">
        <v>2068</v>
      </c>
      <c r="B54" s="18" t="s">
        <v>1057</v>
      </c>
      <c r="C54" s="19">
        <f>'Dự toán Chi tiết 2025'!L531</f>
        <v>320000000</v>
      </c>
      <c r="D54" s="19">
        <f t="shared" si="6"/>
        <v>32000000</v>
      </c>
      <c r="E54" s="19"/>
      <c r="F54" s="19">
        <f t="shared" si="7"/>
        <v>288000000</v>
      </c>
      <c r="G54" s="11"/>
      <c r="H54" s="240">
        <f t="shared" si="0"/>
        <v>288000000</v>
      </c>
      <c r="I54" s="240">
        <f t="shared" si="1"/>
        <v>0</v>
      </c>
    </row>
    <row r="55" spans="1:9" ht="37.5" hidden="1">
      <c r="A55" s="1409" t="s">
        <v>2069</v>
      </c>
      <c r="B55" s="18" t="str">
        <f>'Dự toán Chi tiết 2025'!B534</f>
        <v>Lắp đặt hệ thống phòng cháy, chữa cháy</v>
      </c>
      <c r="C55" s="19">
        <f>'Dự toán Chi tiết 2025'!L534</f>
        <v>0</v>
      </c>
      <c r="D55" s="19">
        <f t="shared" si="6"/>
        <v>0</v>
      </c>
      <c r="E55" s="19"/>
      <c r="F55" s="19">
        <f t="shared" si="7"/>
        <v>0</v>
      </c>
      <c r="G55" s="11"/>
      <c r="H55" s="240"/>
      <c r="I55" s="240"/>
    </row>
    <row r="56" spans="1:9" ht="37.5">
      <c r="A56" s="1409" t="s">
        <v>2070</v>
      </c>
      <c r="B56" s="18" t="str">
        <f>'Dự toán Chi tiết 2025'!B535</f>
        <v>Phần mềm phản ảnh kiến nghị và phần mềm phục vụ QLNN</v>
      </c>
      <c r="C56" s="19">
        <f>'Dự toán Chi tiết 2025'!L535</f>
        <v>100000000</v>
      </c>
      <c r="D56" s="19">
        <f t="shared" si="6"/>
        <v>10000000</v>
      </c>
      <c r="E56" s="19"/>
      <c r="F56" s="19">
        <f t="shared" si="7"/>
        <v>90000000</v>
      </c>
      <c r="G56" s="11"/>
      <c r="H56" s="240"/>
      <c r="I56" s="240"/>
    </row>
    <row r="57" spans="1:9" s="1403" customFormat="1">
      <c r="A57" s="1409" t="s">
        <v>2071</v>
      </c>
      <c r="B57" s="1410" t="str">
        <f>'Dự toán Chi tiết 2025'!B536</f>
        <v>Chi hoạt động Chi bộ</v>
      </c>
      <c r="C57" s="1406">
        <f>'Dự toán Chi tiết 2025'!L536+'[13]Sheet1 (2)'!$K$22</f>
        <v>15500000</v>
      </c>
      <c r="D57" s="1406"/>
      <c r="E57" s="1406"/>
      <c r="F57" s="1406">
        <f t="shared" si="7"/>
        <v>15500000</v>
      </c>
      <c r="G57" s="1411"/>
      <c r="H57" s="1412"/>
      <c r="I57" s="1412"/>
    </row>
    <row r="58" spans="1:9" s="1403" customFormat="1">
      <c r="A58" s="1409" t="s">
        <v>2072</v>
      </c>
      <c r="B58" s="1410" t="str">
        <f>'Dự toán Chi tiết 2025'!B537</f>
        <v>Chi tổ chức Đại hội Chi bộ</v>
      </c>
      <c r="C58" s="1406">
        <f>'Dự toán Chi tiết 2025'!L537+'[13]Sheet1 (2)'!$K$23+[14]TH!$H$16</f>
        <v>27520000</v>
      </c>
      <c r="D58" s="1406"/>
      <c r="E58" s="1406"/>
      <c r="F58" s="1406">
        <f t="shared" si="7"/>
        <v>27520000</v>
      </c>
      <c r="G58" s="1411"/>
      <c r="H58" s="1412"/>
      <c r="I58" s="1412"/>
    </row>
    <row r="59" spans="1:9" ht="75" hidden="1">
      <c r="A59" s="1409" t="s">
        <v>2073</v>
      </c>
      <c r="B59" s="18" t="s">
        <v>1058</v>
      </c>
      <c r="C59" s="19">
        <f>'Dự toán Chi tiết 2025'!L532</f>
        <v>0</v>
      </c>
      <c r="D59" s="19">
        <f t="shared" si="6"/>
        <v>0</v>
      </c>
      <c r="E59" s="19"/>
      <c r="F59" s="19">
        <f t="shared" si="7"/>
        <v>0</v>
      </c>
      <c r="G59" s="11"/>
      <c r="H59" s="240">
        <f t="shared" si="0"/>
        <v>0</v>
      </c>
      <c r="I59" s="240">
        <f t="shared" si="1"/>
        <v>0</v>
      </c>
    </row>
    <row r="60" spans="1:9" ht="56.25" hidden="1">
      <c r="A60" s="1409" t="s">
        <v>2074</v>
      </c>
      <c r="B60" s="18" t="s">
        <v>1059</v>
      </c>
      <c r="C60" s="19">
        <f>'Dự toán Chi tiết 2025'!L533</f>
        <v>0</v>
      </c>
      <c r="D60" s="19">
        <f t="shared" si="6"/>
        <v>0</v>
      </c>
      <c r="E60" s="19"/>
      <c r="F60" s="19">
        <f t="shared" si="7"/>
        <v>0</v>
      </c>
      <c r="G60" s="11"/>
      <c r="H60" s="240">
        <f t="shared" si="0"/>
        <v>0</v>
      </c>
      <c r="I60" s="240">
        <f t="shared" si="1"/>
        <v>0</v>
      </c>
    </row>
    <row r="61" spans="1:9" ht="180.75" customHeight="1">
      <c r="A61" s="1409" t="s">
        <v>2075</v>
      </c>
      <c r="B61" s="18" t="s">
        <v>2043</v>
      </c>
      <c r="C61" s="19">
        <f>'Dự toán Chi tiết 2025'!L538</f>
        <v>1800000000</v>
      </c>
      <c r="D61" s="19">
        <f t="shared" si="6"/>
        <v>180000000</v>
      </c>
      <c r="E61" s="19"/>
      <c r="F61" s="19">
        <f t="shared" si="7"/>
        <v>1620000000</v>
      </c>
      <c r="G61" s="11"/>
      <c r="H61" s="240">
        <f t="shared" si="0"/>
        <v>1620000000</v>
      </c>
      <c r="I61" s="240">
        <f t="shared" si="1"/>
        <v>0</v>
      </c>
    </row>
    <row r="62" spans="1:9" ht="37.5" hidden="1">
      <c r="A62" s="1409" t="s">
        <v>2076</v>
      </c>
      <c r="B62" s="18" t="str">
        <f>'Quản lý đô thị V'!B29</f>
        <v>Kinh phí chỉnh lý tài liệu và số hoá tài liệu</v>
      </c>
      <c r="C62" s="19"/>
      <c r="D62" s="19"/>
      <c r="E62" s="19"/>
      <c r="F62" s="19">
        <f t="shared" si="7"/>
        <v>0</v>
      </c>
      <c r="G62" s="11"/>
      <c r="H62" s="240">
        <f t="shared" si="0"/>
        <v>0</v>
      </c>
      <c r="I62" s="240">
        <f t="shared" si="1"/>
        <v>0</v>
      </c>
    </row>
    <row r="63" spans="1:9">
      <c r="A63" s="1409" t="s">
        <v>2076</v>
      </c>
      <c r="B63" s="18" t="s">
        <v>1062</v>
      </c>
      <c r="C63" s="19">
        <f>'Dự toán Chi tiết 2025'!L540</f>
        <v>1200000000</v>
      </c>
      <c r="D63" s="19">
        <f t="shared" si="6"/>
        <v>120000000</v>
      </c>
      <c r="E63" s="19"/>
      <c r="F63" s="19">
        <f t="shared" si="7"/>
        <v>1080000000</v>
      </c>
      <c r="G63" s="11"/>
      <c r="H63" s="240">
        <f t="shared" si="0"/>
        <v>1080000000</v>
      </c>
      <c r="I63" s="240">
        <f t="shared" si="1"/>
        <v>0</v>
      </c>
    </row>
    <row r="64" spans="1:9" s="88" customFormat="1" ht="19.5">
      <c r="A64" s="1428"/>
      <c r="B64" s="13" t="s">
        <v>2008</v>
      </c>
      <c r="C64" s="1429">
        <f>C65</f>
        <v>500000000</v>
      </c>
      <c r="D64" s="1429">
        <f t="shared" ref="D64:F64" si="8">D65</f>
        <v>50000000</v>
      </c>
      <c r="E64" s="1429">
        <f t="shared" si="8"/>
        <v>0</v>
      </c>
      <c r="F64" s="1429">
        <f t="shared" si="8"/>
        <v>450000000</v>
      </c>
      <c r="G64" s="1428"/>
    </row>
    <row r="65" spans="1:7" ht="37.5">
      <c r="A65" s="17" t="s">
        <v>2071</v>
      </c>
      <c r="B65" s="18" t="s">
        <v>2010</v>
      </c>
      <c r="C65" s="19">
        <v>500000000</v>
      </c>
      <c r="D65" s="19">
        <f t="shared" ref="D65" si="9">C65*10%</f>
        <v>50000000</v>
      </c>
      <c r="E65" s="19"/>
      <c r="F65" s="19">
        <f t="shared" ref="F65:F78" si="10">C65-D65</f>
        <v>450000000</v>
      </c>
      <c r="G65" s="11"/>
    </row>
    <row r="66" spans="1:7" s="88" customFormat="1" ht="19.5">
      <c r="A66" s="1428"/>
      <c r="B66" s="1428" t="s">
        <v>651</v>
      </c>
      <c r="C66" s="1429">
        <f>SUM(C67:C74)</f>
        <v>96605890945</v>
      </c>
      <c r="D66" s="1429">
        <f t="shared" ref="D66:F66" si="11">SUM(D67:D74)</f>
        <v>0</v>
      </c>
      <c r="E66" s="1429">
        <f t="shared" si="11"/>
        <v>0</v>
      </c>
      <c r="F66" s="1429">
        <f t="shared" si="11"/>
        <v>96605890945</v>
      </c>
      <c r="G66" s="1428"/>
    </row>
    <row r="67" spans="1:7" s="1416" customFormat="1" ht="56.25">
      <c r="A67" s="1430" t="s">
        <v>2072</v>
      </c>
      <c r="B67" s="1415" t="s">
        <v>352</v>
      </c>
      <c r="C67" s="1406">
        <f>'Lap động tbxh_điều chỉnh'!H32</f>
        <v>91674450000</v>
      </c>
      <c r="D67" s="1430"/>
      <c r="E67" s="1430"/>
      <c r="F67" s="1406">
        <f t="shared" si="10"/>
        <v>91674450000</v>
      </c>
      <c r="G67" s="1430"/>
    </row>
    <row r="68" spans="1:7" s="1416" customFormat="1" ht="56.25">
      <c r="A68" s="1430" t="s">
        <v>2073</v>
      </c>
      <c r="B68" s="1415" t="s">
        <v>1031</v>
      </c>
      <c r="C68" s="1406">
        <f>'Lap động tbxh_điều chỉnh'!H33</f>
        <v>444453000</v>
      </c>
      <c r="D68" s="1430"/>
      <c r="E68" s="1430"/>
      <c r="F68" s="1406">
        <f t="shared" si="10"/>
        <v>444453000</v>
      </c>
      <c r="G68" s="1430"/>
    </row>
    <row r="69" spans="1:7" s="1416" customFormat="1" ht="37.5">
      <c r="A69" s="1430" t="s">
        <v>2074</v>
      </c>
      <c r="B69" s="1415" t="str">
        <f>'Lap động tbxh_điều chỉnh'!B35</f>
        <v>Chi gạo đỏ lửa giáp hạt năm 2025,2026</v>
      </c>
      <c r="C69" s="1406">
        <f>'Lap động tbxh_điều chỉnh'!H35</f>
        <v>238181945</v>
      </c>
      <c r="D69" s="1430"/>
      <c r="E69" s="1430"/>
      <c r="F69" s="1406">
        <f t="shared" si="10"/>
        <v>238181945</v>
      </c>
      <c r="G69" s="1430"/>
    </row>
    <row r="70" spans="1:7" s="1416" customFormat="1" ht="37.5">
      <c r="A70" s="1430" t="s">
        <v>2075</v>
      </c>
      <c r="B70" s="1415" t="s">
        <v>355</v>
      </c>
      <c r="C70" s="1406">
        <f>'Lap động tbxh_điều chỉnh'!H36</f>
        <v>507000000</v>
      </c>
      <c r="D70" s="1430"/>
      <c r="E70" s="1430"/>
      <c r="F70" s="1406">
        <f t="shared" si="10"/>
        <v>507000000</v>
      </c>
      <c r="G70" s="1430"/>
    </row>
    <row r="71" spans="1:7" s="1416" customFormat="1" ht="112.5">
      <c r="A71" s="1430" t="s">
        <v>2076</v>
      </c>
      <c r="B71" s="1415" t="s">
        <v>356</v>
      </c>
      <c r="C71" s="1406">
        <f>'Lap động tbxh_điều chỉnh'!H37</f>
        <v>191500000</v>
      </c>
      <c r="D71" s="1430"/>
      <c r="E71" s="1430"/>
      <c r="F71" s="1406">
        <f t="shared" si="10"/>
        <v>191500000</v>
      </c>
      <c r="G71" s="1430"/>
    </row>
    <row r="72" spans="1:7" s="1416" customFormat="1" ht="75">
      <c r="A72" s="1430" t="s">
        <v>2077</v>
      </c>
      <c r="B72" s="1415" t="s">
        <v>1034</v>
      </c>
      <c r="C72" s="1406">
        <f>'[13]Sheet1 (2)'!$K$38</f>
        <v>30000000</v>
      </c>
      <c r="D72" s="1430"/>
      <c r="E72" s="1430"/>
      <c r="F72" s="1406">
        <f t="shared" si="10"/>
        <v>30000000</v>
      </c>
      <c r="G72" s="1430"/>
    </row>
    <row r="73" spans="1:7" s="1416" customFormat="1" ht="37.5">
      <c r="A73" s="1430" t="s">
        <v>2078</v>
      </c>
      <c r="B73" s="1415" t="str">
        <f>'Dự toán Chi tiết 2025'!B505</f>
        <v>Chi hoạt động tiếp xúc cử tri của đại biểu HĐND thành phố</v>
      </c>
      <c r="C73" s="1406">
        <f>'Lap động tbxh_điều chỉnh'!H40</f>
        <v>3035000000</v>
      </c>
      <c r="D73" s="1430"/>
      <c r="E73" s="1430"/>
      <c r="F73" s="1406">
        <f t="shared" si="10"/>
        <v>3035000000</v>
      </c>
      <c r="G73" s="1430"/>
    </row>
    <row r="74" spans="1:7" s="1403" customFormat="1" ht="37.5">
      <c r="A74" s="1430" t="s">
        <v>2079</v>
      </c>
      <c r="B74" s="1433" t="s">
        <v>361</v>
      </c>
      <c r="C74" s="1406">
        <f>'[13]Sheet1 (2)'!$K$40</f>
        <v>485306000</v>
      </c>
      <c r="D74" s="1414"/>
      <c r="E74" s="1414"/>
      <c r="F74" s="1406">
        <f t="shared" si="10"/>
        <v>485306000</v>
      </c>
      <c r="G74" s="1414"/>
    </row>
    <row r="75" spans="1:7" s="88" customFormat="1" ht="19.5">
      <c r="A75" s="1428"/>
      <c r="B75" s="1428" t="str">
        <f>'Lap động tbxh_điều chỉnh'!B50</f>
        <v>Chi sự nghiệp giáo dục</v>
      </c>
      <c r="C75" s="1429">
        <f>C76</f>
        <v>273000000</v>
      </c>
      <c r="D75" s="1428">
        <f t="shared" ref="D75:F75" si="12">D76</f>
        <v>0</v>
      </c>
      <c r="E75" s="1428">
        <f t="shared" si="12"/>
        <v>0</v>
      </c>
      <c r="F75" s="1429">
        <f t="shared" si="12"/>
        <v>273000000</v>
      </c>
      <c r="G75" s="1428"/>
    </row>
    <row r="76" spans="1:7" s="1403" customFormat="1" ht="75">
      <c r="A76" s="1430" t="s">
        <v>2080</v>
      </c>
      <c r="B76" s="1410" t="str">
        <f>'Lap động tbxh_điều chỉnh'!B52</f>
        <v>Chi thực hiện miễn giảm học phí và hỗ trợ chi phí học tập theo Nghị định 81/2021/NĐ-CP ngày 27/8/2021 của Chính phủ</v>
      </c>
      <c r="C76" s="1406">
        <f>'[13]Sheet1 (2)'!$K$51</f>
        <v>273000000</v>
      </c>
      <c r="D76" s="1414"/>
      <c r="E76" s="1414"/>
      <c r="F76" s="1406">
        <f t="shared" si="10"/>
        <v>273000000</v>
      </c>
      <c r="G76" s="1414"/>
    </row>
    <row r="77" spans="1:7" s="1403" customFormat="1" ht="19.5">
      <c r="A77" s="1414"/>
      <c r="B77" s="1431" t="s">
        <v>2004</v>
      </c>
      <c r="C77" s="1432">
        <f>C78</f>
        <v>360000000</v>
      </c>
      <c r="D77" s="1432">
        <f t="shared" ref="D77:F77" si="13">D78</f>
        <v>0</v>
      </c>
      <c r="E77" s="1432">
        <f t="shared" si="13"/>
        <v>0</v>
      </c>
      <c r="F77" s="1432">
        <f t="shared" si="13"/>
        <v>360000000</v>
      </c>
      <c r="G77" s="1414"/>
    </row>
    <row r="78" spans="1:7" s="1403" customFormat="1" ht="56.25">
      <c r="A78" s="1430" t="s">
        <v>2081</v>
      </c>
      <c r="B78" s="1413" t="s">
        <v>139</v>
      </c>
      <c r="C78" s="1406">
        <f>'Y tế V_điều chỉnh'!F31</f>
        <v>360000000</v>
      </c>
      <c r="D78" s="1414"/>
      <c r="E78" s="1414"/>
      <c r="F78" s="1406">
        <f t="shared" si="10"/>
        <v>360000000</v>
      </c>
      <c r="G78" s="1414"/>
    </row>
  </sheetData>
  <mergeCells count="8">
    <mergeCell ref="A8:G8"/>
    <mergeCell ref="A3:G3"/>
    <mergeCell ref="A1:C1"/>
    <mergeCell ref="A2:C2"/>
    <mergeCell ref="A4:G4"/>
    <mergeCell ref="A5:G5"/>
    <mergeCell ref="A6:G6"/>
    <mergeCell ref="A7:G7"/>
  </mergeCells>
  <pageMargins left="0.5" right="0.41" top="0.6" bottom="0.74803149606299213" header="0.31496062992125984" footer="0.31496062992125984"/>
  <pageSetup paperSize="9" scale="61" fitToHeight="0"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53"/>
  <sheetViews>
    <sheetView zoomScale="89" zoomScaleNormal="89" workbookViewId="0">
      <selection activeCell="F14" sqref="F14"/>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19.42578125" style="2" hidden="1" customWidth="1"/>
    <col min="9" max="9" width="16.5703125" style="2" hidden="1" customWidth="1"/>
    <col min="10" max="10" width="19.42578125" style="2" hidden="1" customWidth="1"/>
    <col min="11" max="12" width="0" style="2" hidden="1" customWidth="1"/>
    <col min="13"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10">
      <c r="A1" s="1838" t="s">
        <v>1281</v>
      </c>
      <c r="B1" s="1838"/>
      <c r="C1" s="1838"/>
      <c r="G1" s="3"/>
    </row>
    <row r="2" spans="1:10">
      <c r="A2" s="1798" t="s">
        <v>119</v>
      </c>
      <c r="B2" s="1798"/>
      <c r="C2" s="1798"/>
      <c r="D2" s="4"/>
      <c r="E2" s="4"/>
      <c r="F2" s="4"/>
    </row>
    <row r="3" spans="1:10">
      <c r="A3" s="5"/>
    </row>
    <row r="4" spans="1:10">
      <c r="A4" s="1798" t="str">
        <f>'TTDVNN V '!A4:G4</f>
        <v>DỰ TOÁN THU, CHI NGÂN SÁCH NHÀ NƯỚC NĂM 2025</v>
      </c>
      <c r="B4" s="1798"/>
      <c r="C4" s="1798"/>
      <c r="D4" s="1798"/>
      <c r="E4" s="1798"/>
      <c r="F4" s="1798"/>
      <c r="G4" s="1798"/>
    </row>
    <row r="5" spans="1:10">
      <c r="A5" s="1798" t="s">
        <v>1280</v>
      </c>
      <c r="B5" s="1798"/>
      <c r="C5" s="1798"/>
      <c r="D5" s="1798"/>
      <c r="E5" s="1798"/>
      <c r="F5" s="1798"/>
      <c r="G5" s="1798"/>
    </row>
    <row r="6" spans="1:10">
      <c r="A6" s="1798" t="s">
        <v>120</v>
      </c>
      <c r="B6" s="1798"/>
      <c r="C6" s="1798"/>
      <c r="D6" s="1798"/>
      <c r="E6" s="1798"/>
      <c r="F6" s="1798"/>
      <c r="G6" s="1798"/>
    </row>
    <row r="7" spans="1:10">
      <c r="A7" s="1798" t="s">
        <v>17</v>
      </c>
      <c r="B7" s="1798"/>
      <c r="C7" s="1798"/>
      <c r="D7" s="1798"/>
      <c r="E7" s="1798"/>
      <c r="F7" s="1798"/>
      <c r="G7" s="1798"/>
    </row>
    <row r="8" spans="1:10">
      <c r="A8" s="1799">
        <f>'TTDVNN V '!A8:G8</f>
        <v>0</v>
      </c>
      <c r="B8" s="1799"/>
      <c r="C8" s="1799"/>
      <c r="D8" s="1799"/>
      <c r="E8" s="1799"/>
      <c r="F8" s="1799"/>
      <c r="G8" s="1799"/>
    </row>
    <row r="9" spans="1:10">
      <c r="A9" s="238"/>
      <c r="B9" s="238"/>
      <c r="C9" s="238"/>
      <c r="D9" s="238"/>
      <c r="E9" s="238"/>
      <c r="F9" s="238"/>
      <c r="G9" s="238"/>
    </row>
    <row r="10" spans="1:10">
      <c r="G10" s="6" t="s">
        <v>43</v>
      </c>
    </row>
    <row r="11" spans="1:10" ht="117" customHeight="1">
      <c r="A11" s="7" t="s">
        <v>0</v>
      </c>
      <c r="B11" s="7" t="s">
        <v>1</v>
      </c>
      <c r="C11" s="7" t="str">
        <f>'TTDVNN V '!C11</f>
        <v>Dự toán 
năm 2025</v>
      </c>
      <c r="D11" s="7" t="s">
        <v>18</v>
      </c>
      <c r="E11" s="7" t="str">
        <f>'TTDVNN V '!E11</f>
        <v>Thực hiện cải cách tiền lương từ nguồn tiết kiệm chi 10% của đơn vị</v>
      </c>
      <c r="F11" s="7" t="s">
        <v>117</v>
      </c>
      <c r="G11" s="7" t="s">
        <v>19</v>
      </c>
    </row>
    <row r="12" spans="1:10">
      <c r="A12" s="8" t="s">
        <v>20</v>
      </c>
      <c r="B12" s="8" t="s">
        <v>21</v>
      </c>
      <c r="C12" s="8" t="s">
        <v>22</v>
      </c>
      <c r="D12" s="8" t="s">
        <v>23</v>
      </c>
      <c r="E12" s="8" t="str">
        <f>'TTDVNN V '!E12</f>
        <v>(5)</v>
      </c>
      <c r="F12" s="8" t="str">
        <f>'Trung tâm Chính trị V'!F11</f>
        <v>(6)=(3)-(4)+(5)</v>
      </c>
      <c r="G12" s="8" t="s">
        <v>25</v>
      </c>
    </row>
    <row r="13" spans="1:10" ht="37.5">
      <c r="A13" s="7" t="s">
        <v>167</v>
      </c>
      <c r="B13" s="9" t="s">
        <v>3</v>
      </c>
      <c r="C13" s="10"/>
      <c r="D13" s="10"/>
      <c r="E13" s="10"/>
      <c r="F13" s="10"/>
      <c r="G13" s="11"/>
      <c r="H13" s="240">
        <f>F16-'Dự toán Chi tiết 2025'!L495</f>
        <v>0</v>
      </c>
    </row>
    <row r="14" spans="1:10" ht="37.5">
      <c r="A14" s="7" t="s">
        <v>1268</v>
      </c>
      <c r="B14" s="9" t="s">
        <v>84</v>
      </c>
      <c r="C14" s="10">
        <f>C15</f>
        <v>12796800000</v>
      </c>
      <c r="D14" s="10">
        <f>D15</f>
        <v>786600000</v>
      </c>
      <c r="E14" s="10">
        <f>E15</f>
        <v>786600000</v>
      </c>
      <c r="F14" s="10">
        <f>F15</f>
        <v>12796800000</v>
      </c>
      <c r="G14" s="11"/>
      <c r="H14" s="240">
        <f>C14-D14+E14</f>
        <v>12796800000</v>
      </c>
      <c r="I14" s="240">
        <f>H14-F14</f>
        <v>0</v>
      </c>
    </row>
    <row r="15" spans="1:10">
      <c r="A15" s="7" t="s">
        <v>192</v>
      </c>
      <c r="B15" s="9" t="s">
        <v>121</v>
      </c>
      <c r="C15" s="10">
        <f>C17+C21+C28</f>
        <v>12796800000</v>
      </c>
      <c r="D15" s="10">
        <f>D17+D21+D28</f>
        <v>786600000</v>
      </c>
      <c r="E15" s="10">
        <f>E17+E21+E28</f>
        <v>786600000</v>
      </c>
      <c r="F15" s="10">
        <f>F17+F21+F28</f>
        <v>12796800000</v>
      </c>
      <c r="G15" s="11"/>
      <c r="H15" s="240">
        <f t="shared" ref="H15:H53" si="0">C15-D15+E15</f>
        <v>12796800000</v>
      </c>
      <c r="I15" s="240">
        <f t="shared" ref="I15:I53" si="1">H15-F15</f>
        <v>0</v>
      </c>
      <c r="J15" s="240">
        <f>J16+C28</f>
        <v>12796800000</v>
      </c>
    </row>
    <row r="16" spans="1:10">
      <c r="A16" s="7" t="s">
        <v>2</v>
      </c>
      <c r="B16" s="9" t="s">
        <v>1282</v>
      </c>
      <c r="C16" s="10">
        <f>C17+C21</f>
        <v>3220900000</v>
      </c>
      <c r="D16" s="10">
        <f>D17+D21</f>
        <v>204100000</v>
      </c>
      <c r="E16" s="10">
        <f>E17+E21</f>
        <v>204100000</v>
      </c>
      <c r="F16" s="10">
        <f>F17+F21</f>
        <v>3220900000</v>
      </c>
      <c r="G16" s="11"/>
      <c r="H16" s="240">
        <f t="shared" si="0"/>
        <v>3220900000</v>
      </c>
      <c r="I16" s="240">
        <f t="shared" si="1"/>
        <v>0</v>
      </c>
      <c r="J16" s="240">
        <f>C17+C21</f>
        <v>3220900000</v>
      </c>
    </row>
    <row r="17" spans="1:11" s="16" customFormat="1" ht="39">
      <c r="A17" s="12">
        <v>1</v>
      </c>
      <c r="B17" s="13" t="s">
        <v>9</v>
      </c>
      <c r="C17" s="14">
        <f>SUM(C18:C20)</f>
        <v>526900000</v>
      </c>
      <c r="D17" s="14">
        <f>SUM(D18:D20)</f>
        <v>8100000</v>
      </c>
      <c r="E17" s="14">
        <f>SUM(E18:E20)</f>
        <v>204100000</v>
      </c>
      <c r="F17" s="14">
        <f>SUM(F18:F20)</f>
        <v>722900000</v>
      </c>
      <c r="G17" s="15"/>
      <c r="H17" s="240">
        <f t="shared" si="0"/>
        <v>722900000</v>
      </c>
      <c r="I17" s="240">
        <f t="shared" si="1"/>
        <v>0</v>
      </c>
    </row>
    <row r="18" spans="1:11" ht="37.5">
      <c r="A18" s="17" t="s">
        <v>5</v>
      </c>
      <c r="B18" s="18" t="s">
        <v>26</v>
      </c>
      <c r="C18" s="19">
        <f>'Dự toán Chi tiết 2025'!L498</f>
        <v>414000000</v>
      </c>
      <c r="D18" s="19"/>
      <c r="E18" s="19"/>
      <c r="F18" s="19">
        <f>C18-D18+E18</f>
        <v>414000000</v>
      </c>
      <c r="G18" s="11"/>
      <c r="H18" s="240">
        <f t="shared" si="0"/>
        <v>414000000</v>
      </c>
      <c r="I18" s="240">
        <f t="shared" si="1"/>
        <v>0</v>
      </c>
    </row>
    <row r="19" spans="1:11" ht="37.5">
      <c r="A19" s="17" t="s">
        <v>6</v>
      </c>
      <c r="B19" s="18" t="str">
        <f>'TTDVNN V '!B18</f>
        <v>Kinh phí thực hiện cải cách tiền lương</v>
      </c>
      <c r="C19" s="19">
        <f>'Dự toán Chi tiết 2025'!L500</f>
        <v>31900000</v>
      </c>
      <c r="D19" s="19"/>
      <c r="E19" s="19">
        <f>D16</f>
        <v>204100000</v>
      </c>
      <c r="F19" s="19">
        <f>C19-D19+E19</f>
        <v>236000000</v>
      </c>
      <c r="G19" s="11"/>
      <c r="H19" s="240">
        <f t="shared" si="0"/>
        <v>236000000</v>
      </c>
      <c r="I19" s="240">
        <f t="shared" si="1"/>
        <v>0</v>
      </c>
    </row>
    <row r="20" spans="1:11" ht="37.5">
      <c r="A20" s="17" t="s">
        <v>157</v>
      </c>
      <c r="B20" s="18" t="s">
        <v>27</v>
      </c>
      <c r="C20" s="19">
        <f>'Dự toán Chi tiết 2025'!L501</f>
        <v>81000000</v>
      </c>
      <c r="D20" s="19">
        <f>C20*10%</f>
        <v>8100000</v>
      </c>
      <c r="E20" s="19"/>
      <c r="F20" s="19">
        <f>C20-D20+E20</f>
        <v>72900000</v>
      </c>
      <c r="G20" s="11"/>
      <c r="H20" s="240">
        <f t="shared" si="0"/>
        <v>72900000</v>
      </c>
      <c r="I20" s="240">
        <f t="shared" si="1"/>
        <v>0</v>
      </c>
    </row>
    <row r="21" spans="1:11" s="16" customFormat="1" ht="39">
      <c r="A21" s="12">
        <v>2</v>
      </c>
      <c r="B21" s="13" t="s">
        <v>10</v>
      </c>
      <c r="C21" s="14">
        <f>SUM(C22:C27)</f>
        <v>2694000000</v>
      </c>
      <c r="D21" s="14">
        <f>SUM(D22:D27)</f>
        <v>196000000</v>
      </c>
      <c r="E21" s="14"/>
      <c r="F21" s="14">
        <f>SUM(F22:F27)</f>
        <v>2498000000</v>
      </c>
      <c r="G21" s="15"/>
      <c r="H21" s="240">
        <f t="shared" si="0"/>
        <v>2498000000</v>
      </c>
      <c r="I21" s="240">
        <f t="shared" si="1"/>
        <v>0</v>
      </c>
    </row>
    <row r="22" spans="1:11" ht="56.25">
      <c r="A22" s="17" t="s">
        <v>8</v>
      </c>
      <c r="B22" s="18" t="s">
        <v>1044</v>
      </c>
      <c r="C22" s="19">
        <f>'Dự toán Chi tiết 2025'!L503</f>
        <v>130000000</v>
      </c>
      <c r="D22" s="19">
        <f>C22*10%</f>
        <v>13000000</v>
      </c>
      <c r="E22" s="19"/>
      <c r="F22" s="19">
        <f t="shared" ref="F22:F27" si="2">C22-D22</f>
        <v>117000000</v>
      </c>
      <c r="G22" s="11"/>
      <c r="H22" s="240">
        <f t="shared" si="0"/>
        <v>117000000</v>
      </c>
      <c r="I22" s="240">
        <f t="shared" si="1"/>
        <v>0</v>
      </c>
    </row>
    <row r="23" spans="1:11">
      <c r="A23" s="17" t="s">
        <v>11</v>
      </c>
      <c r="B23" s="18" t="s">
        <v>122</v>
      </c>
      <c r="C23" s="19">
        <f>'Dự toán Chi tiết 2025'!L504</f>
        <v>120000000</v>
      </c>
      <c r="D23" s="19">
        <f>C23*10%</f>
        <v>12000000</v>
      </c>
      <c r="E23" s="19"/>
      <c r="F23" s="19">
        <f t="shared" si="2"/>
        <v>108000000</v>
      </c>
      <c r="G23" s="11"/>
      <c r="H23" s="240">
        <f t="shared" si="0"/>
        <v>108000000</v>
      </c>
      <c r="I23" s="240">
        <f t="shared" si="1"/>
        <v>0</v>
      </c>
    </row>
    <row r="24" spans="1:11" ht="37.5">
      <c r="A24" s="17" t="s">
        <v>13</v>
      </c>
      <c r="B24" s="18" t="s">
        <v>123</v>
      </c>
      <c r="C24" s="19">
        <f>'Dự toán Chi tiết 2025'!L505</f>
        <v>94000000</v>
      </c>
      <c r="D24" s="19"/>
      <c r="E24" s="19"/>
      <c r="F24" s="19">
        <f t="shared" si="2"/>
        <v>94000000</v>
      </c>
      <c r="G24" s="20"/>
      <c r="H24" s="240">
        <f t="shared" si="0"/>
        <v>94000000</v>
      </c>
      <c r="I24" s="240">
        <f t="shared" si="1"/>
        <v>0</v>
      </c>
    </row>
    <row r="25" spans="1:11" ht="56.25">
      <c r="A25" s="17" t="s">
        <v>28</v>
      </c>
      <c r="B25" s="18" t="s">
        <v>732</v>
      </c>
      <c r="C25" s="19">
        <f>'Dự toán Chi tiết 2025'!L506</f>
        <v>510000000</v>
      </c>
      <c r="D25" s="19">
        <f>C25*10%</f>
        <v>51000000</v>
      </c>
      <c r="E25" s="19"/>
      <c r="F25" s="19">
        <f t="shared" si="2"/>
        <v>459000000</v>
      </c>
      <c r="G25" s="20"/>
      <c r="H25" s="240">
        <f t="shared" si="0"/>
        <v>459000000</v>
      </c>
      <c r="I25" s="240">
        <f t="shared" si="1"/>
        <v>0</v>
      </c>
    </row>
    <row r="26" spans="1:11" ht="37.5">
      <c r="A26" s="17" t="s">
        <v>29</v>
      </c>
      <c r="B26" s="18" t="s">
        <v>125</v>
      </c>
      <c r="C26" s="19">
        <f>'Dự toán Chi tiết 2025'!L507</f>
        <v>640000000</v>
      </c>
      <c r="D26" s="19"/>
      <c r="E26" s="19"/>
      <c r="F26" s="19">
        <f t="shared" si="2"/>
        <v>640000000</v>
      </c>
      <c r="G26" s="11"/>
      <c r="H26" s="240">
        <f t="shared" si="0"/>
        <v>640000000</v>
      </c>
      <c r="I26" s="240">
        <f t="shared" si="1"/>
        <v>0</v>
      </c>
    </row>
    <row r="27" spans="1:11" ht="112.5">
      <c r="A27" s="17" t="s">
        <v>30</v>
      </c>
      <c r="B27" s="18" t="s">
        <v>720</v>
      </c>
      <c r="C27" s="19">
        <f>'Dự toán Chi tiết 2025'!L508</f>
        <v>1200000000</v>
      </c>
      <c r="D27" s="19">
        <f>C27*10%</f>
        <v>120000000</v>
      </c>
      <c r="E27" s="19"/>
      <c r="F27" s="19">
        <f t="shared" si="2"/>
        <v>1080000000</v>
      </c>
      <c r="G27" s="20"/>
      <c r="H27" s="240">
        <f t="shared" si="0"/>
        <v>1080000000</v>
      </c>
      <c r="I27" s="240">
        <f t="shared" si="1"/>
        <v>0</v>
      </c>
      <c r="K27" s="18"/>
    </row>
    <row r="28" spans="1:11" ht="75">
      <c r="A28" s="7" t="s">
        <v>12</v>
      </c>
      <c r="B28" s="9" t="s">
        <v>1283</v>
      </c>
      <c r="C28" s="10">
        <f>C29+C34</f>
        <v>9575900000</v>
      </c>
      <c r="D28" s="10">
        <f>D29+D34</f>
        <v>582500000</v>
      </c>
      <c r="E28" s="10">
        <f>E29+E34</f>
        <v>582500000</v>
      </c>
      <c r="F28" s="10">
        <f>F29+F34</f>
        <v>9575900000</v>
      </c>
      <c r="G28" s="1379">
        <f>G29+G34</f>
        <v>0</v>
      </c>
      <c r="H28" s="240">
        <f>C28-D28+E28</f>
        <v>9575900000</v>
      </c>
      <c r="I28" s="240">
        <f t="shared" si="1"/>
        <v>0</v>
      </c>
      <c r="J28" s="240">
        <f>C29+C34</f>
        <v>9575900000</v>
      </c>
    </row>
    <row r="29" spans="1:11" ht="39">
      <c r="A29" s="12">
        <v>1</v>
      </c>
      <c r="B29" s="13" t="s">
        <v>9</v>
      </c>
      <c r="C29" s="14">
        <f>SUM(C30:C33)</f>
        <v>4132500000</v>
      </c>
      <c r="D29" s="14">
        <f>SUM(D30:D33)</f>
        <v>54000000</v>
      </c>
      <c r="E29" s="14">
        <f>SUM(E30:E33)</f>
        <v>582500000</v>
      </c>
      <c r="F29" s="14">
        <f>SUM(F30:F33)</f>
        <v>4661000000</v>
      </c>
      <c r="G29" s="15"/>
      <c r="H29" s="240">
        <f t="shared" si="0"/>
        <v>4661000000</v>
      </c>
      <c r="I29" s="240">
        <f t="shared" si="1"/>
        <v>0</v>
      </c>
    </row>
    <row r="30" spans="1:11" ht="37.5">
      <c r="A30" s="17" t="s">
        <v>5</v>
      </c>
      <c r="B30" s="18" t="s">
        <v>26</v>
      </c>
      <c r="C30" s="19">
        <f>'Dự toán Chi tiết 2025'!L515</f>
        <v>1949000000</v>
      </c>
      <c r="D30" s="19"/>
      <c r="E30" s="19"/>
      <c r="F30" s="19">
        <f>C30-D30+E30</f>
        <v>1949000000</v>
      </c>
      <c r="G30" s="11"/>
      <c r="H30" s="240">
        <f t="shared" si="0"/>
        <v>1949000000</v>
      </c>
      <c r="I30" s="240">
        <f t="shared" si="1"/>
        <v>0</v>
      </c>
    </row>
    <row r="31" spans="1:11" ht="37.5">
      <c r="A31" s="17" t="s">
        <v>6</v>
      </c>
      <c r="B31" s="18" t="str">
        <f>B19</f>
        <v>Kinh phí thực hiện cải cách tiền lương</v>
      </c>
      <c r="C31" s="19">
        <f>'Dự toán Chi tiết 2025'!L517</f>
        <v>524500000</v>
      </c>
      <c r="D31" s="19"/>
      <c r="E31" s="19">
        <f>D28</f>
        <v>582500000</v>
      </c>
      <c r="F31" s="19">
        <f>C31-D31+E31</f>
        <v>1107000000</v>
      </c>
      <c r="G31" s="11"/>
      <c r="H31" s="240">
        <f t="shared" si="0"/>
        <v>1107000000</v>
      </c>
      <c r="I31" s="240">
        <f t="shared" si="1"/>
        <v>0</v>
      </c>
    </row>
    <row r="32" spans="1:11" ht="37.5">
      <c r="A32" s="17" t="s">
        <v>157</v>
      </c>
      <c r="B32" s="18" t="s">
        <v>27</v>
      </c>
      <c r="C32" s="19">
        <f>'Dự toán Chi tiết 2025'!L519</f>
        <v>540000000</v>
      </c>
      <c r="D32" s="19">
        <f>C32*10%</f>
        <v>54000000</v>
      </c>
      <c r="E32" s="19"/>
      <c r="F32" s="19">
        <f>C32-D32+E32</f>
        <v>486000000</v>
      </c>
      <c r="G32" s="11"/>
      <c r="H32" s="240">
        <f t="shared" si="0"/>
        <v>486000000</v>
      </c>
      <c r="I32" s="240">
        <f t="shared" si="1"/>
        <v>0</v>
      </c>
    </row>
    <row r="33" spans="1:9">
      <c r="A33" s="17" t="s">
        <v>158</v>
      </c>
      <c r="B33" s="18" t="s">
        <v>1284</v>
      </c>
      <c r="C33" s="19">
        <f>'Dự toán Chi tiết 2025'!L518</f>
        <v>1119000000</v>
      </c>
      <c r="D33" s="19"/>
      <c r="E33" s="19"/>
      <c r="F33" s="19">
        <f>C33-D33+E33</f>
        <v>1119000000</v>
      </c>
      <c r="G33" s="11"/>
      <c r="H33" s="240">
        <f t="shared" si="0"/>
        <v>1119000000</v>
      </c>
      <c r="I33" s="240">
        <f t="shared" si="1"/>
        <v>0</v>
      </c>
    </row>
    <row r="34" spans="1:9" ht="39">
      <c r="A34" s="12">
        <v>2</v>
      </c>
      <c r="B34" s="13" t="s">
        <v>10</v>
      </c>
      <c r="C34" s="14">
        <f>SUM(C35:C53)</f>
        <v>5443400000</v>
      </c>
      <c r="D34" s="14">
        <f>SUM(D35:D53)</f>
        <v>528500000</v>
      </c>
      <c r="E34" s="14">
        <f>SUM(E35:E53)</f>
        <v>0</v>
      </c>
      <c r="F34" s="14">
        <f>SUM(F35:F53)</f>
        <v>4914900000</v>
      </c>
      <c r="G34" s="15"/>
      <c r="H34" s="240">
        <f>C34-D34+E34</f>
        <v>4914900000</v>
      </c>
      <c r="I34" s="240">
        <f t="shared" si="1"/>
        <v>0</v>
      </c>
    </row>
    <row r="35" spans="1:9">
      <c r="A35" s="17" t="s">
        <v>8</v>
      </c>
      <c r="B35" s="18" t="s">
        <v>1047</v>
      </c>
      <c r="C35" s="19">
        <f>'Dự toán Chi tiết 2025'!L521</f>
        <v>150000000</v>
      </c>
      <c r="D35" s="19">
        <f>C35*10%</f>
        <v>15000000</v>
      </c>
      <c r="E35" s="19"/>
      <c r="F35" s="19">
        <f>C35-D35</f>
        <v>135000000</v>
      </c>
      <c r="G35" s="11"/>
      <c r="H35" s="240">
        <f t="shared" si="0"/>
        <v>135000000</v>
      </c>
      <c r="I35" s="240">
        <f t="shared" si="1"/>
        <v>0</v>
      </c>
    </row>
    <row r="36" spans="1:9" ht="37.5">
      <c r="A36" s="17" t="s">
        <v>11</v>
      </c>
      <c r="B36" s="18" t="s">
        <v>1048</v>
      </c>
      <c r="C36" s="19">
        <f>'Dự toán Chi tiết 2025'!L522</f>
        <v>410000000</v>
      </c>
      <c r="D36" s="19">
        <f t="shared" ref="D36:D53" si="3">C36*10%</f>
        <v>41000000</v>
      </c>
      <c r="E36" s="19"/>
      <c r="F36" s="19">
        <f t="shared" ref="F36:F53" si="4">C36-D36</f>
        <v>369000000</v>
      </c>
      <c r="G36" s="11"/>
      <c r="H36" s="240">
        <f t="shared" si="0"/>
        <v>369000000</v>
      </c>
      <c r="I36" s="240">
        <f t="shared" si="1"/>
        <v>0</v>
      </c>
    </row>
    <row r="37" spans="1:9">
      <c r="A37" s="17" t="s">
        <v>13</v>
      </c>
      <c r="B37" s="18" t="s">
        <v>1050</v>
      </c>
      <c r="C37" s="19">
        <f>'Dự toán Chi tiết 2025'!L524</f>
        <v>20000000</v>
      </c>
      <c r="D37" s="19">
        <f t="shared" si="3"/>
        <v>2000000</v>
      </c>
      <c r="E37" s="19"/>
      <c r="F37" s="19">
        <f t="shared" si="4"/>
        <v>18000000</v>
      </c>
      <c r="G37" s="20"/>
      <c r="H37" s="240">
        <f t="shared" si="0"/>
        <v>18000000</v>
      </c>
      <c r="I37" s="240">
        <f t="shared" si="1"/>
        <v>0</v>
      </c>
    </row>
    <row r="38" spans="1:9" ht="37.5">
      <c r="A38" s="17" t="s">
        <v>28</v>
      </c>
      <c r="B38" s="18" t="s">
        <v>1051</v>
      </c>
      <c r="C38" s="19">
        <f>'Dự toán Chi tiết 2025'!L525</f>
        <v>100000000</v>
      </c>
      <c r="D38" s="19">
        <f t="shared" si="3"/>
        <v>10000000</v>
      </c>
      <c r="E38" s="19"/>
      <c r="F38" s="19">
        <f t="shared" si="4"/>
        <v>90000000</v>
      </c>
      <c r="G38" s="11"/>
      <c r="H38" s="240">
        <f t="shared" si="0"/>
        <v>90000000</v>
      </c>
      <c r="I38" s="240">
        <f t="shared" si="1"/>
        <v>0</v>
      </c>
    </row>
    <row r="39" spans="1:9" ht="69.75" customHeight="1">
      <c r="A39" s="17" t="s">
        <v>29</v>
      </c>
      <c r="B39" s="18" t="str">
        <f>'Dự toán Chi tiết 2025'!B526</f>
        <v>Hoạt động thống kê văn bản, chỉ đạo điều hành và hoạt động thủ tục hành chính</v>
      </c>
      <c r="C39" s="19">
        <f>'Dự toán Chi tiết 2025'!L526</f>
        <v>85000000</v>
      </c>
      <c r="D39" s="19">
        <f t="shared" si="3"/>
        <v>8500000</v>
      </c>
      <c r="E39" s="19"/>
      <c r="F39" s="19">
        <f t="shared" si="4"/>
        <v>76500000</v>
      </c>
      <c r="G39" s="20"/>
      <c r="H39" s="240">
        <f t="shared" si="0"/>
        <v>76500000</v>
      </c>
      <c r="I39" s="240">
        <f t="shared" si="1"/>
        <v>0</v>
      </c>
    </row>
    <row r="40" spans="1:9">
      <c r="A40" s="17" t="s">
        <v>30</v>
      </c>
      <c r="B40" s="18" t="s">
        <v>1052</v>
      </c>
      <c r="C40" s="19">
        <f>'Dự toán Chi tiết 2025'!L527</f>
        <v>170000000</v>
      </c>
      <c r="D40" s="19">
        <f t="shared" si="3"/>
        <v>17000000</v>
      </c>
      <c r="E40" s="19"/>
      <c r="F40" s="19">
        <f t="shared" si="4"/>
        <v>153000000</v>
      </c>
      <c r="G40" s="11"/>
      <c r="H40" s="240">
        <f t="shared" si="0"/>
        <v>153000000</v>
      </c>
      <c r="I40" s="240">
        <f t="shared" si="1"/>
        <v>0</v>
      </c>
    </row>
    <row r="41" spans="1:9">
      <c r="A41" s="17" t="s">
        <v>31</v>
      </c>
      <c r="B41" s="18" t="s">
        <v>1053</v>
      </c>
      <c r="C41" s="19">
        <f>'Dự toán Chi tiết 2025'!L528</f>
        <v>30000000</v>
      </c>
      <c r="D41" s="19">
        <f t="shared" si="3"/>
        <v>3000000</v>
      </c>
      <c r="E41" s="19"/>
      <c r="F41" s="19">
        <f t="shared" si="4"/>
        <v>27000000</v>
      </c>
      <c r="G41" s="11"/>
      <c r="H41" s="240">
        <f t="shared" si="0"/>
        <v>27000000</v>
      </c>
      <c r="I41" s="240">
        <f t="shared" si="1"/>
        <v>0</v>
      </c>
    </row>
    <row r="42" spans="1:9">
      <c r="A42" s="17" t="s">
        <v>32</v>
      </c>
      <c r="B42" s="18" t="s">
        <v>1054</v>
      </c>
      <c r="C42" s="19">
        <f>'Dự toán Chi tiết 2025'!L529</f>
        <v>400000000</v>
      </c>
      <c r="D42" s="19">
        <f t="shared" si="3"/>
        <v>40000000</v>
      </c>
      <c r="E42" s="19"/>
      <c r="F42" s="19">
        <f t="shared" si="4"/>
        <v>360000000</v>
      </c>
      <c r="G42" s="11"/>
      <c r="H42" s="240">
        <f t="shared" si="0"/>
        <v>360000000</v>
      </c>
      <c r="I42" s="240">
        <f t="shared" si="1"/>
        <v>0</v>
      </c>
    </row>
    <row r="43" spans="1:9" ht="37.5">
      <c r="A43" s="17" t="s">
        <v>38</v>
      </c>
      <c r="B43" s="18" t="s">
        <v>1055</v>
      </c>
      <c r="C43" s="19">
        <f>'Dự toán Chi tiết 2025'!L530</f>
        <v>120000000</v>
      </c>
      <c r="D43" s="19"/>
      <c r="E43" s="19"/>
      <c r="F43" s="19">
        <f t="shared" si="4"/>
        <v>120000000</v>
      </c>
      <c r="G43" s="11"/>
      <c r="H43" s="240">
        <f t="shared" si="0"/>
        <v>120000000</v>
      </c>
      <c r="I43" s="240">
        <f t="shared" si="1"/>
        <v>0</v>
      </c>
    </row>
    <row r="44" spans="1:9" ht="75">
      <c r="A44" s="17" t="s">
        <v>39</v>
      </c>
      <c r="B44" s="18" t="s">
        <v>1057</v>
      </c>
      <c r="C44" s="19">
        <f>'Dự toán Chi tiết 2025'!L531</f>
        <v>320000000</v>
      </c>
      <c r="D44" s="19">
        <f t="shared" si="3"/>
        <v>32000000</v>
      </c>
      <c r="E44" s="19"/>
      <c r="F44" s="19">
        <f t="shared" si="4"/>
        <v>288000000</v>
      </c>
      <c r="G44" s="11"/>
      <c r="H44" s="240">
        <f t="shared" si="0"/>
        <v>288000000</v>
      </c>
      <c r="I44" s="240">
        <f t="shared" si="1"/>
        <v>0</v>
      </c>
    </row>
    <row r="45" spans="1:9" ht="37.5" hidden="1">
      <c r="A45" s="17" t="s">
        <v>40</v>
      </c>
      <c r="B45" s="18" t="str">
        <f>'Dự toán Chi tiết 2025'!B534</f>
        <v>Lắp đặt hệ thống phòng cháy, chữa cháy</v>
      </c>
      <c r="C45" s="19">
        <f>'Dự toán Chi tiết 2025'!L534</f>
        <v>0</v>
      </c>
      <c r="D45" s="19">
        <f t="shared" si="3"/>
        <v>0</v>
      </c>
      <c r="E45" s="19"/>
      <c r="F45" s="19">
        <f t="shared" si="4"/>
        <v>0</v>
      </c>
      <c r="G45" s="11"/>
      <c r="H45" s="240"/>
      <c r="I45" s="240"/>
    </row>
    <row r="46" spans="1:9" ht="37.5">
      <c r="A46" s="17" t="s">
        <v>40</v>
      </c>
      <c r="B46" s="18" t="str">
        <f>'Dự toán Chi tiết 2025'!B535</f>
        <v>Phần mềm phản ảnh kiến nghị và phần mềm phục vụ QLNN</v>
      </c>
      <c r="C46" s="19">
        <f>'Dự toán Chi tiết 2025'!L535</f>
        <v>100000000</v>
      </c>
      <c r="D46" s="19">
        <f t="shared" si="3"/>
        <v>10000000</v>
      </c>
      <c r="E46" s="19"/>
      <c r="F46" s="19">
        <f t="shared" si="4"/>
        <v>90000000</v>
      </c>
      <c r="G46" s="11"/>
      <c r="H46" s="240"/>
      <c r="I46" s="240"/>
    </row>
    <row r="47" spans="1:9">
      <c r="A47" s="17" t="s">
        <v>41</v>
      </c>
      <c r="B47" s="18" t="str">
        <f>'Dự toán Chi tiết 2025'!B536</f>
        <v>Chi hoạt động Chi bộ</v>
      </c>
      <c r="C47" s="19">
        <f>'Dự toán Chi tiết 2025'!L536</f>
        <v>14000000</v>
      </c>
      <c r="D47" s="19"/>
      <c r="E47" s="19"/>
      <c r="F47" s="19">
        <f t="shared" si="4"/>
        <v>14000000</v>
      </c>
      <c r="G47" s="11"/>
      <c r="H47" s="240"/>
      <c r="I47" s="240"/>
    </row>
    <row r="48" spans="1:9">
      <c r="A48" s="17" t="s">
        <v>714</v>
      </c>
      <c r="B48" s="18" t="str">
        <f>'Dự toán Chi tiết 2025'!B537</f>
        <v>Chi tổ chức Đại hội Chi bộ</v>
      </c>
      <c r="C48" s="19">
        <f>'Dự toán Chi tiết 2025'!L537</f>
        <v>24400000</v>
      </c>
      <c r="D48" s="19"/>
      <c r="E48" s="19"/>
      <c r="F48" s="19">
        <f t="shared" si="4"/>
        <v>24400000</v>
      </c>
      <c r="G48" s="11"/>
      <c r="H48" s="240"/>
      <c r="I48" s="240"/>
    </row>
    <row r="49" spans="1:9" ht="75" hidden="1">
      <c r="A49" s="17" t="s">
        <v>716</v>
      </c>
      <c r="B49" s="18" t="s">
        <v>1058</v>
      </c>
      <c r="C49" s="19">
        <f>'Dự toán Chi tiết 2025'!L532</f>
        <v>0</v>
      </c>
      <c r="D49" s="19">
        <f t="shared" si="3"/>
        <v>0</v>
      </c>
      <c r="E49" s="19"/>
      <c r="F49" s="19">
        <f t="shared" si="4"/>
        <v>0</v>
      </c>
      <c r="G49" s="11"/>
      <c r="H49" s="240">
        <f t="shared" si="0"/>
        <v>0</v>
      </c>
      <c r="I49" s="240">
        <f t="shared" si="1"/>
        <v>0</v>
      </c>
    </row>
    <row r="50" spans="1:9" ht="56.25" hidden="1">
      <c r="A50" s="17" t="s">
        <v>717</v>
      </c>
      <c r="B50" s="18" t="s">
        <v>1059</v>
      </c>
      <c r="C50" s="19">
        <f>'Dự toán Chi tiết 2025'!L533</f>
        <v>0</v>
      </c>
      <c r="D50" s="19">
        <f t="shared" si="3"/>
        <v>0</v>
      </c>
      <c r="E50" s="19"/>
      <c r="F50" s="19">
        <f t="shared" si="4"/>
        <v>0</v>
      </c>
      <c r="G50" s="11"/>
      <c r="H50" s="240">
        <f t="shared" si="0"/>
        <v>0</v>
      </c>
      <c r="I50" s="240">
        <f t="shared" si="1"/>
        <v>0</v>
      </c>
    </row>
    <row r="51" spans="1:9" ht="180.75" customHeight="1">
      <c r="A51" s="17" t="s">
        <v>715</v>
      </c>
      <c r="B51" s="18" t="s">
        <v>2043</v>
      </c>
      <c r="C51" s="19">
        <f>'Dự toán Chi tiết 2025'!L538</f>
        <v>1800000000</v>
      </c>
      <c r="D51" s="19">
        <f t="shared" si="3"/>
        <v>180000000</v>
      </c>
      <c r="E51" s="19"/>
      <c r="F51" s="19">
        <f t="shared" si="4"/>
        <v>1620000000</v>
      </c>
      <c r="G51" s="11"/>
      <c r="H51" s="240">
        <f t="shared" si="0"/>
        <v>1620000000</v>
      </c>
      <c r="I51" s="240">
        <f t="shared" si="1"/>
        <v>0</v>
      </c>
    </row>
    <row r="52" spans="1:9" ht="37.5">
      <c r="A52" s="17" t="s">
        <v>716</v>
      </c>
      <c r="B52" s="18" t="str">
        <f>'Quản lý đô thị V'!B29</f>
        <v>Kinh phí chỉnh lý tài liệu và số hoá tài liệu</v>
      </c>
      <c r="C52" s="19">
        <f>'Dự toán Chi tiết 2025'!L539</f>
        <v>500000000</v>
      </c>
      <c r="D52" s="19">
        <f t="shared" si="3"/>
        <v>50000000</v>
      </c>
      <c r="E52" s="19"/>
      <c r="F52" s="19">
        <f t="shared" si="4"/>
        <v>450000000</v>
      </c>
      <c r="G52" s="11"/>
      <c r="H52" s="240">
        <f t="shared" si="0"/>
        <v>450000000</v>
      </c>
      <c r="I52" s="240">
        <f t="shared" si="1"/>
        <v>0</v>
      </c>
    </row>
    <row r="53" spans="1:9">
      <c r="A53" s="17" t="s">
        <v>717</v>
      </c>
      <c r="B53" s="18" t="s">
        <v>1062</v>
      </c>
      <c r="C53" s="19">
        <f>'Dự toán Chi tiết 2025'!L540</f>
        <v>1200000000</v>
      </c>
      <c r="D53" s="19">
        <f t="shared" si="3"/>
        <v>120000000</v>
      </c>
      <c r="E53" s="19"/>
      <c r="F53" s="19">
        <f t="shared" si="4"/>
        <v>1080000000</v>
      </c>
      <c r="G53" s="11"/>
      <c r="H53" s="240">
        <f t="shared" si="0"/>
        <v>1080000000</v>
      </c>
      <c r="I53" s="240">
        <f t="shared" si="1"/>
        <v>0</v>
      </c>
    </row>
  </sheetData>
  <mergeCells count="7">
    <mergeCell ref="A8:G8"/>
    <mergeCell ref="A1:C1"/>
    <mergeCell ref="A2:C2"/>
    <mergeCell ref="A4:G4"/>
    <mergeCell ref="A5:G5"/>
    <mergeCell ref="A6:G6"/>
    <mergeCell ref="A7:G7"/>
  </mergeCells>
  <phoneticPr fontId="83" type="noConversion"/>
  <pageMargins left="0.5" right="0.41" top="0.6" bottom="0.74803149606299213" header="0.31496062992125984" footer="0.31496062992125984"/>
  <pageSetup paperSize="9" scale="63" fitToHeight="0"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31"/>
  <sheetViews>
    <sheetView topLeftCell="A8" zoomScale="85" zoomScaleNormal="85" workbookViewId="0">
      <selection activeCell="M14" sqref="M14"/>
    </sheetView>
  </sheetViews>
  <sheetFormatPr defaultRowHeight="18.75"/>
  <cols>
    <col min="1" max="1" width="7.140625" style="288" customWidth="1"/>
    <col min="2" max="2" width="38.5703125" style="288" customWidth="1"/>
    <col min="3" max="3" width="19.28515625" style="288" customWidth="1"/>
    <col min="4" max="5" width="21.140625" style="288" customWidth="1"/>
    <col min="6" max="7" width="19.42578125" style="288" customWidth="1"/>
    <col min="8" max="9" width="19.42578125" style="288" hidden="1" customWidth="1"/>
    <col min="10" max="10" width="20" style="288" customWidth="1"/>
    <col min="11" max="11" width="18" style="288" hidden="1" customWidth="1"/>
    <col min="12" max="12" width="0" style="288" hidden="1" customWidth="1"/>
    <col min="13" max="13" width="20.5703125" style="288" customWidth="1"/>
    <col min="14" max="263" width="9.140625" style="288"/>
    <col min="264" max="264" width="7.140625" style="288" customWidth="1"/>
    <col min="265" max="265" width="47.7109375" style="288" customWidth="1"/>
    <col min="266" max="266" width="19.28515625" style="288" customWidth="1"/>
    <col min="267" max="519" width="9.140625" style="288"/>
    <col min="520" max="520" width="7.140625" style="288" customWidth="1"/>
    <col min="521" max="521" width="47.7109375" style="288" customWidth="1"/>
    <col min="522" max="522" width="19.28515625" style="288" customWidth="1"/>
    <col min="523" max="775" width="9.140625" style="288"/>
    <col min="776" max="776" width="7.140625" style="288" customWidth="1"/>
    <col min="777" max="777" width="47.7109375" style="288" customWidth="1"/>
    <col min="778" max="778" width="19.28515625" style="288" customWidth="1"/>
    <col min="779" max="1031" width="9.140625" style="288"/>
    <col min="1032" max="1032" width="7.140625" style="288" customWidth="1"/>
    <col min="1033" max="1033" width="47.7109375" style="288" customWidth="1"/>
    <col min="1034" max="1034" width="19.28515625" style="288" customWidth="1"/>
    <col min="1035" max="1287" width="9.140625" style="288"/>
    <col min="1288" max="1288" width="7.140625" style="288" customWidth="1"/>
    <col min="1289" max="1289" width="47.7109375" style="288" customWidth="1"/>
    <col min="1290" max="1290" width="19.28515625" style="288" customWidth="1"/>
    <col min="1291" max="1543" width="9.140625" style="288"/>
    <col min="1544" max="1544" width="7.140625" style="288" customWidth="1"/>
    <col min="1545" max="1545" width="47.7109375" style="288" customWidth="1"/>
    <col min="1546" max="1546" width="19.28515625" style="288" customWidth="1"/>
    <col min="1547" max="1799" width="9.140625" style="288"/>
    <col min="1800" max="1800" width="7.140625" style="288" customWidth="1"/>
    <col min="1801" max="1801" width="47.7109375" style="288" customWidth="1"/>
    <col min="1802" max="1802" width="19.28515625" style="288" customWidth="1"/>
    <col min="1803" max="2055" width="9.140625" style="288"/>
    <col min="2056" max="2056" width="7.140625" style="288" customWidth="1"/>
    <col min="2057" max="2057" width="47.7109375" style="288" customWidth="1"/>
    <col min="2058" max="2058" width="19.28515625" style="288" customWidth="1"/>
    <col min="2059" max="2311" width="9.140625" style="288"/>
    <col min="2312" max="2312" width="7.140625" style="288" customWidth="1"/>
    <col min="2313" max="2313" width="47.7109375" style="288" customWidth="1"/>
    <col min="2314" max="2314" width="19.28515625" style="288" customWidth="1"/>
    <col min="2315" max="2567" width="9.140625" style="288"/>
    <col min="2568" max="2568" width="7.140625" style="288" customWidth="1"/>
    <col min="2569" max="2569" width="47.7109375" style="288" customWidth="1"/>
    <col min="2570" max="2570" width="19.28515625" style="288" customWidth="1"/>
    <col min="2571" max="2823" width="9.140625" style="288"/>
    <col min="2824" max="2824" width="7.140625" style="288" customWidth="1"/>
    <col min="2825" max="2825" width="47.7109375" style="288" customWidth="1"/>
    <col min="2826" max="2826" width="19.28515625" style="288" customWidth="1"/>
    <col min="2827" max="3079" width="9.140625" style="288"/>
    <col min="3080" max="3080" width="7.140625" style="288" customWidth="1"/>
    <col min="3081" max="3081" width="47.7109375" style="288" customWidth="1"/>
    <col min="3082" max="3082" width="19.28515625" style="288" customWidth="1"/>
    <col min="3083" max="3335" width="9.140625" style="288"/>
    <col min="3336" max="3336" width="7.140625" style="288" customWidth="1"/>
    <col min="3337" max="3337" width="47.7109375" style="288" customWidth="1"/>
    <col min="3338" max="3338" width="19.28515625" style="288" customWidth="1"/>
    <col min="3339" max="3591" width="9.140625" style="288"/>
    <col min="3592" max="3592" width="7.140625" style="288" customWidth="1"/>
    <col min="3593" max="3593" width="47.7109375" style="288" customWidth="1"/>
    <col min="3594" max="3594" width="19.28515625" style="288" customWidth="1"/>
    <col min="3595" max="3847" width="9.140625" style="288"/>
    <col min="3848" max="3848" width="7.140625" style="288" customWidth="1"/>
    <col min="3849" max="3849" width="47.7109375" style="288" customWidth="1"/>
    <col min="3850" max="3850" width="19.28515625" style="288" customWidth="1"/>
    <col min="3851" max="4103" width="9.140625" style="288"/>
    <col min="4104" max="4104" width="7.140625" style="288" customWidth="1"/>
    <col min="4105" max="4105" width="47.7109375" style="288" customWidth="1"/>
    <col min="4106" max="4106" width="19.28515625" style="288" customWidth="1"/>
    <col min="4107" max="4359" width="9.140625" style="288"/>
    <col min="4360" max="4360" width="7.140625" style="288" customWidth="1"/>
    <col min="4361" max="4361" width="47.7109375" style="288" customWidth="1"/>
    <col min="4362" max="4362" width="19.28515625" style="288" customWidth="1"/>
    <col min="4363" max="4615" width="9.140625" style="288"/>
    <col min="4616" max="4616" width="7.140625" style="288" customWidth="1"/>
    <col min="4617" max="4617" width="47.7109375" style="288" customWidth="1"/>
    <col min="4618" max="4618" width="19.28515625" style="288" customWidth="1"/>
    <col min="4619" max="4871" width="9.140625" style="288"/>
    <col min="4872" max="4872" width="7.140625" style="288" customWidth="1"/>
    <col min="4873" max="4873" width="47.7109375" style="288" customWidth="1"/>
    <col min="4874" max="4874" width="19.28515625" style="288" customWidth="1"/>
    <col min="4875" max="5127" width="9.140625" style="288"/>
    <col min="5128" max="5128" width="7.140625" style="288" customWidth="1"/>
    <col min="5129" max="5129" width="47.7109375" style="288" customWidth="1"/>
    <col min="5130" max="5130" width="19.28515625" style="288" customWidth="1"/>
    <col min="5131" max="5383" width="9.140625" style="288"/>
    <col min="5384" max="5384" width="7.140625" style="288" customWidth="1"/>
    <col min="5385" max="5385" width="47.7109375" style="288" customWidth="1"/>
    <col min="5386" max="5386" width="19.28515625" style="288" customWidth="1"/>
    <col min="5387" max="5639" width="9.140625" style="288"/>
    <col min="5640" max="5640" width="7.140625" style="288" customWidth="1"/>
    <col min="5641" max="5641" width="47.7109375" style="288" customWidth="1"/>
    <col min="5642" max="5642" width="19.28515625" style="288" customWidth="1"/>
    <col min="5643" max="5895" width="9.140625" style="288"/>
    <col min="5896" max="5896" width="7.140625" style="288" customWidth="1"/>
    <col min="5897" max="5897" width="47.7109375" style="288" customWidth="1"/>
    <col min="5898" max="5898" width="19.28515625" style="288" customWidth="1"/>
    <col min="5899" max="6151" width="9.140625" style="288"/>
    <col min="6152" max="6152" width="7.140625" style="288" customWidth="1"/>
    <col min="6153" max="6153" width="47.7109375" style="288" customWidth="1"/>
    <col min="6154" max="6154" width="19.28515625" style="288" customWidth="1"/>
    <col min="6155" max="6407" width="9.140625" style="288"/>
    <col min="6408" max="6408" width="7.140625" style="288" customWidth="1"/>
    <col min="6409" max="6409" width="47.7109375" style="288" customWidth="1"/>
    <col min="6410" max="6410" width="19.28515625" style="288" customWidth="1"/>
    <col min="6411" max="6663" width="9.140625" style="288"/>
    <col min="6664" max="6664" width="7.140625" style="288" customWidth="1"/>
    <col min="6665" max="6665" width="47.7109375" style="288" customWidth="1"/>
    <col min="6666" max="6666" width="19.28515625" style="288" customWidth="1"/>
    <col min="6667" max="6919" width="9.140625" style="288"/>
    <col min="6920" max="6920" width="7.140625" style="288" customWidth="1"/>
    <col min="6921" max="6921" width="47.7109375" style="288" customWidth="1"/>
    <col min="6922" max="6922" width="19.28515625" style="288" customWidth="1"/>
    <col min="6923" max="7175" width="9.140625" style="288"/>
    <col min="7176" max="7176" width="7.140625" style="288" customWidth="1"/>
    <col min="7177" max="7177" width="47.7109375" style="288" customWidth="1"/>
    <col min="7178" max="7178" width="19.28515625" style="288" customWidth="1"/>
    <col min="7179" max="7431" width="9.140625" style="288"/>
    <col min="7432" max="7432" width="7.140625" style="288" customWidth="1"/>
    <col min="7433" max="7433" width="47.7109375" style="288" customWidth="1"/>
    <col min="7434" max="7434" width="19.28515625" style="288" customWidth="1"/>
    <col min="7435" max="7687" width="9.140625" style="288"/>
    <col min="7688" max="7688" width="7.140625" style="288" customWidth="1"/>
    <col min="7689" max="7689" width="47.7109375" style="288" customWidth="1"/>
    <col min="7690" max="7690" width="19.28515625" style="288" customWidth="1"/>
    <col min="7691" max="7943" width="9.140625" style="288"/>
    <col min="7944" max="7944" width="7.140625" style="288" customWidth="1"/>
    <col min="7945" max="7945" width="47.7109375" style="288" customWidth="1"/>
    <col min="7946" max="7946" width="19.28515625" style="288" customWidth="1"/>
    <col min="7947" max="8199" width="9.140625" style="288"/>
    <col min="8200" max="8200" width="7.140625" style="288" customWidth="1"/>
    <col min="8201" max="8201" width="47.7109375" style="288" customWidth="1"/>
    <col min="8202" max="8202" width="19.28515625" style="288" customWidth="1"/>
    <col min="8203" max="8455" width="9.140625" style="288"/>
    <col min="8456" max="8456" width="7.140625" style="288" customWidth="1"/>
    <col min="8457" max="8457" width="47.7109375" style="288" customWidth="1"/>
    <col min="8458" max="8458" width="19.28515625" style="288" customWidth="1"/>
    <col min="8459" max="8711" width="9.140625" style="288"/>
    <col min="8712" max="8712" width="7.140625" style="288" customWidth="1"/>
    <col min="8713" max="8713" width="47.7109375" style="288" customWidth="1"/>
    <col min="8714" max="8714" width="19.28515625" style="288" customWidth="1"/>
    <col min="8715" max="8967" width="9.140625" style="288"/>
    <col min="8968" max="8968" width="7.140625" style="288" customWidth="1"/>
    <col min="8969" max="8969" width="47.7109375" style="288" customWidth="1"/>
    <col min="8970" max="8970" width="19.28515625" style="288" customWidth="1"/>
    <col min="8971" max="9223" width="9.140625" style="288"/>
    <col min="9224" max="9224" width="7.140625" style="288" customWidth="1"/>
    <col min="9225" max="9225" width="47.7109375" style="288" customWidth="1"/>
    <col min="9226" max="9226" width="19.28515625" style="288" customWidth="1"/>
    <col min="9227" max="9479" width="9.140625" style="288"/>
    <col min="9480" max="9480" width="7.140625" style="288" customWidth="1"/>
    <col min="9481" max="9481" width="47.7109375" style="288" customWidth="1"/>
    <col min="9482" max="9482" width="19.28515625" style="288" customWidth="1"/>
    <col min="9483" max="9735" width="9.140625" style="288"/>
    <col min="9736" max="9736" width="7.140625" style="288" customWidth="1"/>
    <col min="9737" max="9737" width="47.7109375" style="288" customWidth="1"/>
    <col min="9738" max="9738" width="19.28515625" style="288" customWidth="1"/>
    <col min="9739" max="9991" width="9.140625" style="288"/>
    <col min="9992" max="9992" width="7.140625" style="288" customWidth="1"/>
    <col min="9993" max="9993" width="47.7109375" style="288" customWidth="1"/>
    <col min="9994" max="9994" width="19.28515625" style="288" customWidth="1"/>
    <col min="9995" max="10247" width="9.140625" style="288"/>
    <col min="10248" max="10248" width="7.140625" style="288" customWidth="1"/>
    <col min="10249" max="10249" width="47.7109375" style="288" customWidth="1"/>
    <col min="10250" max="10250" width="19.28515625" style="288" customWidth="1"/>
    <col min="10251" max="10503" width="9.140625" style="288"/>
    <col min="10504" max="10504" width="7.140625" style="288" customWidth="1"/>
    <col min="10505" max="10505" width="47.7109375" style="288" customWidth="1"/>
    <col min="10506" max="10506" width="19.28515625" style="288" customWidth="1"/>
    <col min="10507" max="10759" width="9.140625" style="288"/>
    <col min="10760" max="10760" width="7.140625" style="288" customWidth="1"/>
    <col min="10761" max="10761" width="47.7109375" style="288" customWidth="1"/>
    <col min="10762" max="10762" width="19.28515625" style="288" customWidth="1"/>
    <col min="10763" max="11015" width="9.140625" style="288"/>
    <col min="11016" max="11016" width="7.140625" style="288" customWidth="1"/>
    <col min="11017" max="11017" width="47.7109375" style="288" customWidth="1"/>
    <col min="11018" max="11018" width="19.28515625" style="288" customWidth="1"/>
    <col min="11019" max="11271" width="9.140625" style="288"/>
    <col min="11272" max="11272" width="7.140625" style="288" customWidth="1"/>
    <col min="11273" max="11273" width="47.7109375" style="288" customWidth="1"/>
    <col min="11274" max="11274" width="19.28515625" style="288" customWidth="1"/>
    <col min="11275" max="11527" width="9.140625" style="288"/>
    <col min="11528" max="11528" width="7.140625" style="288" customWidth="1"/>
    <col min="11529" max="11529" width="47.7109375" style="288" customWidth="1"/>
    <col min="11530" max="11530" width="19.28515625" style="288" customWidth="1"/>
    <col min="11531" max="11783" width="9.140625" style="288"/>
    <col min="11784" max="11784" width="7.140625" style="288" customWidth="1"/>
    <col min="11785" max="11785" width="47.7109375" style="288" customWidth="1"/>
    <col min="11786" max="11786" width="19.28515625" style="288" customWidth="1"/>
    <col min="11787" max="12039" width="9.140625" style="288"/>
    <col min="12040" max="12040" width="7.140625" style="288" customWidth="1"/>
    <col min="12041" max="12041" width="47.7109375" style="288" customWidth="1"/>
    <col min="12042" max="12042" width="19.28515625" style="288" customWidth="1"/>
    <col min="12043" max="12295" width="9.140625" style="288"/>
    <col min="12296" max="12296" width="7.140625" style="288" customWidth="1"/>
    <col min="12297" max="12297" width="47.7109375" style="288" customWidth="1"/>
    <col min="12298" max="12298" width="19.28515625" style="288" customWidth="1"/>
    <col min="12299" max="12551" width="9.140625" style="288"/>
    <col min="12552" max="12552" width="7.140625" style="288" customWidth="1"/>
    <col min="12553" max="12553" width="47.7109375" style="288" customWidth="1"/>
    <col min="12554" max="12554" width="19.28515625" style="288" customWidth="1"/>
    <col min="12555" max="12807" width="9.140625" style="288"/>
    <col min="12808" max="12808" width="7.140625" style="288" customWidth="1"/>
    <col min="12809" max="12809" width="47.7109375" style="288" customWidth="1"/>
    <col min="12810" max="12810" width="19.28515625" style="288" customWidth="1"/>
    <col min="12811" max="13063" width="9.140625" style="288"/>
    <col min="13064" max="13064" width="7.140625" style="288" customWidth="1"/>
    <col min="13065" max="13065" width="47.7109375" style="288" customWidth="1"/>
    <col min="13066" max="13066" width="19.28515625" style="288" customWidth="1"/>
    <col min="13067" max="13319" width="9.140625" style="288"/>
    <col min="13320" max="13320" width="7.140625" style="288" customWidth="1"/>
    <col min="13321" max="13321" width="47.7109375" style="288" customWidth="1"/>
    <col min="13322" max="13322" width="19.28515625" style="288" customWidth="1"/>
    <col min="13323" max="13575" width="9.140625" style="288"/>
    <col min="13576" max="13576" width="7.140625" style="288" customWidth="1"/>
    <col min="13577" max="13577" width="47.7109375" style="288" customWidth="1"/>
    <col min="13578" max="13578" width="19.28515625" style="288" customWidth="1"/>
    <col min="13579" max="13831" width="9.140625" style="288"/>
    <col min="13832" max="13832" width="7.140625" style="288" customWidth="1"/>
    <col min="13833" max="13833" width="47.7109375" style="288" customWidth="1"/>
    <col min="13834" max="13834" width="19.28515625" style="288" customWidth="1"/>
    <col min="13835" max="14087" width="9.140625" style="288"/>
    <col min="14088" max="14088" width="7.140625" style="288" customWidth="1"/>
    <col min="14089" max="14089" width="47.7109375" style="288" customWidth="1"/>
    <col min="14090" max="14090" width="19.28515625" style="288" customWidth="1"/>
    <col min="14091" max="14343" width="9.140625" style="288"/>
    <col min="14344" max="14344" width="7.140625" style="288" customWidth="1"/>
    <col min="14345" max="14345" width="47.7109375" style="288" customWidth="1"/>
    <col min="14346" max="14346" width="19.28515625" style="288" customWidth="1"/>
    <col min="14347" max="14599" width="9.140625" style="288"/>
    <col min="14600" max="14600" width="7.140625" style="288" customWidth="1"/>
    <col min="14601" max="14601" width="47.7109375" style="288" customWidth="1"/>
    <col min="14602" max="14602" width="19.28515625" style="288" customWidth="1"/>
    <col min="14603" max="14855" width="9.140625" style="288"/>
    <col min="14856" max="14856" width="7.140625" style="288" customWidth="1"/>
    <col min="14857" max="14857" width="47.7109375" style="288" customWidth="1"/>
    <col min="14858" max="14858" width="19.28515625" style="288" customWidth="1"/>
    <col min="14859" max="15111" width="9.140625" style="288"/>
    <col min="15112" max="15112" width="7.140625" style="288" customWidth="1"/>
    <col min="15113" max="15113" width="47.7109375" style="288" customWidth="1"/>
    <col min="15114" max="15114" width="19.28515625" style="288" customWidth="1"/>
    <col min="15115" max="15367" width="9.140625" style="288"/>
    <col min="15368" max="15368" width="7.140625" style="288" customWidth="1"/>
    <col min="15369" max="15369" width="47.7109375" style="288" customWidth="1"/>
    <col min="15370" max="15370" width="19.28515625" style="288" customWidth="1"/>
    <col min="15371" max="15623" width="9.140625" style="288"/>
    <col min="15624" max="15624" width="7.140625" style="288" customWidth="1"/>
    <col min="15625" max="15625" width="47.7109375" style="288" customWidth="1"/>
    <col min="15626" max="15626" width="19.28515625" style="288" customWidth="1"/>
    <col min="15627" max="15879" width="9.140625" style="288"/>
    <col min="15880" max="15880" width="7.140625" style="288" customWidth="1"/>
    <col min="15881" max="15881" width="47.7109375" style="288" customWidth="1"/>
    <col min="15882" max="15882" width="19.28515625" style="288" customWidth="1"/>
    <col min="15883" max="16135" width="9.140625" style="288"/>
    <col min="16136" max="16136" width="7.140625" style="288" customWidth="1"/>
    <col min="16137" max="16137" width="47.7109375" style="288" customWidth="1"/>
    <col min="16138" max="16138" width="19.28515625" style="288" customWidth="1"/>
    <col min="16139" max="16384" width="9.140625" style="288"/>
  </cols>
  <sheetData>
    <row r="1" spans="1:13" ht="18.75" customHeight="1">
      <c r="A1" s="1801" t="s">
        <v>126</v>
      </c>
      <c r="B1" s="1801"/>
      <c r="C1" s="1380"/>
      <c r="J1" s="1334"/>
    </row>
    <row r="2" spans="1:13">
      <c r="A2" s="1802" t="s">
        <v>128</v>
      </c>
      <c r="B2" s="1802"/>
      <c r="C2" s="1382"/>
      <c r="D2" s="1335"/>
      <c r="E2" s="1335"/>
      <c r="F2" s="1335"/>
      <c r="G2" s="1335"/>
      <c r="H2" s="1335"/>
      <c r="I2" s="1335"/>
    </row>
    <row r="3" spans="1:13">
      <c r="A3" s="1336"/>
    </row>
    <row r="4" spans="1:13">
      <c r="A4" s="1802" t="str">
        <f>'Quản lý đô thị _điều chỉnh'!A3:H3</f>
        <v>ĐIỀU CHỈNH GIẢM DỰ TOÁN THU, CHI NGÂN SÁCH NHÀ NƯỚC NĂM 2025 (DO SÁP NHẬP)</v>
      </c>
      <c r="B4" s="1802"/>
      <c r="C4" s="1802"/>
      <c r="D4" s="1802"/>
      <c r="E4" s="1802"/>
      <c r="F4" s="1802"/>
      <c r="G4" s="1802"/>
      <c r="H4" s="1802"/>
      <c r="I4" s="1802"/>
      <c r="J4" s="1802"/>
    </row>
    <row r="5" spans="1:13">
      <c r="A5" s="1802" t="s">
        <v>129</v>
      </c>
      <c r="B5" s="1802"/>
      <c r="C5" s="1802"/>
      <c r="D5" s="1802"/>
      <c r="E5" s="1802"/>
      <c r="F5" s="1802"/>
      <c r="G5" s="1802"/>
      <c r="H5" s="1802"/>
      <c r="I5" s="1802"/>
      <c r="J5" s="1802"/>
    </row>
    <row r="6" spans="1:13">
      <c r="A6" s="1802" t="s">
        <v>127</v>
      </c>
      <c r="B6" s="1802"/>
      <c r="C6" s="1802"/>
      <c r="D6" s="1802"/>
      <c r="E6" s="1802"/>
      <c r="F6" s="1802"/>
      <c r="G6" s="1802"/>
      <c r="H6" s="1802"/>
      <c r="I6" s="1802"/>
      <c r="J6" s="1802"/>
    </row>
    <row r="7" spans="1:13">
      <c r="A7" s="1802" t="s">
        <v>17</v>
      </c>
      <c r="B7" s="1802"/>
      <c r="C7" s="1802"/>
      <c r="D7" s="1802"/>
      <c r="E7" s="1802"/>
      <c r="F7" s="1802"/>
      <c r="G7" s="1802"/>
      <c r="H7" s="1802"/>
      <c r="I7" s="1802"/>
      <c r="J7" s="1802"/>
    </row>
    <row r="8" spans="1:13">
      <c r="A8" s="1800"/>
      <c r="B8" s="1800"/>
      <c r="C8" s="1800"/>
      <c r="D8" s="1800"/>
      <c r="E8" s="1800"/>
      <c r="F8" s="1800"/>
      <c r="G8" s="1800"/>
      <c r="H8" s="1800"/>
      <c r="I8" s="1800"/>
      <c r="J8" s="1800"/>
    </row>
    <row r="9" spans="1:13">
      <c r="A9" s="1457"/>
      <c r="B9" s="1457"/>
      <c r="C9" s="1457"/>
      <c r="D9" s="1457"/>
      <c r="E9" s="1457"/>
      <c r="F9" s="1457"/>
      <c r="G9" s="1457"/>
      <c r="H9" s="1457"/>
      <c r="I9" s="1457"/>
      <c r="J9" s="1457"/>
    </row>
    <row r="10" spans="1:13">
      <c r="J10" s="289" t="s">
        <v>43</v>
      </c>
    </row>
    <row r="11" spans="1:13" ht="117" customHeight="1">
      <c r="A11" s="290" t="s">
        <v>0</v>
      </c>
      <c r="B11" s="290" t="s">
        <v>1</v>
      </c>
      <c r="C11" s="290" t="str">
        <f>'TTDVNN V '!C11</f>
        <v>Dự toán 
năm 2025</v>
      </c>
      <c r="D11" s="290" t="s">
        <v>18</v>
      </c>
      <c r="E11" s="290" t="str">
        <f>'TTDVNN V '!E11</f>
        <v>Thực hiện cải cách tiền lương từ nguồn tiết kiệm chi 10% của đơn vị</v>
      </c>
      <c r="F11" s="290" t="s">
        <v>117</v>
      </c>
      <c r="G11" s="290" t="s">
        <v>2056</v>
      </c>
      <c r="H11" s="290" t="s">
        <v>2055</v>
      </c>
      <c r="I11" s="290" t="s">
        <v>2057</v>
      </c>
      <c r="J11" s="290" t="s">
        <v>19</v>
      </c>
    </row>
    <row r="12" spans="1:13">
      <c r="A12" s="291" t="s">
        <v>20</v>
      </c>
      <c r="B12" s="291" t="s">
        <v>21</v>
      </c>
      <c r="C12" s="291" t="s">
        <v>22</v>
      </c>
      <c r="D12" s="291" t="s">
        <v>23</v>
      </c>
      <c r="E12" s="291" t="str">
        <f>'TTDVNN V '!E12</f>
        <v>(5)</v>
      </c>
      <c r="F12" s="291" t="str">
        <f>'TTDVNN V '!F12</f>
        <v>(6)=(3)-(4)+(5)</v>
      </c>
      <c r="G12" s="291" t="s">
        <v>25</v>
      </c>
      <c r="H12" s="291"/>
      <c r="I12" s="291"/>
      <c r="J12" s="291"/>
    </row>
    <row r="13" spans="1:13" ht="37.5">
      <c r="A13" s="290" t="s">
        <v>2</v>
      </c>
      <c r="B13" s="292" t="s">
        <v>3</v>
      </c>
      <c r="C13" s="293">
        <v>50000000</v>
      </c>
      <c r="D13" s="293"/>
      <c r="E13" s="293"/>
      <c r="F13" s="293"/>
      <c r="G13" s="293"/>
      <c r="H13" s="293"/>
      <c r="I13" s="293"/>
      <c r="J13" s="294"/>
    </row>
    <row r="14" spans="1:13" ht="37.5">
      <c r="A14" s="290" t="s">
        <v>12</v>
      </c>
      <c r="B14" s="292" t="s">
        <v>84</v>
      </c>
      <c r="C14" s="293">
        <f>C15+C30</f>
        <v>1497300000</v>
      </c>
      <c r="D14" s="293">
        <f>D15+D30</f>
        <v>115400000</v>
      </c>
      <c r="E14" s="293">
        <f>E15+E30</f>
        <v>75400000</v>
      </c>
      <c r="F14" s="293">
        <f>F15+F30</f>
        <v>1457300000</v>
      </c>
      <c r="G14" s="293">
        <f t="shared" ref="G14:I14" si="0">G15+G30</f>
        <v>27764980</v>
      </c>
      <c r="H14" s="293">
        <f t="shared" si="0"/>
        <v>1141604900</v>
      </c>
      <c r="I14" s="293">
        <f t="shared" si="0"/>
        <v>287930120</v>
      </c>
      <c r="J14" s="294"/>
      <c r="K14" s="298">
        <f>C14+E14-D14</f>
        <v>1457300000</v>
      </c>
      <c r="L14" s="298">
        <f>K14-F14</f>
        <v>0</v>
      </c>
      <c r="M14" s="298">
        <f>F14-G14</f>
        <v>1429535020</v>
      </c>
    </row>
    <row r="15" spans="1:13">
      <c r="A15" s="290">
        <v>1</v>
      </c>
      <c r="B15" s="292" t="s">
        <v>121</v>
      </c>
      <c r="C15" s="293">
        <f>C16+C20</f>
        <v>1097300000</v>
      </c>
      <c r="D15" s="293">
        <f>D16+D20</f>
        <v>75400000</v>
      </c>
      <c r="E15" s="293">
        <f>E16+E20</f>
        <v>75400000</v>
      </c>
      <c r="F15" s="293">
        <f>F16+F20</f>
        <v>1097300000</v>
      </c>
      <c r="G15" s="293">
        <f t="shared" ref="G15:I15" si="1">G16+G20</f>
        <v>27764980</v>
      </c>
      <c r="H15" s="293">
        <f t="shared" si="1"/>
        <v>781604900</v>
      </c>
      <c r="I15" s="293">
        <f t="shared" si="1"/>
        <v>287930120</v>
      </c>
      <c r="J15" s="294"/>
      <c r="K15" s="298">
        <f t="shared" ref="K15:K31" si="2">C15+E15-D15</f>
        <v>1097300000</v>
      </c>
      <c r="L15" s="298">
        <f t="shared" ref="L15:L31" si="3">K15-F15</f>
        <v>0</v>
      </c>
    </row>
    <row r="16" spans="1:13" s="1337" customFormat="1" ht="39">
      <c r="A16" s="299" t="s">
        <v>5</v>
      </c>
      <c r="B16" s="300" t="s">
        <v>9</v>
      </c>
      <c r="C16" s="301">
        <f>SUM(C17:C19)</f>
        <v>362600000</v>
      </c>
      <c r="D16" s="301">
        <f>SUM(D17:D19)</f>
        <v>5400000</v>
      </c>
      <c r="E16" s="301">
        <f>SUM(E17:E19)</f>
        <v>75400000</v>
      </c>
      <c r="F16" s="301">
        <f>SUM(F17:F19)</f>
        <v>432600000</v>
      </c>
      <c r="G16" s="301">
        <f t="shared" ref="G16:I16" si="4">SUM(G17:G19)</f>
        <v>27764980</v>
      </c>
      <c r="H16" s="301">
        <f t="shared" si="4"/>
        <v>150824900</v>
      </c>
      <c r="I16" s="301">
        <f t="shared" si="4"/>
        <v>254010120</v>
      </c>
      <c r="J16" s="302"/>
      <c r="K16" s="298">
        <f t="shared" si="2"/>
        <v>432600000</v>
      </c>
      <c r="L16" s="298">
        <f t="shared" si="3"/>
        <v>0</v>
      </c>
    </row>
    <row r="17" spans="1:13" ht="37.5">
      <c r="A17" s="295" t="s">
        <v>91</v>
      </c>
      <c r="B17" s="296" t="s">
        <v>26</v>
      </c>
      <c r="C17" s="297">
        <f>'Dự toán Chi tiết 2025'!L546</f>
        <v>245000000</v>
      </c>
      <c r="D17" s="297"/>
      <c r="E17" s="297"/>
      <c r="F17" s="297">
        <f>C17-D17+E17</f>
        <v>245000000</v>
      </c>
      <c r="G17" s="297">
        <f>[14]TH!$E$11+[14]TH!$F$11</f>
        <v>16087530</v>
      </c>
      <c r="H17" s="297">
        <f>[14]TH!$H$11</f>
        <v>80437650</v>
      </c>
      <c r="I17" s="297">
        <f>F17-G17-H17</f>
        <v>148474820</v>
      </c>
      <c r="J17" s="294"/>
      <c r="K17" s="298">
        <f t="shared" si="2"/>
        <v>245000000</v>
      </c>
      <c r="L17" s="298">
        <f t="shared" si="3"/>
        <v>0</v>
      </c>
    </row>
    <row r="18" spans="1:13" ht="37.5">
      <c r="A18" s="295" t="s">
        <v>91</v>
      </c>
      <c r="B18" s="296" t="str">
        <f>'TTDVNN V '!B18</f>
        <v>Kinh phí thực hiện cải cách tiền lương</v>
      </c>
      <c r="C18" s="297">
        <f>'Dự toán Chi tiết 2025'!L548</f>
        <v>63600000</v>
      </c>
      <c r="D18" s="297"/>
      <c r="E18" s="297">
        <f>'Dự toán Chi tiết 2025'!L547-'Dự toán Chi tiết 2025'!L548</f>
        <v>75400000</v>
      </c>
      <c r="F18" s="297">
        <f>C18-D18+E18</f>
        <v>139000000</v>
      </c>
      <c r="G18" s="297">
        <f>[14]TH!$E$12+[14]TH!$F$12</f>
        <v>9177450</v>
      </c>
      <c r="H18" s="297">
        <f>[14]TH!$H$12</f>
        <v>45887250</v>
      </c>
      <c r="I18" s="297">
        <f t="shared" ref="I18:I31" si="5">F18-G18-H18</f>
        <v>83935300</v>
      </c>
      <c r="J18" s="294"/>
      <c r="K18" s="298">
        <f>C18+E18-D18</f>
        <v>139000000</v>
      </c>
      <c r="L18" s="298">
        <f t="shared" si="3"/>
        <v>0</v>
      </c>
    </row>
    <row r="19" spans="1:13" ht="37.5">
      <c r="A19" s="295" t="s">
        <v>91</v>
      </c>
      <c r="B19" s="296" t="s">
        <v>27</v>
      </c>
      <c r="C19" s="297">
        <f>'Dự toán Chi tiết 2025'!L549</f>
        <v>54000000</v>
      </c>
      <c r="D19" s="297">
        <f>C19*10%</f>
        <v>5400000</v>
      </c>
      <c r="E19" s="297"/>
      <c r="F19" s="297">
        <f>C19-D19+E19</f>
        <v>48600000</v>
      </c>
      <c r="G19" s="297">
        <f>[14]TH!$E$13+[14]TH!$F$13</f>
        <v>2500000</v>
      </c>
      <c r="H19" s="297">
        <f>[14]TH!$H$13</f>
        <v>24500000</v>
      </c>
      <c r="I19" s="297">
        <f t="shared" si="5"/>
        <v>21600000</v>
      </c>
      <c r="J19" s="294"/>
      <c r="K19" s="298">
        <f t="shared" si="2"/>
        <v>48600000</v>
      </c>
      <c r="L19" s="298">
        <f t="shared" si="3"/>
        <v>0</v>
      </c>
    </row>
    <row r="20" spans="1:13" s="1337" customFormat="1" ht="39">
      <c r="A20" s="299" t="s">
        <v>6</v>
      </c>
      <c r="B20" s="300" t="s">
        <v>10</v>
      </c>
      <c r="C20" s="301">
        <f>SUM(C21:C29)</f>
        <v>734700000</v>
      </c>
      <c r="D20" s="301">
        <f>SUM(D21:D29)</f>
        <v>70000000</v>
      </c>
      <c r="E20" s="301"/>
      <c r="F20" s="301">
        <f>SUM(F21:F29)</f>
        <v>664700000</v>
      </c>
      <c r="G20" s="301">
        <f t="shared" ref="G20:I20" si="6">SUM(G21:G29)</f>
        <v>0</v>
      </c>
      <c r="H20" s="301">
        <f t="shared" si="6"/>
        <v>630780000</v>
      </c>
      <c r="I20" s="301">
        <f t="shared" si="6"/>
        <v>33920000</v>
      </c>
      <c r="J20" s="302"/>
      <c r="K20" s="298">
        <f t="shared" si="2"/>
        <v>664700000</v>
      </c>
      <c r="L20" s="298">
        <f t="shared" si="3"/>
        <v>0</v>
      </c>
    </row>
    <row r="21" spans="1:13">
      <c r="A21" s="295" t="s">
        <v>91</v>
      </c>
      <c r="B21" s="303" t="s">
        <v>450</v>
      </c>
      <c r="C21" s="297">
        <f>'Dự toán Chi tiết 2025'!L553</f>
        <v>22800000</v>
      </c>
      <c r="D21" s="297"/>
      <c r="E21" s="297"/>
      <c r="F21" s="297">
        <f t="shared" ref="F21:F29" si="7">C21-D21</f>
        <v>22800000</v>
      </c>
      <c r="G21" s="297"/>
      <c r="H21" s="297"/>
      <c r="I21" s="297">
        <f t="shared" si="5"/>
        <v>22800000</v>
      </c>
      <c r="J21" s="294"/>
      <c r="K21" s="298">
        <f t="shared" si="2"/>
        <v>22800000</v>
      </c>
      <c r="L21" s="298">
        <f t="shared" si="3"/>
        <v>0</v>
      </c>
      <c r="M21" s="297">
        <v>12408000</v>
      </c>
    </row>
    <row r="22" spans="1:13">
      <c r="A22" s="295"/>
      <c r="B22" s="303" t="str">
        <f>'Dự toán Chi tiết 2025'!B556</f>
        <v>Chi tổ chức Đại hội Chi bộ</v>
      </c>
      <c r="C22" s="297">
        <f>'Dự toán Chi tiết 2025'!L556</f>
        <v>11900000</v>
      </c>
      <c r="D22" s="297"/>
      <c r="E22" s="297"/>
      <c r="F22" s="297">
        <f t="shared" si="7"/>
        <v>11900000</v>
      </c>
      <c r="G22" s="297"/>
      <c r="H22" s="297">
        <f>[14]TH!$H$16</f>
        <v>780000</v>
      </c>
      <c r="I22" s="297">
        <f t="shared" si="5"/>
        <v>11120000</v>
      </c>
      <c r="J22" s="294"/>
      <c r="K22" s="298"/>
      <c r="L22" s="298"/>
      <c r="M22" s="288">
        <v>10848900</v>
      </c>
    </row>
    <row r="23" spans="1:13" ht="112.5">
      <c r="A23" s="295" t="s">
        <v>91</v>
      </c>
      <c r="B23" s="303" t="s">
        <v>1067</v>
      </c>
      <c r="C23" s="297">
        <f>'Dự toán Chi tiết 2025'!L555</f>
        <v>100000000</v>
      </c>
      <c r="D23" s="297">
        <f t="shared" ref="D23:D29" si="8">C23*10%</f>
        <v>10000000</v>
      </c>
      <c r="E23" s="297"/>
      <c r="F23" s="297">
        <f t="shared" si="7"/>
        <v>90000000</v>
      </c>
      <c r="G23" s="297"/>
      <c r="H23" s="297">
        <f>F23</f>
        <v>90000000</v>
      </c>
      <c r="I23" s="297">
        <f t="shared" si="5"/>
        <v>0</v>
      </c>
      <c r="J23" s="304"/>
      <c r="K23" s="298">
        <f t="shared" si="2"/>
        <v>90000000</v>
      </c>
      <c r="L23" s="298">
        <f t="shared" si="3"/>
        <v>0</v>
      </c>
      <c r="M23" s="298">
        <f>M21-M22</f>
        <v>1559100</v>
      </c>
    </row>
    <row r="24" spans="1:13" ht="56.25">
      <c r="A24" s="295" t="s">
        <v>91</v>
      </c>
      <c r="B24" s="303" t="s">
        <v>1068</v>
      </c>
      <c r="C24" s="297">
        <f>'Dự toán Chi tiết 2025'!L557</f>
        <v>130000000</v>
      </c>
      <c r="D24" s="297">
        <f t="shared" si="8"/>
        <v>13000000</v>
      </c>
      <c r="E24" s="297"/>
      <c r="F24" s="297">
        <f t="shared" si="7"/>
        <v>117000000</v>
      </c>
      <c r="G24" s="297"/>
      <c r="H24" s="297">
        <f t="shared" ref="H24:H29" si="9">F24</f>
        <v>117000000</v>
      </c>
      <c r="I24" s="297">
        <f t="shared" si="5"/>
        <v>0</v>
      </c>
      <c r="J24" s="304"/>
      <c r="K24" s="298">
        <f t="shared" si="2"/>
        <v>117000000</v>
      </c>
      <c r="L24" s="298">
        <f t="shared" si="3"/>
        <v>0</v>
      </c>
      <c r="M24" s="1471">
        <f>M23+'Lao động TBXH V'!H26</f>
        <v>3031400</v>
      </c>
    </row>
    <row r="25" spans="1:13" ht="56.25">
      <c r="A25" s="295" t="s">
        <v>91</v>
      </c>
      <c r="B25" s="303" t="s">
        <v>381</v>
      </c>
      <c r="C25" s="297">
        <f>'Dự toán Chi tiết 2025'!L558</f>
        <v>25000000</v>
      </c>
      <c r="D25" s="297">
        <f t="shared" si="8"/>
        <v>2500000</v>
      </c>
      <c r="E25" s="297"/>
      <c r="F25" s="297">
        <f t="shared" si="7"/>
        <v>22500000</v>
      </c>
      <c r="G25" s="297"/>
      <c r="H25" s="297">
        <f t="shared" si="9"/>
        <v>22500000</v>
      </c>
      <c r="I25" s="297">
        <f t="shared" si="5"/>
        <v>0</v>
      </c>
      <c r="J25" s="294"/>
      <c r="K25" s="298">
        <f t="shared" si="2"/>
        <v>22500000</v>
      </c>
      <c r="L25" s="298">
        <f t="shared" si="3"/>
        <v>0</v>
      </c>
    </row>
    <row r="26" spans="1:13" ht="37.5">
      <c r="A26" s="295" t="s">
        <v>91</v>
      </c>
      <c r="B26" s="303" t="s">
        <v>136</v>
      </c>
      <c r="C26" s="297">
        <f>'Dự toán Chi tiết 2025'!L560</f>
        <v>15000000</v>
      </c>
      <c r="D26" s="297">
        <f t="shared" si="8"/>
        <v>1500000</v>
      </c>
      <c r="E26" s="297"/>
      <c r="F26" s="297">
        <f t="shared" si="7"/>
        <v>13500000</v>
      </c>
      <c r="G26" s="297"/>
      <c r="H26" s="297">
        <f t="shared" si="9"/>
        <v>13500000</v>
      </c>
      <c r="I26" s="297">
        <f t="shared" si="5"/>
        <v>0</v>
      </c>
      <c r="J26" s="294"/>
      <c r="K26" s="298">
        <f t="shared" si="2"/>
        <v>13500000</v>
      </c>
      <c r="L26" s="298">
        <f t="shared" si="3"/>
        <v>0</v>
      </c>
    </row>
    <row r="27" spans="1:13" ht="37.5">
      <c r="A27" s="295" t="s">
        <v>91</v>
      </c>
      <c r="B27" s="303" t="s">
        <v>2053</v>
      </c>
      <c r="C27" s="297">
        <f>'Dự toán Chi tiết 2025'!L562</f>
        <v>400000000</v>
      </c>
      <c r="D27" s="297">
        <f t="shared" si="8"/>
        <v>40000000</v>
      </c>
      <c r="E27" s="297"/>
      <c r="F27" s="297">
        <f t="shared" si="7"/>
        <v>360000000</v>
      </c>
      <c r="G27" s="297"/>
      <c r="H27" s="297">
        <f t="shared" si="9"/>
        <v>360000000</v>
      </c>
      <c r="I27" s="297">
        <f t="shared" si="5"/>
        <v>0</v>
      </c>
      <c r="J27" s="294"/>
      <c r="K27" s="298">
        <f t="shared" si="2"/>
        <v>360000000</v>
      </c>
      <c r="L27" s="298">
        <f t="shared" si="3"/>
        <v>0</v>
      </c>
    </row>
    <row r="28" spans="1:13" ht="37.5" hidden="1">
      <c r="A28" s="295" t="s">
        <v>91</v>
      </c>
      <c r="B28" s="303" t="s">
        <v>1070</v>
      </c>
      <c r="C28" s="297">
        <f>'Dự toán Chi tiết 2025'!L563</f>
        <v>0</v>
      </c>
      <c r="D28" s="297">
        <f t="shared" si="8"/>
        <v>0</v>
      </c>
      <c r="E28" s="297"/>
      <c r="F28" s="297">
        <f t="shared" si="7"/>
        <v>0</v>
      </c>
      <c r="G28" s="297"/>
      <c r="H28" s="297">
        <f t="shared" si="9"/>
        <v>0</v>
      </c>
      <c r="I28" s="297">
        <f t="shared" si="5"/>
        <v>0</v>
      </c>
      <c r="J28" s="294"/>
      <c r="K28" s="298">
        <f t="shared" si="2"/>
        <v>0</v>
      </c>
      <c r="L28" s="298">
        <f t="shared" si="3"/>
        <v>0</v>
      </c>
    </row>
    <row r="29" spans="1:13" ht="93.75">
      <c r="A29" s="295" t="s">
        <v>91</v>
      </c>
      <c r="B29" s="303" t="s">
        <v>1071</v>
      </c>
      <c r="C29" s="297">
        <f>'Dự toán Chi tiết 2025'!L565</f>
        <v>30000000</v>
      </c>
      <c r="D29" s="297">
        <f t="shared" si="8"/>
        <v>3000000</v>
      </c>
      <c r="E29" s="297"/>
      <c r="F29" s="297">
        <f t="shared" si="7"/>
        <v>27000000</v>
      </c>
      <c r="G29" s="297"/>
      <c r="H29" s="297">
        <f t="shared" si="9"/>
        <v>27000000</v>
      </c>
      <c r="I29" s="297">
        <f t="shared" si="5"/>
        <v>0</v>
      </c>
      <c r="J29" s="294"/>
      <c r="K29" s="298">
        <f t="shared" si="2"/>
        <v>27000000</v>
      </c>
      <c r="L29" s="298">
        <f t="shared" si="3"/>
        <v>0</v>
      </c>
    </row>
    <row r="30" spans="1:13">
      <c r="A30" s="290">
        <v>2</v>
      </c>
      <c r="B30" s="292" t="s">
        <v>2004</v>
      </c>
      <c r="C30" s="293">
        <f>C31</f>
        <v>400000000</v>
      </c>
      <c r="D30" s="293">
        <f>D31</f>
        <v>40000000</v>
      </c>
      <c r="E30" s="293"/>
      <c r="F30" s="293">
        <f>F31</f>
        <v>360000000</v>
      </c>
      <c r="G30" s="293">
        <f t="shared" ref="G30:I30" si="10">G31</f>
        <v>0</v>
      </c>
      <c r="H30" s="293">
        <f t="shared" si="10"/>
        <v>360000000</v>
      </c>
      <c r="I30" s="293">
        <f t="shared" si="10"/>
        <v>0</v>
      </c>
      <c r="J30" s="297"/>
      <c r="K30" s="298">
        <f t="shared" si="2"/>
        <v>360000000</v>
      </c>
      <c r="L30" s="298">
        <f t="shared" si="3"/>
        <v>0</v>
      </c>
    </row>
    <row r="31" spans="1:13" ht="75">
      <c r="A31" s="295" t="s">
        <v>91</v>
      </c>
      <c r="B31" s="303" t="s">
        <v>139</v>
      </c>
      <c r="C31" s="297">
        <v>400000000</v>
      </c>
      <c r="D31" s="297">
        <f>C31*10%</f>
        <v>40000000</v>
      </c>
      <c r="E31" s="297"/>
      <c r="F31" s="297">
        <f>C31-D31</f>
        <v>360000000</v>
      </c>
      <c r="G31" s="297"/>
      <c r="H31" s="297">
        <f>F31</f>
        <v>360000000</v>
      </c>
      <c r="I31" s="297">
        <f t="shared" si="5"/>
        <v>0</v>
      </c>
      <c r="J31" s="304" t="s">
        <v>713</v>
      </c>
      <c r="K31" s="298">
        <f t="shared" si="2"/>
        <v>360000000</v>
      </c>
      <c r="L31" s="298">
        <f t="shared" si="3"/>
        <v>0</v>
      </c>
    </row>
  </sheetData>
  <mergeCells count="7">
    <mergeCell ref="A8:J8"/>
    <mergeCell ref="A1:B1"/>
    <mergeCell ref="A2:B2"/>
    <mergeCell ref="A4:J4"/>
    <mergeCell ref="A5:J5"/>
    <mergeCell ref="A6:J6"/>
    <mergeCell ref="A7:J7"/>
  </mergeCells>
  <pageMargins left="0.52" right="0.4" top="0.6" bottom="0.28000000000000003" header="0.31496062992125984" footer="0.31496062992125984"/>
  <pageSetup paperSize="9" scale="45" fitToHeight="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61"/>
  <sheetViews>
    <sheetView topLeftCell="AS1" workbookViewId="0">
      <selection activeCell="BL15" sqref="BL15"/>
    </sheetView>
  </sheetViews>
  <sheetFormatPr defaultColWidth="7.85546875" defaultRowHeight="15"/>
  <cols>
    <col min="1" max="1" width="3" style="473" customWidth="1"/>
    <col min="2" max="2" width="17.28515625" style="473" customWidth="1"/>
    <col min="3" max="3" width="7.5703125" style="474" customWidth="1"/>
    <col min="4" max="4" width="9.85546875" style="475" customWidth="1"/>
    <col min="5" max="5" width="10.42578125" style="476" customWidth="1"/>
    <col min="6" max="6" width="6.7109375" style="473" customWidth="1"/>
    <col min="7" max="7" width="10.28515625" style="473" customWidth="1"/>
    <col min="8" max="8" width="10.28515625" style="476" customWidth="1"/>
    <col min="9" max="9" width="5.7109375" style="473" customWidth="1"/>
    <col min="10" max="10" width="6.140625" style="473" customWidth="1"/>
    <col min="11" max="13" width="9.28515625" style="473" customWidth="1"/>
    <col min="14" max="14" width="9.42578125" style="473" customWidth="1"/>
    <col min="15" max="15" width="6.42578125" style="473" customWidth="1"/>
    <col min="16" max="16" width="7.5703125" style="473" customWidth="1"/>
    <col min="17" max="17" width="6.85546875" style="473" customWidth="1"/>
    <col min="18" max="18" width="9.28515625" style="473" customWidth="1"/>
    <col min="19" max="19" width="9" style="473" customWidth="1"/>
    <col min="20" max="20" width="5.7109375" style="473" customWidth="1"/>
    <col min="21" max="21" width="8.28515625" style="473" customWidth="1"/>
    <col min="22" max="24" width="7.7109375" style="473" customWidth="1"/>
    <col min="25" max="25" width="7.5703125" style="473" customWidth="1"/>
    <col min="26" max="26" width="6.85546875" style="473" customWidth="1"/>
    <col min="27" max="27" width="7.5703125" style="473" customWidth="1"/>
    <col min="28" max="28" width="6.85546875" style="479" customWidth="1"/>
    <col min="29" max="29" width="7.5703125" style="473" customWidth="1"/>
    <col min="30" max="30" width="7.5703125" style="479" customWidth="1"/>
    <col min="31" max="31" width="9.7109375" style="473" customWidth="1"/>
    <col min="32" max="32" width="6.42578125" style="473" hidden="1" customWidth="1"/>
    <col min="33" max="33" width="7.5703125" style="473" hidden="1" customWidth="1"/>
    <col min="34" max="34" width="7.28515625" style="480" customWidth="1"/>
    <col min="35" max="35" width="8.42578125" style="473" customWidth="1"/>
    <col min="36" max="36" width="8.7109375" style="473" customWidth="1"/>
    <col min="37" max="37" width="5.85546875" style="479" customWidth="1"/>
    <col min="38" max="38" width="7.28515625" style="473" customWidth="1"/>
    <col min="39" max="39" width="7.28515625" style="481" customWidth="1"/>
    <col min="40" max="40" width="7.28515625" style="473" customWidth="1"/>
    <col min="41" max="41" width="10.28515625" style="473" customWidth="1"/>
    <col min="42" max="42" width="9" style="473" customWidth="1"/>
    <col min="43" max="44" width="7.28515625" style="473" customWidth="1"/>
    <col min="45" max="45" width="8" style="473" customWidth="1"/>
    <col min="46" max="46" width="8.42578125" style="473" customWidth="1"/>
    <col min="47" max="47" width="10.140625" style="473" customWidth="1"/>
    <col min="48" max="49" width="9.5703125" style="473" customWidth="1"/>
    <col min="50" max="50" width="7.42578125" style="473" customWidth="1"/>
    <col min="51" max="52" width="9.42578125" style="473" customWidth="1"/>
    <col min="53" max="53" width="9.28515625" style="473" customWidth="1"/>
    <col min="54" max="54" width="9.140625" style="473" customWidth="1"/>
    <col min="55" max="55" width="7.85546875" style="473" customWidth="1"/>
    <col min="56" max="56" width="8.5703125" style="473" customWidth="1"/>
    <col min="57" max="57" width="9.5703125" style="473" customWidth="1"/>
    <col min="58" max="59" width="7.7109375" style="473" customWidth="1"/>
    <col min="60" max="60" width="11" style="473" customWidth="1"/>
    <col min="61" max="61" width="7.140625" style="473" customWidth="1"/>
    <col min="62" max="62" width="8.7109375" style="473" customWidth="1"/>
    <col min="63" max="65" width="9.140625" style="473" customWidth="1"/>
    <col min="66" max="66" width="8.85546875" style="344" customWidth="1"/>
    <col min="67" max="67" width="9" style="344" customWidth="1"/>
    <col min="68" max="68" width="7.85546875" customWidth="1"/>
    <col min="69" max="69" width="9.85546875" customWidth="1"/>
    <col min="70" max="70" width="9" style="364" customWidth="1"/>
    <col min="71" max="84" width="7.85546875" customWidth="1"/>
    <col min="257" max="257" width="3" customWidth="1"/>
    <col min="258" max="258" width="17.28515625" customWidth="1"/>
    <col min="259" max="259" width="7.5703125" customWidth="1"/>
    <col min="260" max="260" width="9.85546875" customWidth="1"/>
    <col min="261" max="261" width="10.42578125" customWidth="1"/>
    <col min="262" max="262" width="6.7109375" customWidth="1"/>
    <col min="263" max="264" width="10.28515625" customWidth="1"/>
    <col min="265" max="265" width="5.7109375" customWidth="1"/>
    <col min="266" max="266" width="6.140625" customWidth="1"/>
    <col min="267" max="269" width="9.28515625" customWidth="1"/>
    <col min="270" max="270" width="9.42578125" customWidth="1"/>
    <col min="271" max="271" width="6.42578125" customWidth="1"/>
    <col min="272" max="272" width="7.5703125" customWidth="1"/>
    <col min="273" max="273" width="6.85546875" customWidth="1"/>
    <col min="274" max="274" width="9.28515625" customWidth="1"/>
    <col min="275" max="275" width="9" customWidth="1"/>
    <col min="276" max="276" width="5.7109375" customWidth="1"/>
    <col min="277" max="277" width="8.28515625" customWidth="1"/>
    <col min="278" max="280" width="7.7109375" customWidth="1"/>
    <col min="281" max="281" width="7.5703125" customWidth="1"/>
    <col min="282" max="282" width="6.85546875" customWidth="1"/>
    <col min="283" max="283" width="7.5703125" customWidth="1"/>
    <col min="284" max="284" width="6.85546875" customWidth="1"/>
    <col min="285" max="286" width="7.5703125" customWidth="1"/>
    <col min="287" max="287" width="9.7109375" customWidth="1"/>
    <col min="288" max="289" width="0" hidden="1" customWidth="1"/>
    <col min="290" max="290" width="7.28515625" customWidth="1"/>
    <col min="291" max="291" width="8.42578125" customWidth="1"/>
    <col min="292" max="292" width="8.7109375" customWidth="1"/>
    <col min="293" max="293" width="5.85546875" customWidth="1"/>
    <col min="294" max="296" width="7.28515625" customWidth="1"/>
    <col min="297" max="297" width="10.28515625" customWidth="1"/>
    <col min="298" max="298" width="9" customWidth="1"/>
    <col min="299" max="300" width="7.28515625" customWidth="1"/>
    <col min="301" max="301" width="8" customWidth="1"/>
    <col min="302" max="302" width="8.42578125" customWidth="1"/>
    <col min="303" max="303" width="10.140625" customWidth="1"/>
    <col min="304" max="305" width="9.5703125" customWidth="1"/>
    <col min="306" max="306" width="7.42578125" customWidth="1"/>
    <col min="307" max="308" width="9.42578125" customWidth="1"/>
    <col min="309" max="309" width="9.28515625" customWidth="1"/>
    <col min="310" max="310" width="9.140625" customWidth="1"/>
    <col min="311" max="311" width="7.85546875" customWidth="1"/>
    <col min="312" max="312" width="8.5703125" customWidth="1"/>
    <col min="313" max="313" width="9.5703125" customWidth="1"/>
    <col min="314" max="315" width="7.7109375" customWidth="1"/>
    <col min="316" max="316" width="11" customWidth="1"/>
    <col min="317" max="317" width="7.140625" customWidth="1"/>
    <col min="318" max="318" width="8.7109375" customWidth="1"/>
    <col min="319" max="321" width="9.140625" customWidth="1"/>
    <col min="322" max="322" width="8.85546875" customWidth="1"/>
    <col min="323" max="323" width="9" customWidth="1"/>
    <col min="324" max="324" width="7.85546875" customWidth="1"/>
    <col min="325" max="325" width="9.85546875" customWidth="1"/>
    <col min="326" max="326" width="9" customWidth="1"/>
    <col min="327" max="340" width="7.85546875" customWidth="1"/>
    <col min="513" max="513" width="3" customWidth="1"/>
    <col min="514" max="514" width="17.28515625" customWidth="1"/>
    <col min="515" max="515" width="7.5703125" customWidth="1"/>
    <col min="516" max="516" width="9.85546875" customWidth="1"/>
    <col min="517" max="517" width="10.42578125" customWidth="1"/>
    <col min="518" max="518" width="6.7109375" customWidth="1"/>
    <col min="519" max="520" width="10.28515625" customWidth="1"/>
    <col min="521" max="521" width="5.7109375" customWidth="1"/>
    <col min="522" max="522" width="6.140625" customWidth="1"/>
    <col min="523" max="525" width="9.28515625" customWidth="1"/>
    <col min="526" max="526" width="9.42578125" customWidth="1"/>
    <col min="527" max="527" width="6.42578125" customWidth="1"/>
    <col min="528" max="528" width="7.5703125" customWidth="1"/>
    <col min="529" max="529" width="6.85546875" customWidth="1"/>
    <col min="530" max="530" width="9.28515625" customWidth="1"/>
    <col min="531" max="531" width="9" customWidth="1"/>
    <col min="532" max="532" width="5.7109375" customWidth="1"/>
    <col min="533" max="533" width="8.28515625" customWidth="1"/>
    <col min="534" max="536" width="7.7109375" customWidth="1"/>
    <col min="537" max="537" width="7.5703125" customWidth="1"/>
    <col min="538" max="538" width="6.85546875" customWidth="1"/>
    <col min="539" max="539" width="7.5703125" customWidth="1"/>
    <col min="540" max="540" width="6.85546875" customWidth="1"/>
    <col min="541" max="542" width="7.5703125" customWidth="1"/>
    <col min="543" max="543" width="9.7109375" customWidth="1"/>
    <col min="544" max="545" width="0" hidden="1" customWidth="1"/>
    <col min="546" max="546" width="7.28515625" customWidth="1"/>
    <col min="547" max="547" width="8.42578125" customWidth="1"/>
    <col min="548" max="548" width="8.7109375" customWidth="1"/>
    <col min="549" max="549" width="5.85546875" customWidth="1"/>
    <col min="550" max="552" width="7.28515625" customWidth="1"/>
    <col min="553" max="553" width="10.28515625" customWidth="1"/>
    <col min="554" max="554" width="9" customWidth="1"/>
    <col min="555" max="556" width="7.28515625" customWidth="1"/>
    <col min="557" max="557" width="8" customWidth="1"/>
    <col min="558" max="558" width="8.42578125" customWidth="1"/>
    <col min="559" max="559" width="10.140625" customWidth="1"/>
    <col min="560" max="561" width="9.5703125" customWidth="1"/>
    <col min="562" max="562" width="7.42578125" customWidth="1"/>
    <col min="563" max="564" width="9.42578125" customWidth="1"/>
    <col min="565" max="565" width="9.28515625" customWidth="1"/>
    <col min="566" max="566" width="9.140625" customWidth="1"/>
    <col min="567" max="567" width="7.85546875" customWidth="1"/>
    <col min="568" max="568" width="8.5703125" customWidth="1"/>
    <col min="569" max="569" width="9.5703125" customWidth="1"/>
    <col min="570" max="571" width="7.7109375" customWidth="1"/>
    <col min="572" max="572" width="11" customWidth="1"/>
    <col min="573" max="573" width="7.140625" customWidth="1"/>
    <col min="574" max="574" width="8.7109375" customWidth="1"/>
    <col min="575" max="577" width="9.140625" customWidth="1"/>
    <col min="578" max="578" width="8.85546875" customWidth="1"/>
    <col min="579" max="579" width="9" customWidth="1"/>
    <col min="580" max="580" width="7.85546875" customWidth="1"/>
    <col min="581" max="581" width="9.85546875" customWidth="1"/>
    <col min="582" max="582" width="9" customWidth="1"/>
    <col min="583" max="596" width="7.85546875" customWidth="1"/>
    <col min="769" max="769" width="3" customWidth="1"/>
    <col min="770" max="770" width="17.28515625" customWidth="1"/>
    <col min="771" max="771" width="7.5703125" customWidth="1"/>
    <col min="772" max="772" width="9.85546875" customWidth="1"/>
    <col min="773" max="773" width="10.42578125" customWidth="1"/>
    <col min="774" max="774" width="6.7109375" customWidth="1"/>
    <col min="775" max="776" width="10.28515625" customWidth="1"/>
    <col min="777" max="777" width="5.7109375" customWidth="1"/>
    <col min="778" max="778" width="6.140625" customWidth="1"/>
    <col min="779" max="781" width="9.28515625" customWidth="1"/>
    <col min="782" max="782" width="9.42578125" customWidth="1"/>
    <col min="783" max="783" width="6.42578125" customWidth="1"/>
    <col min="784" max="784" width="7.5703125" customWidth="1"/>
    <col min="785" max="785" width="6.85546875" customWidth="1"/>
    <col min="786" max="786" width="9.28515625" customWidth="1"/>
    <col min="787" max="787" width="9" customWidth="1"/>
    <col min="788" max="788" width="5.7109375" customWidth="1"/>
    <col min="789" max="789" width="8.28515625" customWidth="1"/>
    <col min="790" max="792" width="7.7109375" customWidth="1"/>
    <col min="793" max="793" width="7.5703125" customWidth="1"/>
    <col min="794" max="794" width="6.85546875" customWidth="1"/>
    <col min="795" max="795" width="7.5703125" customWidth="1"/>
    <col min="796" max="796" width="6.85546875" customWidth="1"/>
    <col min="797" max="798" width="7.5703125" customWidth="1"/>
    <col min="799" max="799" width="9.7109375" customWidth="1"/>
    <col min="800" max="801" width="0" hidden="1" customWidth="1"/>
    <col min="802" max="802" width="7.28515625" customWidth="1"/>
    <col min="803" max="803" width="8.42578125" customWidth="1"/>
    <col min="804" max="804" width="8.7109375" customWidth="1"/>
    <col min="805" max="805" width="5.85546875" customWidth="1"/>
    <col min="806" max="808" width="7.28515625" customWidth="1"/>
    <col min="809" max="809" width="10.28515625" customWidth="1"/>
    <col min="810" max="810" width="9" customWidth="1"/>
    <col min="811" max="812" width="7.28515625" customWidth="1"/>
    <col min="813" max="813" width="8" customWidth="1"/>
    <col min="814" max="814" width="8.42578125" customWidth="1"/>
    <col min="815" max="815" width="10.140625" customWidth="1"/>
    <col min="816" max="817" width="9.5703125" customWidth="1"/>
    <col min="818" max="818" width="7.42578125" customWidth="1"/>
    <col min="819" max="820" width="9.42578125" customWidth="1"/>
    <col min="821" max="821" width="9.28515625" customWidth="1"/>
    <col min="822" max="822" width="9.140625" customWidth="1"/>
    <col min="823" max="823" width="7.85546875" customWidth="1"/>
    <col min="824" max="824" width="8.5703125" customWidth="1"/>
    <col min="825" max="825" width="9.5703125" customWidth="1"/>
    <col min="826" max="827" width="7.7109375" customWidth="1"/>
    <col min="828" max="828" width="11" customWidth="1"/>
    <col min="829" max="829" width="7.140625" customWidth="1"/>
    <col min="830" max="830" width="8.7109375" customWidth="1"/>
    <col min="831" max="833" width="9.140625" customWidth="1"/>
    <col min="834" max="834" width="8.85546875" customWidth="1"/>
    <col min="835" max="835" width="9" customWidth="1"/>
    <col min="836" max="836" width="7.85546875" customWidth="1"/>
    <col min="837" max="837" width="9.85546875" customWidth="1"/>
    <col min="838" max="838" width="9" customWidth="1"/>
    <col min="839" max="852" width="7.85546875" customWidth="1"/>
    <col min="1025" max="1025" width="3" customWidth="1"/>
    <col min="1026" max="1026" width="17.28515625" customWidth="1"/>
    <col min="1027" max="1027" width="7.5703125" customWidth="1"/>
    <col min="1028" max="1028" width="9.85546875" customWidth="1"/>
    <col min="1029" max="1029" width="10.42578125" customWidth="1"/>
    <col min="1030" max="1030" width="6.7109375" customWidth="1"/>
    <col min="1031" max="1032" width="10.28515625" customWidth="1"/>
    <col min="1033" max="1033" width="5.7109375" customWidth="1"/>
    <col min="1034" max="1034" width="6.140625" customWidth="1"/>
    <col min="1035" max="1037" width="9.28515625" customWidth="1"/>
    <col min="1038" max="1038" width="9.42578125" customWidth="1"/>
    <col min="1039" max="1039" width="6.42578125" customWidth="1"/>
    <col min="1040" max="1040" width="7.5703125" customWidth="1"/>
    <col min="1041" max="1041" width="6.85546875" customWidth="1"/>
    <col min="1042" max="1042" width="9.28515625" customWidth="1"/>
    <col min="1043" max="1043" width="9" customWidth="1"/>
    <col min="1044" max="1044" width="5.7109375" customWidth="1"/>
    <col min="1045" max="1045" width="8.28515625" customWidth="1"/>
    <col min="1046" max="1048" width="7.7109375" customWidth="1"/>
    <col min="1049" max="1049" width="7.5703125" customWidth="1"/>
    <col min="1050" max="1050" width="6.85546875" customWidth="1"/>
    <col min="1051" max="1051" width="7.5703125" customWidth="1"/>
    <col min="1052" max="1052" width="6.85546875" customWidth="1"/>
    <col min="1053" max="1054" width="7.5703125" customWidth="1"/>
    <col min="1055" max="1055" width="9.7109375" customWidth="1"/>
    <col min="1056" max="1057" width="0" hidden="1" customWidth="1"/>
    <col min="1058" max="1058" width="7.28515625" customWidth="1"/>
    <col min="1059" max="1059" width="8.42578125" customWidth="1"/>
    <col min="1060" max="1060" width="8.7109375" customWidth="1"/>
    <col min="1061" max="1061" width="5.85546875" customWidth="1"/>
    <col min="1062" max="1064" width="7.28515625" customWidth="1"/>
    <col min="1065" max="1065" width="10.28515625" customWidth="1"/>
    <col min="1066" max="1066" width="9" customWidth="1"/>
    <col min="1067" max="1068" width="7.28515625" customWidth="1"/>
    <col min="1069" max="1069" width="8" customWidth="1"/>
    <col min="1070" max="1070" width="8.42578125" customWidth="1"/>
    <col min="1071" max="1071" width="10.140625" customWidth="1"/>
    <col min="1072" max="1073" width="9.5703125" customWidth="1"/>
    <col min="1074" max="1074" width="7.42578125" customWidth="1"/>
    <col min="1075" max="1076" width="9.42578125" customWidth="1"/>
    <col min="1077" max="1077" width="9.28515625" customWidth="1"/>
    <col min="1078" max="1078" width="9.140625" customWidth="1"/>
    <col min="1079" max="1079" width="7.85546875" customWidth="1"/>
    <col min="1080" max="1080" width="8.5703125" customWidth="1"/>
    <col min="1081" max="1081" width="9.5703125" customWidth="1"/>
    <col min="1082" max="1083" width="7.7109375" customWidth="1"/>
    <col min="1084" max="1084" width="11" customWidth="1"/>
    <col min="1085" max="1085" width="7.140625" customWidth="1"/>
    <col min="1086" max="1086" width="8.7109375" customWidth="1"/>
    <col min="1087" max="1089" width="9.140625" customWidth="1"/>
    <col min="1090" max="1090" width="8.85546875" customWidth="1"/>
    <col min="1091" max="1091" width="9" customWidth="1"/>
    <col min="1092" max="1092" width="7.85546875" customWidth="1"/>
    <col min="1093" max="1093" width="9.85546875" customWidth="1"/>
    <col min="1094" max="1094" width="9" customWidth="1"/>
    <col min="1095" max="1108" width="7.85546875" customWidth="1"/>
    <col min="1281" max="1281" width="3" customWidth="1"/>
    <col min="1282" max="1282" width="17.28515625" customWidth="1"/>
    <col min="1283" max="1283" width="7.5703125" customWidth="1"/>
    <col min="1284" max="1284" width="9.85546875" customWidth="1"/>
    <col min="1285" max="1285" width="10.42578125" customWidth="1"/>
    <col min="1286" max="1286" width="6.7109375" customWidth="1"/>
    <col min="1287" max="1288" width="10.28515625" customWidth="1"/>
    <col min="1289" max="1289" width="5.7109375" customWidth="1"/>
    <col min="1290" max="1290" width="6.140625" customWidth="1"/>
    <col min="1291" max="1293" width="9.28515625" customWidth="1"/>
    <col min="1294" max="1294" width="9.42578125" customWidth="1"/>
    <col min="1295" max="1295" width="6.42578125" customWidth="1"/>
    <col min="1296" max="1296" width="7.5703125" customWidth="1"/>
    <col min="1297" max="1297" width="6.85546875" customWidth="1"/>
    <col min="1298" max="1298" width="9.28515625" customWidth="1"/>
    <col min="1299" max="1299" width="9" customWidth="1"/>
    <col min="1300" max="1300" width="5.7109375" customWidth="1"/>
    <col min="1301" max="1301" width="8.28515625" customWidth="1"/>
    <col min="1302" max="1304" width="7.7109375" customWidth="1"/>
    <col min="1305" max="1305" width="7.5703125" customWidth="1"/>
    <col min="1306" max="1306" width="6.85546875" customWidth="1"/>
    <col min="1307" max="1307" width="7.5703125" customWidth="1"/>
    <col min="1308" max="1308" width="6.85546875" customWidth="1"/>
    <col min="1309" max="1310" width="7.5703125" customWidth="1"/>
    <col min="1311" max="1311" width="9.7109375" customWidth="1"/>
    <col min="1312" max="1313" width="0" hidden="1" customWidth="1"/>
    <col min="1314" max="1314" width="7.28515625" customWidth="1"/>
    <col min="1315" max="1315" width="8.42578125" customWidth="1"/>
    <col min="1316" max="1316" width="8.7109375" customWidth="1"/>
    <col min="1317" max="1317" width="5.85546875" customWidth="1"/>
    <col min="1318" max="1320" width="7.28515625" customWidth="1"/>
    <col min="1321" max="1321" width="10.28515625" customWidth="1"/>
    <col min="1322" max="1322" width="9" customWidth="1"/>
    <col min="1323" max="1324" width="7.28515625" customWidth="1"/>
    <col min="1325" max="1325" width="8" customWidth="1"/>
    <col min="1326" max="1326" width="8.42578125" customWidth="1"/>
    <col min="1327" max="1327" width="10.140625" customWidth="1"/>
    <col min="1328" max="1329" width="9.5703125" customWidth="1"/>
    <col min="1330" max="1330" width="7.42578125" customWidth="1"/>
    <col min="1331" max="1332" width="9.42578125" customWidth="1"/>
    <col min="1333" max="1333" width="9.28515625" customWidth="1"/>
    <col min="1334" max="1334" width="9.140625" customWidth="1"/>
    <col min="1335" max="1335" width="7.85546875" customWidth="1"/>
    <col min="1336" max="1336" width="8.5703125" customWidth="1"/>
    <col min="1337" max="1337" width="9.5703125" customWidth="1"/>
    <col min="1338" max="1339" width="7.7109375" customWidth="1"/>
    <col min="1340" max="1340" width="11" customWidth="1"/>
    <col min="1341" max="1341" width="7.140625" customWidth="1"/>
    <col min="1342" max="1342" width="8.7109375" customWidth="1"/>
    <col min="1343" max="1345" width="9.140625" customWidth="1"/>
    <col min="1346" max="1346" width="8.85546875" customWidth="1"/>
    <col min="1347" max="1347" width="9" customWidth="1"/>
    <col min="1348" max="1348" width="7.85546875" customWidth="1"/>
    <col min="1349" max="1349" width="9.85546875" customWidth="1"/>
    <col min="1350" max="1350" width="9" customWidth="1"/>
    <col min="1351" max="1364" width="7.85546875" customWidth="1"/>
    <col min="1537" max="1537" width="3" customWidth="1"/>
    <col min="1538" max="1538" width="17.28515625" customWidth="1"/>
    <col min="1539" max="1539" width="7.5703125" customWidth="1"/>
    <col min="1540" max="1540" width="9.85546875" customWidth="1"/>
    <col min="1541" max="1541" width="10.42578125" customWidth="1"/>
    <col min="1542" max="1542" width="6.7109375" customWidth="1"/>
    <col min="1543" max="1544" width="10.28515625" customWidth="1"/>
    <col min="1545" max="1545" width="5.7109375" customWidth="1"/>
    <col min="1546" max="1546" width="6.140625" customWidth="1"/>
    <col min="1547" max="1549" width="9.28515625" customWidth="1"/>
    <col min="1550" max="1550" width="9.42578125" customWidth="1"/>
    <col min="1551" max="1551" width="6.42578125" customWidth="1"/>
    <col min="1552" max="1552" width="7.5703125" customWidth="1"/>
    <col min="1553" max="1553" width="6.85546875" customWidth="1"/>
    <col min="1554" max="1554" width="9.28515625" customWidth="1"/>
    <col min="1555" max="1555" width="9" customWidth="1"/>
    <col min="1556" max="1556" width="5.7109375" customWidth="1"/>
    <col min="1557" max="1557" width="8.28515625" customWidth="1"/>
    <col min="1558" max="1560" width="7.7109375" customWidth="1"/>
    <col min="1561" max="1561" width="7.5703125" customWidth="1"/>
    <col min="1562" max="1562" width="6.85546875" customWidth="1"/>
    <col min="1563" max="1563" width="7.5703125" customWidth="1"/>
    <col min="1564" max="1564" width="6.85546875" customWidth="1"/>
    <col min="1565" max="1566" width="7.5703125" customWidth="1"/>
    <col min="1567" max="1567" width="9.7109375" customWidth="1"/>
    <col min="1568" max="1569" width="0" hidden="1" customWidth="1"/>
    <col min="1570" max="1570" width="7.28515625" customWidth="1"/>
    <col min="1571" max="1571" width="8.42578125" customWidth="1"/>
    <col min="1572" max="1572" width="8.7109375" customWidth="1"/>
    <col min="1573" max="1573" width="5.85546875" customWidth="1"/>
    <col min="1574" max="1576" width="7.28515625" customWidth="1"/>
    <col min="1577" max="1577" width="10.28515625" customWidth="1"/>
    <col min="1578" max="1578" width="9" customWidth="1"/>
    <col min="1579" max="1580" width="7.28515625" customWidth="1"/>
    <col min="1581" max="1581" width="8" customWidth="1"/>
    <col min="1582" max="1582" width="8.42578125" customWidth="1"/>
    <col min="1583" max="1583" width="10.140625" customWidth="1"/>
    <col min="1584" max="1585" width="9.5703125" customWidth="1"/>
    <col min="1586" max="1586" width="7.42578125" customWidth="1"/>
    <col min="1587" max="1588" width="9.42578125" customWidth="1"/>
    <col min="1589" max="1589" width="9.28515625" customWidth="1"/>
    <col min="1590" max="1590" width="9.140625" customWidth="1"/>
    <col min="1591" max="1591" width="7.85546875" customWidth="1"/>
    <col min="1592" max="1592" width="8.5703125" customWidth="1"/>
    <col min="1593" max="1593" width="9.5703125" customWidth="1"/>
    <col min="1594" max="1595" width="7.7109375" customWidth="1"/>
    <col min="1596" max="1596" width="11" customWidth="1"/>
    <col min="1597" max="1597" width="7.140625" customWidth="1"/>
    <col min="1598" max="1598" width="8.7109375" customWidth="1"/>
    <col min="1599" max="1601" width="9.140625" customWidth="1"/>
    <col min="1602" max="1602" width="8.85546875" customWidth="1"/>
    <col min="1603" max="1603" width="9" customWidth="1"/>
    <col min="1604" max="1604" width="7.85546875" customWidth="1"/>
    <col min="1605" max="1605" width="9.85546875" customWidth="1"/>
    <col min="1606" max="1606" width="9" customWidth="1"/>
    <col min="1607" max="1620" width="7.85546875" customWidth="1"/>
    <col min="1793" max="1793" width="3" customWidth="1"/>
    <col min="1794" max="1794" width="17.28515625" customWidth="1"/>
    <col min="1795" max="1795" width="7.5703125" customWidth="1"/>
    <col min="1796" max="1796" width="9.85546875" customWidth="1"/>
    <col min="1797" max="1797" width="10.42578125" customWidth="1"/>
    <col min="1798" max="1798" width="6.7109375" customWidth="1"/>
    <col min="1799" max="1800" width="10.28515625" customWidth="1"/>
    <col min="1801" max="1801" width="5.7109375" customWidth="1"/>
    <col min="1802" max="1802" width="6.140625" customWidth="1"/>
    <col min="1803" max="1805" width="9.28515625" customWidth="1"/>
    <col min="1806" max="1806" width="9.42578125" customWidth="1"/>
    <col min="1807" max="1807" width="6.42578125" customWidth="1"/>
    <col min="1808" max="1808" width="7.5703125" customWidth="1"/>
    <col min="1809" max="1809" width="6.85546875" customWidth="1"/>
    <col min="1810" max="1810" width="9.28515625" customWidth="1"/>
    <col min="1811" max="1811" width="9" customWidth="1"/>
    <col min="1812" max="1812" width="5.7109375" customWidth="1"/>
    <col min="1813" max="1813" width="8.28515625" customWidth="1"/>
    <col min="1814" max="1816" width="7.7109375" customWidth="1"/>
    <col min="1817" max="1817" width="7.5703125" customWidth="1"/>
    <col min="1818" max="1818" width="6.85546875" customWidth="1"/>
    <col min="1819" max="1819" width="7.5703125" customWidth="1"/>
    <col min="1820" max="1820" width="6.85546875" customWidth="1"/>
    <col min="1821" max="1822" width="7.5703125" customWidth="1"/>
    <col min="1823" max="1823" width="9.7109375" customWidth="1"/>
    <col min="1824" max="1825" width="0" hidden="1" customWidth="1"/>
    <col min="1826" max="1826" width="7.28515625" customWidth="1"/>
    <col min="1827" max="1827" width="8.42578125" customWidth="1"/>
    <col min="1828" max="1828" width="8.7109375" customWidth="1"/>
    <col min="1829" max="1829" width="5.85546875" customWidth="1"/>
    <col min="1830" max="1832" width="7.28515625" customWidth="1"/>
    <col min="1833" max="1833" width="10.28515625" customWidth="1"/>
    <col min="1834" max="1834" width="9" customWidth="1"/>
    <col min="1835" max="1836" width="7.28515625" customWidth="1"/>
    <col min="1837" max="1837" width="8" customWidth="1"/>
    <col min="1838" max="1838" width="8.42578125" customWidth="1"/>
    <col min="1839" max="1839" width="10.140625" customWidth="1"/>
    <col min="1840" max="1841" width="9.5703125" customWidth="1"/>
    <col min="1842" max="1842" width="7.42578125" customWidth="1"/>
    <col min="1843" max="1844" width="9.42578125" customWidth="1"/>
    <col min="1845" max="1845" width="9.28515625" customWidth="1"/>
    <col min="1846" max="1846" width="9.140625" customWidth="1"/>
    <col min="1847" max="1847" width="7.85546875" customWidth="1"/>
    <col min="1848" max="1848" width="8.5703125" customWidth="1"/>
    <col min="1849" max="1849" width="9.5703125" customWidth="1"/>
    <col min="1850" max="1851" width="7.7109375" customWidth="1"/>
    <col min="1852" max="1852" width="11" customWidth="1"/>
    <col min="1853" max="1853" width="7.140625" customWidth="1"/>
    <col min="1854" max="1854" width="8.7109375" customWidth="1"/>
    <col min="1855" max="1857" width="9.140625" customWidth="1"/>
    <col min="1858" max="1858" width="8.85546875" customWidth="1"/>
    <col min="1859" max="1859" width="9" customWidth="1"/>
    <col min="1860" max="1860" width="7.85546875" customWidth="1"/>
    <col min="1861" max="1861" width="9.85546875" customWidth="1"/>
    <col min="1862" max="1862" width="9" customWidth="1"/>
    <col min="1863" max="1876" width="7.85546875" customWidth="1"/>
    <col min="2049" max="2049" width="3" customWidth="1"/>
    <col min="2050" max="2050" width="17.28515625" customWidth="1"/>
    <col min="2051" max="2051" width="7.5703125" customWidth="1"/>
    <col min="2052" max="2052" width="9.85546875" customWidth="1"/>
    <col min="2053" max="2053" width="10.42578125" customWidth="1"/>
    <col min="2054" max="2054" width="6.7109375" customWidth="1"/>
    <col min="2055" max="2056" width="10.28515625" customWidth="1"/>
    <col min="2057" max="2057" width="5.7109375" customWidth="1"/>
    <col min="2058" max="2058" width="6.140625" customWidth="1"/>
    <col min="2059" max="2061" width="9.28515625" customWidth="1"/>
    <col min="2062" max="2062" width="9.42578125" customWidth="1"/>
    <col min="2063" max="2063" width="6.42578125" customWidth="1"/>
    <col min="2064" max="2064" width="7.5703125" customWidth="1"/>
    <col min="2065" max="2065" width="6.85546875" customWidth="1"/>
    <col min="2066" max="2066" width="9.28515625" customWidth="1"/>
    <col min="2067" max="2067" width="9" customWidth="1"/>
    <col min="2068" max="2068" width="5.7109375" customWidth="1"/>
    <col min="2069" max="2069" width="8.28515625" customWidth="1"/>
    <col min="2070" max="2072" width="7.7109375" customWidth="1"/>
    <col min="2073" max="2073" width="7.5703125" customWidth="1"/>
    <col min="2074" max="2074" width="6.85546875" customWidth="1"/>
    <col min="2075" max="2075" width="7.5703125" customWidth="1"/>
    <col min="2076" max="2076" width="6.85546875" customWidth="1"/>
    <col min="2077" max="2078" width="7.5703125" customWidth="1"/>
    <col min="2079" max="2079" width="9.7109375" customWidth="1"/>
    <col min="2080" max="2081" width="0" hidden="1" customWidth="1"/>
    <col min="2082" max="2082" width="7.28515625" customWidth="1"/>
    <col min="2083" max="2083" width="8.42578125" customWidth="1"/>
    <col min="2084" max="2084" width="8.7109375" customWidth="1"/>
    <col min="2085" max="2085" width="5.85546875" customWidth="1"/>
    <col min="2086" max="2088" width="7.28515625" customWidth="1"/>
    <col min="2089" max="2089" width="10.28515625" customWidth="1"/>
    <col min="2090" max="2090" width="9" customWidth="1"/>
    <col min="2091" max="2092" width="7.28515625" customWidth="1"/>
    <col min="2093" max="2093" width="8" customWidth="1"/>
    <col min="2094" max="2094" width="8.42578125" customWidth="1"/>
    <col min="2095" max="2095" width="10.140625" customWidth="1"/>
    <col min="2096" max="2097" width="9.5703125" customWidth="1"/>
    <col min="2098" max="2098" width="7.42578125" customWidth="1"/>
    <col min="2099" max="2100" width="9.42578125" customWidth="1"/>
    <col min="2101" max="2101" width="9.28515625" customWidth="1"/>
    <col min="2102" max="2102" width="9.140625" customWidth="1"/>
    <col min="2103" max="2103" width="7.85546875" customWidth="1"/>
    <col min="2104" max="2104" width="8.5703125" customWidth="1"/>
    <col min="2105" max="2105" width="9.5703125" customWidth="1"/>
    <col min="2106" max="2107" width="7.7109375" customWidth="1"/>
    <col min="2108" max="2108" width="11" customWidth="1"/>
    <col min="2109" max="2109" width="7.140625" customWidth="1"/>
    <col min="2110" max="2110" width="8.7109375" customWidth="1"/>
    <col min="2111" max="2113" width="9.140625" customWidth="1"/>
    <col min="2114" max="2114" width="8.85546875" customWidth="1"/>
    <col min="2115" max="2115" width="9" customWidth="1"/>
    <col min="2116" max="2116" width="7.85546875" customWidth="1"/>
    <col min="2117" max="2117" width="9.85546875" customWidth="1"/>
    <col min="2118" max="2118" width="9" customWidth="1"/>
    <col min="2119" max="2132" width="7.85546875" customWidth="1"/>
    <col min="2305" max="2305" width="3" customWidth="1"/>
    <col min="2306" max="2306" width="17.28515625" customWidth="1"/>
    <col min="2307" max="2307" width="7.5703125" customWidth="1"/>
    <col min="2308" max="2308" width="9.85546875" customWidth="1"/>
    <col min="2309" max="2309" width="10.42578125" customWidth="1"/>
    <col min="2310" max="2310" width="6.7109375" customWidth="1"/>
    <col min="2311" max="2312" width="10.28515625" customWidth="1"/>
    <col min="2313" max="2313" width="5.7109375" customWidth="1"/>
    <col min="2314" max="2314" width="6.140625" customWidth="1"/>
    <col min="2315" max="2317" width="9.28515625" customWidth="1"/>
    <col min="2318" max="2318" width="9.42578125" customWidth="1"/>
    <col min="2319" max="2319" width="6.42578125" customWidth="1"/>
    <col min="2320" max="2320" width="7.5703125" customWidth="1"/>
    <col min="2321" max="2321" width="6.85546875" customWidth="1"/>
    <col min="2322" max="2322" width="9.28515625" customWidth="1"/>
    <col min="2323" max="2323" width="9" customWidth="1"/>
    <col min="2324" max="2324" width="5.7109375" customWidth="1"/>
    <col min="2325" max="2325" width="8.28515625" customWidth="1"/>
    <col min="2326" max="2328" width="7.7109375" customWidth="1"/>
    <col min="2329" max="2329" width="7.5703125" customWidth="1"/>
    <col min="2330" max="2330" width="6.85546875" customWidth="1"/>
    <col min="2331" max="2331" width="7.5703125" customWidth="1"/>
    <col min="2332" max="2332" width="6.85546875" customWidth="1"/>
    <col min="2333" max="2334" width="7.5703125" customWidth="1"/>
    <col min="2335" max="2335" width="9.7109375" customWidth="1"/>
    <col min="2336" max="2337" width="0" hidden="1" customWidth="1"/>
    <col min="2338" max="2338" width="7.28515625" customWidth="1"/>
    <col min="2339" max="2339" width="8.42578125" customWidth="1"/>
    <col min="2340" max="2340" width="8.7109375" customWidth="1"/>
    <col min="2341" max="2341" width="5.85546875" customWidth="1"/>
    <col min="2342" max="2344" width="7.28515625" customWidth="1"/>
    <col min="2345" max="2345" width="10.28515625" customWidth="1"/>
    <col min="2346" max="2346" width="9" customWidth="1"/>
    <col min="2347" max="2348" width="7.28515625" customWidth="1"/>
    <col min="2349" max="2349" width="8" customWidth="1"/>
    <col min="2350" max="2350" width="8.42578125" customWidth="1"/>
    <col min="2351" max="2351" width="10.140625" customWidth="1"/>
    <col min="2352" max="2353" width="9.5703125" customWidth="1"/>
    <col min="2354" max="2354" width="7.42578125" customWidth="1"/>
    <col min="2355" max="2356" width="9.42578125" customWidth="1"/>
    <col min="2357" max="2357" width="9.28515625" customWidth="1"/>
    <col min="2358" max="2358" width="9.140625" customWidth="1"/>
    <col min="2359" max="2359" width="7.85546875" customWidth="1"/>
    <col min="2360" max="2360" width="8.5703125" customWidth="1"/>
    <col min="2361" max="2361" width="9.5703125" customWidth="1"/>
    <col min="2362" max="2363" width="7.7109375" customWidth="1"/>
    <col min="2364" max="2364" width="11" customWidth="1"/>
    <col min="2365" max="2365" width="7.140625" customWidth="1"/>
    <col min="2366" max="2366" width="8.7109375" customWidth="1"/>
    <col min="2367" max="2369" width="9.140625" customWidth="1"/>
    <col min="2370" max="2370" width="8.85546875" customWidth="1"/>
    <col min="2371" max="2371" width="9" customWidth="1"/>
    <col min="2372" max="2372" width="7.85546875" customWidth="1"/>
    <col min="2373" max="2373" width="9.85546875" customWidth="1"/>
    <col min="2374" max="2374" width="9" customWidth="1"/>
    <col min="2375" max="2388" width="7.85546875" customWidth="1"/>
    <col min="2561" max="2561" width="3" customWidth="1"/>
    <col min="2562" max="2562" width="17.28515625" customWidth="1"/>
    <col min="2563" max="2563" width="7.5703125" customWidth="1"/>
    <col min="2564" max="2564" width="9.85546875" customWidth="1"/>
    <col min="2565" max="2565" width="10.42578125" customWidth="1"/>
    <col min="2566" max="2566" width="6.7109375" customWidth="1"/>
    <col min="2567" max="2568" width="10.28515625" customWidth="1"/>
    <col min="2569" max="2569" width="5.7109375" customWidth="1"/>
    <col min="2570" max="2570" width="6.140625" customWidth="1"/>
    <col min="2571" max="2573" width="9.28515625" customWidth="1"/>
    <col min="2574" max="2574" width="9.42578125" customWidth="1"/>
    <col min="2575" max="2575" width="6.42578125" customWidth="1"/>
    <col min="2576" max="2576" width="7.5703125" customWidth="1"/>
    <col min="2577" max="2577" width="6.85546875" customWidth="1"/>
    <col min="2578" max="2578" width="9.28515625" customWidth="1"/>
    <col min="2579" max="2579" width="9" customWidth="1"/>
    <col min="2580" max="2580" width="5.7109375" customWidth="1"/>
    <col min="2581" max="2581" width="8.28515625" customWidth="1"/>
    <col min="2582" max="2584" width="7.7109375" customWidth="1"/>
    <col min="2585" max="2585" width="7.5703125" customWidth="1"/>
    <col min="2586" max="2586" width="6.85546875" customWidth="1"/>
    <col min="2587" max="2587" width="7.5703125" customWidth="1"/>
    <col min="2588" max="2588" width="6.85546875" customWidth="1"/>
    <col min="2589" max="2590" width="7.5703125" customWidth="1"/>
    <col min="2591" max="2591" width="9.7109375" customWidth="1"/>
    <col min="2592" max="2593" width="0" hidden="1" customWidth="1"/>
    <col min="2594" max="2594" width="7.28515625" customWidth="1"/>
    <col min="2595" max="2595" width="8.42578125" customWidth="1"/>
    <col min="2596" max="2596" width="8.7109375" customWidth="1"/>
    <col min="2597" max="2597" width="5.85546875" customWidth="1"/>
    <col min="2598" max="2600" width="7.28515625" customWidth="1"/>
    <col min="2601" max="2601" width="10.28515625" customWidth="1"/>
    <col min="2602" max="2602" width="9" customWidth="1"/>
    <col min="2603" max="2604" width="7.28515625" customWidth="1"/>
    <col min="2605" max="2605" width="8" customWidth="1"/>
    <col min="2606" max="2606" width="8.42578125" customWidth="1"/>
    <col min="2607" max="2607" width="10.140625" customWidth="1"/>
    <col min="2608" max="2609" width="9.5703125" customWidth="1"/>
    <col min="2610" max="2610" width="7.42578125" customWidth="1"/>
    <col min="2611" max="2612" width="9.42578125" customWidth="1"/>
    <col min="2613" max="2613" width="9.28515625" customWidth="1"/>
    <col min="2614" max="2614" width="9.140625" customWidth="1"/>
    <col min="2615" max="2615" width="7.85546875" customWidth="1"/>
    <col min="2616" max="2616" width="8.5703125" customWidth="1"/>
    <col min="2617" max="2617" width="9.5703125" customWidth="1"/>
    <col min="2618" max="2619" width="7.7109375" customWidth="1"/>
    <col min="2620" max="2620" width="11" customWidth="1"/>
    <col min="2621" max="2621" width="7.140625" customWidth="1"/>
    <col min="2622" max="2622" width="8.7109375" customWidth="1"/>
    <col min="2623" max="2625" width="9.140625" customWidth="1"/>
    <col min="2626" max="2626" width="8.85546875" customWidth="1"/>
    <col min="2627" max="2627" width="9" customWidth="1"/>
    <col min="2628" max="2628" width="7.85546875" customWidth="1"/>
    <col min="2629" max="2629" width="9.85546875" customWidth="1"/>
    <col min="2630" max="2630" width="9" customWidth="1"/>
    <col min="2631" max="2644" width="7.85546875" customWidth="1"/>
    <col min="2817" max="2817" width="3" customWidth="1"/>
    <col min="2818" max="2818" width="17.28515625" customWidth="1"/>
    <col min="2819" max="2819" width="7.5703125" customWidth="1"/>
    <col min="2820" max="2820" width="9.85546875" customWidth="1"/>
    <col min="2821" max="2821" width="10.42578125" customWidth="1"/>
    <col min="2822" max="2822" width="6.7109375" customWidth="1"/>
    <col min="2823" max="2824" width="10.28515625" customWidth="1"/>
    <col min="2825" max="2825" width="5.7109375" customWidth="1"/>
    <col min="2826" max="2826" width="6.140625" customWidth="1"/>
    <col min="2827" max="2829" width="9.28515625" customWidth="1"/>
    <col min="2830" max="2830" width="9.42578125" customWidth="1"/>
    <col min="2831" max="2831" width="6.42578125" customWidth="1"/>
    <col min="2832" max="2832" width="7.5703125" customWidth="1"/>
    <col min="2833" max="2833" width="6.85546875" customWidth="1"/>
    <col min="2834" max="2834" width="9.28515625" customWidth="1"/>
    <col min="2835" max="2835" width="9" customWidth="1"/>
    <col min="2836" max="2836" width="5.7109375" customWidth="1"/>
    <col min="2837" max="2837" width="8.28515625" customWidth="1"/>
    <col min="2838" max="2840" width="7.7109375" customWidth="1"/>
    <col min="2841" max="2841" width="7.5703125" customWidth="1"/>
    <col min="2842" max="2842" width="6.85546875" customWidth="1"/>
    <col min="2843" max="2843" width="7.5703125" customWidth="1"/>
    <col min="2844" max="2844" width="6.85546875" customWidth="1"/>
    <col min="2845" max="2846" width="7.5703125" customWidth="1"/>
    <col min="2847" max="2847" width="9.7109375" customWidth="1"/>
    <col min="2848" max="2849" width="0" hidden="1" customWidth="1"/>
    <col min="2850" max="2850" width="7.28515625" customWidth="1"/>
    <col min="2851" max="2851" width="8.42578125" customWidth="1"/>
    <col min="2852" max="2852" width="8.7109375" customWidth="1"/>
    <col min="2853" max="2853" width="5.85546875" customWidth="1"/>
    <col min="2854" max="2856" width="7.28515625" customWidth="1"/>
    <col min="2857" max="2857" width="10.28515625" customWidth="1"/>
    <col min="2858" max="2858" width="9" customWidth="1"/>
    <col min="2859" max="2860" width="7.28515625" customWidth="1"/>
    <col min="2861" max="2861" width="8" customWidth="1"/>
    <col min="2862" max="2862" width="8.42578125" customWidth="1"/>
    <col min="2863" max="2863" width="10.140625" customWidth="1"/>
    <col min="2864" max="2865" width="9.5703125" customWidth="1"/>
    <col min="2866" max="2866" width="7.42578125" customWidth="1"/>
    <col min="2867" max="2868" width="9.42578125" customWidth="1"/>
    <col min="2869" max="2869" width="9.28515625" customWidth="1"/>
    <col min="2870" max="2870" width="9.140625" customWidth="1"/>
    <col min="2871" max="2871" width="7.85546875" customWidth="1"/>
    <col min="2872" max="2872" width="8.5703125" customWidth="1"/>
    <col min="2873" max="2873" width="9.5703125" customWidth="1"/>
    <col min="2874" max="2875" width="7.7109375" customWidth="1"/>
    <col min="2876" max="2876" width="11" customWidth="1"/>
    <col min="2877" max="2877" width="7.140625" customWidth="1"/>
    <col min="2878" max="2878" width="8.7109375" customWidth="1"/>
    <col min="2879" max="2881" width="9.140625" customWidth="1"/>
    <col min="2882" max="2882" width="8.85546875" customWidth="1"/>
    <col min="2883" max="2883" width="9" customWidth="1"/>
    <col min="2884" max="2884" width="7.85546875" customWidth="1"/>
    <col min="2885" max="2885" width="9.85546875" customWidth="1"/>
    <col min="2886" max="2886" width="9" customWidth="1"/>
    <col min="2887" max="2900" width="7.85546875" customWidth="1"/>
    <col min="3073" max="3073" width="3" customWidth="1"/>
    <col min="3074" max="3074" width="17.28515625" customWidth="1"/>
    <col min="3075" max="3075" width="7.5703125" customWidth="1"/>
    <col min="3076" max="3076" width="9.85546875" customWidth="1"/>
    <col min="3077" max="3077" width="10.42578125" customWidth="1"/>
    <col min="3078" max="3078" width="6.7109375" customWidth="1"/>
    <col min="3079" max="3080" width="10.28515625" customWidth="1"/>
    <col min="3081" max="3081" width="5.7109375" customWidth="1"/>
    <col min="3082" max="3082" width="6.140625" customWidth="1"/>
    <col min="3083" max="3085" width="9.28515625" customWidth="1"/>
    <col min="3086" max="3086" width="9.42578125" customWidth="1"/>
    <col min="3087" max="3087" width="6.42578125" customWidth="1"/>
    <col min="3088" max="3088" width="7.5703125" customWidth="1"/>
    <col min="3089" max="3089" width="6.85546875" customWidth="1"/>
    <col min="3090" max="3090" width="9.28515625" customWidth="1"/>
    <col min="3091" max="3091" width="9" customWidth="1"/>
    <col min="3092" max="3092" width="5.7109375" customWidth="1"/>
    <col min="3093" max="3093" width="8.28515625" customWidth="1"/>
    <col min="3094" max="3096" width="7.7109375" customWidth="1"/>
    <col min="3097" max="3097" width="7.5703125" customWidth="1"/>
    <col min="3098" max="3098" width="6.85546875" customWidth="1"/>
    <col min="3099" max="3099" width="7.5703125" customWidth="1"/>
    <col min="3100" max="3100" width="6.85546875" customWidth="1"/>
    <col min="3101" max="3102" width="7.5703125" customWidth="1"/>
    <col min="3103" max="3103" width="9.7109375" customWidth="1"/>
    <col min="3104" max="3105" width="0" hidden="1" customWidth="1"/>
    <col min="3106" max="3106" width="7.28515625" customWidth="1"/>
    <col min="3107" max="3107" width="8.42578125" customWidth="1"/>
    <col min="3108" max="3108" width="8.7109375" customWidth="1"/>
    <col min="3109" max="3109" width="5.85546875" customWidth="1"/>
    <col min="3110" max="3112" width="7.28515625" customWidth="1"/>
    <col min="3113" max="3113" width="10.28515625" customWidth="1"/>
    <col min="3114" max="3114" width="9" customWidth="1"/>
    <col min="3115" max="3116" width="7.28515625" customWidth="1"/>
    <col min="3117" max="3117" width="8" customWidth="1"/>
    <col min="3118" max="3118" width="8.42578125" customWidth="1"/>
    <col min="3119" max="3119" width="10.140625" customWidth="1"/>
    <col min="3120" max="3121" width="9.5703125" customWidth="1"/>
    <col min="3122" max="3122" width="7.42578125" customWidth="1"/>
    <col min="3123" max="3124" width="9.42578125" customWidth="1"/>
    <col min="3125" max="3125" width="9.28515625" customWidth="1"/>
    <col min="3126" max="3126" width="9.140625" customWidth="1"/>
    <col min="3127" max="3127" width="7.85546875" customWidth="1"/>
    <col min="3128" max="3128" width="8.5703125" customWidth="1"/>
    <col min="3129" max="3129" width="9.5703125" customWidth="1"/>
    <col min="3130" max="3131" width="7.7109375" customWidth="1"/>
    <col min="3132" max="3132" width="11" customWidth="1"/>
    <col min="3133" max="3133" width="7.140625" customWidth="1"/>
    <col min="3134" max="3134" width="8.7109375" customWidth="1"/>
    <col min="3135" max="3137" width="9.140625" customWidth="1"/>
    <col min="3138" max="3138" width="8.85546875" customWidth="1"/>
    <col min="3139" max="3139" width="9" customWidth="1"/>
    <col min="3140" max="3140" width="7.85546875" customWidth="1"/>
    <col min="3141" max="3141" width="9.85546875" customWidth="1"/>
    <col min="3142" max="3142" width="9" customWidth="1"/>
    <col min="3143" max="3156" width="7.85546875" customWidth="1"/>
    <col min="3329" max="3329" width="3" customWidth="1"/>
    <col min="3330" max="3330" width="17.28515625" customWidth="1"/>
    <col min="3331" max="3331" width="7.5703125" customWidth="1"/>
    <col min="3332" max="3332" width="9.85546875" customWidth="1"/>
    <col min="3333" max="3333" width="10.42578125" customWidth="1"/>
    <col min="3334" max="3334" width="6.7109375" customWidth="1"/>
    <col min="3335" max="3336" width="10.28515625" customWidth="1"/>
    <col min="3337" max="3337" width="5.7109375" customWidth="1"/>
    <col min="3338" max="3338" width="6.140625" customWidth="1"/>
    <col min="3339" max="3341" width="9.28515625" customWidth="1"/>
    <col min="3342" max="3342" width="9.42578125" customWidth="1"/>
    <col min="3343" max="3343" width="6.42578125" customWidth="1"/>
    <col min="3344" max="3344" width="7.5703125" customWidth="1"/>
    <col min="3345" max="3345" width="6.85546875" customWidth="1"/>
    <col min="3346" max="3346" width="9.28515625" customWidth="1"/>
    <col min="3347" max="3347" width="9" customWidth="1"/>
    <col min="3348" max="3348" width="5.7109375" customWidth="1"/>
    <col min="3349" max="3349" width="8.28515625" customWidth="1"/>
    <col min="3350" max="3352" width="7.7109375" customWidth="1"/>
    <col min="3353" max="3353" width="7.5703125" customWidth="1"/>
    <col min="3354" max="3354" width="6.85546875" customWidth="1"/>
    <col min="3355" max="3355" width="7.5703125" customWidth="1"/>
    <col min="3356" max="3356" width="6.85546875" customWidth="1"/>
    <col min="3357" max="3358" width="7.5703125" customWidth="1"/>
    <col min="3359" max="3359" width="9.7109375" customWidth="1"/>
    <col min="3360" max="3361" width="0" hidden="1" customWidth="1"/>
    <col min="3362" max="3362" width="7.28515625" customWidth="1"/>
    <col min="3363" max="3363" width="8.42578125" customWidth="1"/>
    <col min="3364" max="3364" width="8.7109375" customWidth="1"/>
    <col min="3365" max="3365" width="5.85546875" customWidth="1"/>
    <col min="3366" max="3368" width="7.28515625" customWidth="1"/>
    <col min="3369" max="3369" width="10.28515625" customWidth="1"/>
    <col min="3370" max="3370" width="9" customWidth="1"/>
    <col min="3371" max="3372" width="7.28515625" customWidth="1"/>
    <col min="3373" max="3373" width="8" customWidth="1"/>
    <col min="3374" max="3374" width="8.42578125" customWidth="1"/>
    <col min="3375" max="3375" width="10.140625" customWidth="1"/>
    <col min="3376" max="3377" width="9.5703125" customWidth="1"/>
    <col min="3378" max="3378" width="7.42578125" customWidth="1"/>
    <col min="3379" max="3380" width="9.42578125" customWidth="1"/>
    <col min="3381" max="3381" width="9.28515625" customWidth="1"/>
    <col min="3382" max="3382" width="9.140625" customWidth="1"/>
    <col min="3383" max="3383" width="7.85546875" customWidth="1"/>
    <col min="3384" max="3384" width="8.5703125" customWidth="1"/>
    <col min="3385" max="3385" width="9.5703125" customWidth="1"/>
    <col min="3386" max="3387" width="7.7109375" customWidth="1"/>
    <col min="3388" max="3388" width="11" customWidth="1"/>
    <col min="3389" max="3389" width="7.140625" customWidth="1"/>
    <col min="3390" max="3390" width="8.7109375" customWidth="1"/>
    <col min="3391" max="3393" width="9.140625" customWidth="1"/>
    <col min="3394" max="3394" width="8.85546875" customWidth="1"/>
    <col min="3395" max="3395" width="9" customWidth="1"/>
    <col min="3396" max="3396" width="7.85546875" customWidth="1"/>
    <col min="3397" max="3397" width="9.85546875" customWidth="1"/>
    <col min="3398" max="3398" width="9" customWidth="1"/>
    <col min="3399" max="3412" width="7.85546875" customWidth="1"/>
    <col min="3585" max="3585" width="3" customWidth="1"/>
    <col min="3586" max="3586" width="17.28515625" customWidth="1"/>
    <col min="3587" max="3587" width="7.5703125" customWidth="1"/>
    <col min="3588" max="3588" width="9.85546875" customWidth="1"/>
    <col min="3589" max="3589" width="10.42578125" customWidth="1"/>
    <col min="3590" max="3590" width="6.7109375" customWidth="1"/>
    <col min="3591" max="3592" width="10.28515625" customWidth="1"/>
    <col min="3593" max="3593" width="5.7109375" customWidth="1"/>
    <col min="3594" max="3594" width="6.140625" customWidth="1"/>
    <col min="3595" max="3597" width="9.28515625" customWidth="1"/>
    <col min="3598" max="3598" width="9.42578125" customWidth="1"/>
    <col min="3599" max="3599" width="6.42578125" customWidth="1"/>
    <col min="3600" max="3600" width="7.5703125" customWidth="1"/>
    <col min="3601" max="3601" width="6.85546875" customWidth="1"/>
    <col min="3602" max="3602" width="9.28515625" customWidth="1"/>
    <col min="3603" max="3603" width="9" customWidth="1"/>
    <col min="3604" max="3604" width="5.7109375" customWidth="1"/>
    <col min="3605" max="3605" width="8.28515625" customWidth="1"/>
    <col min="3606" max="3608" width="7.7109375" customWidth="1"/>
    <col min="3609" max="3609" width="7.5703125" customWidth="1"/>
    <col min="3610" max="3610" width="6.85546875" customWidth="1"/>
    <col min="3611" max="3611" width="7.5703125" customWidth="1"/>
    <col min="3612" max="3612" width="6.85546875" customWidth="1"/>
    <col min="3613" max="3614" width="7.5703125" customWidth="1"/>
    <col min="3615" max="3615" width="9.7109375" customWidth="1"/>
    <col min="3616" max="3617" width="0" hidden="1" customWidth="1"/>
    <col min="3618" max="3618" width="7.28515625" customWidth="1"/>
    <col min="3619" max="3619" width="8.42578125" customWidth="1"/>
    <col min="3620" max="3620" width="8.7109375" customWidth="1"/>
    <col min="3621" max="3621" width="5.85546875" customWidth="1"/>
    <col min="3622" max="3624" width="7.28515625" customWidth="1"/>
    <col min="3625" max="3625" width="10.28515625" customWidth="1"/>
    <col min="3626" max="3626" width="9" customWidth="1"/>
    <col min="3627" max="3628" width="7.28515625" customWidth="1"/>
    <col min="3629" max="3629" width="8" customWidth="1"/>
    <col min="3630" max="3630" width="8.42578125" customWidth="1"/>
    <col min="3631" max="3631" width="10.140625" customWidth="1"/>
    <col min="3632" max="3633" width="9.5703125" customWidth="1"/>
    <col min="3634" max="3634" width="7.42578125" customWidth="1"/>
    <col min="3635" max="3636" width="9.42578125" customWidth="1"/>
    <col min="3637" max="3637" width="9.28515625" customWidth="1"/>
    <col min="3638" max="3638" width="9.140625" customWidth="1"/>
    <col min="3639" max="3639" width="7.85546875" customWidth="1"/>
    <col min="3640" max="3640" width="8.5703125" customWidth="1"/>
    <col min="3641" max="3641" width="9.5703125" customWidth="1"/>
    <col min="3642" max="3643" width="7.7109375" customWidth="1"/>
    <col min="3644" max="3644" width="11" customWidth="1"/>
    <col min="3645" max="3645" width="7.140625" customWidth="1"/>
    <col min="3646" max="3646" width="8.7109375" customWidth="1"/>
    <col min="3647" max="3649" width="9.140625" customWidth="1"/>
    <col min="3650" max="3650" width="8.85546875" customWidth="1"/>
    <col min="3651" max="3651" width="9" customWidth="1"/>
    <col min="3652" max="3652" width="7.85546875" customWidth="1"/>
    <col min="3653" max="3653" width="9.85546875" customWidth="1"/>
    <col min="3654" max="3654" width="9" customWidth="1"/>
    <col min="3655" max="3668" width="7.85546875" customWidth="1"/>
    <col min="3841" max="3841" width="3" customWidth="1"/>
    <col min="3842" max="3842" width="17.28515625" customWidth="1"/>
    <col min="3843" max="3843" width="7.5703125" customWidth="1"/>
    <col min="3844" max="3844" width="9.85546875" customWidth="1"/>
    <col min="3845" max="3845" width="10.42578125" customWidth="1"/>
    <col min="3846" max="3846" width="6.7109375" customWidth="1"/>
    <col min="3847" max="3848" width="10.28515625" customWidth="1"/>
    <col min="3849" max="3849" width="5.7109375" customWidth="1"/>
    <col min="3850" max="3850" width="6.140625" customWidth="1"/>
    <col min="3851" max="3853" width="9.28515625" customWidth="1"/>
    <col min="3854" max="3854" width="9.42578125" customWidth="1"/>
    <col min="3855" max="3855" width="6.42578125" customWidth="1"/>
    <col min="3856" max="3856" width="7.5703125" customWidth="1"/>
    <col min="3857" max="3857" width="6.85546875" customWidth="1"/>
    <col min="3858" max="3858" width="9.28515625" customWidth="1"/>
    <col min="3859" max="3859" width="9" customWidth="1"/>
    <col min="3860" max="3860" width="5.7109375" customWidth="1"/>
    <col min="3861" max="3861" width="8.28515625" customWidth="1"/>
    <col min="3862" max="3864" width="7.7109375" customWidth="1"/>
    <col min="3865" max="3865" width="7.5703125" customWidth="1"/>
    <col min="3866" max="3866" width="6.85546875" customWidth="1"/>
    <col min="3867" max="3867" width="7.5703125" customWidth="1"/>
    <col min="3868" max="3868" width="6.85546875" customWidth="1"/>
    <col min="3869" max="3870" width="7.5703125" customWidth="1"/>
    <col min="3871" max="3871" width="9.7109375" customWidth="1"/>
    <col min="3872" max="3873" width="0" hidden="1" customWidth="1"/>
    <col min="3874" max="3874" width="7.28515625" customWidth="1"/>
    <col min="3875" max="3875" width="8.42578125" customWidth="1"/>
    <col min="3876" max="3876" width="8.7109375" customWidth="1"/>
    <col min="3877" max="3877" width="5.85546875" customWidth="1"/>
    <col min="3878" max="3880" width="7.28515625" customWidth="1"/>
    <col min="3881" max="3881" width="10.28515625" customWidth="1"/>
    <col min="3882" max="3882" width="9" customWidth="1"/>
    <col min="3883" max="3884" width="7.28515625" customWidth="1"/>
    <col min="3885" max="3885" width="8" customWidth="1"/>
    <col min="3886" max="3886" width="8.42578125" customWidth="1"/>
    <col min="3887" max="3887" width="10.140625" customWidth="1"/>
    <col min="3888" max="3889" width="9.5703125" customWidth="1"/>
    <col min="3890" max="3890" width="7.42578125" customWidth="1"/>
    <col min="3891" max="3892" width="9.42578125" customWidth="1"/>
    <col min="3893" max="3893" width="9.28515625" customWidth="1"/>
    <col min="3894" max="3894" width="9.140625" customWidth="1"/>
    <col min="3895" max="3895" width="7.85546875" customWidth="1"/>
    <col min="3896" max="3896" width="8.5703125" customWidth="1"/>
    <col min="3897" max="3897" width="9.5703125" customWidth="1"/>
    <col min="3898" max="3899" width="7.7109375" customWidth="1"/>
    <col min="3900" max="3900" width="11" customWidth="1"/>
    <col min="3901" max="3901" width="7.140625" customWidth="1"/>
    <col min="3902" max="3902" width="8.7109375" customWidth="1"/>
    <col min="3903" max="3905" width="9.140625" customWidth="1"/>
    <col min="3906" max="3906" width="8.85546875" customWidth="1"/>
    <col min="3907" max="3907" width="9" customWidth="1"/>
    <col min="3908" max="3908" width="7.85546875" customWidth="1"/>
    <col min="3909" max="3909" width="9.85546875" customWidth="1"/>
    <col min="3910" max="3910" width="9" customWidth="1"/>
    <col min="3911" max="3924" width="7.85546875" customWidth="1"/>
    <col min="4097" max="4097" width="3" customWidth="1"/>
    <col min="4098" max="4098" width="17.28515625" customWidth="1"/>
    <col min="4099" max="4099" width="7.5703125" customWidth="1"/>
    <col min="4100" max="4100" width="9.85546875" customWidth="1"/>
    <col min="4101" max="4101" width="10.42578125" customWidth="1"/>
    <col min="4102" max="4102" width="6.7109375" customWidth="1"/>
    <col min="4103" max="4104" width="10.28515625" customWidth="1"/>
    <col min="4105" max="4105" width="5.7109375" customWidth="1"/>
    <col min="4106" max="4106" width="6.140625" customWidth="1"/>
    <col min="4107" max="4109" width="9.28515625" customWidth="1"/>
    <col min="4110" max="4110" width="9.42578125" customWidth="1"/>
    <col min="4111" max="4111" width="6.42578125" customWidth="1"/>
    <col min="4112" max="4112" width="7.5703125" customWidth="1"/>
    <col min="4113" max="4113" width="6.85546875" customWidth="1"/>
    <col min="4114" max="4114" width="9.28515625" customWidth="1"/>
    <col min="4115" max="4115" width="9" customWidth="1"/>
    <col min="4116" max="4116" width="5.7109375" customWidth="1"/>
    <col min="4117" max="4117" width="8.28515625" customWidth="1"/>
    <col min="4118" max="4120" width="7.7109375" customWidth="1"/>
    <col min="4121" max="4121" width="7.5703125" customWidth="1"/>
    <col min="4122" max="4122" width="6.85546875" customWidth="1"/>
    <col min="4123" max="4123" width="7.5703125" customWidth="1"/>
    <col min="4124" max="4124" width="6.85546875" customWidth="1"/>
    <col min="4125" max="4126" width="7.5703125" customWidth="1"/>
    <col min="4127" max="4127" width="9.7109375" customWidth="1"/>
    <col min="4128" max="4129" width="0" hidden="1" customWidth="1"/>
    <col min="4130" max="4130" width="7.28515625" customWidth="1"/>
    <col min="4131" max="4131" width="8.42578125" customWidth="1"/>
    <col min="4132" max="4132" width="8.7109375" customWidth="1"/>
    <col min="4133" max="4133" width="5.85546875" customWidth="1"/>
    <col min="4134" max="4136" width="7.28515625" customWidth="1"/>
    <col min="4137" max="4137" width="10.28515625" customWidth="1"/>
    <col min="4138" max="4138" width="9" customWidth="1"/>
    <col min="4139" max="4140" width="7.28515625" customWidth="1"/>
    <col min="4141" max="4141" width="8" customWidth="1"/>
    <col min="4142" max="4142" width="8.42578125" customWidth="1"/>
    <col min="4143" max="4143" width="10.140625" customWidth="1"/>
    <col min="4144" max="4145" width="9.5703125" customWidth="1"/>
    <col min="4146" max="4146" width="7.42578125" customWidth="1"/>
    <col min="4147" max="4148" width="9.42578125" customWidth="1"/>
    <col min="4149" max="4149" width="9.28515625" customWidth="1"/>
    <col min="4150" max="4150" width="9.140625" customWidth="1"/>
    <col min="4151" max="4151" width="7.85546875" customWidth="1"/>
    <col min="4152" max="4152" width="8.5703125" customWidth="1"/>
    <col min="4153" max="4153" width="9.5703125" customWidth="1"/>
    <col min="4154" max="4155" width="7.7109375" customWidth="1"/>
    <col min="4156" max="4156" width="11" customWidth="1"/>
    <col min="4157" max="4157" width="7.140625" customWidth="1"/>
    <col min="4158" max="4158" width="8.7109375" customWidth="1"/>
    <col min="4159" max="4161" width="9.140625" customWidth="1"/>
    <col min="4162" max="4162" width="8.85546875" customWidth="1"/>
    <col min="4163" max="4163" width="9" customWidth="1"/>
    <col min="4164" max="4164" width="7.85546875" customWidth="1"/>
    <col min="4165" max="4165" width="9.85546875" customWidth="1"/>
    <col min="4166" max="4166" width="9" customWidth="1"/>
    <col min="4167" max="4180" width="7.85546875" customWidth="1"/>
    <col min="4353" max="4353" width="3" customWidth="1"/>
    <col min="4354" max="4354" width="17.28515625" customWidth="1"/>
    <col min="4355" max="4355" width="7.5703125" customWidth="1"/>
    <col min="4356" max="4356" width="9.85546875" customWidth="1"/>
    <col min="4357" max="4357" width="10.42578125" customWidth="1"/>
    <col min="4358" max="4358" width="6.7109375" customWidth="1"/>
    <col min="4359" max="4360" width="10.28515625" customWidth="1"/>
    <col min="4361" max="4361" width="5.7109375" customWidth="1"/>
    <col min="4362" max="4362" width="6.140625" customWidth="1"/>
    <col min="4363" max="4365" width="9.28515625" customWidth="1"/>
    <col min="4366" max="4366" width="9.42578125" customWidth="1"/>
    <col min="4367" max="4367" width="6.42578125" customWidth="1"/>
    <col min="4368" max="4368" width="7.5703125" customWidth="1"/>
    <col min="4369" max="4369" width="6.85546875" customWidth="1"/>
    <col min="4370" max="4370" width="9.28515625" customWidth="1"/>
    <col min="4371" max="4371" width="9" customWidth="1"/>
    <col min="4372" max="4372" width="5.7109375" customWidth="1"/>
    <col min="4373" max="4373" width="8.28515625" customWidth="1"/>
    <col min="4374" max="4376" width="7.7109375" customWidth="1"/>
    <col min="4377" max="4377" width="7.5703125" customWidth="1"/>
    <col min="4378" max="4378" width="6.85546875" customWidth="1"/>
    <col min="4379" max="4379" width="7.5703125" customWidth="1"/>
    <col min="4380" max="4380" width="6.85546875" customWidth="1"/>
    <col min="4381" max="4382" width="7.5703125" customWidth="1"/>
    <col min="4383" max="4383" width="9.7109375" customWidth="1"/>
    <col min="4384" max="4385" width="0" hidden="1" customWidth="1"/>
    <col min="4386" max="4386" width="7.28515625" customWidth="1"/>
    <col min="4387" max="4387" width="8.42578125" customWidth="1"/>
    <col min="4388" max="4388" width="8.7109375" customWidth="1"/>
    <col min="4389" max="4389" width="5.85546875" customWidth="1"/>
    <col min="4390" max="4392" width="7.28515625" customWidth="1"/>
    <col min="4393" max="4393" width="10.28515625" customWidth="1"/>
    <col min="4394" max="4394" width="9" customWidth="1"/>
    <col min="4395" max="4396" width="7.28515625" customWidth="1"/>
    <col min="4397" max="4397" width="8" customWidth="1"/>
    <col min="4398" max="4398" width="8.42578125" customWidth="1"/>
    <col min="4399" max="4399" width="10.140625" customWidth="1"/>
    <col min="4400" max="4401" width="9.5703125" customWidth="1"/>
    <col min="4402" max="4402" width="7.42578125" customWidth="1"/>
    <col min="4403" max="4404" width="9.42578125" customWidth="1"/>
    <col min="4405" max="4405" width="9.28515625" customWidth="1"/>
    <col min="4406" max="4406" width="9.140625" customWidth="1"/>
    <col min="4407" max="4407" width="7.85546875" customWidth="1"/>
    <col min="4408" max="4408" width="8.5703125" customWidth="1"/>
    <col min="4409" max="4409" width="9.5703125" customWidth="1"/>
    <col min="4410" max="4411" width="7.7109375" customWidth="1"/>
    <col min="4412" max="4412" width="11" customWidth="1"/>
    <col min="4413" max="4413" width="7.140625" customWidth="1"/>
    <col min="4414" max="4414" width="8.7109375" customWidth="1"/>
    <col min="4415" max="4417" width="9.140625" customWidth="1"/>
    <col min="4418" max="4418" width="8.85546875" customWidth="1"/>
    <col min="4419" max="4419" width="9" customWidth="1"/>
    <col min="4420" max="4420" width="7.85546875" customWidth="1"/>
    <col min="4421" max="4421" width="9.85546875" customWidth="1"/>
    <col min="4422" max="4422" width="9" customWidth="1"/>
    <col min="4423" max="4436" width="7.85546875" customWidth="1"/>
    <col min="4609" max="4609" width="3" customWidth="1"/>
    <col min="4610" max="4610" width="17.28515625" customWidth="1"/>
    <col min="4611" max="4611" width="7.5703125" customWidth="1"/>
    <col min="4612" max="4612" width="9.85546875" customWidth="1"/>
    <col min="4613" max="4613" width="10.42578125" customWidth="1"/>
    <col min="4614" max="4614" width="6.7109375" customWidth="1"/>
    <col min="4615" max="4616" width="10.28515625" customWidth="1"/>
    <col min="4617" max="4617" width="5.7109375" customWidth="1"/>
    <col min="4618" max="4618" width="6.140625" customWidth="1"/>
    <col min="4619" max="4621" width="9.28515625" customWidth="1"/>
    <col min="4622" max="4622" width="9.42578125" customWidth="1"/>
    <col min="4623" max="4623" width="6.42578125" customWidth="1"/>
    <col min="4624" max="4624" width="7.5703125" customWidth="1"/>
    <col min="4625" max="4625" width="6.85546875" customWidth="1"/>
    <col min="4626" max="4626" width="9.28515625" customWidth="1"/>
    <col min="4627" max="4627" width="9" customWidth="1"/>
    <col min="4628" max="4628" width="5.7109375" customWidth="1"/>
    <col min="4629" max="4629" width="8.28515625" customWidth="1"/>
    <col min="4630" max="4632" width="7.7109375" customWidth="1"/>
    <col min="4633" max="4633" width="7.5703125" customWidth="1"/>
    <col min="4634" max="4634" width="6.85546875" customWidth="1"/>
    <col min="4635" max="4635" width="7.5703125" customWidth="1"/>
    <col min="4636" max="4636" width="6.85546875" customWidth="1"/>
    <col min="4637" max="4638" width="7.5703125" customWidth="1"/>
    <col min="4639" max="4639" width="9.7109375" customWidth="1"/>
    <col min="4640" max="4641" width="0" hidden="1" customWidth="1"/>
    <col min="4642" max="4642" width="7.28515625" customWidth="1"/>
    <col min="4643" max="4643" width="8.42578125" customWidth="1"/>
    <col min="4644" max="4644" width="8.7109375" customWidth="1"/>
    <col min="4645" max="4645" width="5.85546875" customWidth="1"/>
    <col min="4646" max="4648" width="7.28515625" customWidth="1"/>
    <col min="4649" max="4649" width="10.28515625" customWidth="1"/>
    <col min="4650" max="4650" width="9" customWidth="1"/>
    <col min="4651" max="4652" width="7.28515625" customWidth="1"/>
    <col min="4653" max="4653" width="8" customWidth="1"/>
    <col min="4654" max="4654" width="8.42578125" customWidth="1"/>
    <col min="4655" max="4655" width="10.140625" customWidth="1"/>
    <col min="4656" max="4657" width="9.5703125" customWidth="1"/>
    <col min="4658" max="4658" width="7.42578125" customWidth="1"/>
    <col min="4659" max="4660" width="9.42578125" customWidth="1"/>
    <col min="4661" max="4661" width="9.28515625" customWidth="1"/>
    <col min="4662" max="4662" width="9.140625" customWidth="1"/>
    <col min="4663" max="4663" width="7.85546875" customWidth="1"/>
    <col min="4664" max="4664" width="8.5703125" customWidth="1"/>
    <col min="4665" max="4665" width="9.5703125" customWidth="1"/>
    <col min="4666" max="4667" width="7.7109375" customWidth="1"/>
    <col min="4668" max="4668" width="11" customWidth="1"/>
    <col min="4669" max="4669" width="7.140625" customWidth="1"/>
    <col min="4670" max="4670" width="8.7109375" customWidth="1"/>
    <col min="4671" max="4673" width="9.140625" customWidth="1"/>
    <col min="4674" max="4674" width="8.85546875" customWidth="1"/>
    <col min="4675" max="4675" width="9" customWidth="1"/>
    <col min="4676" max="4676" width="7.85546875" customWidth="1"/>
    <col min="4677" max="4677" width="9.85546875" customWidth="1"/>
    <col min="4678" max="4678" width="9" customWidth="1"/>
    <col min="4679" max="4692" width="7.85546875" customWidth="1"/>
    <col min="4865" max="4865" width="3" customWidth="1"/>
    <col min="4866" max="4866" width="17.28515625" customWidth="1"/>
    <col min="4867" max="4867" width="7.5703125" customWidth="1"/>
    <col min="4868" max="4868" width="9.85546875" customWidth="1"/>
    <col min="4869" max="4869" width="10.42578125" customWidth="1"/>
    <col min="4870" max="4870" width="6.7109375" customWidth="1"/>
    <col min="4871" max="4872" width="10.28515625" customWidth="1"/>
    <col min="4873" max="4873" width="5.7109375" customWidth="1"/>
    <col min="4874" max="4874" width="6.140625" customWidth="1"/>
    <col min="4875" max="4877" width="9.28515625" customWidth="1"/>
    <col min="4878" max="4878" width="9.42578125" customWidth="1"/>
    <col min="4879" max="4879" width="6.42578125" customWidth="1"/>
    <col min="4880" max="4880" width="7.5703125" customWidth="1"/>
    <col min="4881" max="4881" width="6.85546875" customWidth="1"/>
    <col min="4882" max="4882" width="9.28515625" customWidth="1"/>
    <col min="4883" max="4883" width="9" customWidth="1"/>
    <col min="4884" max="4884" width="5.7109375" customWidth="1"/>
    <col min="4885" max="4885" width="8.28515625" customWidth="1"/>
    <col min="4886" max="4888" width="7.7109375" customWidth="1"/>
    <col min="4889" max="4889" width="7.5703125" customWidth="1"/>
    <col min="4890" max="4890" width="6.85546875" customWidth="1"/>
    <col min="4891" max="4891" width="7.5703125" customWidth="1"/>
    <col min="4892" max="4892" width="6.85546875" customWidth="1"/>
    <col min="4893" max="4894" width="7.5703125" customWidth="1"/>
    <col min="4895" max="4895" width="9.7109375" customWidth="1"/>
    <col min="4896" max="4897" width="0" hidden="1" customWidth="1"/>
    <col min="4898" max="4898" width="7.28515625" customWidth="1"/>
    <col min="4899" max="4899" width="8.42578125" customWidth="1"/>
    <col min="4900" max="4900" width="8.7109375" customWidth="1"/>
    <col min="4901" max="4901" width="5.85546875" customWidth="1"/>
    <col min="4902" max="4904" width="7.28515625" customWidth="1"/>
    <col min="4905" max="4905" width="10.28515625" customWidth="1"/>
    <col min="4906" max="4906" width="9" customWidth="1"/>
    <col min="4907" max="4908" width="7.28515625" customWidth="1"/>
    <col min="4909" max="4909" width="8" customWidth="1"/>
    <col min="4910" max="4910" width="8.42578125" customWidth="1"/>
    <col min="4911" max="4911" width="10.140625" customWidth="1"/>
    <col min="4912" max="4913" width="9.5703125" customWidth="1"/>
    <col min="4914" max="4914" width="7.42578125" customWidth="1"/>
    <col min="4915" max="4916" width="9.42578125" customWidth="1"/>
    <col min="4917" max="4917" width="9.28515625" customWidth="1"/>
    <col min="4918" max="4918" width="9.140625" customWidth="1"/>
    <col min="4919" max="4919" width="7.85546875" customWidth="1"/>
    <col min="4920" max="4920" width="8.5703125" customWidth="1"/>
    <col min="4921" max="4921" width="9.5703125" customWidth="1"/>
    <col min="4922" max="4923" width="7.7109375" customWidth="1"/>
    <col min="4924" max="4924" width="11" customWidth="1"/>
    <col min="4925" max="4925" width="7.140625" customWidth="1"/>
    <col min="4926" max="4926" width="8.7109375" customWidth="1"/>
    <col min="4927" max="4929" width="9.140625" customWidth="1"/>
    <col min="4930" max="4930" width="8.85546875" customWidth="1"/>
    <col min="4931" max="4931" width="9" customWidth="1"/>
    <col min="4932" max="4932" width="7.85546875" customWidth="1"/>
    <col min="4933" max="4933" width="9.85546875" customWidth="1"/>
    <col min="4934" max="4934" width="9" customWidth="1"/>
    <col min="4935" max="4948" width="7.85546875" customWidth="1"/>
    <col min="5121" max="5121" width="3" customWidth="1"/>
    <col min="5122" max="5122" width="17.28515625" customWidth="1"/>
    <col min="5123" max="5123" width="7.5703125" customWidth="1"/>
    <col min="5124" max="5124" width="9.85546875" customWidth="1"/>
    <col min="5125" max="5125" width="10.42578125" customWidth="1"/>
    <col min="5126" max="5126" width="6.7109375" customWidth="1"/>
    <col min="5127" max="5128" width="10.28515625" customWidth="1"/>
    <col min="5129" max="5129" width="5.7109375" customWidth="1"/>
    <col min="5130" max="5130" width="6.140625" customWidth="1"/>
    <col min="5131" max="5133" width="9.28515625" customWidth="1"/>
    <col min="5134" max="5134" width="9.42578125" customWidth="1"/>
    <col min="5135" max="5135" width="6.42578125" customWidth="1"/>
    <col min="5136" max="5136" width="7.5703125" customWidth="1"/>
    <col min="5137" max="5137" width="6.85546875" customWidth="1"/>
    <col min="5138" max="5138" width="9.28515625" customWidth="1"/>
    <col min="5139" max="5139" width="9" customWidth="1"/>
    <col min="5140" max="5140" width="5.7109375" customWidth="1"/>
    <col min="5141" max="5141" width="8.28515625" customWidth="1"/>
    <col min="5142" max="5144" width="7.7109375" customWidth="1"/>
    <col min="5145" max="5145" width="7.5703125" customWidth="1"/>
    <col min="5146" max="5146" width="6.85546875" customWidth="1"/>
    <col min="5147" max="5147" width="7.5703125" customWidth="1"/>
    <col min="5148" max="5148" width="6.85546875" customWidth="1"/>
    <col min="5149" max="5150" width="7.5703125" customWidth="1"/>
    <col min="5151" max="5151" width="9.7109375" customWidth="1"/>
    <col min="5152" max="5153" width="0" hidden="1" customWidth="1"/>
    <col min="5154" max="5154" width="7.28515625" customWidth="1"/>
    <col min="5155" max="5155" width="8.42578125" customWidth="1"/>
    <col min="5156" max="5156" width="8.7109375" customWidth="1"/>
    <col min="5157" max="5157" width="5.85546875" customWidth="1"/>
    <col min="5158" max="5160" width="7.28515625" customWidth="1"/>
    <col min="5161" max="5161" width="10.28515625" customWidth="1"/>
    <col min="5162" max="5162" width="9" customWidth="1"/>
    <col min="5163" max="5164" width="7.28515625" customWidth="1"/>
    <col min="5165" max="5165" width="8" customWidth="1"/>
    <col min="5166" max="5166" width="8.42578125" customWidth="1"/>
    <col min="5167" max="5167" width="10.140625" customWidth="1"/>
    <col min="5168" max="5169" width="9.5703125" customWidth="1"/>
    <col min="5170" max="5170" width="7.42578125" customWidth="1"/>
    <col min="5171" max="5172" width="9.42578125" customWidth="1"/>
    <col min="5173" max="5173" width="9.28515625" customWidth="1"/>
    <col min="5174" max="5174" width="9.140625" customWidth="1"/>
    <col min="5175" max="5175" width="7.85546875" customWidth="1"/>
    <col min="5176" max="5176" width="8.5703125" customWidth="1"/>
    <col min="5177" max="5177" width="9.5703125" customWidth="1"/>
    <col min="5178" max="5179" width="7.7109375" customWidth="1"/>
    <col min="5180" max="5180" width="11" customWidth="1"/>
    <col min="5181" max="5181" width="7.140625" customWidth="1"/>
    <col min="5182" max="5182" width="8.7109375" customWidth="1"/>
    <col min="5183" max="5185" width="9.140625" customWidth="1"/>
    <col min="5186" max="5186" width="8.85546875" customWidth="1"/>
    <col min="5187" max="5187" width="9" customWidth="1"/>
    <col min="5188" max="5188" width="7.85546875" customWidth="1"/>
    <col min="5189" max="5189" width="9.85546875" customWidth="1"/>
    <col min="5190" max="5190" width="9" customWidth="1"/>
    <col min="5191" max="5204" width="7.85546875" customWidth="1"/>
    <col min="5377" max="5377" width="3" customWidth="1"/>
    <col min="5378" max="5378" width="17.28515625" customWidth="1"/>
    <col min="5379" max="5379" width="7.5703125" customWidth="1"/>
    <col min="5380" max="5380" width="9.85546875" customWidth="1"/>
    <col min="5381" max="5381" width="10.42578125" customWidth="1"/>
    <col min="5382" max="5382" width="6.7109375" customWidth="1"/>
    <col min="5383" max="5384" width="10.28515625" customWidth="1"/>
    <col min="5385" max="5385" width="5.7109375" customWidth="1"/>
    <col min="5386" max="5386" width="6.140625" customWidth="1"/>
    <col min="5387" max="5389" width="9.28515625" customWidth="1"/>
    <col min="5390" max="5390" width="9.42578125" customWidth="1"/>
    <col min="5391" max="5391" width="6.42578125" customWidth="1"/>
    <col min="5392" max="5392" width="7.5703125" customWidth="1"/>
    <col min="5393" max="5393" width="6.85546875" customWidth="1"/>
    <col min="5394" max="5394" width="9.28515625" customWidth="1"/>
    <col min="5395" max="5395" width="9" customWidth="1"/>
    <col min="5396" max="5396" width="5.7109375" customWidth="1"/>
    <col min="5397" max="5397" width="8.28515625" customWidth="1"/>
    <col min="5398" max="5400" width="7.7109375" customWidth="1"/>
    <col min="5401" max="5401" width="7.5703125" customWidth="1"/>
    <col min="5402" max="5402" width="6.85546875" customWidth="1"/>
    <col min="5403" max="5403" width="7.5703125" customWidth="1"/>
    <col min="5404" max="5404" width="6.85546875" customWidth="1"/>
    <col min="5405" max="5406" width="7.5703125" customWidth="1"/>
    <col min="5407" max="5407" width="9.7109375" customWidth="1"/>
    <col min="5408" max="5409" width="0" hidden="1" customWidth="1"/>
    <col min="5410" max="5410" width="7.28515625" customWidth="1"/>
    <col min="5411" max="5411" width="8.42578125" customWidth="1"/>
    <col min="5412" max="5412" width="8.7109375" customWidth="1"/>
    <col min="5413" max="5413" width="5.85546875" customWidth="1"/>
    <col min="5414" max="5416" width="7.28515625" customWidth="1"/>
    <col min="5417" max="5417" width="10.28515625" customWidth="1"/>
    <col min="5418" max="5418" width="9" customWidth="1"/>
    <col min="5419" max="5420" width="7.28515625" customWidth="1"/>
    <col min="5421" max="5421" width="8" customWidth="1"/>
    <col min="5422" max="5422" width="8.42578125" customWidth="1"/>
    <col min="5423" max="5423" width="10.140625" customWidth="1"/>
    <col min="5424" max="5425" width="9.5703125" customWidth="1"/>
    <col min="5426" max="5426" width="7.42578125" customWidth="1"/>
    <col min="5427" max="5428" width="9.42578125" customWidth="1"/>
    <col min="5429" max="5429" width="9.28515625" customWidth="1"/>
    <col min="5430" max="5430" width="9.140625" customWidth="1"/>
    <col min="5431" max="5431" width="7.85546875" customWidth="1"/>
    <col min="5432" max="5432" width="8.5703125" customWidth="1"/>
    <col min="5433" max="5433" width="9.5703125" customWidth="1"/>
    <col min="5434" max="5435" width="7.7109375" customWidth="1"/>
    <col min="5436" max="5436" width="11" customWidth="1"/>
    <col min="5437" max="5437" width="7.140625" customWidth="1"/>
    <col min="5438" max="5438" width="8.7109375" customWidth="1"/>
    <col min="5439" max="5441" width="9.140625" customWidth="1"/>
    <col min="5442" max="5442" width="8.85546875" customWidth="1"/>
    <col min="5443" max="5443" width="9" customWidth="1"/>
    <col min="5444" max="5444" width="7.85546875" customWidth="1"/>
    <col min="5445" max="5445" width="9.85546875" customWidth="1"/>
    <col min="5446" max="5446" width="9" customWidth="1"/>
    <col min="5447" max="5460" width="7.85546875" customWidth="1"/>
    <col min="5633" max="5633" width="3" customWidth="1"/>
    <col min="5634" max="5634" width="17.28515625" customWidth="1"/>
    <col min="5635" max="5635" width="7.5703125" customWidth="1"/>
    <col min="5636" max="5636" width="9.85546875" customWidth="1"/>
    <col min="5637" max="5637" width="10.42578125" customWidth="1"/>
    <col min="5638" max="5638" width="6.7109375" customWidth="1"/>
    <col min="5639" max="5640" width="10.28515625" customWidth="1"/>
    <col min="5641" max="5641" width="5.7109375" customWidth="1"/>
    <col min="5642" max="5642" width="6.140625" customWidth="1"/>
    <col min="5643" max="5645" width="9.28515625" customWidth="1"/>
    <col min="5646" max="5646" width="9.42578125" customWidth="1"/>
    <col min="5647" max="5647" width="6.42578125" customWidth="1"/>
    <col min="5648" max="5648" width="7.5703125" customWidth="1"/>
    <col min="5649" max="5649" width="6.85546875" customWidth="1"/>
    <col min="5650" max="5650" width="9.28515625" customWidth="1"/>
    <col min="5651" max="5651" width="9" customWidth="1"/>
    <col min="5652" max="5652" width="5.7109375" customWidth="1"/>
    <col min="5653" max="5653" width="8.28515625" customWidth="1"/>
    <col min="5654" max="5656" width="7.7109375" customWidth="1"/>
    <col min="5657" max="5657" width="7.5703125" customWidth="1"/>
    <col min="5658" max="5658" width="6.85546875" customWidth="1"/>
    <col min="5659" max="5659" width="7.5703125" customWidth="1"/>
    <col min="5660" max="5660" width="6.85546875" customWidth="1"/>
    <col min="5661" max="5662" width="7.5703125" customWidth="1"/>
    <col min="5663" max="5663" width="9.7109375" customWidth="1"/>
    <col min="5664" max="5665" width="0" hidden="1" customWidth="1"/>
    <col min="5666" max="5666" width="7.28515625" customWidth="1"/>
    <col min="5667" max="5667" width="8.42578125" customWidth="1"/>
    <col min="5668" max="5668" width="8.7109375" customWidth="1"/>
    <col min="5669" max="5669" width="5.85546875" customWidth="1"/>
    <col min="5670" max="5672" width="7.28515625" customWidth="1"/>
    <col min="5673" max="5673" width="10.28515625" customWidth="1"/>
    <col min="5674" max="5674" width="9" customWidth="1"/>
    <col min="5675" max="5676" width="7.28515625" customWidth="1"/>
    <col min="5677" max="5677" width="8" customWidth="1"/>
    <col min="5678" max="5678" width="8.42578125" customWidth="1"/>
    <col min="5679" max="5679" width="10.140625" customWidth="1"/>
    <col min="5680" max="5681" width="9.5703125" customWidth="1"/>
    <col min="5682" max="5682" width="7.42578125" customWidth="1"/>
    <col min="5683" max="5684" width="9.42578125" customWidth="1"/>
    <col min="5685" max="5685" width="9.28515625" customWidth="1"/>
    <col min="5686" max="5686" width="9.140625" customWidth="1"/>
    <col min="5687" max="5687" width="7.85546875" customWidth="1"/>
    <col min="5688" max="5688" width="8.5703125" customWidth="1"/>
    <col min="5689" max="5689" width="9.5703125" customWidth="1"/>
    <col min="5690" max="5691" width="7.7109375" customWidth="1"/>
    <col min="5692" max="5692" width="11" customWidth="1"/>
    <col min="5693" max="5693" width="7.140625" customWidth="1"/>
    <col min="5694" max="5694" width="8.7109375" customWidth="1"/>
    <col min="5695" max="5697" width="9.140625" customWidth="1"/>
    <col min="5698" max="5698" width="8.85546875" customWidth="1"/>
    <col min="5699" max="5699" width="9" customWidth="1"/>
    <col min="5700" max="5700" width="7.85546875" customWidth="1"/>
    <col min="5701" max="5701" width="9.85546875" customWidth="1"/>
    <col min="5702" max="5702" width="9" customWidth="1"/>
    <col min="5703" max="5716" width="7.85546875" customWidth="1"/>
    <col min="5889" max="5889" width="3" customWidth="1"/>
    <col min="5890" max="5890" width="17.28515625" customWidth="1"/>
    <col min="5891" max="5891" width="7.5703125" customWidth="1"/>
    <col min="5892" max="5892" width="9.85546875" customWidth="1"/>
    <col min="5893" max="5893" width="10.42578125" customWidth="1"/>
    <col min="5894" max="5894" width="6.7109375" customWidth="1"/>
    <col min="5895" max="5896" width="10.28515625" customWidth="1"/>
    <col min="5897" max="5897" width="5.7109375" customWidth="1"/>
    <col min="5898" max="5898" width="6.140625" customWidth="1"/>
    <col min="5899" max="5901" width="9.28515625" customWidth="1"/>
    <col min="5902" max="5902" width="9.42578125" customWidth="1"/>
    <col min="5903" max="5903" width="6.42578125" customWidth="1"/>
    <col min="5904" max="5904" width="7.5703125" customWidth="1"/>
    <col min="5905" max="5905" width="6.85546875" customWidth="1"/>
    <col min="5906" max="5906" width="9.28515625" customWidth="1"/>
    <col min="5907" max="5907" width="9" customWidth="1"/>
    <col min="5908" max="5908" width="5.7109375" customWidth="1"/>
    <col min="5909" max="5909" width="8.28515625" customWidth="1"/>
    <col min="5910" max="5912" width="7.7109375" customWidth="1"/>
    <col min="5913" max="5913" width="7.5703125" customWidth="1"/>
    <col min="5914" max="5914" width="6.85546875" customWidth="1"/>
    <col min="5915" max="5915" width="7.5703125" customWidth="1"/>
    <col min="5916" max="5916" width="6.85546875" customWidth="1"/>
    <col min="5917" max="5918" width="7.5703125" customWidth="1"/>
    <col min="5919" max="5919" width="9.7109375" customWidth="1"/>
    <col min="5920" max="5921" width="0" hidden="1" customWidth="1"/>
    <col min="5922" max="5922" width="7.28515625" customWidth="1"/>
    <col min="5923" max="5923" width="8.42578125" customWidth="1"/>
    <col min="5924" max="5924" width="8.7109375" customWidth="1"/>
    <col min="5925" max="5925" width="5.85546875" customWidth="1"/>
    <col min="5926" max="5928" width="7.28515625" customWidth="1"/>
    <col min="5929" max="5929" width="10.28515625" customWidth="1"/>
    <col min="5930" max="5930" width="9" customWidth="1"/>
    <col min="5931" max="5932" width="7.28515625" customWidth="1"/>
    <col min="5933" max="5933" width="8" customWidth="1"/>
    <col min="5934" max="5934" width="8.42578125" customWidth="1"/>
    <col min="5935" max="5935" width="10.140625" customWidth="1"/>
    <col min="5936" max="5937" width="9.5703125" customWidth="1"/>
    <col min="5938" max="5938" width="7.42578125" customWidth="1"/>
    <col min="5939" max="5940" width="9.42578125" customWidth="1"/>
    <col min="5941" max="5941" width="9.28515625" customWidth="1"/>
    <col min="5942" max="5942" width="9.140625" customWidth="1"/>
    <col min="5943" max="5943" width="7.85546875" customWidth="1"/>
    <col min="5944" max="5944" width="8.5703125" customWidth="1"/>
    <col min="5945" max="5945" width="9.5703125" customWidth="1"/>
    <col min="5946" max="5947" width="7.7109375" customWidth="1"/>
    <col min="5948" max="5948" width="11" customWidth="1"/>
    <col min="5949" max="5949" width="7.140625" customWidth="1"/>
    <col min="5950" max="5950" width="8.7109375" customWidth="1"/>
    <col min="5951" max="5953" width="9.140625" customWidth="1"/>
    <col min="5954" max="5954" width="8.85546875" customWidth="1"/>
    <col min="5955" max="5955" width="9" customWidth="1"/>
    <col min="5956" max="5956" width="7.85546875" customWidth="1"/>
    <col min="5957" max="5957" width="9.85546875" customWidth="1"/>
    <col min="5958" max="5958" width="9" customWidth="1"/>
    <col min="5959" max="5972" width="7.85546875" customWidth="1"/>
    <col min="6145" max="6145" width="3" customWidth="1"/>
    <col min="6146" max="6146" width="17.28515625" customWidth="1"/>
    <col min="6147" max="6147" width="7.5703125" customWidth="1"/>
    <col min="6148" max="6148" width="9.85546875" customWidth="1"/>
    <col min="6149" max="6149" width="10.42578125" customWidth="1"/>
    <col min="6150" max="6150" width="6.7109375" customWidth="1"/>
    <col min="6151" max="6152" width="10.28515625" customWidth="1"/>
    <col min="6153" max="6153" width="5.7109375" customWidth="1"/>
    <col min="6154" max="6154" width="6.140625" customWidth="1"/>
    <col min="6155" max="6157" width="9.28515625" customWidth="1"/>
    <col min="6158" max="6158" width="9.42578125" customWidth="1"/>
    <col min="6159" max="6159" width="6.42578125" customWidth="1"/>
    <col min="6160" max="6160" width="7.5703125" customWidth="1"/>
    <col min="6161" max="6161" width="6.85546875" customWidth="1"/>
    <col min="6162" max="6162" width="9.28515625" customWidth="1"/>
    <col min="6163" max="6163" width="9" customWidth="1"/>
    <col min="6164" max="6164" width="5.7109375" customWidth="1"/>
    <col min="6165" max="6165" width="8.28515625" customWidth="1"/>
    <col min="6166" max="6168" width="7.7109375" customWidth="1"/>
    <col min="6169" max="6169" width="7.5703125" customWidth="1"/>
    <col min="6170" max="6170" width="6.85546875" customWidth="1"/>
    <col min="6171" max="6171" width="7.5703125" customWidth="1"/>
    <col min="6172" max="6172" width="6.85546875" customWidth="1"/>
    <col min="6173" max="6174" width="7.5703125" customWidth="1"/>
    <col min="6175" max="6175" width="9.7109375" customWidth="1"/>
    <col min="6176" max="6177" width="0" hidden="1" customWidth="1"/>
    <col min="6178" max="6178" width="7.28515625" customWidth="1"/>
    <col min="6179" max="6179" width="8.42578125" customWidth="1"/>
    <col min="6180" max="6180" width="8.7109375" customWidth="1"/>
    <col min="6181" max="6181" width="5.85546875" customWidth="1"/>
    <col min="6182" max="6184" width="7.28515625" customWidth="1"/>
    <col min="6185" max="6185" width="10.28515625" customWidth="1"/>
    <col min="6186" max="6186" width="9" customWidth="1"/>
    <col min="6187" max="6188" width="7.28515625" customWidth="1"/>
    <col min="6189" max="6189" width="8" customWidth="1"/>
    <col min="6190" max="6190" width="8.42578125" customWidth="1"/>
    <col min="6191" max="6191" width="10.140625" customWidth="1"/>
    <col min="6192" max="6193" width="9.5703125" customWidth="1"/>
    <col min="6194" max="6194" width="7.42578125" customWidth="1"/>
    <col min="6195" max="6196" width="9.42578125" customWidth="1"/>
    <col min="6197" max="6197" width="9.28515625" customWidth="1"/>
    <col min="6198" max="6198" width="9.140625" customWidth="1"/>
    <col min="6199" max="6199" width="7.85546875" customWidth="1"/>
    <col min="6200" max="6200" width="8.5703125" customWidth="1"/>
    <col min="6201" max="6201" width="9.5703125" customWidth="1"/>
    <col min="6202" max="6203" width="7.7109375" customWidth="1"/>
    <col min="6204" max="6204" width="11" customWidth="1"/>
    <col min="6205" max="6205" width="7.140625" customWidth="1"/>
    <col min="6206" max="6206" width="8.7109375" customWidth="1"/>
    <col min="6207" max="6209" width="9.140625" customWidth="1"/>
    <col min="6210" max="6210" width="8.85546875" customWidth="1"/>
    <col min="6211" max="6211" width="9" customWidth="1"/>
    <col min="6212" max="6212" width="7.85546875" customWidth="1"/>
    <col min="6213" max="6213" width="9.85546875" customWidth="1"/>
    <col min="6214" max="6214" width="9" customWidth="1"/>
    <col min="6215" max="6228" width="7.85546875" customWidth="1"/>
    <col min="6401" max="6401" width="3" customWidth="1"/>
    <col min="6402" max="6402" width="17.28515625" customWidth="1"/>
    <col min="6403" max="6403" width="7.5703125" customWidth="1"/>
    <col min="6404" max="6404" width="9.85546875" customWidth="1"/>
    <col min="6405" max="6405" width="10.42578125" customWidth="1"/>
    <col min="6406" max="6406" width="6.7109375" customWidth="1"/>
    <col min="6407" max="6408" width="10.28515625" customWidth="1"/>
    <col min="6409" max="6409" width="5.7109375" customWidth="1"/>
    <col min="6410" max="6410" width="6.140625" customWidth="1"/>
    <col min="6411" max="6413" width="9.28515625" customWidth="1"/>
    <col min="6414" max="6414" width="9.42578125" customWidth="1"/>
    <col min="6415" max="6415" width="6.42578125" customWidth="1"/>
    <col min="6416" max="6416" width="7.5703125" customWidth="1"/>
    <col min="6417" max="6417" width="6.85546875" customWidth="1"/>
    <col min="6418" max="6418" width="9.28515625" customWidth="1"/>
    <col min="6419" max="6419" width="9" customWidth="1"/>
    <col min="6420" max="6420" width="5.7109375" customWidth="1"/>
    <col min="6421" max="6421" width="8.28515625" customWidth="1"/>
    <col min="6422" max="6424" width="7.7109375" customWidth="1"/>
    <col min="6425" max="6425" width="7.5703125" customWidth="1"/>
    <col min="6426" max="6426" width="6.85546875" customWidth="1"/>
    <col min="6427" max="6427" width="7.5703125" customWidth="1"/>
    <col min="6428" max="6428" width="6.85546875" customWidth="1"/>
    <col min="6429" max="6430" width="7.5703125" customWidth="1"/>
    <col min="6431" max="6431" width="9.7109375" customWidth="1"/>
    <col min="6432" max="6433" width="0" hidden="1" customWidth="1"/>
    <col min="6434" max="6434" width="7.28515625" customWidth="1"/>
    <col min="6435" max="6435" width="8.42578125" customWidth="1"/>
    <col min="6436" max="6436" width="8.7109375" customWidth="1"/>
    <col min="6437" max="6437" width="5.85546875" customWidth="1"/>
    <col min="6438" max="6440" width="7.28515625" customWidth="1"/>
    <col min="6441" max="6441" width="10.28515625" customWidth="1"/>
    <col min="6442" max="6442" width="9" customWidth="1"/>
    <col min="6443" max="6444" width="7.28515625" customWidth="1"/>
    <col min="6445" max="6445" width="8" customWidth="1"/>
    <col min="6446" max="6446" width="8.42578125" customWidth="1"/>
    <col min="6447" max="6447" width="10.140625" customWidth="1"/>
    <col min="6448" max="6449" width="9.5703125" customWidth="1"/>
    <col min="6450" max="6450" width="7.42578125" customWidth="1"/>
    <col min="6451" max="6452" width="9.42578125" customWidth="1"/>
    <col min="6453" max="6453" width="9.28515625" customWidth="1"/>
    <col min="6454" max="6454" width="9.140625" customWidth="1"/>
    <col min="6455" max="6455" width="7.85546875" customWidth="1"/>
    <col min="6456" max="6456" width="8.5703125" customWidth="1"/>
    <col min="6457" max="6457" width="9.5703125" customWidth="1"/>
    <col min="6458" max="6459" width="7.7109375" customWidth="1"/>
    <col min="6460" max="6460" width="11" customWidth="1"/>
    <col min="6461" max="6461" width="7.140625" customWidth="1"/>
    <col min="6462" max="6462" width="8.7109375" customWidth="1"/>
    <col min="6463" max="6465" width="9.140625" customWidth="1"/>
    <col min="6466" max="6466" width="8.85546875" customWidth="1"/>
    <col min="6467" max="6467" width="9" customWidth="1"/>
    <col min="6468" max="6468" width="7.85546875" customWidth="1"/>
    <col min="6469" max="6469" width="9.85546875" customWidth="1"/>
    <col min="6470" max="6470" width="9" customWidth="1"/>
    <col min="6471" max="6484" width="7.85546875" customWidth="1"/>
    <col min="6657" max="6657" width="3" customWidth="1"/>
    <col min="6658" max="6658" width="17.28515625" customWidth="1"/>
    <col min="6659" max="6659" width="7.5703125" customWidth="1"/>
    <col min="6660" max="6660" width="9.85546875" customWidth="1"/>
    <col min="6661" max="6661" width="10.42578125" customWidth="1"/>
    <col min="6662" max="6662" width="6.7109375" customWidth="1"/>
    <col min="6663" max="6664" width="10.28515625" customWidth="1"/>
    <col min="6665" max="6665" width="5.7109375" customWidth="1"/>
    <col min="6666" max="6666" width="6.140625" customWidth="1"/>
    <col min="6667" max="6669" width="9.28515625" customWidth="1"/>
    <col min="6670" max="6670" width="9.42578125" customWidth="1"/>
    <col min="6671" max="6671" width="6.42578125" customWidth="1"/>
    <col min="6672" max="6672" width="7.5703125" customWidth="1"/>
    <col min="6673" max="6673" width="6.85546875" customWidth="1"/>
    <col min="6674" max="6674" width="9.28515625" customWidth="1"/>
    <col min="6675" max="6675" width="9" customWidth="1"/>
    <col min="6676" max="6676" width="5.7109375" customWidth="1"/>
    <col min="6677" max="6677" width="8.28515625" customWidth="1"/>
    <col min="6678" max="6680" width="7.7109375" customWidth="1"/>
    <col min="6681" max="6681" width="7.5703125" customWidth="1"/>
    <col min="6682" max="6682" width="6.85546875" customWidth="1"/>
    <col min="6683" max="6683" width="7.5703125" customWidth="1"/>
    <col min="6684" max="6684" width="6.85546875" customWidth="1"/>
    <col min="6685" max="6686" width="7.5703125" customWidth="1"/>
    <col min="6687" max="6687" width="9.7109375" customWidth="1"/>
    <col min="6688" max="6689" width="0" hidden="1" customWidth="1"/>
    <col min="6690" max="6690" width="7.28515625" customWidth="1"/>
    <col min="6691" max="6691" width="8.42578125" customWidth="1"/>
    <col min="6692" max="6692" width="8.7109375" customWidth="1"/>
    <col min="6693" max="6693" width="5.85546875" customWidth="1"/>
    <col min="6694" max="6696" width="7.28515625" customWidth="1"/>
    <col min="6697" max="6697" width="10.28515625" customWidth="1"/>
    <col min="6698" max="6698" width="9" customWidth="1"/>
    <col min="6699" max="6700" width="7.28515625" customWidth="1"/>
    <col min="6701" max="6701" width="8" customWidth="1"/>
    <col min="6702" max="6702" width="8.42578125" customWidth="1"/>
    <col min="6703" max="6703" width="10.140625" customWidth="1"/>
    <col min="6704" max="6705" width="9.5703125" customWidth="1"/>
    <col min="6706" max="6706" width="7.42578125" customWidth="1"/>
    <col min="6707" max="6708" width="9.42578125" customWidth="1"/>
    <col min="6709" max="6709" width="9.28515625" customWidth="1"/>
    <col min="6710" max="6710" width="9.140625" customWidth="1"/>
    <col min="6711" max="6711" width="7.85546875" customWidth="1"/>
    <col min="6712" max="6712" width="8.5703125" customWidth="1"/>
    <col min="6713" max="6713" width="9.5703125" customWidth="1"/>
    <col min="6714" max="6715" width="7.7109375" customWidth="1"/>
    <col min="6716" max="6716" width="11" customWidth="1"/>
    <col min="6717" max="6717" width="7.140625" customWidth="1"/>
    <col min="6718" max="6718" width="8.7109375" customWidth="1"/>
    <col min="6719" max="6721" width="9.140625" customWidth="1"/>
    <col min="6722" max="6722" width="8.85546875" customWidth="1"/>
    <col min="6723" max="6723" width="9" customWidth="1"/>
    <col min="6724" max="6724" width="7.85546875" customWidth="1"/>
    <col min="6725" max="6725" width="9.85546875" customWidth="1"/>
    <col min="6726" max="6726" width="9" customWidth="1"/>
    <col min="6727" max="6740" width="7.85546875" customWidth="1"/>
    <col min="6913" max="6913" width="3" customWidth="1"/>
    <col min="6914" max="6914" width="17.28515625" customWidth="1"/>
    <col min="6915" max="6915" width="7.5703125" customWidth="1"/>
    <col min="6916" max="6916" width="9.85546875" customWidth="1"/>
    <col min="6917" max="6917" width="10.42578125" customWidth="1"/>
    <col min="6918" max="6918" width="6.7109375" customWidth="1"/>
    <col min="6919" max="6920" width="10.28515625" customWidth="1"/>
    <col min="6921" max="6921" width="5.7109375" customWidth="1"/>
    <col min="6922" max="6922" width="6.140625" customWidth="1"/>
    <col min="6923" max="6925" width="9.28515625" customWidth="1"/>
    <col min="6926" max="6926" width="9.42578125" customWidth="1"/>
    <col min="6927" max="6927" width="6.42578125" customWidth="1"/>
    <col min="6928" max="6928" width="7.5703125" customWidth="1"/>
    <col min="6929" max="6929" width="6.85546875" customWidth="1"/>
    <col min="6930" max="6930" width="9.28515625" customWidth="1"/>
    <col min="6931" max="6931" width="9" customWidth="1"/>
    <col min="6932" max="6932" width="5.7109375" customWidth="1"/>
    <col min="6933" max="6933" width="8.28515625" customWidth="1"/>
    <col min="6934" max="6936" width="7.7109375" customWidth="1"/>
    <col min="6937" max="6937" width="7.5703125" customWidth="1"/>
    <col min="6938" max="6938" width="6.85546875" customWidth="1"/>
    <col min="6939" max="6939" width="7.5703125" customWidth="1"/>
    <col min="6940" max="6940" width="6.85546875" customWidth="1"/>
    <col min="6941" max="6942" width="7.5703125" customWidth="1"/>
    <col min="6943" max="6943" width="9.7109375" customWidth="1"/>
    <col min="6944" max="6945" width="0" hidden="1" customWidth="1"/>
    <col min="6946" max="6946" width="7.28515625" customWidth="1"/>
    <col min="6947" max="6947" width="8.42578125" customWidth="1"/>
    <col min="6948" max="6948" width="8.7109375" customWidth="1"/>
    <col min="6949" max="6949" width="5.85546875" customWidth="1"/>
    <col min="6950" max="6952" width="7.28515625" customWidth="1"/>
    <col min="6953" max="6953" width="10.28515625" customWidth="1"/>
    <col min="6954" max="6954" width="9" customWidth="1"/>
    <col min="6955" max="6956" width="7.28515625" customWidth="1"/>
    <col min="6957" max="6957" width="8" customWidth="1"/>
    <col min="6958" max="6958" width="8.42578125" customWidth="1"/>
    <col min="6959" max="6959" width="10.140625" customWidth="1"/>
    <col min="6960" max="6961" width="9.5703125" customWidth="1"/>
    <col min="6962" max="6962" width="7.42578125" customWidth="1"/>
    <col min="6963" max="6964" width="9.42578125" customWidth="1"/>
    <col min="6965" max="6965" width="9.28515625" customWidth="1"/>
    <col min="6966" max="6966" width="9.140625" customWidth="1"/>
    <col min="6967" max="6967" width="7.85546875" customWidth="1"/>
    <col min="6968" max="6968" width="8.5703125" customWidth="1"/>
    <col min="6969" max="6969" width="9.5703125" customWidth="1"/>
    <col min="6970" max="6971" width="7.7109375" customWidth="1"/>
    <col min="6972" max="6972" width="11" customWidth="1"/>
    <col min="6973" max="6973" width="7.140625" customWidth="1"/>
    <col min="6974" max="6974" width="8.7109375" customWidth="1"/>
    <col min="6975" max="6977" width="9.140625" customWidth="1"/>
    <col min="6978" max="6978" width="8.85546875" customWidth="1"/>
    <col min="6979" max="6979" width="9" customWidth="1"/>
    <col min="6980" max="6980" width="7.85546875" customWidth="1"/>
    <col min="6981" max="6981" width="9.85546875" customWidth="1"/>
    <col min="6982" max="6982" width="9" customWidth="1"/>
    <col min="6983" max="6996" width="7.85546875" customWidth="1"/>
    <col min="7169" max="7169" width="3" customWidth="1"/>
    <col min="7170" max="7170" width="17.28515625" customWidth="1"/>
    <col min="7171" max="7171" width="7.5703125" customWidth="1"/>
    <col min="7172" max="7172" width="9.85546875" customWidth="1"/>
    <col min="7173" max="7173" width="10.42578125" customWidth="1"/>
    <col min="7174" max="7174" width="6.7109375" customWidth="1"/>
    <col min="7175" max="7176" width="10.28515625" customWidth="1"/>
    <col min="7177" max="7177" width="5.7109375" customWidth="1"/>
    <col min="7178" max="7178" width="6.140625" customWidth="1"/>
    <col min="7179" max="7181" width="9.28515625" customWidth="1"/>
    <col min="7182" max="7182" width="9.42578125" customWidth="1"/>
    <col min="7183" max="7183" width="6.42578125" customWidth="1"/>
    <col min="7184" max="7184" width="7.5703125" customWidth="1"/>
    <col min="7185" max="7185" width="6.85546875" customWidth="1"/>
    <col min="7186" max="7186" width="9.28515625" customWidth="1"/>
    <col min="7187" max="7187" width="9" customWidth="1"/>
    <col min="7188" max="7188" width="5.7109375" customWidth="1"/>
    <col min="7189" max="7189" width="8.28515625" customWidth="1"/>
    <col min="7190" max="7192" width="7.7109375" customWidth="1"/>
    <col min="7193" max="7193" width="7.5703125" customWidth="1"/>
    <col min="7194" max="7194" width="6.85546875" customWidth="1"/>
    <col min="7195" max="7195" width="7.5703125" customWidth="1"/>
    <col min="7196" max="7196" width="6.85546875" customWidth="1"/>
    <col min="7197" max="7198" width="7.5703125" customWidth="1"/>
    <col min="7199" max="7199" width="9.7109375" customWidth="1"/>
    <col min="7200" max="7201" width="0" hidden="1" customWidth="1"/>
    <col min="7202" max="7202" width="7.28515625" customWidth="1"/>
    <col min="7203" max="7203" width="8.42578125" customWidth="1"/>
    <col min="7204" max="7204" width="8.7109375" customWidth="1"/>
    <col min="7205" max="7205" width="5.85546875" customWidth="1"/>
    <col min="7206" max="7208" width="7.28515625" customWidth="1"/>
    <col min="7209" max="7209" width="10.28515625" customWidth="1"/>
    <col min="7210" max="7210" width="9" customWidth="1"/>
    <col min="7211" max="7212" width="7.28515625" customWidth="1"/>
    <col min="7213" max="7213" width="8" customWidth="1"/>
    <col min="7214" max="7214" width="8.42578125" customWidth="1"/>
    <col min="7215" max="7215" width="10.140625" customWidth="1"/>
    <col min="7216" max="7217" width="9.5703125" customWidth="1"/>
    <col min="7218" max="7218" width="7.42578125" customWidth="1"/>
    <col min="7219" max="7220" width="9.42578125" customWidth="1"/>
    <col min="7221" max="7221" width="9.28515625" customWidth="1"/>
    <col min="7222" max="7222" width="9.140625" customWidth="1"/>
    <col min="7223" max="7223" width="7.85546875" customWidth="1"/>
    <col min="7224" max="7224" width="8.5703125" customWidth="1"/>
    <col min="7225" max="7225" width="9.5703125" customWidth="1"/>
    <col min="7226" max="7227" width="7.7109375" customWidth="1"/>
    <col min="7228" max="7228" width="11" customWidth="1"/>
    <col min="7229" max="7229" width="7.140625" customWidth="1"/>
    <col min="7230" max="7230" width="8.7109375" customWidth="1"/>
    <col min="7231" max="7233" width="9.140625" customWidth="1"/>
    <col min="7234" max="7234" width="8.85546875" customWidth="1"/>
    <col min="7235" max="7235" width="9" customWidth="1"/>
    <col min="7236" max="7236" width="7.85546875" customWidth="1"/>
    <col min="7237" max="7237" width="9.85546875" customWidth="1"/>
    <col min="7238" max="7238" width="9" customWidth="1"/>
    <col min="7239" max="7252" width="7.85546875" customWidth="1"/>
    <col min="7425" max="7425" width="3" customWidth="1"/>
    <col min="7426" max="7426" width="17.28515625" customWidth="1"/>
    <col min="7427" max="7427" width="7.5703125" customWidth="1"/>
    <col min="7428" max="7428" width="9.85546875" customWidth="1"/>
    <col min="7429" max="7429" width="10.42578125" customWidth="1"/>
    <col min="7430" max="7430" width="6.7109375" customWidth="1"/>
    <col min="7431" max="7432" width="10.28515625" customWidth="1"/>
    <col min="7433" max="7433" width="5.7109375" customWidth="1"/>
    <col min="7434" max="7434" width="6.140625" customWidth="1"/>
    <col min="7435" max="7437" width="9.28515625" customWidth="1"/>
    <col min="7438" max="7438" width="9.42578125" customWidth="1"/>
    <col min="7439" max="7439" width="6.42578125" customWidth="1"/>
    <col min="7440" max="7440" width="7.5703125" customWidth="1"/>
    <col min="7441" max="7441" width="6.85546875" customWidth="1"/>
    <col min="7442" max="7442" width="9.28515625" customWidth="1"/>
    <col min="7443" max="7443" width="9" customWidth="1"/>
    <col min="7444" max="7444" width="5.7109375" customWidth="1"/>
    <col min="7445" max="7445" width="8.28515625" customWidth="1"/>
    <col min="7446" max="7448" width="7.7109375" customWidth="1"/>
    <col min="7449" max="7449" width="7.5703125" customWidth="1"/>
    <col min="7450" max="7450" width="6.85546875" customWidth="1"/>
    <col min="7451" max="7451" width="7.5703125" customWidth="1"/>
    <col min="7452" max="7452" width="6.85546875" customWidth="1"/>
    <col min="7453" max="7454" width="7.5703125" customWidth="1"/>
    <col min="7455" max="7455" width="9.7109375" customWidth="1"/>
    <col min="7456" max="7457" width="0" hidden="1" customWidth="1"/>
    <col min="7458" max="7458" width="7.28515625" customWidth="1"/>
    <col min="7459" max="7459" width="8.42578125" customWidth="1"/>
    <col min="7460" max="7460" width="8.7109375" customWidth="1"/>
    <col min="7461" max="7461" width="5.85546875" customWidth="1"/>
    <col min="7462" max="7464" width="7.28515625" customWidth="1"/>
    <col min="7465" max="7465" width="10.28515625" customWidth="1"/>
    <col min="7466" max="7466" width="9" customWidth="1"/>
    <col min="7467" max="7468" width="7.28515625" customWidth="1"/>
    <col min="7469" max="7469" width="8" customWidth="1"/>
    <col min="7470" max="7470" width="8.42578125" customWidth="1"/>
    <col min="7471" max="7471" width="10.140625" customWidth="1"/>
    <col min="7472" max="7473" width="9.5703125" customWidth="1"/>
    <col min="7474" max="7474" width="7.42578125" customWidth="1"/>
    <col min="7475" max="7476" width="9.42578125" customWidth="1"/>
    <col min="7477" max="7477" width="9.28515625" customWidth="1"/>
    <col min="7478" max="7478" width="9.140625" customWidth="1"/>
    <col min="7479" max="7479" width="7.85546875" customWidth="1"/>
    <col min="7480" max="7480" width="8.5703125" customWidth="1"/>
    <col min="7481" max="7481" width="9.5703125" customWidth="1"/>
    <col min="7482" max="7483" width="7.7109375" customWidth="1"/>
    <col min="7484" max="7484" width="11" customWidth="1"/>
    <col min="7485" max="7485" width="7.140625" customWidth="1"/>
    <col min="7486" max="7486" width="8.7109375" customWidth="1"/>
    <col min="7487" max="7489" width="9.140625" customWidth="1"/>
    <col min="7490" max="7490" width="8.85546875" customWidth="1"/>
    <col min="7491" max="7491" width="9" customWidth="1"/>
    <col min="7492" max="7492" width="7.85546875" customWidth="1"/>
    <col min="7493" max="7493" width="9.85546875" customWidth="1"/>
    <col min="7494" max="7494" width="9" customWidth="1"/>
    <col min="7495" max="7508" width="7.85546875" customWidth="1"/>
    <col min="7681" max="7681" width="3" customWidth="1"/>
    <col min="7682" max="7682" width="17.28515625" customWidth="1"/>
    <col min="7683" max="7683" width="7.5703125" customWidth="1"/>
    <col min="7684" max="7684" width="9.85546875" customWidth="1"/>
    <col min="7685" max="7685" width="10.42578125" customWidth="1"/>
    <col min="7686" max="7686" width="6.7109375" customWidth="1"/>
    <col min="7687" max="7688" width="10.28515625" customWidth="1"/>
    <col min="7689" max="7689" width="5.7109375" customWidth="1"/>
    <col min="7690" max="7690" width="6.140625" customWidth="1"/>
    <col min="7691" max="7693" width="9.28515625" customWidth="1"/>
    <col min="7694" max="7694" width="9.42578125" customWidth="1"/>
    <col min="7695" max="7695" width="6.42578125" customWidth="1"/>
    <col min="7696" max="7696" width="7.5703125" customWidth="1"/>
    <col min="7697" max="7697" width="6.85546875" customWidth="1"/>
    <col min="7698" max="7698" width="9.28515625" customWidth="1"/>
    <col min="7699" max="7699" width="9" customWidth="1"/>
    <col min="7700" max="7700" width="5.7109375" customWidth="1"/>
    <col min="7701" max="7701" width="8.28515625" customWidth="1"/>
    <col min="7702" max="7704" width="7.7109375" customWidth="1"/>
    <col min="7705" max="7705" width="7.5703125" customWidth="1"/>
    <col min="7706" max="7706" width="6.85546875" customWidth="1"/>
    <col min="7707" max="7707" width="7.5703125" customWidth="1"/>
    <col min="7708" max="7708" width="6.85546875" customWidth="1"/>
    <col min="7709" max="7710" width="7.5703125" customWidth="1"/>
    <col min="7711" max="7711" width="9.7109375" customWidth="1"/>
    <col min="7712" max="7713" width="0" hidden="1" customWidth="1"/>
    <col min="7714" max="7714" width="7.28515625" customWidth="1"/>
    <col min="7715" max="7715" width="8.42578125" customWidth="1"/>
    <col min="7716" max="7716" width="8.7109375" customWidth="1"/>
    <col min="7717" max="7717" width="5.85546875" customWidth="1"/>
    <col min="7718" max="7720" width="7.28515625" customWidth="1"/>
    <col min="7721" max="7721" width="10.28515625" customWidth="1"/>
    <col min="7722" max="7722" width="9" customWidth="1"/>
    <col min="7723" max="7724" width="7.28515625" customWidth="1"/>
    <col min="7725" max="7725" width="8" customWidth="1"/>
    <col min="7726" max="7726" width="8.42578125" customWidth="1"/>
    <col min="7727" max="7727" width="10.140625" customWidth="1"/>
    <col min="7728" max="7729" width="9.5703125" customWidth="1"/>
    <col min="7730" max="7730" width="7.42578125" customWidth="1"/>
    <col min="7731" max="7732" width="9.42578125" customWidth="1"/>
    <col min="7733" max="7733" width="9.28515625" customWidth="1"/>
    <col min="7734" max="7734" width="9.140625" customWidth="1"/>
    <col min="7735" max="7735" width="7.85546875" customWidth="1"/>
    <col min="7736" max="7736" width="8.5703125" customWidth="1"/>
    <col min="7737" max="7737" width="9.5703125" customWidth="1"/>
    <col min="7738" max="7739" width="7.7109375" customWidth="1"/>
    <col min="7740" max="7740" width="11" customWidth="1"/>
    <col min="7741" max="7741" width="7.140625" customWidth="1"/>
    <col min="7742" max="7742" width="8.7109375" customWidth="1"/>
    <col min="7743" max="7745" width="9.140625" customWidth="1"/>
    <col min="7746" max="7746" width="8.85546875" customWidth="1"/>
    <col min="7747" max="7747" width="9" customWidth="1"/>
    <col min="7748" max="7748" width="7.85546875" customWidth="1"/>
    <col min="7749" max="7749" width="9.85546875" customWidth="1"/>
    <col min="7750" max="7750" width="9" customWidth="1"/>
    <col min="7751" max="7764" width="7.85546875" customWidth="1"/>
    <col min="7937" max="7937" width="3" customWidth="1"/>
    <col min="7938" max="7938" width="17.28515625" customWidth="1"/>
    <col min="7939" max="7939" width="7.5703125" customWidth="1"/>
    <col min="7940" max="7940" width="9.85546875" customWidth="1"/>
    <col min="7941" max="7941" width="10.42578125" customWidth="1"/>
    <col min="7942" max="7942" width="6.7109375" customWidth="1"/>
    <col min="7943" max="7944" width="10.28515625" customWidth="1"/>
    <col min="7945" max="7945" width="5.7109375" customWidth="1"/>
    <col min="7946" max="7946" width="6.140625" customWidth="1"/>
    <col min="7947" max="7949" width="9.28515625" customWidth="1"/>
    <col min="7950" max="7950" width="9.42578125" customWidth="1"/>
    <col min="7951" max="7951" width="6.42578125" customWidth="1"/>
    <col min="7952" max="7952" width="7.5703125" customWidth="1"/>
    <col min="7953" max="7953" width="6.85546875" customWidth="1"/>
    <col min="7954" max="7954" width="9.28515625" customWidth="1"/>
    <col min="7955" max="7955" width="9" customWidth="1"/>
    <col min="7956" max="7956" width="5.7109375" customWidth="1"/>
    <col min="7957" max="7957" width="8.28515625" customWidth="1"/>
    <col min="7958" max="7960" width="7.7109375" customWidth="1"/>
    <col min="7961" max="7961" width="7.5703125" customWidth="1"/>
    <col min="7962" max="7962" width="6.85546875" customWidth="1"/>
    <col min="7963" max="7963" width="7.5703125" customWidth="1"/>
    <col min="7964" max="7964" width="6.85546875" customWidth="1"/>
    <col min="7965" max="7966" width="7.5703125" customWidth="1"/>
    <col min="7967" max="7967" width="9.7109375" customWidth="1"/>
    <col min="7968" max="7969" width="0" hidden="1" customWidth="1"/>
    <col min="7970" max="7970" width="7.28515625" customWidth="1"/>
    <col min="7971" max="7971" width="8.42578125" customWidth="1"/>
    <col min="7972" max="7972" width="8.7109375" customWidth="1"/>
    <col min="7973" max="7973" width="5.85546875" customWidth="1"/>
    <col min="7974" max="7976" width="7.28515625" customWidth="1"/>
    <col min="7977" max="7977" width="10.28515625" customWidth="1"/>
    <col min="7978" max="7978" width="9" customWidth="1"/>
    <col min="7979" max="7980" width="7.28515625" customWidth="1"/>
    <col min="7981" max="7981" width="8" customWidth="1"/>
    <col min="7982" max="7982" width="8.42578125" customWidth="1"/>
    <col min="7983" max="7983" width="10.140625" customWidth="1"/>
    <col min="7984" max="7985" width="9.5703125" customWidth="1"/>
    <col min="7986" max="7986" width="7.42578125" customWidth="1"/>
    <col min="7987" max="7988" width="9.42578125" customWidth="1"/>
    <col min="7989" max="7989" width="9.28515625" customWidth="1"/>
    <col min="7990" max="7990" width="9.140625" customWidth="1"/>
    <col min="7991" max="7991" width="7.85546875" customWidth="1"/>
    <col min="7992" max="7992" width="8.5703125" customWidth="1"/>
    <col min="7993" max="7993" width="9.5703125" customWidth="1"/>
    <col min="7994" max="7995" width="7.7109375" customWidth="1"/>
    <col min="7996" max="7996" width="11" customWidth="1"/>
    <col min="7997" max="7997" width="7.140625" customWidth="1"/>
    <col min="7998" max="7998" width="8.7109375" customWidth="1"/>
    <col min="7999" max="8001" width="9.140625" customWidth="1"/>
    <col min="8002" max="8002" width="8.85546875" customWidth="1"/>
    <col min="8003" max="8003" width="9" customWidth="1"/>
    <col min="8004" max="8004" width="7.85546875" customWidth="1"/>
    <col min="8005" max="8005" width="9.85546875" customWidth="1"/>
    <col min="8006" max="8006" width="9" customWidth="1"/>
    <col min="8007" max="8020" width="7.85546875" customWidth="1"/>
    <col min="8193" max="8193" width="3" customWidth="1"/>
    <col min="8194" max="8194" width="17.28515625" customWidth="1"/>
    <col min="8195" max="8195" width="7.5703125" customWidth="1"/>
    <col min="8196" max="8196" width="9.85546875" customWidth="1"/>
    <col min="8197" max="8197" width="10.42578125" customWidth="1"/>
    <col min="8198" max="8198" width="6.7109375" customWidth="1"/>
    <col min="8199" max="8200" width="10.28515625" customWidth="1"/>
    <col min="8201" max="8201" width="5.7109375" customWidth="1"/>
    <col min="8202" max="8202" width="6.140625" customWidth="1"/>
    <col min="8203" max="8205" width="9.28515625" customWidth="1"/>
    <col min="8206" max="8206" width="9.42578125" customWidth="1"/>
    <col min="8207" max="8207" width="6.42578125" customWidth="1"/>
    <col min="8208" max="8208" width="7.5703125" customWidth="1"/>
    <col min="8209" max="8209" width="6.85546875" customWidth="1"/>
    <col min="8210" max="8210" width="9.28515625" customWidth="1"/>
    <col min="8211" max="8211" width="9" customWidth="1"/>
    <col min="8212" max="8212" width="5.7109375" customWidth="1"/>
    <col min="8213" max="8213" width="8.28515625" customWidth="1"/>
    <col min="8214" max="8216" width="7.7109375" customWidth="1"/>
    <col min="8217" max="8217" width="7.5703125" customWidth="1"/>
    <col min="8218" max="8218" width="6.85546875" customWidth="1"/>
    <col min="8219" max="8219" width="7.5703125" customWidth="1"/>
    <col min="8220" max="8220" width="6.85546875" customWidth="1"/>
    <col min="8221" max="8222" width="7.5703125" customWidth="1"/>
    <col min="8223" max="8223" width="9.7109375" customWidth="1"/>
    <col min="8224" max="8225" width="0" hidden="1" customWidth="1"/>
    <col min="8226" max="8226" width="7.28515625" customWidth="1"/>
    <col min="8227" max="8227" width="8.42578125" customWidth="1"/>
    <col min="8228" max="8228" width="8.7109375" customWidth="1"/>
    <col min="8229" max="8229" width="5.85546875" customWidth="1"/>
    <col min="8230" max="8232" width="7.28515625" customWidth="1"/>
    <col min="8233" max="8233" width="10.28515625" customWidth="1"/>
    <col min="8234" max="8234" width="9" customWidth="1"/>
    <col min="8235" max="8236" width="7.28515625" customWidth="1"/>
    <col min="8237" max="8237" width="8" customWidth="1"/>
    <col min="8238" max="8238" width="8.42578125" customWidth="1"/>
    <col min="8239" max="8239" width="10.140625" customWidth="1"/>
    <col min="8240" max="8241" width="9.5703125" customWidth="1"/>
    <col min="8242" max="8242" width="7.42578125" customWidth="1"/>
    <col min="8243" max="8244" width="9.42578125" customWidth="1"/>
    <col min="8245" max="8245" width="9.28515625" customWidth="1"/>
    <col min="8246" max="8246" width="9.140625" customWidth="1"/>
    <col min="8247" max="8247" width="7.85546875" customWidth="1"/>
    <col min="8248" max="8248" width="8.5703125" customWidth="1"/>
    <col min="8249" max="8249" width="9.5703125" customWidth="1"/>
    <col min="8250" max="8251" width="7.7109375" customWidth="1"/>
    <col min="8252" max="8252" width="11" customWidth="1"/>
    <col min="8253" max="8253" width="7.140625" customWidth="1"/>
    <col min="8254" max="8254" width="8.7109375" customWidth="1"/>
    <col min="8255" max="8257" width="9.140625" customWidth="1"/>
    <col min="8258" max="8258" width="8.85546875" customWidth="1"/>
    <col min="8259" max="8259" width="9" customWidth="1"/>
    <col min="8260" max="8260" width="7.85546875" customWidth="1"/>
    <col min="8261" max="8261" width="9.85546875" customWidth="1"/>
    <col min="8262" max="8262" width="9" customWidth="1"/>
    <col min="8263" max="8276" width="7.85546875" customWidth="1"/>
    <col min="8449" max="8449" width="3" customWidth="1"/>
    <col min="8450" max="8450" width="17.28515625" customWidth="1"/>
    <col min="8451" max="8451" width="7.5703125" customWidth="1"/>
    <col min="8452" max="8452" width="9.85546875" customWidth="1"/>
    <col min="8453" max="8453" width="10.42578125" customWidth="1"/>
    <col min="8454" max="8454" width="6.7109375" customWidth="1"/>
    <col min="8455" max="8456" width="10.28515625" customWidth="1"/>
    <col min="8457" max="8457" width="5.7109375" customWidth="1"/>
    <col min="8458" max="8458" width="6.140625" customWidth="1"/>
    <col min="8459" max="8461" width="9.28515625" customWidth="1"/>
    <col min="8462" max="8462" width="9.42578125" customWidth="1"/>
    <col min="8463" max="8463" width="6.42578125" customWidth="1"/>
    <col min="8464" max="8464" width="7.5703125" customWidth="1"/>
    <col min="8465" max="8465" width="6.85546875" customWidth="1"/>
    <col min="8466" max="8466" width="9.28515625" customWidth="1"/>
    <col min="8467" max="8467" width="9" customWidth="1"/>
    <col min="8468" max="8468" width="5.7109375" customWidth="1"/>
    <col min="8469" max="8469" width="8.28515625" customWidth="1"/>
    <col min="8470" max="8472" width="7.7109375" customWidth="1"/>
    <col min="8473" max="8473" width="7.5703125" customWidth="1"/>
    <col min="8474" max="8474" width="6.85546875" customWidth="1"/>
    <col min="8475" max="8475" width="7.5703125" customWidth="1"/>
    <col min="8476" max="8476" width="6.85546875" customWidth="1"/>
    <col min="8477" max="8478" width="7.5703125" customWidth="1"/>
    <col min="8479" max="8479" width="9.7109375" customWidth="1"/>
    <col min="8480" max="8481" width="0" hidden="1" customWidth="1"/>
    <col min="8482" max="8482" width="7.28515625" customWidth="1"/>
    <col min="8483" max="8483" width="8.42578125" customWidth="1"/>
    <col min="8484" max="8484" width="8.7109375" customWidth="1"/>
    <col min="8485" max="8485" width="5.85546875" customWidth="1"/>
    <col min="8486" max="8488" width="7.28515625" customWidth="1"/>
    <col min="8489" max="8489" width="10.28515625" customWidth="1"/>
    <col min="8490" max="8490" width="9" customWidth="1"/>
    <col min="8491" max="8492" width="7.28515625" customWidth="1"/>
    <col min="8493" max="8493" width="8" customWidth="1"/>
    <col min="8494" max="8494" width="8.42578125" customWidth="1"/>
    <col min="8495" max="8495" width="10.140625" customWidth="1"/>
    <col min="8496" max="8497" width="9.5703125" customWidth="1"/>
    <col min="8498" max="8498" width="7.42578125" customWidth="1"/>
    <col min="8499" max="8500" width="9.42578125" customWidth="1"/>
    <col min="8501" max="8501" width="9.28515625" customWidth="1"/>
    <col min="8502" max="8502" width="9.140625" customWidth="1"/>
    <col min="8503" max="8503" width="7.85546875" customWidth="1"/>
    <col min="8504" max="8504" width="8.5703125" customWidth="1"/>
    <col min="8505" max="8505" width="9.5703125" customWidth="1"/>
    <col min="8506" max="8507" width="7.7109375" customWidth="1"/>
    <col min="8508" max="8508" width="11" customWidth="1"/>
    <col min="8509" max="8509" width="7.140625" customWidth="1"/>
    <col min="8510" max="8510" width="8.7109375" customWidth="1"/>
    <col min="8511" max="8513" width="9.140625" customWidth="1"/>
    <col min="8514" max="8514" width="8.85546875" customWidth="1"/>
    <col min="8515" max="8515" width="9" customWidth="1"/>
    <col min="8516" max="8516" width="7.85546875" customWidth="1"/>
    <col min="8517" max="8517" width="9.85546875" customWidth="1"/>
    <col min="8518" max="8518" width="9" customWidth="1"/>
    <col min="8519" max="8532" width="7.85546875" customWidth="1"/>
    <col min="8705" max="8705" width="3" customWidth="1"/>
    <col min="8706" max="8706" width="17.28515625" customWidth="1"/>
    <col min="8707" max="8707" width="7.5703125" customWidth="1"/>
    <col min="8708" max="8708" width="9.85546875" customWidth="1"/>
    <col min="8709" max="8709" width="10.42578125" customWidth="1"/>
    <col min="8710" max="8710" width="6.7109375" customWidth="1"/>
    <col min="8711" max="8712" width="10.28515625" customWidth="1"/>
    <col min="8713" max="8713" width="5.7109375" customWidth="1"/>
    <col min="8714" max="8714" width="6.140625" customWidth="1"/>
    <col min="8715" max="8717" width="9.28515625" customWidth="1"/>
    <col min="8718" max="8718" width="9.42578125" customWidth="1"/>
    <col min="8719" max="8719" width="6.42578125" customWidth="1"/>
    <col min="8720" max="8720" width="7.5703125" customWidth="1"/>
    <col min="8721" max="8721" width="6.85546875" customWidth="1"/>
    <col min="8722" max="8722" width="9.28515625" customWidth="1"/>
    <col min="8723" max="8723" width="9" customWidth="1"/>
    <col min="8724" max="8724" width="5.7109375" customWidth="1"/>
    <col min="8725" max="8725" width="8.28515625" customWidth="1"/>
    <col min="8726" max="8728" width="7.7109375" customWidth="1"/>
    <col min="8729" max="8729" width="7.5703125" customWidth="1"/>
    <col min="8730" max="8730" width="6.85546875" customWidth="1"/>
    <col min="8731" max="8731" width="7.5703125" customWidth="1"/>
    <col min="8732" max="8732" width="6.85546875" customWidth="1"/>
    <col min="8733" max="8734" width="7.5703125" customWidth="1"/>
    <col min="8735" max="8735" width="9.7109375" customWidth="1"/>
    <col min="8736" max="8737" width="0" hidden="1" customWidth="1"/>
    <col min="8738" max="8738" width="7.28515625" customWidth="1"/>
    <col min="8739" max="8739" width="8.42578125" customWidth="1"/>
    <col min="8740" max="8740" width="8.7109375" customWidth="1"/>
    <col min="8741" max="8741" width="5.85546875" customWidth="1"/>
    <col min="8742" max="8744" width="7.28515625" customWidth="1"/>
    <col min="8745" max="8745" width="10.28515625" customWidth="1"/>
    <col min="8746" max="8746" width="9" customWidth="1"/>
    <col min="8747" max="8748" width="7.28515625" customWidth="1"/>
    <col min="8749" max="8749" width="8" customWidth="1"/>
    <col min="8750" max="8750" width="8.42578125" customWidth="1"/>
    <col min="8751" max="8751" width="10.140625" customWidth="1"/>
    <col min="8752" max="8753" width="9.5703125" customWidth="1"/>
    <col min="8754" max="8754" width="7.42578125" customWidth="1"/>
    <col min="8755" max="8756" width="9.42578125" customWidth="1"/>
    <col min="8757" max="8757" width="9.28515625" customWidth="1"/>
    <col min="8758" max="8758" width="9.140625" customWidth="1"/>
    <col min="8759" max="8759" width="7.85546875" customWidth="1"/>
    <col min="8760" max="8760" width="8.5703125" customWidth="1"/>
    <col min="8761" max="8761" width="9.5703125" customWidth="1"/>
    <col min="8762" max="8763" width="7.7109375" customWidth="1"/>
    <col min="8764" max="8764" width="11" customWidth="1"/>
    <col min="8765" max="8765" width="7.140625" customWidth="1"/>
    <col min="8766" max="8766" width="8.7109375" customWidth="1"/>
    <col min="8767" max="8769" width="9.140625" customWidth="1"/>
    <col min="8770" max="8770" width="8.85546875" customWidth="1"/>
    <col min="8771" max="8771" width="9" customWidth="1"/>
    <col min="8772" max="8772" width="7.85546875" customWidth="1"/>
    <col min="8773" max="8773" width="9.85546875" customWidth="1"/>
    <col min="8774" max="8774" width="9" customWidth="1"/>
    <col min="8775" max="8788" width="7.85546875" customWidth="1"/>
    <col min="8961" max="8961" width="3" customWidth="1"/>
    <col min="8962" max="8962" width="17.28515625" customWidth="1"/>
    <col min="8963" max="8963" width="7.5703125" customWidth="1"/>
    <col min="8964" max="8964" width="9.85546875" customWidth="1"/>
    <col min="8965" max="8965" width="10.42578125" customWidth="1"/>
    <col min="8966" max="8966" width="6.7109375" customWidth="1"/>
    <col min="8967" max="8968" width="10.28515625" customWidth="1"/>
    <col min="8969" max="8969" width="5.7109375" customWidth="1"/>
    <col min="8970" max="8970" width="6.140625" customWidth="1"/>
    <col min="8971" max="8973" width="9.28515625" customWidth="1"/>
    <col min="8974" max="8974" width="9.42578125" customWidth="1"/>
    <col min="8975" max="8975" width="6.42578125" customWidth="1"/>
    <col min="8976" max="8976" width="7.5703125" customWidth="1"/>
    <col min="8977" max="8977" width="6.85546875" customWidth="1"/>
    <col min="8978" max="8978" width="9.28515625" customWidth="1"/>
    <col min="8979" max="8979" width="9" customWidth="1"/>
    <col min="8980" max="8980" width="5.7109375" customWidth="1"/>
    <col min="8981" max="8981" width="8.28515625" customWidth="1"/>
    <col min="8982" max="8984" width="7.7109375" customWidth="1"/>
    <col min="8985" max="8985" width="7.5703125" customWidth="1"/>
    <col min="8986" max="8986" width="6.85546875" customWidth="1"/>
    <col min="8987" max="8987" width="7.5703125" customWidth="1"/>
    <col min="8988" max="8988" width="6.85546875" customWidth="1"/>
    <col min="8989" max="8990" width="7.5703125" customWidth="1"/>
    <col min="8991" max="8991" width="9.7109375" customWidth="1"/>
    <col min="8992" max="8993" width="0" hidden="1" customWidth="1"/>
    <col min="8994" max="8994" width="7.28515625" customWidth="1"/>
    <col min="8995" max="8995" width="8.42578125" customWidth="1"/>
    <col min="8996" max="8996" width="8.7109375" customWidth="1"/>
    <col min="8997" max="8997" width="5.85546875" customWidth="1"/>
    <col min="8998" max="9000" width="7.28515625" customWidth="1"/>
    <col min="9001" max="9001" width="10.28515625" customWidth="1"/>
    <col min="9002" max="9002" width="9" customWidth="1"/>
    <col min="9003" max="9004" width="7.28515625" customWidth="1"/>
    <col min="9005" max="9005" width="8" customWidth="1"/>
    <col min="9006" max="9006" width="8.42578125" customWidth="1"/>
    <col min="9007" max="9007" width="10.140625" customWidth="1"/>
    <col min="9008" max="9009" width="9.5703125" customWidth="1"/>
    <col min="9010" max="9010" width="7.42578125" customWidth="1"/>
    <col min="9011" max="9012" width="9.42578125" customWidth="1"/>
    <col min="9013" max="9013" width="9.28515625" customWidth="1"/>
    <col min="9014" max="9014" width="9.140625" customWidth="1"/>
    <col min="9015" max="9015" width="7.85546875" customWidth="1"/>
    <col min="9016" max="9016" width="8.5703125" customWidth="1"/>
    <col min="9017" max="9017" width="9.5703125" customWidth="1"/>
    <col min="9018" max="9019" width="7.7109375" customWidth="1"/>
    <col min="9020" max="9020" width="11" customWidth="1"/>
    <col min="9021" max="9021" width="7.140625" customWidth="1"/>
    <col min="9022" max="9022" width="8.7109375" customWidth="1"/>
    <col min="9023" max="9025" width="9.140625" customWidth="1"/>
    <col min="9026" max="9026" width="8.85546875" customWidth="1"/>
    <col min="9027" max="9027" width="9" customWidth="1"/>
    <col min="9028" max="9028" width="7.85546875" customWidth="1"/>
    <col min="9029" max="9029" width="9.85546875" customWidth="1"/>
    <col min="9030" max="9030" width="9" customWidth="1"/>
    <col min="9031" max="9044" width="7.85546875" customWidth="1"/>
    <col min="9217" max="9217" width="3" customWidth="1"/>
    <col min="9218" max="9218" width="17.28515625" customWidth="1"/>
    <col min="9219" max="9219" width="7.5703125" customWidth="1"/>
    <col min="9220" max="9220" width="9.85546875" customWidth="1"/>
    <col min="9221" max="9221" width="10.42578125" customWidth="1"/>
    <col min="9222" max="9222" width="6.7109375" customWidth="1"/>
    <col min="9223" max="9224" width="10.28515625" customWidth="1"/>
    <col min="9225" max="9225" width="5.7109375" customWidth="1"/>
    <col min="9226" max="9226" width="6.140625" customWidth="1"/>
    <col min="9227" max="9229" width="9.28515625" customWidth="1"/>
    <col min="9230" max="9230" width="9.42578125" customWidth="1"/>
    <col min="9231" max="9231" width="6.42578125" customWidth="1"/>
    <col min="9232" max="9232" width="7.5703125" customWidth="1"/>
    <col min="9233" max="9233" width="6.85546875" customWidth="1"/>
    <col min="9234" max="9234" width="9.28515625" customWidth="1"/>
    <col min="9235" max="9235" width="9" customWidth="1"/>
    <col min="9236" max="9236" width="5.7109375" customWidth="1"/>
    <col min="9237" max="9237" width="8.28515625" customWidth="1"/>
    <col min="9238" max="9240" width="7.7109375" customWidth="1"/>
    <col min="9241" max="9241" width="7.5703125" customWidth="1"/>
    <col min="9242" max="9242" width="6.85546875" customWidth="1"/>
    <col min="9243" max="9243" width="7.5703125" customWidth="1"/>
    <col min="9244" max="9244" width="6.85546875" customWidth="1"/>
    <col min="9245" max="9246" width="7.5703125" customWidth="1"/>
    <col min="9247" max="9247" width="9.7109375" customWidth="1"/>
    <col min="9248" max="9249" width="0" hidden="1" customWidth="1"/>
    <col min="9250" max="9250" width="7.28515625" customWidth="1"/>
    <col min="9251" max="9251" width="8.42578125" customWidth="1"/>
    <col min="9252" max="9252" width="8.7109375" customWidth="1"/>
    <col min="9253" max="9253" width="5.85546875" customWidth="1"/>
    <col min="9254" max="9256" width="7.28515625" customWidth="1"/>
    <col min="9257" max="9257" width="10.28515625" customWidth="1"/>
    <col min="9258" max="9258" width="9" customWidth="1"/>
    <col min="9259" max="9260" width="7.28515625" customWidth="1"/>
    <col min="9261" max="9261" width="8" customWidth="1"/>
    <col min="9262" max="9262" width="8.42578125" customWidth="1"/>
    <col min="9263" max="9263" width="10.140625" customWidth="1"/>
    <col min="9264" max="9265" width="9.5703125" customWidth="1"/>
    <col min="9266" max="9266" width="7.42578125" customWidth="1"/>
    <col min="9267" max="9268" width="9.42578125" customWidth="1"/>
    <col min="9269" max="9269" width="9.28515625" customWidth="1"/>
    <col min="9270" max="9270" width="9.140625" customWidth="1"/>
    <col min="9271" max="9271" width="7.85546875" customWidth="1"/>
    <col min="9272" max="9272" width="8.5703125" customWidth="1"/>
    <col min="9273" max="9273" width="9.5703125" customWidth="1"/>
    <col min="9274" max="9275" width="7.7109375" customWidth="1"/>
    <col min="9276" max="9276" width="11" customWidth="1"/>
    <col min="9277" max="9277" width="7.140625" customWidth="1"/>
    <col min="9278" max="9278" width="8.7109375" customWidth="1"/>
    <col min="9279" max="9281" width="9.140625" customWidth="1"/>
    <col min="9282" max="9282" width="8.85546875" customWidth="1"/>
    <col min="9283" max="9283" width="9" customWidth="1"/>
    <col min="9284" max="9284" width="7.85546875" customWidth="1"/>
    <col min="9285" max="9285" width="9.85546875" customWidth="1"/>
    <col min="9286" max="9286" width="9" customWidth="1"/>
    <col min="9287" max="9300" width="7.85546875" customWidth="1"/>
    <col min="9473" max="9473" width="3" customWidth="1"/>
    <col min="9474" max="9474" width="17.28515625" customWidth="1"/>
    <col min="9475" max="9475" width="7.5703125" customWidth="1"/>
    <col min="9476" max="9476" width="9.85546875" customWidth="1"/>
    <col min="9477" max="9477" width="10.42578125" customWidth="1"/>
    <col min="9478" max="9478" width="6.7109375" customWidth="1"/>
    <col min="9479" max="9480" width="10.28515625" customWidth="1"/>
    <col min="9481" max="9481" width="5.7109375" customWidth="1"/>
    <col min="9482" max="9482" width="6.140625" customWidth="1"/>
    <col min="9483" max="9485" width="9.28515625" customWidth="1"/>
    <col min="9486" max="9486" width="9.42578125" customWidth="1"/>
    <col min="9487" max="9487" width="6.42578125" customWidth="1"/>
    <col min="9488" max="9488" width="7.5703125" customWidth="1"/>
    <col min="9489" max="9489" width="6.85546875" customWidth="1"/>
    <col min="9490" max="9490" width="9.28515625" customWidth="1"/>
    <col min="9491" max="9491" width="9" customWidth="1"/>
    <col min="9492" max="9492" width="5.7109375" customWidth="1"/>
    <col min="9493" max="9493" width="8.28515625" customWidth="1"/>
    <col min="9494" max="9496" width="7.7109375" customWidth="1"/>
    <col min="9497" max="9497" width="7.5703125" customWidth="1"/>
    <col min="9498" max="9498" width="6.85546875" customWidth="1"/>
    <col min="9499" max="9499" width="7.5703125" customWidth="1"/>
    <col min="9500" max="9500" width="6.85546875" customWidth="1"/>
    <col min="9501" max="9502" width="7.5703125" customWidth="1"/>
    <col min="9503" max="9503" width="9.7109375" customWidth="1"/>
    <col min="9504" max="9505" width="0" hidden="1" customWidth="1"/>
    <col min="9506" max="9506" width="7.28515625" customWidth="1"/>
    <col min="9507" max="9507" width="8.42578125" customWidth="1"/>
    <col min="9508" max="9508" width="8.7109375" customWidth="1"/>
    <col min="9509" max="9509" width="5.85546875" customWidth="1"/>
    <col min="9510" max="9512" width="7.28515625" customWidth="1"/>
    <col min="9513" max="9513" width="10.28515625" customWidth="1"/>
    <col min="9514" max="9514" width="9" customWidth="1"/>
    <col min="9515" max="9516" width="7.28515625" customWidth="1"/>
    <col min="9517" max="9517" width="8" customWidth="1"/>
    <col min="9518" max="9518" width="8.42578125" customWidth="1"/>
    <col min="9519" max="9519" width="10.140625" customWidth="1"/>
    <col min="9520" max="9521" width="9.5703125" customWidth="1"/>
    <col min="9522" max="9522" width="7.42578125" customWidth="1"/>
    <col min="9523" max="9524" width="9.42578125" customWidth="1"/>
    <col min="9525" max="9525" width="9.28515625" customWidth="1"/>
    <col min="9526" max="9526" width="9.140625" customWidth="1"/>
    <col min="9527" max="9527" width="7.85546875" customWidth="1"/>
    <col min="9528" max="9528" width="8.5703125" customWidth="1"/>
    <col min="9529" max="9529" width="9.5703125" customWidth="1"/>
    <col min="9530" max="9531" width="7.7109375" customWidth="1"/>
    <col min="9532" max="9532" width="11" customWidth="1"/>
    <col min="9533" max="9533" width="7.140625" customWidth="1"/>
    <col min="9534" max="9534" width="8.7109375" customWidth="1"/>
    <col min="9535" max="9537" width="9.140625" customWidth="1"/>
    <col min="9538" max="9538" width="8.85546875" customWidth="1"/>
    <col min="9539" max="9539" width="9" customWidth="1"/>
    <col min="9540" max="9540" width="7.85546875" customWidth="1"/>
    <col min="9541" max="9541" width="9.85546875" customWidth="1"/>
    <col min="9542" max="9542" width="9" customWidth="1"/>
    <col min="9543" max="9556" width="7.85546875" customWidth="1"/>
    <col min="9729" max="9729" width="3" customWidth="1"/>
    <col min="9730" max="9730" width="17.28515625" customWidth="1"/>
    <col min="9731" max="9731" width="7.5703125" customWidth="1"/>
    <col min="9732" max="9732" width="9.85546875" customWidth="1"/>
    <col min="9733" max="9733" width="10.42578125" customWidth="1"/>
    <col min="9734" max="9734" width="6.7109375" customWidth="1"/>
    <col min="9735" max="9736" width="10.28515625" customWidth="1"/>
    <col min="9737" max="9737" width="5.7109375" customWidth="1"/>
    <col min="9738" max="9738" width="6.140625" customWidth="1"/>
    <col min="9739" max="9741" width="9.28515625" customWidth="1"/>
    <col min="9742" max="9742" width="9.42578125" customWidth="1"/>
    <col min="9743" max="9743" width="6.42578125" customWidth="1"/>
    <col min="9744" max="9744" width="7.5703125" customWidth="1"/>
    <col min="9745" max="9745" width="6.85546875" customWidth="1"/>
    <col min="9746" max="9746" width="9.28515625" customWidth="1"/>
    <col min="9747" max="9747" width="9" customWidth="1"/>
    <col min="9748" max="9748" width="5.7109375" customWidth="1"/>
    <col min="9749" max="9749" width="8.28515625" customWidth="1"/>
    <col min="9750" max="9752" width="7.7109375" customWidth="1"/>
    <col min="9753" max="9753" width="7.5703125" customWidth="1"/>
    <col min="9754" max="9754" width="6.85546875" customWidth="1"/>
    <col min="9755" max="9755" width="7.5703125" customWidth="1"/>
    <col min="9756" max="9756" width="6.85546875" customWidth="1"/>
    <col min="9757" max="9758" width="7.5703125" customWidth="1"/>
    <col min="9759" max="9759" width="9.7109375" customWidth="1"/>
    <col min="9760" max="9761" width="0" hidden="1" customWidth="1"/>
    <col min="9762" max="9762" width="7.28515625" customWidth="1"/>
    <col min="9763" max="9763" width="8.42578125" customWidth="1"/>
    <col min="9764" max="9764" width="8.7109375" customWidth="1"/>
    <col min="9765" max="9765" width="5.85546875" customWidth="1"/>
    <col min="9766" max="9768" width="7.28515625" customWidth="1"/>
    <col min="9769" max="9769" width="10.28515625" customWidth="1"/>
    <col min="9770" max="9770" width="9" customWidth="1"/>
    <col min="9771" max="9772" width="7.28515625" customWidth="1"/>
    <col min="9773" max="9773" width="8" customWidth="1"/>
    <col min="9774" max="9774" width="8.42578125" customWidth="1"/>
    <col min="9775" max="9775" width="10.140625" customWidth="1"/>
    <col min="9776" max="9777" width="9.5703125" customWidth="1"/>
    <col min="9778" max="9778" width="7.42578125" customWidth="1"/>
    <col min="9779" max="9780" width="9.42578125" customWidth="1"/>
    <col min="9781" max="9781" width="9.28515625" customWidth="1"/>
    <col min="9782" max="9782" width="9.140625" customWidth="1"/>
    <col min="9783" max="9783" width="7.85546875" customWidth="1"/>
    <col min="9784" max="9784" width="8.5703125" customWidth="1"/>
    <col min="9785" max="9785" width="9.5703125" customWidth="1"/>
    <col min="9786" max="9787" width="7.7109375" customWidth="1"/>
    <col min="9788" max="9788" width="11" customWidth="1"/>
    <col min="9789" max="9789" width="7.140625" customWidth="1"/>
    <col min="9790" max="9790" width="8.7109375" customWidth="1"/>
    <col min="9791" max="9793" width="9.140625" customWidth="1"/>
    <col min="9794" max="9794" width="8.85546875" customWidth="1"/>
    <col min="9795" max="9795" width="9" customWidth="1"/>
    <col min="9796" max="9796" width="7.85546875" customWidth="1"/>
    <col min="9797" max="9797" width="9.85546875" customWidth="1"/>
    <col min="9798" max="9798" width="9" customWidth="1"/>
    <col min="9799" max="9812" width="7.85546875" customWidth="1"/>
    <col min="9985" max="9985" width="3" customWidth="1"/>
    <col min="9986" max="9986" width="17.28515625" customWidth="1"/>
    <col min="9987" max="9987" width="7.5703125" customWidth="1"/>
    <col min="9988" max="9988" width="9.85546875" customWidth="1"/>
    <col min="9989" max="9989" width="10.42578125" customWidth="1"/>
    <col min="9990" max="9990" width="6.7109375" customWidth="1"/>
    <col min="9991" max="9992" width="10.28515625" customWidth="1"/>
    <col min="9993" max="9993" width="5.7109375" customWidth="1"/>
    <col min="9994" max="9994" width="6.140625" customWidth="1"/>
    <col min="9995" max="9997" width="9.28515625" customWidth="1"/>
    <col min="9998" max="9998" width="9.42578125" customWidth="1"/>
    <col min="9999" max="9999" width="6.42578125" customWidth="1"/>
    <col min="10000" max="10000" width="7.5703125" customWidth="1"/>
    <col min="10001" max="10001" width="6.85546875" customWidth="1"/>
    <col min="10002" max="10002" width="9.28515625" customWidth="1"/>
    <col min="10003" max="10003" width="9" customWidth="1"/>
    <col min="10004" max="10004" width="5.7109375" customWidth="1"/>
    <col min="10005" max="10005" width="8.28515625" customWidth="1"/>
    <col min="10006" max="10008" width="7.7109375" customWidth="1"/>
    <col min="10009" max="10009" width="7.5703125" customWidth="1"/>
    <col min="10010" max="10010" width="6.85546875" customWidth="1"/>
    <col min="10011" max="10011" width="7.5703125" customWidth="1"/>
    <col min="10012" max="10012" width="6.85546875" customWidth="1"/>
    <col min="10013" max="10014" width="7.5703125" customWidth="1"/>
    <col min="10015" max="10015" width="9.7109375" customWidth="1"/>
    <col min="10016" max="10017" width="0" hidden="1" customWidth="1"/>
    <col min="10018" max="10018" width="7.28515625" customWidth="1"/>
    <col min="10019" max="10019" width="8.42578125" customWidth="1"/>
    <col min="10020" max="10020" width="8.7109375" customWidth="1"/>
    <col min="10021" max="10021" width="5.85546875" customWidth="1"/>
    <col min="10022" max="10024" width="7.28515625" customWidth="1"/>
    <col min="10025" max="10025" width="10.28515625" customWidth="1"/>
    <col min="10026" max="10026" width="9" customWidth="1"/>
    <col min="10027" max="10028" width="7.28515625" customWidth="1"/>
    <col min="10029" max="10029" width="8" customWidth="1"/>
    <col min="10030" max="10030" width="8.42578125" customWidth="1"/>
    <col min="10031" max="10031" width="10.140625" customWidth="1"/>
    <col min="10032" max="10033" width="9.5703125" customWidth="1"/>
    <col min="10034" max="10034" width="7.42578125" customWidth="1"/>
    <col min="10035" max="10036" width="9.42578125" customWidth="1"/>
    <col min="10037" max="10037" width="9.28515625" customWidth="1"/>
    <col min="10038" max="10038" width="9.140625" customWidth="1"/>
    <col min="10039" max="10039" width="7.85546875" customWidth="1"/>
    <col min="10040" max="10040" width="8.5703125" customWidth="1"/>
    <col min="10041" max="10041" width="9.5703125" customWidth="1"/>
    <col min="10042" max="10043" width="7.7109375" customWidth="1"/>
    <col min="10044" max="10044" width="11" customWidth="1"/>
    <col min="10045" max="10045" width="7.140625" customWidth="1"/>
    <col min="10046" max="10046" width="8.7109375" customWidth="1"/>
    <col min="10047" max="10049" width="9.140625" customWidth="1"/>
    <col min="10050" max="10050" width="8.85546875" customWidth="1"/>
    <col min="10051" max="10051" width="9" customWidth="1"/>
    <col min="10052" max="10052" width="7.85546875" customWidth="1"/>
    <col min="10053" max="10053" width="9.85546875" customWidth="1"/>
    <col min="10054" max="10054" width="9" customWidth="1"/>
    <col min="10055" max="10068" width="7.85546875" customWidth="1"/>
    <col min="10241" max="10241" width="3" customWidth="1"/>
    <col min="10242" max="10242" width="17.28515625" customWidth="1"/>
    <col min="10243" max="10243" width="7.5703125" customWidth="1"/>
    <col min="10244" max="10244" width="9.85546875" customWidth="1"/>
    <col min="10245" max="10245" width="10.42578125" customWidth="1"/>
    <col min="10246" max="10246" width="6.7109375" customWidth="1"/>
    <col min="10247" max="10248" width="10.28515625" customWidth="1"/>
    <col min="10249" max="10249" width="5.7109375" customWidth="1"/>
    <col min="10250" max="10250" width="6.140625" customWidth="1"/>
    <col min="10251" max="10253" width="9.28515625" customWidth="1"/>
    <col min="10254" max="10254" width="9.42578125" customWidth="1"/>
    <col min="10255" max="10255" width="6.42578125" customWidth="1"/>
    <col min="10256" max="10256" width="7.5703125" customWidth="1"/>
    <col min="10257" max="10257" width="6.85546875" customWidth="1"/>
    <col min="10258" max="10258" width="9.28515625" customWidth="1"/>
    <col min="10259" max="10259" width="9" customWidth="1"/>
    <col min="10260" max="10260" width="5.7109375" customWidth="1"/>
    <col min="10261" max="10261" width="8.28515625" customWidth="1"/>
    <col min="10262" max="10264" width="7.7109375" customWidth="1"/>
    <col min="10265" max="10265" width="7.5703125" customWidth="1"/>
    <col min="10266" max="10266" width="6.85546875" customWidth="1"/>
    <col min="10267" max="10267" width="7.5703125" customWidth="1"/>
    <col min="10268" max="10268" width="6.85546875" customWidth="1"/>
    <col min="10269" max="10270" width="7.5703125" customWidth="1"/>
    <col min="10271" max="10271" width="9.7109375" customWidth="1"/>
    <col min="10272" max="10273" width="0" hidden="1" customWidth="1"/>
    <col min="10274" max="10274" width="7.28515625" customWidth="1"/>
    <col min="10275" max="10275" width="8.42578125" customWidth="1"/>
    <col min="10276" max="10276" width="8.7109375" customWidth="1"/>
    <col min="10277" max="10277" width="5.85546875" customWidth="1"/>
    <col min="10278" max="10280" width="7.28515625" customWidth="1"/>
    <col min="10281" max="10281" width="10.28515625" customWidth="1"/>
    <col min="10282" max="10282" width="9" customWidth="1"/>
    <col min="10283" max="10284" width="7.28515625" customWidth="1"/>
    <col min="10285" max="10285" width="8" customWidth="1"/>
    <col min="10286" max="10286" width="8.42578125" customWidth="1"/>
    <col min="10287" max="10287" width="10.140625" customWidth="1"/>
    <col min="10288" max="10289" width="9.5703125" customWidth="1"/>
    <col min="10290" max="10290" width="7.42578125" customWidth="1"/>
    <col min="10291" max="10292" width="9.42578125" customWidth="1"/>
    <col min="10293" max="10293" width="9.28515625" customWidth="1"/>
    <col min="10294" max="10294" width="9.140625" customWidth="1"/>
    <col min="10295" max="10295" width="7.85546875" customWidth="1"/>
    <col min="10296" max="10296" width="8.5703125" customWidth="1"/>
    <col min="10297" max="10297" width="9.5703125" customWidth="1"/>
    <col min="10298" max="10299" width="7.7109375" customWidth="1"/>
    <col min="10300" max="10300" width="11" customWidth="1"/>
    <col min="10301" max="10301" width="7.140625" customWidth="1"/>
    <col min="10302" max="10302" width="8.7109375" customWidth="1"/>
    <col min="10303" max="10305" width="9.140625" customWidth="1"/>
    <col min="10306" max="10306" width="8.85546875" customWidth="1"/>
    <col min="10307" max="10307" width="9" customWidth="1"/>
    <col min="10308" max="10308" width="7.85546875" customWidth="1"/>
    <col min="10309" max="10309" width="9.85546875" customWidth="1"/>
    <col min="10310" max="10310" width="9" customWidth="1"/>
    <col min="10311" max="10324" width="7.85546875" customWidth="1"/>
    <col min="10497" max="10497" width="3" customWidth="1"/>
    <col min="10498" max="10498" width="17.28515625" customWidth="1"/>
    <col min="10499" max="10499" width="7.5703125" customWidth="1"/>
    <col min="10500" max="10500" width="9.85546875" customWidth="1"/>
    <col min="10501" max="10501" width="10.42578125" customWidth="1"/>
    <col min="10502" max="10502" width="6.7109375" customWidth="1"/>
    <col min="10503" max="10504" width="10.28515625" customWidth="1"/>
    <col min="10505" max="10505" width="5.7109375" customWidth="1"/>
    <col min="10506" max="10506" width="6.140625" customWidth="1"/>
    <col min="10507" max="10509" width="9.28515625" customWidth="1"/>
    <col min="10510" max="10510" width="9.42578125" customWidth="1"/>
    <col min="10511" max="10511" width="6.42578125" customWidth="1"/>
    <col min="10512" max="10512" width="7.5703125" customWidth="1"/>
    <col min="10513" max="10513" width="6.85546875" customWidth="1"/>
    <col min="10514" max="10514" width="9.28515625" customWidth="1"/>
    <col min="10515" max="10515" width="9" customWidth="1"/>
    <col min="10516" max="10516" width="5.7109375" customWidth="1"/>
    <col min="10517" max="10517" width="8.28515625" customWidth="1"/>
    <col min="10518" max="10520" width="7.7109375" customWidth="1"/>
    <col min="10521" max="10521" width="7.5703125" customWidth="1"/>
    <col min="10522" max="10522" width="6.85546875" customWidth="1"/>
    <col min="10523" max="10523" width="7.5703125" customWidth="1"/>
    <col min="10524" max="10524" width="6.85546875" customWidth="1"/>
    <col min="10525" max="10526" width="7.5703125" customWidth="1"/>
    <col min="10527" max="10527" width="9.7109375" customWidth="1"/>
    <col min="10528" max="10529" width="0" hidden="1" customWidth="1"/>
    <col min="10530" max="10530" width="7.28515625" customWidth="1"/>
    <col min="10531" max="10531" width="8.42578125" customWidth="1"/>
    <col min="10532" max="10532" width="8.7109375" customWidth="1"/>
    <col min="10533" max="10533" width="5.85546875" customWidth="1"/>
    <col min="10534" max="10536" width="7.28515625" customWidth="1"/>
    <col min="10537" max="10537" width="10.28515625" customWidth="1"/>
    <col min="10538" max="10538" width="9" customWidth="1"/>
    <col min="10539" max="10540" width="7.28515625" customWidth="1"/>
    <col min="10541" max="10541" width="8" customWidth="1"/>
    <col min="10542" max="10542" width="8.42578125" customWidth="1"/>
    <col min="10543" max="10543" width="10.140625" customWidth="1"/>
    <col min="10544" max="10545" width="9.5703125" customWidth="1"/>
    <col min="10546" max="10546" width="7.42578125" customWidth="1"/>
    <col min="10547" max="10548" width="9.42578125" customWidth="1"/>
    <col min="10549" max="10549" width="9.28515625" customWidth="1"/>
    <col min="10550" max="10550" width="9.140625" customWidth="1"/>
    <col min="10551" max="10551" width="7.85546875" customWidth="1"/>
    <col min="10552" max="10552" width="8.5703125" customWidth="1"/>
    <col min="10553" max="10553" width="9.5703125" customWidth="1"/>
    <col min="10554" max="10555" width="7.7109375" customWidth="1"/>
    <col min="10556" max="10556" width="11" customWidth="1"/>
    <col min="10557" max="10557" width="7.140625" customWidth="1"/>
    <col min="10558" max="10558" width="8.7109375" customWidth="1"/>
    <col min="10559" max="10561" width="9.140625" customWidth="1"/>
    <col min="10562" max="10562" width="8.85546875" customWidth="1"/>
    <col min="10563" max="10563" width="9" customWidth="1"/>
    <col min="10564" max="10564" width="7.85546875" customWidth="1"/>
    <col min="10565" max="10565" width="9.85546875" customWidth="1"/>
    <col min="10566" max="10566" width="9" customWidth="1"/>
    <col min="10567" max="10580" width="7.85546875" customWidth="1"/>
    <col min="10753" max="10753" width="3" customWidth="1"/>
    <col min="10754" max="10754" width="17.28515625" customWidth="1"/>
    <col min="10755" max="10755" width="7.5703125" customWidth="1"/>
    <col min="10756" max="10756" width="9.85546875" customWidth="1"/>
    <col min="10757" max="10757" width="10.42578125" customWidth="1"/>
    <col min="10758" max="10758" width="6.7109375" customWidth="1"/>
    <col min="10759" max="10760" width="10.28515625" customWidth="1"/>
    <col min="10761" max="10761" width="5.7109375" customWidth="1"/>
    <col min="10762" max="10762" width="6.140625" customWidth="1"/>
    <col min="10763" max="10765" width="9.28515625" customWidth="1"/>
    <col min="10766" max="10766" width="9.42578125" customWidth="1"/>
    <col min="10767" max="10767" width="6.42578125" customWidth="1"/>
    <col min="10768" max="10768" width="7.5703125" customWidth="1"/>
    <col min="10769" max="10769" width="6.85546875" customWidth="1"/>
    <col min="10770" max="10770" width="9.28515625" customWidth="1"/>
    <col min="10771" max="10771" width="9" customWidth="1"/>
    <col min="10772" max="10772" width="5.7109375" customWidth="1"/>
    <col min="10773" max="10773" width="8.28515625" customWidth="1"/>
    <col min="10774" max="10776" width="7.7109375" customWidth="1"/>
    <col min="10777" max="10777" width="7.5703125" customWidth="1"/>
    <col min="10778" max="10778" width="6.85546875" customWidth="1"/>
    <col min="10779" max="10779" width="7.5703125" customWidth="1"/>
    <col min="10780" max="10780" width="6.85546875" customWidth="1"/>
    <col min="10781" max="10782" width="7.5703125" customWidth="1"/>
    <col min="10783" max="10783" width="9.7109375" customWidth="1"/>
    <col min="10784" max="10785" width="0" hidden="1" customWidth="1"/>
    <col min="10786" max="10786" width="7.28515625" customWidth="1"/>
    <col min="10787" max="10787" width="8.42578125" customWidth="1"/>
    <col min="10788" max="10788" width="8.7109375" customWidth="1"/>
    <col min="10789" max="10789" width="5.85546875" customWidth="1"/>
    <col min="10790" max="10792" width="7.28515625" customWidth="1"/>
    <col min="10793" max="10793" width="10.28515625" customWidth="1"/>
    <col min="10794" max="10794" width="9" customWidth="1"/>
    <col min="10795" max="10796" width="7.28515625" customWidth="1"/>
    <col min="10797" max="10797" width="8" customWidth="1"/>
    <col min="10798" max="10798" width="8.42578125" customWidth="1"/>
    <col min="10799" max="10799" width="10.140625" customWidth="1"/>
    <col min="10800" max="10801" width="9.5703125" customWidth="1"/>
    <col min="10802" max="10802" width="7.42578125" customWidth="1"/>
    <col min="10803" max="10804" width="9.42578125" customWidth="1"/>
    <col min="10805" max="10805" width="9.28515625" customWidth="1"/>
    <col min="10806" max="10806" width="9.140625" customWidth="1"/>
    <col min="10807" max="10807" width="7.85546875" customWidth="1"/>
    <col min="10808" max="10808" width="8.5703125" customWidth="1"/>
    <col min="10809" max="10809" width="9.5703125" customWidth="1"/>
    <col min="10810" max="10811" width="7.7109375" customWidth="1"/>
    <col min="10812" max="10812" width="11" customWidth="1"/>
    <col min="10813" max="10813" width="7.140625" customWidth="1"/>
    <col min="10814" max="10814" width="8.7109375" customWidth="1"/>
    <col min="10815" max="10817" width="9.140625" customWidth="1"/>
    <col min="10818" max="10818" width="8.85546875" customWidth="1"/>
    <col min="10819" max="10819" width="9" customWidth="1"/>
    <col min="10820" max="10820" width="7.85546875" customWidth="1"/>
    <col min="10821" max="10821" width="9.85546875" customWidth="1"/>
    <col min="10822" max="10822" width="9" customWidth="1"/>
    <col min="10823" max="10836" width="7.85546875" customWidth="1"/>
    <col min="11009" max="11009" width="3" customWidth="1"/>
    <col min="11010" max="11010" width="17.28515625" customWidth="1"/>
    <col min="11011" max="11011" width="7.5703125" customWidth="1"/>
    <col min="11012" max="11012" width="9.85546875" customWidth="1"/>
    <col min="11013" max="11013" width="10.42578125" customWidth="1"/>
    <col min="11014" max="11014" width="6.7109375" customWidth="1"/>
    <col min="11015" max="11016" width="10.28515625" customWidth="1"/>
    <col min="11017" max="11017" width="5.7109375" customWidth="1"/>
    <col min="11018" max="11018" width="6.140625" customWidth="1"/>
    <col min="11019" max="11021" width="9.28515625" customWidth="1"/>
    <col min="11022" max="11022" width="9.42578125" customWidth="1"/>
    <col min="11023" max="11023" width="6.42578125" customWidth="1"/>
    <col min="11024" max="11024" width="7.5703125" customWidth="1"/>
    <col min="11025" max="11025" width="6.85546875" customWidth="1"/>
    <col min="11026" max="11026" width="9.28515625" customWidth="1"/>
    <col min="11027" max="11027" width="9" customWidth="1"/>
    <col min="11028" max="11028" width="5.7109375" customWidth="1"/>
    <col min="11029" max="11029" width="8.28515625" customWidth="1"/>
    <col min="11030" max="11032" width="7.7109375" customWidth="1"/>
    <col min="11033" max="11033" width="7.5703125" customWidth="1"/>
    <col min="11034" max="11034" width="6.85546875" customWidth="1"/>
    <col min="11035" max="11035" width="7.5703125" customWidth="1"/>
    <col min="11036" max="11036" width="6.85546875" customWidth="1"/>
    <col min="11037" max="11038" width="7.5703125" customWidth="1"/>
    <col min="11039" max="11039" width="9.7109375" customWidth="1"/>
    <col min="11040" max="11041" width="0" hidden="1" customWidth="1"/>
    <col min="11042" max="11042" width="7.28515625" customWidth="1"/>
    <col min="11043" max="11043" width="8.42578125" customWidth="1"/>
    <col min="11044" max="11044" width="8.7109375" customWidth="1"/>
    <col min="11045" max="11045" width="5.85546875" customWidth="1"/>
    <col min="11046" max="11048" width="7.28515625" customWidth="1"/>
    <col min="11049" max="11049" width="10.28515625" customWidth="1"/>
    <col min="11050" max="11050" width="9" customWidth="1"/>
    <col min="11051" max="11052" width="7.28515625" customWidth="1"/>
    <col min="11053" max="11053" width="8" customWidth="1"/>
    <col min="11054" max="11054" width="8.42578125" customWidth="1"/>
    <col min="11055" max="11055" width="10.140625" customWidth="1"/>
    <col min="11056" max="11057" width="9.5703125" customWidth="1"/>
    <col min="11058" max="11058" width="7.42578125" customWidth="1"/>
    <col min="11059" max="11060" width="9.42578125" customWidth="1"/>
    <col min="11061" max="11061" width="9.28515625" customWidth="1"/>
    <col min="11062" max="11062" width="9.140625" customWidth="1"/>
    <col min="11063" max="11063" width="7.85546875" customWidth="1"/>
    <col min="11064" max="11064" width="8.5703125" customWidth="1"/>
    <col min="11065" max="11065" width="9.5703125" customWidth="1"/>
    <col min="11066" max="11067" width="7.7109375" customWidth="1"/>
    <col min="11068" max="11068" width="11" customWidth="1"/>
    <col min="11069" max="11069" width="7.140625" customWidth="1"/>
    <col min="11070" max="11070" width="8.7109375" customWidth="1"/>
    <col min="11071" max="11073" width="9.140625" customWidth="1"/>
    <col min="11074" max="11074" width="8.85546875" customWidth="1"/>
    <col min="11075" max="11075" width="9" customWidth="1"/>
    <col min="11076" max="11076" width="7.85546875" customWidth="1"/>
    <col min="11077" max="11077" width="9.85546875" customWidth="1"/>
    <col min="11078" max="11078" width="9" customWidth="1"/>
    <col min="11079" max="11092" width="7.85546875" customWidth="1"/>
    <col min="11265" max="11265" width="3" customWidth="1"/>
    <col min="11266" max="11266" width="17.28515625" customWidth="1"/>
    <col min="11267" max="11267" width="7.5703125" customWidth="1"/>
    <col min="11268" max="11268" width="9.85546875" customWidth="1"/>
    <col min="11269" max="11269" width="10.42578125" customWidth="1"/>
    <col min="11270" max="11270" width="6.7109375" customWidth="1"/>
    <col min="11271" max="11272" width="10.28515625" customWidth="1"/>
    <col min="11273" max="11273" width="5.7109375" customWidth="1"/>
    <col min="11274" max="11274" width="6.140625" customWidth="1"/>
    <col min="11275" max="11277" width="9.28515625" customWidth="1"/>
    <col min="11278" max="11278" width="9.42578125" customWidth="1"/>
    <col min="11279" max="11279" width="6.42578125" customWidth="1"/>
    <col min="11280" max="11280" width="7.5703125" customWidth="1"/>
    <col min="11281" max="11281" width="6.85546875" customWidth="1"/>
    <col min="11282" max="11282" width="9.28515625" customWidth="1"/>
    <col min="11283" max="11283" width="9" customWidth="1"/>
    <col min="11284" max="11284" width="5.7109375" customWidth="1"/>
    <col min="11285" max="11285" width="8.28515625" customWidth="1"/>
    <col min="11286" max="11288" width="7.7109375" customWidth="1"/>
    <col min="11289" max="11289" width="7.5703125" customWidth="1"/>
    <col min="11290" max="11290" width="6.85546875" customWidth="1"/>
    <col min="11291" max="11291" width="7.5703125" customWidth="1"/>
    <col min="11292" max="11292" width="6.85546875" customWidth="1"/>
    <col min="11293" max="11294" width="7.5703125" customWidth="1"/>
    <col min="11295" max="11295" width="9.7109375" customWidth="1"/>
    <col min="11296" max="11297" width="0" hidden="1" customWidth="1"/>
    <col min="11298" max="11298" width="7.28515625" customWidth="1"/>
    <col min="11299" max="11299" width="8.42578125" customWidth="1"/>
    <col min="11300" max="11300" width="8.7109375" customWidth="1"/>
    <col min="11301" max="11301" width="5.85546875" customWidth="1"/>
    <col min="11302" max="11304" width="7.28515625" customWidth="1"/>
    <col min="11305" max="11305" width="10.28515625" customWidth="1"/>
    <col min="11306" max="11306" width="9" customWidth="1"/>
    <col min="11307" max="11308" width="7.28515625" customWidth="1"/>
    <col min="11309" max="11309" width="8" customWidth="1"/>
    <col min="11310" max="11310" width="8.42578125" customWidth="1"/>
    <col min="11311" max="11311" width="10.140625" customWidth="1"/>
    <col min="11312" max="11313" width="9.5703125" customWidth="1"/>
    <col min="11314" max="11314" width="7.42578125" customWidth="1"/>
    <col min="11315" max="11316" width="9.42578125" customWidth="1"/>
    <col min="11317" max="11317" width="9.28515625" customWidth="1"/>
    <col min="11318" max="11318" width="9.140625" customWidth="1"/>
    <col min="11319" max="11319" width="7.85546875" customWidth="1"/>
    <col min="11320" max="11320" width="8.5703125" customWidth="1"/>
    <col min="11321" max="11321" width="9.5703125" customWidth="1"/>
    <col min="11322" max="11323" width="7.7109375" customWidth="1"/>
    <col min="11324" max="11324" width="11" customWidth="1"/>
    <col min="11325" max="11325" width="7.140625" customWidth="1"/>
    <col min="11326" max="11326" width="8.7109375" customWidth="1"/>
    <col min="11327" max="11329" width="9.140625" customWidth="1"/>
    <col min="11330" max="11330" width="8.85546875" customWidth="1"/>
    <col min="11331" max="11331" width="9" customWidth="1"/>
    <col min="11332" max="11332" width="7.85546875" customWidth="1"/>
    <col min="11333" max="11333" width="9.85546875" customWidth="1"/>
    <col min="11334" max="11334" width="9" customWidth="1"/>
    <col min="11335" max="11348" width="7.85546875" customWidth="1"/>
    <col min="11521" max="11521" width="3" customWidth="1"/>
    <col min="11522" max="11522" width="17.28515625" customWidth="1"/>
    <col min="11523" max="11523" width="7.5703125" customWidth="1"/>
    <col min="11524" max="11524" width="9.85546875" customWidth="1"/>
    <col min="11525" max="11525" width="10.42578125" customWidth="1"/>
    <col min="11526" max="11526" width="6.7109375" customWidth="1"/>
    <col min="11527" max="11528" width="10.28515625" customWidth="1"/>
    <col min="11529" max="11529" width="5.7109375" customWidth="1"/>
    <col min="11530" max="11530" width="6.140625" customWidth="1"/>
    <col min="11531" max="11533" width="9.28515625" customWidth="1"/>
    <col min="11534" max="11534" width="9.42578125" customWidth="1"/>
    <col min="11535" max="11535" width="6.42578125" customWidth="1"/>
    <col min="11536" max="11536" width="7.5703125" customWidth="1"/>
    <col min="11537" max="11537" width="6.85546875" customWidth="1"/>
    <col min="11538" max="11538" width="9.28515625" customWidth="1"/>
    <col min="11539" max="11539" width="9" customWidth="1"/>
    <col min="11540" max="11540" width="5.7109375" customWidth="1"/>
    <col min="11541" max="11541" width="8.28515625" customWidth="1"/>
    <col min="11542" max="11544" width="7.7109375" customWidth="1"/>
    <col min="11545" max="11545" width="7.5703125" customWidth="1"/>
    <col min="11546" max="11546" width="6.85546875" customWidth="1"/>
    <col min="11547" max="11547" width="7.5703125" customWidth="1"/>
    <col min="11548" max="11548" width="6.85546875" customWidth="1"/>
    <col min="11549" max="11550" width="7.5703125" customWidth="1"/>
    <col min="11551" max="11551" width="9.7109375" customWidth="1"/>
    <col min="11552" max="11553" width="0" hidden="1" customWidth="1"/>
    <col min="11554" max="11554" width="7.28515625" customWidth="1"/>
    <col min="11555" max="11555" width="8.42578125" customWidth="1"/>
    <col min="11556" max="11556" width="8.7109375" customWidth="1"/>
    <col min="11557" max="11557" width="5.85546875" customWidth="1"/>
    <col min="11558" max="11560" width="7.28515625" customWidth="1"/>
    <col min="11561" max="11561" width="10.28515625" customWidth="1"/>
    <col min="11562" max="11562" width="9" customWidth="1"/>
    <col min="11563" max="11564" width="7.28515625" customWidth="1"/>
    <col min="11565" max="11565" width="8" customWidth="1"/>
    <col min="11566" max="11566" width="8.42578125" customWidth="1"/>
    <col min="11567" max="11567" width="10.140625" customWidth="1"/>
    <col min="11568" max="11569" width="9.5703125" customWidth="1"/>
    <col min="11570" max="11570" width="7.42578125" customWidth="1"/>
    <col min="11571" max="11572" width="9.42578125" customWidth="1"/>
    <col min="11573" max="11573" width="9.28515625" customWidth="1"/>
    <col min="11574" max="11574" width="9.140625" customWidth="1"/>
    <col min="11575" max="11575" width="7.85546875" customWidth="1"/>
    <col min="11576" max="11576" width="8.5703125" customWidth="1"/>
    <col min="11577" max="11577" width="9.5703125" customWidth="1"/>
    <col min="11578" max="11579" width="7.7109375" customWidth="1"/>
    <col min="11580" max="11580" width="11" customWidth="1"/>
    <col min="11581" max="11581" width="7.140625" customWidth="1"/>
    <col min="11582" max="11582" width="8.7109375" customWidth="1"/>
    <col min="11583" max="11585" width="9.140625" customWidth="1"/>
    <col min="11586" max="11586" width="8.85546875" customWidth="1"/>
    <col min="11587" max="11587" width="9" customWidth="1"/>
    <col min="11588" max="11588" width="7.85546875" customWidth="1"/>
    <col min="11589" max="11589" width="9.85546875" customWidth="1"/>
    <col min="11590" max="11590" width="9" customWidth="1"/>
    <col min="11591" max="11604" width="7.85546875" customWidth="1"/>
    <col min="11777" max="11777" width="3" customWidth="1"/>
    <col min="11778" max="11778" width="17.28515625" customWidth="1"/>
    <col min="11779" max="11779" width="7.5703125" customWidth="1"/>
    <col min="11780" max="11780" width="9.85546875" customWidth="1"/>
    <col min="11781" max="11781" width="10.42578125" customWidth="1"/>
    <col min="11782" max="11782" width="6.7109375" customWidth="1"/>
    <col min="11783" max="11784" width="10.28515625" customWidth="1"/>
    <col min="11785" max="11785" width="5.7109375" customWidth="1"/>
    <col min="11786" max="11786" width="6.140625" customWidth="1"/>
    <col min="11787" max="11789" width="9.28515625" customWidth="1"/>
    <col min="11790" max="11790" width="9.42578125" customWidth="1"/>
    <col min="11791" max="11791" width="6.42578125" customWidth="1"/>
    <col min="11792" max="11792" width="7.5703125" customWidth="1"/>
    <col min="11793" max="11793" width="6.85546875" customWidth="1"/>
    <col min="11794" max="11794" width="9.28515625" customWidth="1"/>
    <col min="11795" max="11795" width="9" customWidth="1"/>
    <col min="11796" max="11796" width="5.7109375" customWidth="1"/>
    <col min="11797" max="11797" width="8.28515625" customWidth="1"/>
    <col min="11798" max="11800" width="7.7109375" customWidth="1"/>
    <col min="11801" max="11801" width="7.5703125" customWidth="1"/>
    <col min="11802" max="11802" width="6.85546875" customWidth="1"/>
    <col min="11803" max="11803" width="7.5703125" customWidth="1"/>
    <col min="11804" max="11804" width="6.85546875" customWidth="1"/>
    <col min="11805" max="11806" width="7.5703125" customWidth="1"/>
    <col min="11807" max="11807" width="9.7109375" customWidth="1"/>
    <col min="11808" max="11809" width="0" hidden="1" customWidth="1"/>
    <col min="11810" max="11810" width="7.28515625" customWidth="1"/>
    <col min="11811" max="11811" width="8.42578125" customWidth="1"/>
    <col min="11812" max="11812" width="8.7109375" customWidth="1"/>
    <col min="11813" max="11813" width="5.85546875" customWidth="1"/>
    <col min="11814" max="11816" width="7.28515625" customWidth="1"/>
    <col min="11817" max="11817" width="10.28515625" customWidth="1"/>
    <col min="11818" max="11818" width="9" customWidth="1"/>
    <col min="11819" max="11820" width="7.28515625" customWidth="1"/>
    <col min="11821" max="11821" width="8" customWidth="1"/>
    <col min="11822" max="11822" width="8.42578125" customWidth="1"/>
    <col min="11823" max="11823" width="10.140625" customWidth="1"/>
    <col min="11824" max="11825" width="9.5703125" customWidth="1"/>
    <col min="11826" max="11826" width="7.42578125" customWidth="1"/>
    <col min="11827" max="11828" width="9.42578125" customWidth="1"/>
    <col min="11829" max="11829" width="9.28515625" customWidth="1"/>
    <col min="11830" max="11830" width="9.140625" customWidth="1"/>
    <col min="11831" max="11831" width="7.85546875" customWidth="1"/>
    <col min="11832" max="11832" width="8.5703125" customWidth="1"/>
    <col min="11833" max="11833" width="9.5703125" customWidth="1"/>
    <col min="11834" max="11835" width="7.7109375" customWidth="1"/>
    <col min="11836" max="11836" width="11" customWidth="1"/>
    <col min="11837" max="11837" width="7.140625" customWidth="1"/>
    <col min="11838" max="11838" width="8.7109375" customWidth="1"/>
    <col min="11839" max="11841" width="9.140625" customWidth="1"/>
    <col min="11842" max="11842" width="8.85546875" customWidth="1"/>
    <col min="11843" max="11843" width="9" customWidth="1"/>
    <col min="11844" max="11844" width="7.85546875" customWidth="1"/>
    <col min="11845" max="11845" width="9.85546875" customWidth="1"/>
    <col min="11846" max="11846" width="9" customWidth="1"/>
    <col min="11847" max="11860" width="7.85546875" customWidth="1"/>
    <col min="12033" max="12033" width="3" customWidth="1"/>
    <col min="12034" max="12034" width="17.28515625" customWidth="1"/>
    <col min="12035" max="12035" width="7.5703125" customWidth="1"/>
    <col min="12036" max="12036" width="9.85546875" customWidth="1"/>
    <col min="12037" max="12037" width="10.42578125" customWidth="1"/>
    <col min="12038" max="12038" width="6.7109375" customWidth="1"/>
    <col min="12039" max="12040" width="10.28515625" customWidth="1"/>
    <col min="12041" max="12041" width="5.7109375" customWidth="1"/>
    <col min="12042" max="12042" width="6.140625" customWidth="1"/>
    <col min="12043" max="12045" width="9.28515625" customWidth="1"/>
    <col min="12046" max="12046" width="9.42578125" customWidth="1"/>
    <col min="12047" max="12047" width="6.42578125" customWidth="1"/>
    <col min="12048" max="12048" width="7.5703125" customWidth="1"/>
    <col min="12049" max="12049" width="6.85546875" customWidth="1"/>
    <col min="12050" max="12050" width="9.28515625" customWidth="1"/>
    <col min="12051" max="12051" width="9" customWidth="1"/>
    <col min="12052" max="12052" width="5.7109375" customWidth="1"/>
    <col min="12053" max="12053" width="8.28515625" customWidth="1"/>
    <col min="12054" max="12056" width="7.7109375" customWidth="1"/>
    <col min="12057" max="12057" width="7.5703125" customWidth="1"/>
    <col min="12058" max="12058" width="6.85546875" customWidth="1"/>
    <col min="12059" max="12059" width="7.5703125" customWidth="1"/>
    <col min="12060" max="12060" width="6.85546875" customWidth="1"/>
    <col min="12061" max="12062" width="7.5703125" customWidth="1"/>
    <col min="12063" max="12063" width="9.7109375" customWidth="1"/>
    <col min="12064" max="12065" width="0" hidden="1" customWidth="1"/>
    <col min="12066" max="12066" width="7.28515625" customWidth="1"/>
    <col min="12067" max="12067" width="8.42578125" customWidth="1"/>
    <col min="12068" max="12068" width="8.7109375" customWidth="1"/>
    <col min="12069" max="12069" width="5.85546875" customWidth="1"/>
    <col min="12070" max="12072" width="7.28515625" customWidth="1"/>
    <col min="12073" max="12073" width="10.28515625" customWidth="1"/>
    <col min="12074" max="12074" width="9" customWidth="1"/>
    <col min="12075" max="12076" width="7.28515625" customWidth="1"/>
    <col min="12077" max="12077" width="8" customWidth="1"/>
    <col min="12078" max="12078" width="8.42578125" customWidth="1"/>
    <col min="12079" max="12079" width="10.140625" customWidth="1"/>
    <col min="12080" max="12081" width="9.5703125" customWidth="1"/>
    <col min="12082" max="12082" width="7.42578125" customWidth="1"/>
    <col min="12083" max="12084" width="9.42578125" customWidth="1"/>
    <col min="12085" max="12085" width="9.28515625" customWidth="1"/>
    <col min="12086" max="12086" width="9.140625" customWidth="1"/>
    <col min="12087" max="12087" width="7.85546875" customWidth="1"/>
    <col min="12088" max="12088" width="8.5703125" customWidth="1"/>
    <col min="12089" max="12089" width="9.5703125" customWidth="1"/>
    <col min="12090" max="12091" width="7.7109375" customWidth="1"/>
    <col min="12092" max="12092" width="11" customWidth="1"/>
    <col min="12093" max="12093" width="7.140625" customWidth="1"/>
    <col min="12094" max="12094" width="8.7109375" customWidth="1"/>
    <col min="12095" max="12097" width="9.140625" customWidth="1"/>
    <col min="12098" max="12098" width="8.85546875" customWidth="1"/>
    <col min="12099" max="12099" width="9" customWidth="1"/>
    <col min="12100" max="12100" width="7.85546875" customWidth="1"/>
    <col min="12101" max="12101" width="9.85546875" customWidth="1"/>
    <col min="12102" max="12102" width="9" customWidth="1"/>
    <col min="12103" max="12116" width="7.85546875" customWidth="1"/>
    <col min="12289" max="12289" width="3" customWidth="1"/>
    <col min="12290" max="12290" width="17.28515625" customWidth="1"/>
    <col min="12291" max="12291" width="7.5703125" customWidth="1"/>
    <col min="12292" max="12292" width="9.85546875" customWidth="1"/>
    <col min="12293" max="12293" width="10.42578125" customWidth="1"/>
    <col min="12294" max="12294" width="6.7109375" customWidth="1"/>
    <col min="12295" max="12296" width="10.28515625" customWidth="1"/>
    <col min="12297" max="12297" width="5.7109375" customWidth="1"/>
    <col min="12298" max="12298" width="6.140625" customWidth="1"/>
    <col min="12299" max="12301" width="9.28515625" customWidth="1"/>
    <col min="12302" max="12302" width="9.42578125" customWidth="1"/>
    <col min="12303" max="12303" width="6.42578125" customWidth="1"/>
    <col min="12304" max="12304" width="7.5703125" customWidth="1"/>
    <col min="12305" max="12305" width="6.85546875" customWidth="1"/>
    <col min="12306" max="12306" width="9.28515625" customWidth="1"/>
    <col min="12307" max="12307" width="9" customWidth="1"/>
    <col min="12308" max="12308" width="5.7109375" customWidth="1"/>
    <col min="12309" max="12309" width="8.28515625" customWidth="1"/>
    <col min="12310" max="12312" width="7.7109375" customWidth="1"/>
    <col min="12313" max="12313" width="7.5703125" customWidth="1"/>
    <col min="12314" max="12314" width="6.85546875" customWidth="1"/>
    <col min="12315" max="12315" width="7.5703125" customWidth="1"/>
    <col min="12316" max="12316" width="6.85546875" customWidth="1"/>
    <col min="12317" max="12318" width="7.5703125" customWidth="1"/>
    <col min="12319" max="12319" width="9.7109375" customWidth="1"/>
    <col min="12320" max="12321" width="0" hidden="1" customWidth="1"/>
    <col min="12322" max="12322" width="7.28515625" customWidth="1"/>
    <col min="12323" max="12323" width="8.42578125" customWidth="1"/>
    <col min="12324" max="12324" width="8.7109375" customWidth="1"/>
    <col min="12325" max="12325" width="5.85546875" customWidth="1"/>
    <col min="12326" max="12328" width="7.28515625" customWidth="1"/>
    <col min="12329" max="12329" width="10.28515625" customWidth="1"/>
    <col min="12330" max="12330" width="9" customWidth="1"/>
    <col min="12331" max="12332" width="7.28515625" customWidth="1"/>
    <col min="12333" max="12333" width="8" customWidth="1"/>
    <col min="12334" max="12334" width="8.42578125" customWidth="1"/>
    <col min="12335" max="12335" width="10.140625" customWidth="1"/>
    <col min="12336" max="12337" width="9.5703125" customWidth="1"/>
    <col min="12338" max="12338" width="7.42578125" customWidth="1"/>
    <col min="12339" max="12340" width="9.42578125" customWidth="1"/>
    <col min="12341" max="12341" width="9.28515625" customWidth="1"/>
    <col min="12342" max="12342" width="9.140625" customWidth="1"/>
    <col min="12343" max="12343" width="7.85546875" customWidth="1"/>
    <col min="12344" max="12344" width="8.5703125" customWidth="1"/>
    <col min="12345" max="12345" width="9.5703125" customWidth="1"/>
    <col min="12346" max="12347" width="7.7109375" customWidth="1"/>
    <col min="12348" max="12348" width="11" customWidth="1"/>
    <col min="12349" max="12349" width="7.140625" customWidth="1"/>
    <col min="12350" max="12350" width="8.7109375" customWidth="1"/>
    <col min="12351" max="12353" width="9.140625" customWidth="1"/>
    <col min="12354" max="12354" width="8.85546875" customWidth="1"/>
    <col min="12355" max="12355" width="9" customWidth="1"/>
    <col min="12356" max="12356" width="7.85546875" customWidth="1"/>
    <col min="12357" max="12357" width="9.85546875" customWidth="1"/>
    <col min="12358" max="12358" width="9" customWidth="1"/>
    <col min="12359" max="12372" width="7.85546875" customWidth="1"/>
    <col min="12545" max="12545" width="3" customWidth="1"/>
    <col min="12546" max="12546" width="17.28515625" customWidth="1"/>
    <col min="12547" max="12547" width="7.5703125" customWidth="1"/>
    <col min="12548" max="12548" width="9.85546875" customWidth="1"/>
    <col min="12549" max="12549" width="10.42578125" customWidth="1"/>
    <col min="12550" max="12550" width="6.7109375" customWidth="1"/>
    <col min="12551" max="12552" width="10.28515625" customWidth="1"/>
    <col min="12553" max="12553" width="5.7109375" customWidth="1"/>
    <col min="12554" max="12554" width="6.140625" customWidth="1"/>
    <col min="12555" max="12557" width="9.28515625" customWidth="1"/>
    <col min="12558" max="12558" width="9.42578125" customWidth="1"/>
    <col min="12559" max="12559" width="6.42578125" customWidth="1"/>
    <col min="12560" max="12560" width="7.5703125" customWidth="1"/>
    <col min="12561" max="12561" width="6.85546875" customWidth="1"/>
    <col min="12562" max="12562" width="9.28515625" customWidth="1"/>
    <col min="12563" max="12563" width="9" customWidth="1"/>
    <col min="12564" max="12564" width="5.7109375" customWidth="1"/>
    <col min="12565" max="12565" width="8.28515625" customWidth="1"/>
    <col min="12566" max="12568" width="7.7109375" customWidth="1"/>
    <col min="12569" max="12569" width="7.5703125" customWidth="1"/>
    <col min="12570" max="12570" width="6.85546875" customWidth="1"/>
    <col min="12571" max="12571" width="7.5703125" customWidth="1"/>
    <col min="12572" max="12572" width="6.85546875" customWidth="1"/>
    <col min="12573" max="12574" width="7.5703125" customWidth="1"/>
    <col min="12575" max="12575" width="9.7109375" customWidth="1"/>
    <col min="12576" max="12577" width="0" hidden="1" customWidth="1"/>
    <col min="12578" max="12578" width="7.28515625" customWidth="1"/>
    <col min="12579" max="12579" width="8.42578125" customWidth="1"/>
    <col min="12580" max="12580" width="8.7109375" customWidth="1"/>
    <col min="12581" max="12581" width="5.85546875" customWidth="1"/>
    <col min="12582" max="12584" width="7.28515625" customWidth="1"/>
    <col min="12585" max="12585" width="10.28515625" customWidth="1"/>
    <col min="12586" max="12586" width="9" customWidth="1"/>
    <col min="12587" max="12588" width="7.28515625" customWidth="1"/>
    <col min="12589" max="12589" width="8" customWidth="1"/>
    <col min="12590" max="12590" width="8.42578125" customWidth="1"/>
    <col min="12591" max="12591" width="10.140625" customWidth="1"/>
    <col min="12592" max="12593" width="9.5703125" customWidth="1"/>
    <col min="12594" max="12594" width="7.42578125" customWidth="1"/>
    <col min="12595" max="12596" width="9.42578125" customWidth="1"/>
    <col min="12597" max="12597" width="9.28515625" customWidth="1"/>
    <col min="12598" max="12598" width="9.140625" customWidth="1"/>
    <col min="12599" max="12599" width="7.85546875" customWidth="1"/>
    <col min="12600" max="12600" width="8.5703125" customWidth="1"/>
    <col min="12601" max="12601" width="9.5703125" customWidth="1"/>
    <col min="12602" max="12603" width="7.7109375" customWidth="1"/>
    <col min="12604" max="12604" width="11" customWidth="1"/>
    <col min="12605" max="12605" width="7.140625" customWidth="1"/>
    <col min="12606" max="12606" width="8.7109375" customWidth="1"/>
    <col min="12607" max="12609" width="9.140625" customWidth="1"/>
    <col min="12610" max="12610" width="8.85546875" customWidth="1"/>
    <col min="12611" max="12611" width="9" customWidth="1"/>
    <col min="12612" max="12612" width="7.85546875" customWidth="1"/>
    <col min="12613" max="12613" width="9.85546875" customWidth="1"/>
    <col min="12614" max="12614" width="9" customWidth="1"/>
    <col min="12615" max="12628" width="7.85546875" customWidth="1"/>
    <col min="12801" max="12801" width="3" customWidth="1"/>
    <col min="12802" max="12802" width="17.28515625" customWidth="1"/>
    <col min="12803" max="12803" width="7.5703125" customWidth="1"/>
    <col min="12804" max="12804" width="9.85546875" customWidth="1"/>
    <col min="12805" max="12805" width="10.42578125" customWidth="1"/>
    <col min="12806" max="12806" width="6.7109375" customWidth="1"/>
    <col min="12807" max="12808" width="10.28515625" customWidth="1"/>
    <col min="12809" max="12809" width="5.7109375" customWidth="1"/>
    <col min="12810" max="12810" width="6.140625" customWidth="1"/>
    <col min="12811" max="12813" width="9.28515625" customWidth="1"/>
    <col min="12814" max="12814" width="9.42578125" customWidth="1"/>
    <col min="12815" max="12815" width="6.42578125" customWidth="1"/>
    <col min="12816" max="12816" width="7.5703125" customWidth="1"/>
    <col min="12817" max="12817" width="6.85546875" customWidth="1"/>
    <col min="12818" max="12818" width="9.28515625" customWidth="1"/>
    <col min="12819" max="12819" width="9" customWidth="1"/>
    <col min="12820" max="12820" width="5.7109375" customWidth="1"/>
    <col min="12821" max="12821" width="8.28515625" customWidth="1"/>
    <col min="12822" max="12824" width="7.7109375" customWidth="1"/>
    <col min="12825" max="12825" width="7.5703125" customWidth="1"/>
    <col min="12826" max="12826" width="6.85546875" customWidth="1"/>
    <col min="12827" max="12827" width="7.5703125" customWidth="1"/>
    <col min="12828" max="12828" width="6.85546875" customWidth="1"/>
    <col min="12829" max="12830" width="7.5703125" customWidth="1"/>
    <col min="12831" max="12831" width="9.7109375" customWidth="1"/>
    <col min="12832" max="12833" width="0" hidden="1" customWidth="1"/>
    <col min="12834" max="12834" width="7.28515625" customWidth="1"/>
    <col min="12835" max="12835" width="8.42578125" customWidth="1"/>
    <col min="12836" max="12836" width="8.7109375" customWidth="1"/>
    <col min="12837" max="12837" width="5.85546875" customWidth="1"/>
    <col min="12838" max="12840" width="7.28515625" customWidth="1"/>
    <col min="12841" max="12841" width="10.28515625" customWidth="1"/>
    <col min="12842" max="12842" width="9" customWidth="1"/>
    <col min="12843" max="12844" width="7.28515625" customWidth="1"/>
    <col min="12845" max="12845" width="8" customWidth="1"/>
    <col min="12846" max="12846" width="8.42578125" customWidth="1"/>
    <col min="12847" max="12847" width="10.140625" customWidth="1"/>
    <col min="12848" max="12849" width="9.5703125" customWidth="1"/>
    <col min="12850" max="12850" width="7.42578125" customWidth="1"/>
    <col min="12851" max="12852" width="9.42578125" customWidth="1"/>
    <col min="12853" max="12853" width="9.28515625" customWidth="1"/>
    <col min="12854" max="12854" width="9.140625" customWidth="1"/>
    <col min="12855" max="12855" width="7.85546875" customWidth="1"/>
    <col min="12856" max="12856" width="8.5703125" customWidth="1"/>
    <col min="12857" max="12857" width="9.5703125" customWidth="1"/>
    <col min="12858" max="12859" width="7.7109375" customWidth="1"/>
    <col min="12860" max="12860" width="11" customWidth="1"/>
    <col min="12861" max="12861" width="7.140625" customWidth="1"/>
    <col min="12862" max="12862" width="8.7109375" customWidth="1"/>
    <col min="12863" max="12865" width="9.140625" customWidth="1"/>
    <col min="12866" max="12866" width="8.85546875" customWidth="1"/>
    <col min="12867" max="12867" width="9" customWidth="1"/>
    <col min="12868" max="12868" width="7.85546875" customWidth="1"/>
    <col min="12869" max="12869" width="9.85546875" customWidth="1"/>
    <col min="12870" max="12870" width="9" customWidth="1"/>
    <col min="12871" max="12884" width="7.85546875" customWidth="1"/>
    <col min="13057" max="13057" width="3" customWidth="1"/>
    <col min="13058" max="13058" width="17.28515625" customWidth="1"/>
    <col min="13059" max="13059" width="7.5703125" customWidth="1"/>
    <col min="13060" max="13060" width="9.85546875" customWidth="1"/>
    <col min="13061" max="13061" width="10.42578125" customWidth="1"/>
    <col min="13062" max="13062" width="6.7109375" customWidth="1"/>
    <col min="13063" max="13064" width="10.28515625" customWidth="1"/>
    <col min="13065" max="13065" width="5.7109375" customWidth="1"/>
    <col min="13066" max="13066" width="6.140625" customWidth="1"/>
    <col min="13067" max="13069" width="9.28515625" customWidth="1"/>
    <col min="13070" max="13070" width="9.42578125" customWidth="1"/>
    <col min="13071" max="13071" width="6.42578125" customWidth="1"/>
    <col min="13072" max="13072" width="7.5703125" customWidth="1"/>
    <col min="13073" max="13073" width="6.85546875" customWidth="1"/>
    <col min="13074" max="13074" width="9.28515625" customWidth="1"/>
    <col min="13075" max="13075" width="9" customWidth="1"/>
    <col min="13076" max="13076" width="5.7109375" customWidth="1"/>
    <col min="13077" max="13077" width="8.28515625" customWidth="1"/>
    <col min="13078" max="13080" width="7.7109375" customWidth="1"/>
    <col min="13081" max="13081" width="7.5703125" customWidth="1"/>
    <col min="13082" max="13082" width="6.85546875" customWidth="1"/>
    <col min="13083" max="13083" width="7.5703125" customWidth="1"/>
    <col min="13084" max="13084" width="6.85546875" customWidth="1"/>
    <col min="13085" max="13086" width="7.5703125" customWidth="1"/>
    <col min="13087" max="13087" width="9.7109375" customWidth="1"/>
    <col min="13088" max="13089" width="0" hidden="1" customWidth="1"/>
    <col min="13090" max="13090" width="7.28515625" customWidth="1"/>
    <col min="13091" max="13091" width="8.42578125" customWidth="1"/>
    <col min="13092" max="13092" width="8.7109375" customWidth="1"/>
    <col min="13093" max="13093" width="5.85546875" customWidth="1"/>
    <col min="13094" max="13096" width="7.28515625" customWidth="1"/>
    <col min="13097" max="13097" width="10.28515625" customWidth="1"/>
    <col min="13098" max="13098" width="9" customWidth="1"/>
    <col min="13099" max="13100" width="7.28515625" customWidth="1"/>
    <col min="13101" max="13101" width="8" customWidth="1"/>
    <col min="13102" max="13102" width="8.42578125" customWidth="1"/>
    <col min="13103" max="13103" width="10.140625" customWidth="1"/>
    <col min="13104" max="13105" width="9.5703125" customWidth="1"/>
    <col min="13106" max="13106" width="7.42578125" customWidth="1"/>
    <col min="13107" max="13108" width="9.42578125" customWidth="1"/>
    <col min="13109" max="13109" width="9.28515625" customWidth="1"/>
    <col min="13110" max="13110" width="9.140625" customWidth="1"/>
    <col min="13111" max="13111" width="7.85546875" customWidth="1"/>
    <col min="13112" max="13112" width="8.5703125" customWidth="1"/>
    <col min="13113" max="13113" width="9.5703125" customWidth="1"/>
    <col min="13114" max="13115" width="7.7109375" customWidth="1"/>
    <col min="13116" max="13116" width="11" customWidth="1"/>
    <col min="13117" max="13117" width="7.140625" customWidth="1"/>
    <col min="13118" max="13118" width="8.7109375" customWidth="1"/>
    <col min="13119" max="13121" width="9.140625" customWidth="1"/>
    <col min="13122" max="13122" width="8.85546875" customWidth="1"/>
    <col min="13123" max="13123" width="9" customWidth="1"/>
    <col min="13124" max="13124" width="7.85546875" customWidth="1"/>
    <col min="13125" max="13125" width="9.85546875" customWidth="1"/>
    <col min="13126" max="13126" width="9" customWidth="1"/>
    <col min="13127" max="13140" width="7.85546875" customWidth="1"/>
    <col min="13313" max="13313" width="3" customWidth="1"/>
    <col min="13314" max="13314" width="17.28515625" customWidth="1"/>
    <col min="13315" max="13315" width="7.5703125" customWidth="1"/>
    <col min="13316" max="13316" width="9.85546875" customWidth="1"/>
    <col min="13317" max="13317" width="10.42578125" customWidth="1"/>
    <col min="13318" max="13318" width="6.7109375" customWidth="1"/>
    <col min="13319" max="13320" width="10.28515625" customWidth="1"/>
    <col min="13321" max="13321" width="5.7109375" customWidth="1"/>
    <col min="13322" max="13322" width="6.140625" customWidth="1"/>
    <col min="13323" max="13325" width="9.28515625" customWidth="1"/>
    <col min="13326" max="13326" width="9.42578125" customWidth="1"/>
    <col min="13327" max="13327" width="6.42578125" customWidth="1"/>
    <col min="13328" max="13328" width="7.5703125" customWidth="1"/>
    <col min="13329" max="13329" width="6.85546875" customWidth="1"/>
    <col min="13330" max="13330" width="9.28515625" customWidth="1"/>
    <col min="13331" max="13331" width="9" customWidth="1"/>
    <col min="13332" max="13332" width="5.7109375" customWidth="1"/>
    <col min="13333" max="13333" width="8.28515625" customWidth="1"/>
    <col min="13334" max="13336" width="7.7109375" customWidth="1"/>
    <col min="13337" max="13337" width="7.5703125" customWidth="1"/>
    <col min="13338" max="13338" width="6.85546875" customWidth="1"/>
    <col min="13339" max="13339" width="7.5703125" customWidth="1"/>
    <col min="13340" max="13340" width="6.85546875" customWidth="1"/>
    <col min="13341" max="13342" width="7.5703125" customWidth="1"/>
    <col min="13343" max="13343" width="9.7109375" customWidth="1"/>
    <col min="13344" max="13345" width="0" hidden="1" customWidth="1"/>
    <col min="13346" max="13346" width="7.28515625" customWidth="1"/>
    <col min="13347" max="13347" width="8.42578125" customWidth="1"/>
    <col min="13348" max="13348" width="8.7109375" customWidth="1"/>
    <col min="13349" max="13349" width="5.85546875" customWidth="1"/>
    <col min="13350" max="13352" width="7.28515625" customWidth="1"/>
    <col min="13353" max="13353" width="10.28515625" customWidth="1"/>
    <col min="13354" max="13354" width="9" customWidth="1"/>
    <col min="13355" max="13356" width="7.28515625" customWidth="1"/>
    <col min="13357" max="13357" width="8" customWidth="1"/>
    <col min="13358" max="13358" width="8.42578125" customWidth="1"/>
    <col min="13359" max="13359" width="10.140625" customWidth="1"/>
    <col min="13360" max="13361" width="9.5703125" customWidth="1"/>
    <col min="13362" max="13362" width="7.42578125" customWidth="1"/>
    <col min="13363" max="13364" width="9.42578125" customWidth="1"/>
    <col min="13365" max="13365" width="9.28515625" customWidth="1"/>
    <col min="13366" max="13366" width="9.140625" customWidth="1"/>
    <col min="13367" max="13367" width="7.85546875" customWidth="1"/>
    <col min="13368" max="13368" width="8.5703125" customWidth="1"/>
    <col min="13369" max="13369" width="9.5703125" customWidth="1"/>
    <col min="13370" max="13371" width="7.7109375" customWidth="1"/>
    <col min="13372" max="13372" width="11" customWidth="1"/>
    <col min="13373" max="13373" width="7.140625" customWidth="1"/>
    <col min="13374" max="13374" width="8.7109375" customWidth="1"/>
    <col min="13375" max="13377" width="9.140625" customWidth="1"/>
    <col min="13378" max="13378" width="8.85546875" customWidth="1"/>
    <col min="13379" max="13379" width="9" customWidth="1"/>
    <col min="13380" max="13380" width="7.85546875" customWidth="1"/>
    <col min="13381" max="13381" width="9.85546875" customWidth="1"/>
    <col min="13382" max="13382" width="9" customWidth="1"/>
    <col min="13383" max="13396" width="7.85546875" customWidth="1"/>
    <col min="13569" max="13569" width="3" customWidth="1"/>
    <col min="13570" max="13570" width="17.28515625" customWidth="1"/>
    <col min="13571" max="13571" width="7.5703125" customWidth="1"/>
    <col min="13572" max="13572" width="9.85546875" customWidth="1"/>
    <col min="13573" max="13573" width="10.42578125" customWidth="1"/>
    <col min="13574" max="13574" width="6.7109375" customWidth="1"/>
    <col min="13575" max="13576" width="10.28515625" customWidth="1"/>
    <col min="13577" max="13577" width="5.7109375" customWidth="1"/>
    <col min="13578" max="13578" width="6.140625" customWidth="1"/>
    <col min="13579" max="13581" width="9.28515625" customWidth="1"/>
    <col min="13582" max="13582" width="9.42578125" customWidth="1"/>
    <col min="13583" max="13583" width="6.42578125" customWidth="1"/>
    <col min="13584" max="13584" width="7.5703125" customWidth="1"/>
    <col min="13585" max="13585" width="6.85546875" customWidth="1"/>
    <col min="13586" max="13586" width="9.28515625" customWidth="1"/>
    <col min="13587" max="13587" width="9" customWidth="1"/>
    <col min="13588" max="13588" width="5.7109375" customWidth="1"/>
    <col min="13589" max="13589" width="8.28515625" customWidth="1"/>
    <col min="13590" max="13592" width="7.7109375" customWidth="1"/>
    <col min="13593" max="13593" width="7.5703125" customWidth="1"/>
    <col min="13594" max="13594" width="6.85546875" customWidth="1"/>
    <col min="13595" max="13595" width="7.5703125" customWidth="1"/>
    <col min="13596" max="13596" width="6.85546875" customWidth="1"/>
    <col min="13597" max="13598" width="7.5703125" customWidth="1"/>
    <col min="13599" max="13599" width="9.7109375" customWidth="1"/>
    <col min="13600" max="13601" width="0" hidden="1" customWidth="1"/>
    <col min="13602" max="13602" width="7.28515625" customWidth="1"/>
    <col min="13603" max="13603" width="8.42578125" customWidth="1"/>
    <col min="13604" max="13604" width="8.7109375" customWidth="1"/>
    <col min="13605" max="13605" width="5.85546875" customWidth="1"/>
    <col min="13606" max="13608" width="7.28515625" customWidth="1"/>
    <col min="13609" max="13609" width="10.28515625" customWidth="1"/>
    <col min="13610" max="13610" width="9" customWidth="1"/>
    <col min="13611" max="13612" width="7.28515625" customWidth="1"/>
    <col min="13613" max="13613" width="8" customWidth="1"/>
    <col min="13614" max="13614" width="8.42578125" customWidth="1"/>
    <col min="13615" max="13615" width="10.140625" customWidth="1"/>
    <col min="13616" max="13617" width="9.5703125" customWidth="1"/>
    <col min="13618" max="13618" width="7.42578125" customWidth="1"/>
    <col min="13619" max="13620" width="9.42578125" customWidth="1"/>
    <col min="13621" max="13621" width="9.28515625" customWidth="1"/>
    <col min="13622" max="13622" width="9.140625" customWidth="1"/>
    <col min="13623" max="13623" width="7.85546875" customWidth="1"/>
    <col min="13624" max="13624" width="8.5703125" customWidth="1"/>
    <col min="13625" max="13625" width="9.5703125" customWidth="1"/>
    <col min="13626" max="13627" width="7.7109375" customWidth="1"/>
    <col min="13628" max="13628" width="11" customWidth="1"/>
    <col min="13629" max="13629" width="7.140625" customWidth="1"/>
    <col min="13630" max="13630" width="8.7109375" customWidth="1"/>
    <col min="13631" max="13633" width="9.140625" customWidth="1"/>
    <col min="13634" max="13634" width="8.85546875" customWidth="1"/>
    <col min="13635" max="13635" width="9" customWidth="1"/>
    <col min="13636" max="13636" width="7.85546875" customWidth="1"/>
    <col min="13637" max="13637" width="9.85546875" customWidth="1"/>
    <col min="13638" max="13638" width="9" customWidth="1"/>
    <col min="13639" max="13652" width="7.85546875" customWidth="1"/>
    <col min="13825" max="13825" width="3" customWidth="1"/>
    <col min="13826" max="13826" width="17.28515625" customWidth="1"/>
    <col min="13827" max="13827" width="7.5703125" customWidth="1"/>
    <col min="13828" max="13828" width="9.85546875" customWidth="1"/>
    <col min="13829" max="13829" width="10.42578125" customWidth="1"/>
    <col min="13830" max="13830" width="6.7109375" customWidth="1"/>
    <col min="13831" max="13832" width="10.28515625" customWidth="1"/>
    <col min="13833" max="13833" width="5.7109375" customWidth="1"/>
    <col min="13834" max="13834" width="6.140625" customWidth="1"/>
    <col min="13835" max="13837" width="9.28515625" customWidth="1"/>
    <col min="13838" max="13838" width="9.42578125" customWidth="1"/>
    <col min="13839" max="13839" width="6.42578125" customWidth="1"/>
    <col min="13840" max="13840" width="7.5703125" customWidth="1"/>
    <col min="13841" max="13841" width="6.85546875" customWidth="1"/>
    <col min="13842" max="13842" width="9.28515625" customWidth="1"/>
    <col min="13843" max="13843" width="9" customWidth="1"/>
    <col min="13844" max="13844" width="5.7109375" customWidth="1"/>
    <col min="13845" max="13845" width="8.28515625" customWidth="1"/>
    <col min="13846" max="13848" width="7.7109375" customWidth="1"/>
    <col min="13849" max="13849" width="7.5703125" customWidth="1"/>
    <col min="13850" max="13850" width="6.85546875" customWidth="1"/>
    <col min="13851" max="13851" width="7.5703125" customWidth="1"/>
    <col min="13852" max="13852" width="6.85546875" customWidth="1"/>
    <col min="13853" max="13854" width="7.5703125" customWidth="1"/>
    <col min="13855" max="13855" width="9.7109375" customWidth="1"/>
    <col min="13856" max="13857" width="0" hidden="1" customWidth="1"/>
    <col min="13858" max="13858" width="7.28515625" customWidth="1"/>
    <col min="13859" max="13859" width="8.42578125" customWidth="1"/>
    <col min="13860" max="13860" width="8.7109375" customWidth="1"/>
    <col min="13861" max="13861" width="5.85546875" customWidth="1"/>
    <col min="13862" max="13864" width="7.28515625" customWidth="1"/>
    <col min="13865" max="13865" width="10.28515625" customWidth="1"/>
    <col min="13866" max="13866" width="9" customWidth="1"/>
    <col min="13867" max="13868" width="7.28515625" customWidth="1"/>
    <col min="13869" max="13869" width="8" customWidth="1"/>
    <col min="13870" max="13870" width="8.42578125" customWidth="1"/>
    <col min="13871" max="13871" width="10.140625" customWidth="1"/>
    <col min="13872" max="13873" width="9.5703125" customWidth="1"/>
    <col min="13874" max="13874" width="7.42578125" customWidth="1"/>
    <col min="13875" max="13876" width="9.42578125" customWidth="1"/>
    <col min="13877" max="13877" width="9.28515625" customWidth="1"/>
    <col min="13878" max="13878" width="9.140625" customWidth="1"/>
    <col min="13879" max="13879" width="7.85546875" customWidth="1"/>
    <col min="13880" max="13880" width="8.5703125" customWidth="1"/>
    <col min="13881" max="13881" width="9.5703125" customWidth="1"/>
    <col min="13882" max="13883" width="7.7109375" customWidth="1"/>
    <col min="13884" max="13884" width="11" customWidth="1"/>
    <col min="13885" max="13885" width="7.140625" customWidth="1"/>
    <col min="13886" max="13886" width="8.7109375" customWidth="1"/>
    <col min="13887" max="13889" width="9.140625" customWidth="1"/>
    <col min="13890" max="13890" width="8.85546875" customWidth="1"/>
    <col min="13891" max="13891" width="9" customWidth="1"/>
    <col min="13892" max="13892" width="7.85546875" customWidth="1"/>
    <col min="13893" max="13893" width="9.85546875" customWidth="1"/>
    <col min="13894" max="13894" width="9" customWidth="1"/>
    <col min="13895" max="13908" width="7.85546875" customWidth="1"/>
    <col min="14081" max="14081" width="3" customWidth="1"/>
    <col min="14082" max="14082" width="17.28515625" customWidth="1"/>
    <col min="14083" max="14083" width="7.5703125" customWidth="1"/>
    <col min="14084" max="14084" width="9.85546875" customWidth="1"/>
    <col min="14085" max="14085" width="10.42578125" customWidth="1"/>
    <col min="14086" max="14086" width="6.7109375" customWidth="1"/>
    <col min="14087" max="14088" width="10.28515625" customWidth="1"/>
    <col min="14089" max="14089" width="5.7109375" customWidth="1"/>
    <col min="14090" max="14090" width="6.140625" customWidth="1"/>
    <col min="14091" max="14093" width="9.28515625" customWidth="1"/>
    <col min="14094" max="14094" width="9.42578125" customWidth="1"/>
    <col min="14095" max="14095" width="6.42578125" customWidth="1"/>
    <col min="14096" max="14096" width="7.5703125" customWidth="1"/>
    <col min="14097" max="14097" width="6.85546875" customWidth="1"/>
    <col min="14098" max="14098" width="9.28515625" customWidth="1"/>
    <col min="14099" max="14099" width="9" customWidth="1"/>
    <col min="14100" max="14100" width="5.7109375" customWidth="1"/>
    <col min="14101" max="14101" width="8.28515625" customWidth="1"/>
    <col min="14102" max="14104" width="7.7109375" customWidth="1"/>
    <col min="14105" max="14105" width="7.5703125" customWidth="1"/>
    <col min="14106" max="14106" width="6.85546875" customWidth="1"/>
    <col min="14107" max="14107" width="7.5703125" customWidth="1"/>
    <col min="14108" max="14108" width="6.85546875" customWidth="1"/>
    <col min="14109" max="14110" width="7.5703125" customWidth="1"/>
    <col min="14111" max="14111" width="9.7109375" customWidth="1"/>
    <col min="14112" max="14113" width="0" hidden="1" customWidth="1"/>
    <col min="14114" max="14114" width="7.28515625" customWidth="1"/>
    <col min="14115" max="14115" width="8.42578125" customWidth="1"/>
    <col min="14116" max="14116" width="8.7109375" customWidth="1"/>
    <col min="14117" max="14117" width="5.85546875" customWidth="1"/>
    <col min="14118" max="14120" width="7.28515625" customWidth="1"/>
    <col min="14121" max="14121" width="10.28515625" customWidth="1"/>
    <col min="14122" max="14122" width="9" customWidth="1"/>
    <col min="14123" max="14124" width="7.28515625" customWidth="1"/>
    <col min="14125" max="14125" width="8" customWidth="1"/>
    <col min="14126" max="14126" width="8.42578125" customWidth="1"/>
    <col min="14127" max="14127" width="10.140625" customWidth="1"/>
    <col min="14128" max="14129" width="9.5703125" customWidth="1"/>
    <col min="14130" max="14130" width="7.42578125" customWidth="1"/>
    <col min="14131" max="14132" width="9.42578125" customWidth="1"/>
    <col min="14133" max="14133" width="9.28515625" customWidth="1"/>
    <col min="14134" max="14134" width="9.140625" customWidth="1"/>
    <col min="14135" max="14135" width="7.85546875" customWidth="1"/>
    <col min="14136" max="14136" width="8.5703125" customWidth="1"/>
    <col min="14137" max="14137" width="9.5703125" customWidth="1"/>
    <col min="14138" max="14139" width="7.7109375" customWidth="1"/>
    <col min="14140" max="14140" width="11" customWidth="1"/>
    <col min="14141" max="14141" width="7.140625" customWidth="1"/>
    <col min="14142" max="14142" width="8.7109375" customWidth="1"/>
    <col min="14143" max="14145" width="9.140625" customWidth="1"/>
    <col min="14146" max="14146" width="8.85546875" customWidth="1"/>
    <col min="14147" max="14147" width="9" customWidth="1"/>
    <col min="14148" max="14148" width="7.85546875" customWidth="1"/>
    <col min="14149" max="14149" width="9.85546875" customWidth="1"/>
    <col min="14150" max="14150" width="9" customWidth="1"/>
    <col min="14151" max="14164" width="7.85546875" customWidth="1"/>
    <col min="14337" max="14337" width="3" customWidth="1"/>
    <col min="14338" max="14338" width="17.28515625" customWidth="1"/>
    <col min="14339" max="14339" width="7.5703125" customWidth="1"/>
    <col min="14340" max="14340" width="9.85546875" customWidth="1"/>
    <col min="14341" max="14341" width="10.42578125" customWidth="1"/>
    <col min="14342" max="14342" width="6.7109375" customWidth="1"/>
    <col min="14343" max="14344" width="10.28515625" customWidth="1"/>
    <col min="14345" max="14345" width="5.7109375" customWidth="1"/>
    <col min="14346" max="14346" width="6.140625" customWidth="1"/>
    <col min="14347" max="14349" width="9.28515625" customWidth="1"/>
    <col min="14350" max="14350" width="9.42578125" customWidth="1"/>
    <col min="14351" max="14351" width="6.42578125" customWidth="1"/>
    <col min="14352" max="14352" width="7.5703125" customWidth="1"/>
    <col min="14353" max="14353" width="6.85546875" customWidth="1"/>
    <col min="14354" max="14354" width="9.28515625" customWidth="1"/>
    <col min="14355" max="14355" width="9" customWidth="1"/>
    <col min="14356" max="14356" width="5.7109375" customWidth="1"/>
    <col min="14357" max="14357" width="8.28515625" customWidth="1"/>
    <col min="14358" max="14360" width="7.7109375" customWidth="1"/>
    <col min="14361" max="14361" width="7.5703125" customWidth="1"/>
    <col min="14362" max="14362" width="6.85546875" customWidth="1"/>
    <col min="14363" max="14363" width="7.5703125" customWidth="1"/>
    <col min="14364" max="14364" width="6.85546875" customWidth="1"/>
    <col min="14365" max="14366" width="7.5703125" customWidth="1"/>
    <col min="14367" max="14367" width="9.7109375" customWidth="1"/>
    <col min="14368" max="14369" width="0" hidden="1" customWidth="1"/>
    <col min="14370" max="14370" width="7.28515625" customWidth="1"/>
    <col min="14371" max="14371" width="8.42578125" customWidth="1"/>
    <col min="14372" max="14372" width="8.7109375" customWidth="1"/>
    <col min="14373" max="14373" width="5.85546875" customWidth="1"/>
    <col min="14374" max="14376" width="7.28515625" customWidth="1"/>
    <col min="14377" max="14377" width="10.28515625" customWidth="1"/>
    <col min="14378" max="14378" width="9" customWidth="1"/>
    <col min="14379" max="14380" width="7.28515625" customWidth="1"/>
    <col min="14381" max="14381" width="8" customWidth="1"/>
    <col min="14382" max="14382" width="8.42578125" customWidth="1"/>
    <col min="14383" max="14383" width="10.140625" customWidth="1"/>
    <col min="14384" max="14385" width="9.5703125" customWidth="1"/>
    <col min="14386" max="14386" width="7.42578125" customWidth="1"/>
    <col min="14387" max="14388" width="9.42578125" customWidth="1"/>
    <col min="14389" max="14389" width="9.28515625" customWidth="1"/>
    <col min="14390" max="14390" width="9.140625" customWidth="1"/>
    <col min="14391" max="14391" width="7.85546875" customWidth="1"/>
    <col min="14392" max="14392" width="8.5703125" customWidth="1"/>
    <col min="14393" max="14393" width="9.5703125" customWidth="1"/>
    <col min="14394" max="14395" width="7.7109375" customWidth="1"/>
    <col min="14396" max="14396" width="11" customWidth="1"/>
    <col min="14397" max="14397" width="7.140625" customWidth="1"/>
    <col min="14398" max="14398" width="8.7109375" customWidth="1"/>
    <col min="14399" max="14401" width="9.140625" customWidth="1"/>
    <col min="14402" max="14402" width="8.85546875" customWidth="1"/>
    <col min="14403" max="14403" width="9" customWidth="1"/>
    <col min="14404" max="14404" width="7.85546875" customWidth="1"/>
    <col min="14405" max="14405" width="9.85546875" customWidth="1"/>
    <col min="14406" max="14406" width="9" customWidth="1"/>
    <col min="14407" max="14420" width="7.85546875" customWidth="1"/>
    <col min="14593" max="14593" width="3" customWidth="1"/>
    <col min="14594" max="14594" width="17.28515625" customWidth="1"/>
    <col min="14595" max="14595" width="7.5703125" customWidth="1"/>
    <col min="14596" max="14596" width="9.85546875" customWidth="1"/>
    <col min="14597" max="14597" width="10.42578125" customWidth="1"/>
    <col min="14598" max="14598" width="6.7109375" customWidth="1"/>
    <col min="14599" max="14600" width="10.28515625" customWidth="1"/>
    <col min="14601" max="14601" width="5.7109375" customWidth="1"/>
    <col min="14602" max="14602" width="6.140625" customWidth="1"/>
    <col min="14603" max="14605" width="9.28515625" customWidth="1"/>
    <col min="14606" max="14606" width="9.42578125" customWidth="1"/>
    <col min="14607" max="14607" width="6.42578125" customWidth="1"/>
    <col min="14608" max="14608" width="7.5703125" customWidth="1"/>
    <col min="14609" max="14609" width="6.85546875" customWidth="1"/>
    <col min="14610" max="14610" width="9.28515625" customWidth="1"/>
    <col min="14611" max="14611" width="9" customWidth="1"/>
    <col min="14612" max="14612" width="5.7109375" customWidth="1"/>
    <col min="14613" max="14613" width="8.28515625" customWidth="1"/>
    <col min="14614" max="14616" width="7.7109375" customWidth="1"/>
    <col min="14617" max="14617" width="7.5703125" customWidth="1"/>
    <col min="14618" max="14618" width="6.85546875" customWidth="1"/>
    <col min="14619" max="14619" width="7.5703125" customWidth="1"/>
    <col min="14620" max="14620" width="6.85546875" customWidth="1"/>
    <col min="14621" max="14622" width="7.5703125" customWidth="1"/>
    <col min="14623" max="14623" width="9.7109375" customWidth="1"/>
    <col min="14624" max="14625" width="0" hidden="1" customWidth="1"/>
    <col min="14626" max="14626" width="7.28515625" customWidth="1"/>
    <col min="14627" max="14627" width="8.42578125" customWidth="1"/>
    <col min="14628" max="14628" width="8.7109375" customWidth="1"/>
    <col min="14629" max="14629" width="5.85546875" customWidth="1"/>
    <col min="14630" max="14632" width="7.28515625" customWidth="1"/>
    <col min="14633" max="14633" width="10.28515625" customWidth="1"/>
    <col min="14634" max="14634" width="9" customWidth="1"/>
    <col min="14635" max="14636" width="7.28515625" customWidth="1"/>
    <col min="14637" max="14637" width="8" customWidth="1"/>
    <col min="14638" max="14638" width="8.42578125" customWidth="1"/>
    <col min="14639" max="14639" width="10.140625" customWidth="1"/>
    <col min="14640" max="14641" width="9.5703125" customWidth="1"/>
    <col min="14642" max="14642" width="7.42578125" customWidth="1"/>
    <col min="14643" max="14644" width="9.42578125" customWidth="1"/>
    <col min="14645" max="14645" width="9.28515625" customWidth="1"/>
    <col min="14646" max="14646" width="9.140625" customWidth="1"/>
    <col min="14647" max="14647" width="7.85546875" customWidth="1"/>
    <col min="14648" max="14648" width="8.5703125" customWidth="1"/>
    <col min="14649" max="14649" width="9.5703125" customWidth="1"/>
    <col min="14650" max="14651" width="7.7109375" customWidth="1"/>
    <col min="14652" max="14652" width="11" customWidth="1"/>
    <col min="14653" max="14653" width="7.140625" customWidth="1"/>
    <col min="14654" max="14654" width="8.7109375" customWidth="1"/>
    <col min="14655" max="14657" width="9.140625" customWidth="1"/>
    <col min="14658" max="14658" width="8.85546875" customWidth="1"/>
    <col min="14659" max="14659" width="9" customWidth="1"/>
    <col min="14660" max="14660" width="7.85546875" customWidth="1"/>
    <col min="14661" max="14661" width="9.85546875" customWidth="1"/>
    <col min="14662" max="14662" width="9" customWidth="1"/>
    <col min="14663" max="14676" width="7.85546875" customWidth="1"/>
    <col min="14849" max="14849" width="3" customWidth="1"/>
    <col min="14850" max="14850" width="17.28515625" customWidth="1"/>
    <col min="14851" max="14851" width="7.5703125" customWidth="1"/>
    <col min="14852" max="14852" width="9.85546875" customWidth="1"/>
    <col min="14853" max="14853" width="10.42578125" customWidth="1"/>
    <col min="14854" max="14854" width="6.7109375" customWidth="1"/>
    <col min="14855" max="14856" width="10.28515625" customWidth="1"/>
    <col min="14857" max="14857" width="5.7109375" customWidth="1"/>
    <col min="14858" max="14858" width="6.140625" customWidth="1"/>
    <col min="14859" max="14861" width="9.28515625" customWidth="1"/>
    <col min="14862" max="14862" width="9.42578125" customWidth="1"/>
    <col min="14863" max="14863" width="6.42578125" customWidth="1"/>
    <col min="14864" max="14864" width="7.5703125" customWidth="1"/>
    <col min="14865" max="14865" width="6.85546875" customWidth="1"/>
    <col min="14866" max="14866" width="9.28515625" customWidth="1"/>
    <col min="14867" max="14867" width="9" customWidth="1"/>
    <col min="14868" max="14868" width="5.7109375" customWidth="1"/>
    <col min="14869" max="14869" width="8.28515625" customWidth="1"/>
    <col min="14870" max="14872" width="7.7109375" customWidth="1"/>
    <col min="14873" max="14873" width="7.5703125" customWidth="1"/>
    <col min="14874" max="14874" width="6.85546875" customWidth="1"/>
    <col min="14875" max="14875" width="7.5703125" customWidth="1"/>
    <col min="14876" max="14876" width="6.85546875" customWidth="1"/>
    <col min="14877" max="14878" width="7.5703125" customWidth="1"/>
    <col min="14879" max="14879" width="9.7109375" customWidth="1"/>
    <col min="14880" max="14881" width="0" hidden="1" customWidth="1"/>
    <col min="14882" max="14882" width="7.28515625" customWidth="1"/>
    <col min="14883" max="14883" width="8.42578125" customWidth="1"/>
    <col min="14884" max="14884" width="8.7109375" customWidth="1"/>
    <col min="14885" max="14885" width="5.85546875" customWidth="1"/>
    <col min="14886" max="14888" width="7.28515625" customWidth="1"/>
    <col min="14889" max="14889" width="10.28515625" customWidth="1"/>
    <col min="14890" max="14890" width="9" customWidth="1"/>
    <col min="14891" max="14892" width="7.28515625" customWidth="1"/>
    <col min="14893" max="14893" width="8" customWidth="1"/>
    <col min="14894" max="14894" width="8.42578125" customWidth="1"/>
    <col min="14895" max="14895" width="10.140625" customWidth="1"/>
    <col min="14896" max="14897" width="9.5703125" customWidth="1"/>
    <col min="14898" max="14898" width="7.42578125" customWidth="1"/>
    <col min="14899" max="14900" width="9.42578125" customWidth="1"/>
    <col min="14901" max="14901" width="9.28515625" customWidth="1"/>
    <col min="14902" max="14902" width="9.140625" customWidth="1"/>
    <col min="14903" max="14903" width="7.85546875" customWidth="1"/>
    <col min="14904" max="14904" width="8.5703125" customWidth="1"/>
    <col min="14905" max="14905" width="9.5703125" customWidth="1"/>
    <col min="14906" max="14907" width="7.7109375" customWidth="1"/>
    <col min="14908" max="14908" width="11" customWidth="1"/>
    <col min="14909" max="14909" width="7.140625" customWidth="1"/>
    <col min="14910" max="14910" width="8.7109375" customWidth="1"/>
    <col min="14911" max="14913" width="9.140625" customWidth="1"/>
    <col min="14914" max="14914" width="8.85546875" customWidth="1"/>
    <col min="14915" max="14915" width="9" customWidth="1"/>
    <col min="14916" max="14916" width="7.85546875" customWidth="1"/>
    <col min="14917" max="14917" width="9.85546875" customWidth="1"/>
    <col min="14918" max="14918" width="9" customWidth="1"/>
    <col min="14919" max="14932" width="7.85546875" customWidth="1"/>
    <col min="15105" max="15105" width="3" customWidth="1"/>
    <col min="15106" max="15106" width="17.28515625" customWidth="1"/>
    <col min="15107" max="15107" width="7.5703125" customWidth="1"/>
    <col min="15108" max="15108" width="9.85546875" customWidth="1"/>
    <col min="15109" max="15109" width="10.42578125" customWidth="1"/>
    <col min="15110" max="15110" width="6.7109375" customWidth="1"/>
    <col min="15111" max="15112" width="10.28515625" customWidth="1"/>
    <col min="15113" max="15113" width="5.7109375" customWidth="1"/>
    <col min="15114" max="15114" width="6.140625" customWidth="1"/>
    <col min="15115" max="15117" width="9.28515625" customWidth="1"/>
    <col min="15118" max="15118" width="9.42578125" customWidth="1"/>
    <col min="15119" max="15119" width="6.42578125" customWidth="1"/>
    <col min="15120" max="15120" width="7.5703125" customWidth="1"/>
    <col min="15121" max="15121" width="6.85546875" customWidth="1"/>
    <col min="15122" max="15122" width="9.28515625" customWidth="1"/>
    <col min="15123" max="15123" width="9" customWidth="1"/>
    <col min="15124" max="15124" width="5.7109375" customWidth="1"/>
    <col min="15125" max="15125" width="8.28515625" customWidth="1"/>
    <col min="15126" max="15128" width="7.7109375" customWidth="1"/>
    <col min="15129" max="15129" width="7.5703125" customWidth="1"/>
    <col min="15130" max="15130" width="6.85546875" customWidth="1"/>
    <col min="15131" max="15131" width="7.5703125" customWidth="1"/>
    <col min="15132" max="15132" width="6.85546875" customWidth="1"/>
    <col min="15133" max="15134" width="7.5703125" customWidth="1"/>
    <col min="15135" max="15135" width="9.7109375" customWidth="1"/>
    <col min="15136" max="15137" width="0" hidden="1" customWidth="1"/>
    <col min="15138" max="15138" width="7.28515625" customWidth="1"/>
    <col min="15139" max="15139" width="8.42578125" customWidth="1"/>
    <col min="15140" max="15140" width="8.7109375" customWidth="1"/>
    <col min="15141" max="15141" width="5.85546875" customWidth="1"/>
    <col min="15142" max="15144" width="7.28515625" customWidth="1"/>
    <col min="15145" max="15145" width="10.28515625" customWidth="1"/>
    <col min="15146" max="15146" width="9" customWidth="1"/>
    <col min="15147" max="15148" width="7.28515625" customWidth="1"/>
    <col min="15149" max="15149" width="8" customWidth="1"/>
    <col min="15150" max="15150" width="8.42578125" customWidth="1"/>
    <col min="15151" max="15151" width="10.140625" customWidth="1"/>
    <col min="15152" max="15153" width="9.5703125" customWidth="1"/>
    <col min="15154" max="15154" width="7.42578125" customWidth="1"/>
    <col min="15155" max="15156" width="9.42578125" customWidth="1"/>
    <col min="15157" max="15157" width="9.28515625" customWidth="1"/>
    <col min="15158" max="15158" width="9.140625" customWidth="1"/>
    <col min="15159" max="15159" width="7.85546875" customWidth="1"/>
    <col min="15160" max="15160" width="8.5703125" customWidth="1"/>
    <col min="15161" max="15161" width="9.5703125" customWidth="1"/>
    <col min="15162" max="15163" width="7.7109375" customWidth="1"/>
    <col min="15164" max="15164" width="11" customWidth="1"/>
    <col min="15165" max="15165" width="7.140625" customWidth="1"/>
    <col min="15166" max="15166" width="8.7109375" customWidth="1"/>
    <col min="15167" max="15169" width="9.140625" customWidth="1"/>
    <col min="15170" max="15170" width="8.85546875" customWidth="1"/>
    <col min="15171" max="15171" width="9" customWidth="1"/>
    <col min="15172" max="15172" width="7.85546875" customWidth="1"/>
    <col min="15173" max="15173" width="9.85546875" customWidth="1"/>
    <col min="15174" max="15174" width="9" customWidth="1"/>
    <col min="15175" max="15188" width="7.85546875" customWidth="1"/>
    <col min="15361" max="15361" width="3" customWidth="1"/>
    <col min="15362" max="15362" width="17.28515625" customWidth="1"/>
    <col min="15363" max="15363" width="7.5703125" customWidth="1"/>
    <col min="15364" max="15364" width="9.85546875" customWidth="1"/>
    <col min="15365" max="15365" width="10.42578125" customWidth="1"/>
    <col min="15366" max="15366" width="6.7109375" customWidth="1"/>
    <col min="15367" max="15368" width="10.28515625" customWidth="1"/>
    <col min="15369" max="15369" width="5.7109375" customWidth="1"/>
    <col min="15370" max="15370" width="6.140625" customWidth="1"/>
    <col min="15371" max="15373" width="9.28515625" customWidth="1"/>
    <col min="15374" max="15374" width="9.42578125" customWidth="1"/>
    <col min="15375" max="15375" width="6.42578125" customWidth="1"/>
    <col min="15376" max="15376" width="7.5703125" customWidth="1"/>
    <col min="15377" max="15377" width="6.85546875" customWidth="1"/>
    <col min="15378" max="15378" width="9.28515625" customWidth="1"/>
    <col min="15379" max="15379" width="9" customWidth="1"/>
    <col min="15380" max="15380" width="5.7109375" customWidth="1"/>
    <col min="15381" max="15381" width="8.28515625" customWidth="1"/>
    <col min="15382" max="15384" width="7.7109375" customWidth="1"/>
    <col min="15385" max="15385" width="7.5703125" customWidth="1"/>
    <col min="15386" max="15386" width="6.85546875" customWidth="1"/>
    <col min="15387" max="15387" width="7.5703125" customWidth="1"/>
    <col min="15388" max="15388" width="6.85546875" customWidth="1"/>
    <col min="15389" max="15390" width="7.5703125" customWidth="1"/>
    <col min="15391" max="15391" width="9.7109375" customWidth="1"/>
    <col min="15392" max="15393" width="0" hidden="1" customWidth="1"/>
    <col min="15394" max="15394" width="7.28515625" customWidth="1"/>
    <col min="15395" max="15395" width="8.42578125" customWidth="1"/>
    <col min="15396" max="15396" width="8.7109375" customWidth="1"/>
    <col min="15397" max="15397" width="5.85546875" customWidth="1"/>
    <col min="15398" max="15400" width="7.28515625" customWidth="1"/>
    <col min="15401" max="15401" width="10.28515625" customWidth="1"/>
    <col min="15402" max="15402" width="9" customWidth="1"/>
    <col min="15403" max="15404" width="7.28515625" customWidth="1"/>
    <col min="15405" max="15405" width="8" customWidth="1"/>
    <col min="15406" max="15406" width="8.42578125" customWidth="1"/>
    <col min="15407" max="15407" width="10.140625" customWidth="1"/>
    <col min="15408" max="15409" width="9.5703125" customWidth="1"/>
    <col min="15410" max="15410" width="7.42578125" customWidth="1"/>
    <col min="15411" max="15412" width="9.42578125" customWidth="1"/>
    <col min="15413" max="15413" width="9.28515625" customWidth="1"/>
    <col min="15414" max="15414" width="9.140625" customWidth="1"/>
    <col min="15415" max="15415" width="7.85546875" customWidth="1"/>
    <col min="15416" max="15416" width="8.5703125" customWidth="1"/>
    <col min="15417" max="15417" width="9.5703125" customWidth="1"/>
    <col min="15418" max="15419" width="7.7109375" customWidth="1"/>
    <col min="15420" max="15420" width="11" customWidth="1"/>
    <col min="15421" max="15421" width="7.140625" customWidth="1"/>
    <col min="15422" max="15422" width="8.7109375" customWidth="1"/>
    <col min="15423" max="15425" width="9.140625" customWidth="1"/>
    <col min="15426" max="15426" width="8.85546875" customWidth="1"/>
    <col min="15427" max="15427" width="9" customWidth="1"/>
    <col min="15428" max="15428" width="7.85546875" customWidth="1"/>
    <col min="15429" max="15429" width="9.85546875" customWidth="1"/>
    <col min="15430" max="15430" width="9" customWidth="1"/>
    <col min="15431" max="15444" width="7.85546875" customWidth="1"/>
    <col min="15617" max="15617" width="3" customWidth="1"/>
    <col min="15618" max="15618" width="17.28515625" customWidth="1"/>
    <col min="15619" max="15619" width="7.5703125" customWidth="1"/>
    <col min="15620" max="15620" width="9.85546875" customWidth="1"/>
    <col min="15621" max="15621" width="10.42578125" customWidth="1"/>
    <col min="15622" max="15622" width="6.7109375" customWidth="1"/>
    <col min="15623" max="15624" width="10.28515625" customWidth="1"/>
    <col min="15625" max="15625" width="5.7109375" customWidth="1"/>
    <col min="15626" max="15626" width="6.140625" customWidth="1"/>
    <col min="15627" max="15629" width="9.28515625" customWidth="1"/>
    <col min="15630" max="15630" width="9.42578125" customWidth="1"/>
    <col min="15631" max="15631" width="6.42578125" customWidth="1"/>
    <col min="15632" max="15632" width="7.5703125" customWidth="1"/>
    <col min="15633" max="15633" width="6.85546875" customWidth="1"/>
    <col min="15634" max="15634" width="9.28515625" customWidth="1"/>
    <col min="15635" max="15635" width="9" customWidth="1"/>
    <col min="15636" max="15636" width="5.7109375" customWidth="1"/>
    <col min="15637" max="15637" width="8.28515625" customWidth="1"/>
    <col min="15638" max="15640" width="7.7109375" customWidth="1"/>
    <col min="15641" max="15641" width="7.5703125" customWidth="1"/>
    <col min="15642" max="15642" width="6.85546875" customWidth="1"/>
    <col min="15643" max="15643" width="7.5703125" customWidth="1"/>
    <col min="15644" max="15644" width="6.85546875" customWidth="1"/>
    <col min="15645" max="15646" width="7.5703125" customWidth="1"/>
    <col min="15647" max="15647" width="9.7109375" customWidth="1"/>
    <col min="15648" max="15649" width="0" hidden="1" customWidth="1"/>
    <col min="15650" max="15650" width="7.28515625" customWidth="1"/>
    <col min="15651" max="15651" width="8.42578125" customWidth="1"/>
    <col min="15652" max="15652" width="8.7109375" customWidth="1"/>
    <col min="15653" max="15653" width="5.85546875" customWidth="1"/>
    <col min="15654" max="15656" width="7.28515625" customWidth="1"/>
    <col min="15657" max="15657" width="10.28515625" customWidth="1"/>
    <col min="15658" max="15658" width="9" customWidth="1"/>
    <col min="15659" max="15660" width="7.28515625" customWidth="1"/>
    <col min="15661" max="15661" width="8" customWidth="1"/>
    <col min="15662" max="15662" width="8.42578125" customWidth="1"/>
    <col min="15663" max="15663" width="10.140625" customWidth="1"/>
    <col min="15664" max="15665" width="9.5703125" customWidth="1"/>
    <col min="15666" max="15666" width="7.42578125" customWidth="1"/>
    <col min="15667" max="15668" width="9.42578125" customWidth="1"/>
    <col min="15669" max="15669" width="9.28515625" customWidth="1"/>
    <col min="15670" max="15670" width="9.140625" customWidth="1"/>
    <col min="15671" max="15671" width="7.85546875" customWidth="1"/>
    <col min="15672" max="15672" width="8.5703125" customWidth="1"/>
    <col min="15673" max="15673" width="9.5703125" customWidth="1"/>
    <col min="15674" max="15675" width="7.7109375" customWidth="1"/>
    <col min="15676" max="15676" width="11" customWidth="1"/>
    <col min="15677" max="15677" width="7.140625" customWidth="1"/>
    <col min="15678" max="15678" width="8.7109375" customWidth="1"/>
    <col min="15679" max="15681" width="9.140625" customWidth="1"/>
    <col min="15682" max="15682" width="8.85546875" customWidth="1"/>
    <col min="15683" max="15683" width="9" customWidth="1"/>
    <col min="15684" max="15684" width="7.85546875" customWidth="1"/>
    <col min="15685" max="15685" width="9.85546875" customWidth="1"/>
    <col min="15686" max="15686" width="9" customWidth="1"/>
    <col min="15687" max="15700" width="7.85546875" customWidth="1"/>
    <col min="15873" max="15873" width="3" customWidth="1"/>
    <col min="15874" max="15874" width="17.28515625" customWidth="1"/>
    <col min="15875" max="15875" width="7.5703125" customWidth="1"/>
    <col min="15876" max="15876" width="9.85546875" customWidth="1"/>
    <col min="15877" max="15877" width="10.42578125" customWidth="1"/>
    <col min="15878" max="15878" width="6.7109375" customWidth="1"/>
    <col min="15879" max="15880" width="10.28515625" customWidth="1"/>
    <col min="15881" max="15881" width="5.7109375" customWidth="1"/>
    <col min="15882" max="15882" width="6.140625" customWidth="1"/>
    <col min="15883" max="15885" width="9.28515625" customWidth="1"/>
    <col min="15886" max="15886" width="9.42578125" customWidth="1"/>
    <col min="15887" max="15887" width="6.42578125" customWidth="1"/>
    <col min="15888" max="15888" width="7.5703125" customWidth="1"/>
    <col min="15889" max="15889" width="6.85546875" customWidth="1"/>
    <col min="15890" max="15890" width="9.28515625" customWidth="1"/>
    <col min="15891" max="15891" width="9" customWidth="1"/>
    <col min="15892" max="15892" width="5.7109375" customWidth="1"/>
    <col min="15893" max="15893" width="8.28515625" customWidth="1"/>
    <col min="15894" max="15896" width="7.7109375" customWidth="1"/>
    <col min="15897" max="15897" width="7.5703125" customWidth="1"/>
    <col min="15898" max="15898" width="6.85546875" customWidth="1"/>
    <col min="15899" max="15899" width="7.5703125" customWidth="1"/>
    <col min="15900" max="15900" width="6.85546875" customWidth="1"/>
    <col min="15901" max="15902" width="7.5703125" customWidth="1"/>
    <col min="15903" max="15903" width="9.7109375" customWidth="1"/>
    <col min="15904" max="15905" width="0" hidden="1" customWidth="1"/>
    <col min="15906" max="15906" width="7.28515625" customWidth="1"/>
    <col min="15907" max="15907" width="8.42578125" customWidth="1"/>
    <col min="15908" max="15908" width="8.7109375" customWidth="1"/>
    <col min="15909" max="15909" width="5.85546875" customWidth="1"/>
    <col min="15910" max="15912" width="7.28515625" customWidth="1"/>
    <col min="15913" max="15913" width="10.28515625" customWidth="1"/>
    <col min="15914" max="15914" width="9" customWidth="1"/>
    <col min="15915" max="15916" width="7.28515625" customWidth="1"/>
    <col min="15917" max="15917" width="8" customWidth="1"/>
    <col min="15918" max="15918" width="8.42578125" customWidth="1"/>
    <col min="15919" max="15919" width="10.140625" customWidth="1"/>
    <col min="15920" max="15921" width="9.5703125" customWidth="1"/>
    <col min="15922" max="15922" width="7.42578125" customWidth="1"/>
    <col min="15923" max="15924" width="9.42578125" customWidth="1"/>
    <col min="15925" max="15925" width="9.28515625" customWidth="1"/>
    <col min="15926" max="15926" width="9.140625" customWidth="1"/>
    <col min="15927" max="15927" width="7.85546875" customWidth="1"/>
    <col min="15928" max="15928" width="8.5703125" customWidth="1"/>
    <col min="15929" max="15929" width="9.5703125" customWidth="1"/>
    <col min="15930" max="15931" width="7.7109375" customWidth="1"/>
    <col min="15932" max="15932" width="11" customWidth="1"/>
    <col min="15933" max="15933" width="7.140625" customWidth="1"/>
    <col min="15934" max="15934" width="8.7109375" customWidth="1"/>
    <col min="15935" max="15937" width="9.140625" customWidth="1"/>
    <col min="15938" max="15938" width="8.85546875" customWidth="1"/>
    <col min="15939" max="15939" width="9" customWidth="1"/>
    <col min="15940" max="15940" width="7.85546875" customWidth="1"/>
    <col min="15941" max="15941" width="9.85546875" customWidth="1"/>
    <col min="15942" max="15942" width="9" customWidth="1"/>
    <col min="15943" max="15956" width="7.85546875" customWidth="1"/>
    <col min="16129" max="16129" width="3" customWidth="1"/>
    <col min="16130" max="16130" width="17.28515625" customWidth="1"/>
    <col min="16131" max="16131" width="7.5703125" customWidth="1"/>
    <col min="16132" max="16132" width="9.85546875" customWidth="1"/>
    <col min="16133" max="16133" width="10.42578125" customWidth="1"/>
    <col min="16134" max="16134" width="6.7109375" customWidth="1"/>
    <col min="16135" max="16136" width="10.28515625" customWidth="1"/>
    <col min="16137" max="16137" width="5.7109375" customWidth="1"/>
    <col min="16138" max="16138" width="6.140625" customWidth="1"/>
    <col min="16139" max="16141" width="9.28515625" customWidth="1"/>
    <col min="16142" max="16142" width="9.42578125" customWidth="1"/>
    <col min="16143" max="16143" width="6.42578125" customWidth="1"/>
    <col min="16144" max="16144" width="7.5703125" customWidth="1"/>
    <col min="16145" max="16145" width="6.85546875" customWidth="1"/>
    <col min="16146" max="16146" width="9.28515625" customWidth="1"/>
    <col min="16147" max="16147" width="9" customWidth="1"/>
    <col min="16148" max="16148" width="5.7109375" customWidth="1"/>
    <col min="16149" max="16149" width="8.28515625" customWidth="1"/>
    <col min="16150" max="16152" width="7.7109375" customWidth="1"/>
    <col min="16153" max="16153" width="7.5703125" customWidth="1"/>
    <col min="16154" max="16154" width="6.85546875" customWidth="1"/>
    <col min="16155" max="16155" width="7.5703125" customWidth="1"/>
    <col min="16156" max="16156" width="6.85546875" customWidth="1"/>
    <col min="16157" max="16158" width="7.5703125" customWidth="1"/>
    <col min="16159" max="16159" width="9.7109375" customWidth="1"/>
    <col min="16160" max="16161" width="0" hidden="1" customWidth="1"/>
    <col min="16162" max="16162" width="7.28515625" customWidth="1"/>
    <col min="16163" max="16163" width="8.42578125" customWidth="1"/>
    <col min="16164" max="16164" width="8.7109375" customWidth="1"/>
    <col min="16165" max="16165" width="5.85546875" customWidth="1"/>
    <col min="16166" max="16168" width="7.28515625" customWidth="1"/>
    <col min="16169" max="16169" width="10.28515625" customWidth="1"/>
    <col min="16170" max="16170" width="9" customWidth="1"/>
    <col min="16171" max="16172" width="7.28515625" customWidth="1"/>
    <col min="16173" max="16173" width="8" customWidth="1"/>
    <col min="16174" max="16174" width="8.42578125" customWidth="1"/>
    <col min="16175" max="16175" width="10.140625" customWidth="1"/>
    <col min="16176" max="16177" width="9.5703125" customWidth="1"/>
    <col min="16178" max="16178" width="7.42578125" customWidth="1"/>
    <col min="16179" max="16180" width="9.42578125" customWidth="1"/>
    <col min="16181" max="16181" width="9.28515625" customWidth="1"/>
    <col min="16182" max="16182" width="9.140625" customWidth="1"/>
    <col min="16183" max="16183" width="7.85546875" customWidth="1"/>
    <col min="16184" max="16184" width="8.5703125" customWidth="1"/>
    <col min="16185" max="16185" width="9.5703125" customWidth="1"/>
    <col min="16186" max="16187" width="7.7109375" customWidth="1"/>
    <col min="16188" max="16188" width="11" customWidth="1"/>
    <col min="16189" max="16189" width="7.140625" customWidth="1"/>
    <col min="16190" max="16190" width="8.7109375" customWidth="1"/>
    <col min="16191" max="16193" width="9.140625" customWidth="1"/>
    <col min="16194" max="16194" width="8.85546875" customWidth="1"/>
    <col min="16195" max="16195" width="9" customWidth="1"/>
    <col min="16196" max="16196" width="7.85546875" customWidth="1"/>
    <col min="16197" max="16197" width="9.85546875" customWidth="1"/>
    <col min="16198" max="16198" width="9" customWidth="1"/>
    <col min="16199" max="16212" width="7.85546875" customWidth="1"/>
  </cols>
  <sheetData>
    <row r="1" spans="1:70">
      <c r="V1" s="477" t="s">
        <v>1831</v>
      </c>
      <c r="W1" s="478"/>
      <c r="X1" s="478"/>
      <c r="Y1" s="478"/>
      <c r="Z1" s="478"/>
      <c r="AA1" s="478"/>
      <c r="AF1" s="1730"/>
      <c r="AG1" s="1730"/>
      <c r="AW1" s="477" t="s">
        <v>1832</v>
      </c>
      <c r="BK1" s="1731" t="s">
        <v>1833</v>
      </c>
      <c r="BL1" s="1731"/>
      <c r="BM1" s="1731"/>
    </row>
    <row r="2" spans="1:70">
      <c r="V2" s="482"/>
      <c r="W2" s="482"/>
      <c r="X2" s="482"/>
      <c r="Y2" s="482"/>
      <c r="Z2" s="482"/>
      <c r="AA2" s="482"/>
      <c r="AF2" s="482"/>
      <c r="AG2" s="482"/>
      <c r="BK2" s="483"/>
      <c r="BL2" s="483"/>
      <c r="BM2" s="483"/>
    </row>
    <row r="3" spans="1:70">
      <c r="V3" s="482"/>
      <c r="W3" s="482"/>
      <c r="X3" s="482"/>
      <c r="Y3" s="482"/>
      <c r="Z3" s="482"/>
      <c r="AA3" s="482"/>
      <c r="AF3" s="482"/>
      <c r="AG3" s="482"/>
      <c r="BK3" s="483"/>
      <c r="BL3" s="483"/>
      <c r="BM3" s="483"/>
    </row>
    <row r="4" spans="1:70" ht="18.75">
      <c r="A4" s="1732" t="s">
        <v>1834</v>
      </c>
      <c r="B4" s="1732"/>
      <c r="C4" s="1732"/>
      <c r="D4" s="1732"/>
      <c r="E4" s="1732"/>
      <c r="F4" s="1732"/>
      <c r="G4" s="1732"/>
      <c r="H4" s="1732"/>
      <c r="I4" s="1732"/>
      <c r="J4" s="1732"/>
      <c r="K4" s="1732"/>
      <c r="L4" s="1732"/>
      <c r="M4" s="1732"/>
      <c r="N4" s="1732"/>
      <c r="O4" s="1732"/>
      <c r="P4" s="1732"/>
      <c r="Q4" s="1732"/>
      <c r="R4" s="1732"/>
      <c r="S4" s="1732"/>
      <c r="T4" s="1732"/>
      <c r="U4" s="1732"/>
      <c r="V4" s="1732"/>
      <c r="W4" s="1732"/>
      <c r="X4" s="1732" t="s">
        <v>1834</v>
      </c>
      <c r="Y4" s="1732"/>
      <c r="Z4" s="1732"/>
      <c r="AA4" s="1732"/>
      <c r="AB4" s="1732"/>
      <c r="AC4" s="1732"/>
      <c r="AD4" s="1732"/>
      <c r="AE4" s="1732"/>
      <c r="AF4" s="1732"/>
      <c r="AG4" s="1732"/>
      <c r="AH4" s="1732"/>
      <c r="AI4" s="1732"/>
      <c r="AJ4" s="1732"/>
      <c r="AK4" s="1732"/>
      <c r="AL4" s="1732"/>
      <c r="AM4" s="1732"/>
      <c r="AN4" s="1732"/>
      <c r="AO4" s="1732"/>
      <c r="AP4" s="1732"/>
      <c r="AQ4" s="1732"/>
      <c r="AR4" s="1732"/>
      <c r="AS4" s="1732"/>
      <c r="AT4" s="1732"/>
      <c r="AU4" s="484"/>
      <c r="AV4" s="1732" t="s">
        <v>1834</v>
      </c>
      <c r="AW4" s="1732"/>
      <c r="AX4" s="1732"/>
      <c r="AY4" s="1732"/>
      <c r="AZ4" s="1732"/>
      <c r="BA4" s="1732"/>
      <c r="BB4" s="1732"/>
      <c r="BC4" s="1732"/>
      <c r="BD4" s="1732"/>
      <c r="BE4" s="1732"/>
      <c r="BF4" s="1732"/>
      <c r="BG4" s="1732"/>
      <c r="BH4" s="1732"/>
      <c r="BI4" s="1732"/>
      <c r="BJ4" s="1732"/>
      <c r="BK4" s="1732"/>
      <c r="BL4" s="1732"/>
      <c r="BM4" s="1732"/>
      <c r="BN4" s="1732"/>
      <c r="BO4" s="1732"/>
      <c r="BP4" s="1732"/>
      <c r="BQ4" s="1732"/>
      <c r="BR4" s="1732"/>
    </row>
    <row r="5" spans="1:70" s="325" customFormat="1" ht="15" customHeight="1" thickBot="1">
      <c r="A5" s="1729" t="s">
        <v>1835</v>
      </c>
      <c r="B5" s="1729"/>
      <c r="C5" s="1729"/>
      <c r="D5" s="1729"/>
      <c r="E5" s="1729"/>
      <c r="F5" s="1729"/>
      <c r="G5" s="1729"/>
      <c r="H5" s="1729"/>
      <c r="I5" s="1729"/>
      <c r="J5" s="1729"/>
      <c r="K5" s="1729"/>
      <c r="L5" s="1729"/>
      <c r="M5" s="1729"/>
      <c r="N5" s="1729"/>
      <c r="O5" s="1729"/>
      <c r="P5" s="1729"/>
      <c r="Q5" s="1729"/>
      <c r="R5" s="1729"/>
      <c r="S5" s="1729"/>
      <c r="T5" s="1729"/>
      <c r="U5" s="1729"/>
      <c r="V5" s="1729"/>
      <c r="W5" s="1729"/>
      <c r="X5" s="1729" t="s">
        <v>1835</v>
      </c>
      <c r="Y5" s="1729"/>
      <c r="Z5" s="1729"/>
      <c r="AA5" s="1729"/>
      <c r="AB5" s="1729"/>
      <c r="AC5" s="1729"/>
      <c r="AD5" s="1729"/>
      <c r="AE5" s="1729"/>
      <c r="AF5" s="1729"/>
      <c r="AG5" s="1729"/>
      <c r="AH5" s="1729"/>
      <c r="AI5" s="1729"/>
      <c r="AJ5" s="1729"/>
      <c r="AK5" s="1729"/>
      <c r="AL5" s="1729"/>
      <c r="AM5" s="1729"/>
      <c r="AN5" s="1729"/>
      <c r="AO5" s="1729"/>
      <c r="AP5" s="1729"/>
      <c r="AQ5" s="1729"/>
      <c r="AR5" s="1729"/>
      <c r="AS5" s="1729"/>
      <c r="AT5" s="1729"/>
      <c r="AU5" s="485"/>
      <c r="AV5" s="1729" t="s">
        <v>1835</v>
      </c>
      <c r="AW5" s="1729"/>
      <c r="AX5" s="1729"/>
      <c r="AY5" s="1729"/>
      <c r="AZ5" s="1729"/>
      <c r="BA5" s="1729"/>
      <c r="BB5" s="1729"/>
      <c r="BC5" s="1729"/>
      <c r="BD5" s="1729"/>
      <c r="BE5" s="1729"/>
      <c r="BF5" s="1729"/>
      <c r="BG5" s="1729"/>
      <c r="BH5" s="1729"/>
      <c r="BI5" s="1729"/>
      <c r="BJ5" s="1729"/>
      <c r="BK5" s="1729"/>
      <c r="BL5" s="1729"/>
      <c r="BM5" s="1729"/>
      <c r="BN5" s="1729"/>
      <c r="BO5" s="1729"/>
      <c r="BP5" s="1729"/>
      <c r="BQ5" s="1729"/>
      <c r="BR5" s="1729"/>
    </row>
    <row r="6" spans="1:70" ht="15.75" hidden="1" thickBot="1">
      <c r="D6" s="486"/>
      <c r="E6" s="486"/>
      <c r="F6" s="487"/>
      <c r="U6" s="488" t="s">
        <v>1616</v>
      </c>
      <c r="V6" s="488"/>
      <c r="W6" s="488"/>
      <c r="X6" s="488"/>
      <c r="Y6" s="488"/>
      <c r="Z6" s="488"/>
      <c r="AA6" s="488"/>
      <c r="AF6" s="1714"/>
      <c r="AG6" s="1714"/>
      <c r="AQ6" s="1715"/>
      <c r="AR6" s="1715"/>
      <c r="AS6" s="1715"/>
      <c r="AT6" s="1715"/>
      <c r="AU6" s="1715"/>
      <c r="AV6" s="1715" t="s">
        <v>1616</v>
      </c>
      <c r="AW6" s="1715"/>
      <c r="BJ6" s="489"/>
      <c r="BL6" s="488" t="s">
        <v>1616</v>
      </c>
    </row>
    <row r="7" spans="1:70" s="498" customFormat="1" ht="12" hidden="1" thickBot="1">
      <c r="A7" s="490"/>
      <c r="B7" s="490" t="s">
        <v>1836</v>
      </c>
      <c r="C7" s="490"/>
      <c r="D7" s="491"/>
      <c r="E7" s="491"/>
      <c r="F7" s="490"/>
      <c r="G7" s="490">
        <v>133355000</v>
      </c>
      <c r="H7" s="491">
        <v>100186000</v>
      </c>
      <c r="I7" s="490"/>
      <c r="J7" s="490"/>
      <c r="K7" s="490">
        <v>9197000</v>
      </c>
      <c r="L7" s="490">
        <v>38379000</v>
      </c>
      <c r="M7" s="490"/>
      <c r="N7" s="490"/>
      <c r="O7" s="490"/>
      <c r="P7" s="490"/>
      <c r="Q7" s="490"/>
      <c r="R7" s="490"/>
      <c r="S7" s="490">
        <v>36993000</v>
      </c>
      <c r="T7" s="490"/>
      <c r="U7" s="492">
        <v>11500000</v>
      </c>
      <c r="V7" s="492">
        <v>2644000</v>
      </c>
      <c r="W7" s="492"/>
      <c r="X7" s="492"/>
      <c r="Y7" s="492"/>
      <c r="Z7" s="492"/>
      <c r="AA7" s="492">
        <v>1472000</v>
      </c>
      <c r="AB7" s="493"/>
      <c r="AC7" s="490">
        <v>904000</v>
      </c>
      <c r="AD7" s="493"/>
      <c r="AE7" s="490">
        <f>3266000+264000</f>
        <v>3530000</v>
      </c>
      <c r="AF7" s="492"/>
      <c r="AG7" s="492"/>
      <c r="AH7" s="494"/>
      <c r="AI7" s="490">
        <v>1256000</v>
      </c>
      <c r="AJ7" s="490">
        <f>1186000</f>
        <v>1186000</v>
      </c>
      <c r="AK7" s="493"/>
      <c r="AL7" s="490">
        <f>327000</f>
        <v>327000</v>
      </c>
      <c r="AM7" s="495"/>
      <c r="AN7" s="490">
        <v>860000</v>
      </c>
      <c r="AO7" s="490"/>
      <c r="AP7" s="490">
        <v>3580000</v>
      </c>
      <c r="AQ7" s="496"/>
      <c r="AR7" s="496">
        <v>2512000</v>
      </c>
      <c r="AS7" s="496"/>
      <c r="AT7" s="496"/>
      <c r="AU7" s="496">
        <v>1068000</v>
      </c>
      <c r="AV7" s="496"/>
      <c r="AW7" s="490">
        <v>6894000</v>
      </c>
      <c r="AX7" s="490"/>
      <c r="AY7" s="490">
        <v>628000</v>
      </c>
      <c r="AZ7" s="490"/>
      <c r="BA7" s="490"/>
      <c r="BB7" s="490">
        <v>10555000</v>
      </c>
      <c r="BC7" s="490"/>
      <c r="BD7" s="490">
        <v>628000</v>
      </c>
      <c r="BE7" s="490">
        <v>0</v>
      </c>
      <c r="BF7" s="490"/>
      <c r="BG7" s="490">
        <v>2261000</v>
      </c>
      <c r="BH7" s="490">
        <v>650000</v>
      </c>
      <c r="BI7" s="490"/>
      <c r="BJ7" s="490">
        <v>0</v>
      </c>
      <c r="BK7" s="496">
        <v>0</v>
      </c>
      <c r="BL7" s="496">
        <v>2615000</v>
      </c>
      <c r="BM7" s="496"/>
      <c r="BN7" s="497"/>
      <c r="BO7" s="497"/>
      <c r="BR7" s="499"/>
    </row>
    <row r="8" spans="1:70" s="506" customFormat="1" ht="12" hidden="1" thickBot="1">
      <c r="A8" s="500"/>
      <c r="B8" s="500" t="s">
        <v>1837</v>
      </c>
      <c r="C8" s="501"/>
      <c r="D8" s="491"/>
      <c r="E8" s="491"/>
      <c r="F8" s="500"/>
      <c r="G8" s="502">
        <f>G15-G7</f>
        <v>45424117.914500028</v>
      </c>
      <c r="H8" s="491">
        <f>H15-H7</f>
        <v>42588080.399999976</v>
      </c>
      <c r="I8" s="503"/>
      <c r="J8" s="500"/>
      <c r="K8" s="502">
        <f>K15-K7</f>
        <v>691000</v>
      </c>
      <c r="L8" s="502">
        <f>L15-L7</f>
        <v>8386050.400000006</v>
      </c>
      <c r="M8" s="502"/>
      <c r="N8" s="502"/>
      <c r="O8" s="502"/>
      <c r="P8" s="504"/>
      <c r="Q8" s="502"/>
      <c r="R8" s="504"/>
      <c r="S8" s="502">
        <f>S15-S7</f>
        <v>-1084160</v>
      </c>
      <c r="T8" s="502">
        <f>T15-T7</f>
        <v>0</v>
      </c>
      <c r="U8" s="502">
        <f>U15-U7</f>
        <v>4600000</v>
      </c>
      <c r="V8" s="502">
        <f>V15-V7</f>
        <v>350453</v>
      </c>
      <c r="W8" s="502"/>
      <c r="X8" s="502"/>
      <c r="Y8" s="502"/>
      <c r="Z8" s="502"/>
      <c r="AA8" s="502">
        <f>AA15-AA7</f>
        <v>1257376</v>
      </c>
      <c r="AB8" s="493">
        <f>AB15-AB7</f>
        <v>0</v>
      </c>
      <c r="AC8" s="502">
        <f>AC15-AC7</f>
        <v>139122</v>
      </c>
      <c r="AD8" s="493"/>
      <c r="AE8" s="502">
        <f>AE15-AE7</f>
        <v>540467.5</v>
      </c>
      <c r="AF8" s="502"/>
      <c r="AG8" s="502"/>
      <c r="AH8" s="505">
        <f>AH15-AH7</f>
        <v>0</v>
      </c>
      <c r="AI8" s="502">
        <f>AI15-AI7</f>
        <v>-31648.199999999953</v>
      </c>
      <c r="AJ8" s="502">
        <f>AJ15-AJ7</f>
        <v>497844.5</v>
      </c>
      <c r="AK8" s="493">
        <f>AK15-AK7</f>
        <v>0</v>
      </c>
      <c r="AL8" s="502">
        <f>AL15-AL7</f>
        <v>56044.5</v>
      </c>
      <c r="AM8" s="502"/>
      <c r="AN8" s="502">
        <f>AN15-AN7</f>
        <v>274000</v>
      </c>
      <c r="AO8" s="502"/>
      <c r="AP8" s="502">
        <f>AP15-AP7</f>
        <v>3153561.9999999991</v>
      </c>
      <c r="AQ8" s="502">
        <f>AQ15-AQ7</f>
        <v>0</v>
      </c>
      <c r="AR8" s="502">
        <f>AR15-AR7</f>
        <v>-1772713.2</v>
      </c>
      <c r="AS8" s="502"/>
      <c r="AT8" s="502"/>
      <c r="AU8" s="502">
        <f>AU15-AU7</f>
        <v>2426275.2000000007</v>
      </c>
      <c r="AV8" s="502"/>
      <c r="AW8" s="502">
        <f>AW15-AW7</f>
        <v>-1816895.2999999998</v>
      </c>
      <c r="AX8" s="502">
        <f>AX15-AX7</f>
        <v>0</v>
      </c>
      <c r="AY8" s="502">
        <f>AY15-AY7</f>
        <v>1834104.6999999997</v>
      </c>
      <c r="AZ8" s="502"/>
      <c r="BA8" s="502"/>
      <c r="BB8" s="502">
        <f t="shared" ref="BB8:BL8" si="0">BB15-BB7</f>
        <v>1087224</v>
      </c>
      <c r="BC8" s="502">
        <f t="shared" si="0"/>
        <v>0</v>
      </c>
      <c r="BD8" s="502">
        <f t="shared" si="0"/>
        <v>10079224</v>
      </c>
      <c r="BE8" s="502">
        <f t="shared" si="0"/>
        <v>935000</v>
      </c>
      <c r="BF8" s="502">
        <f t="shared" si="0"/>
        <v>0</v>
      </c>
      <c r="BG8" s="502">
        <f t="shared" si="0"/>
        <v>-286754</v>
      </c>
      <c r="BH8" s="502">
        <f t="shared" si="0"/>
        <v>1906115.0145</v>
      </c>
      <c r="BI8" s="502"/>
      <c r="BJ8" s="502">
        <f t="shared" si="0"/>
        <v>1445000</v>
      </c>
      <c r="BK8" s="502">
        <f t="shared" si="0"/>
        <v>1787792</v>
      </c>
      <c r="BL8" s="502">
        <f t="shared" si="0"/>
        <v>2800039</v>
      </c>
      <c r="BM8" s="502">
        <v>0</v>
      </c>
      <c r="BN8" s="394"/>
      <c r="BO8" s="394"/>
      <c r="BR8" s="499"/>
    </row>
    <row r="9" spans="1:70" s="506" customFormat="1" ht="12" hidden="1" thickBot="1">
      <c r="A9" s="500"/>
      <c r="B9" s="500" t="s">
        <v>1837</v>
      </c>
      <c r="C9" s="501"/>
      <c r="D9" s="507">
        <f>K9+L9+S9+U9+V9+AA9+AC9+AE9+AI9+AJ9+AP9+AW9+BB9+BG9+BH9+BK9+BL9-BM9+F9</f>
        <v>25982591.914500006</v>
      </c>
      <c r="E9" s="507"/>
      <c r="F9" s="502">
        <f>F15-F10</f>
        <v>380000</v>
      </c>
      <c r="G9" s="508"/>
      <c r="H9" s="491"/>
      <c r="I9" s="503"/>
      <c r="J9" s="500"/>
      <c r="K9" s="502">
        <f>K15-K10</f>
        <v>445000</v>
      </c>
      <c r="L9" s="502">
        <f>L15-L10</f>
        <v>4646050.400000006</v>
      </c>
      <c r="M9" s="502"/>
      <c r="N9" s="502"/>
      <c r="O9" s="502"/>
      <c r="P9" s="502"/>
      <c r="Q9" s="502"/>
      <c r="R9" s="502"/>
      <c r="S9" s="502">
        <f>S15-S10</f>
        <v>19706840</v>
      </c>
      <c r="T9" s="502">
        <f>T15-T10</f>
        <v>0</v>
      </c>
      <c r="U9" s="502">
        <f>U15-U10</f>
        <v>0</v>
      </c>
      <c r="V9" s="502">
        <f>V15-V10</f>
        <v>-202547</v>
      </c>
      <c r="W9" s="502"/>
      <c r="X9" s="502"/>
      <c r="Y9" s="502"/>
      <c r="Z9" s="502"/>
      <c r="AA9" s="502">
        <f t="shared" ref="AA9:AY9" si="1">AA15-AA10</f>
        <v>895376</v>
      </c>
      <c r="AB9" s="502">
        <f t="shared" si="1"/>
        <v>0</v>
      </c>
      <c r="AC9" s="502">
        <f t="shared" si="1"/>
        <v>6122</v>
      </c>
      <c r="AD9" s="502">
        <f t="shared" si="1"/>
        <v>0</v>
      </c>
      <c r="AE9" s="502">
        <f t="shared" si="1"/>
        <v>23467.5</v>
      </c>
      <c r="AF9" s="502">
        <f t="shared" si="1"/>
        <v>139</v>
      </c>
      <c r="AG9" s="502">
        <f t="shared" si="1"/>
        <v>1873000</v>
      </c>
      <c r="AH9" s="502">
        <f t="shared" si="1"/>
        <v>0</v>
      </c>
      <c r="AI9" s="502">
        <f t="shared" si="1"/>
        <v>6351.8000000000466</v>
      </c>
      <c r="AJ9" s="502">
        <f t="shared" si="1"/>
        <v>275844.5</v>
      </c>
      <c r="AK9" s="502">
        <f t="shared" si="1"/>
        <v>0</v>
      </c>
      <c r="AL9" s="502">
        <f t="shared" si="1"/>
        <v>0</v>
      </c>
      <c r="AM9" s="502">
        <f t="shared" si="1"/>
        <v>34</v>
      </c>
      <c r="AN9" s="502">
        <f t="shared" si="1"/>
        <v>274000</v>
      </c>
      <c r="AO9" s="502">
        <f t="shared" si="1"/>
        <v>0</v>
      </c>
      <c r="AP9" s="502">
        <f t="shared" si="1"/>
        <v>1149561.9999999991</v>
      </c>
      <c r="AQ9" s="502">
        <f t="shared" si="1"/>
        <v>0</v>
      </c>
      <c r="AR9" s="502">
        <f t="shared" si="1"/>
        <v>4286.8000000000466</v>
      </c>
      <c r="AS9" s="502"/>
      <c r="AT9" s="502"/>
      <c r="AU9" s="502">
        <f t="shared" si="1"/>
        <v>0</v>
      </c>
      <c r="AV9" s="502">
        <f t="shared" si="1"/>
        <v>0</v>
      </c>
      <c r="AW9" s="502">
        <f t="shared" si="1"/>
        <v>-4804895.3</v>
      </c>
      <c r="AX9" s="502">
        <f t="shared" si="1"/>
        <v>0</v>
      </c>
      <c r="AY9" s="502">
        <f t="shared" si="1"/>
        <v>13104.699999999721</v>
      </c>
      <c r="AZ9" s="502"/>
      <c r="BA9" s="502">
        <f t="shared" ref="BA9:BM9" si="2">BA15-BA10</f>
        <v>0</v>
      </c>
      <c r="BB9" s="502">
        <f t="shared" si="2"/>
        <v>828224</v>
      </c>
      <c r="BC9" s="502">
        <f t="shared" si="2"/>
        <v>0</v>
      </c>
      <c r="BD9" s="502">
        <f t="shared" si="2"/>
        <v>-106776</v>
      </c>
      <c r="BE9" s="502">
        <f t="shared" si="2"/>
        <v>935000</v>
      </c>
      <c r="BF9" s="502">
        <f t="shared" si="2"/>
        <v>0</v>
      </c>
      <c r="BG9" s="502">
        <f t="shared" si="2"/>
        <v>10246</v>
      </c>
      <c r="BH9" s="502">
        <f t="shared" si="2"/>
        <v>1932115.0145</v>
      </c>
      <c r="BI9" s="502"/>
      <c r="BJ9" s="502">
        <f t="shared" si="2"/>
        <v>1445000</v>
      </c>
      <c r="BK9" s="502">
        <f t="shared" si="2"/>
        <v>1787792</v>
      </c>
      <c r="BL9" s="502">
        <f t="shared" si="2"/>
        <v>2906039</v>
      </c>
      <c r="BM9" s="502">
        <f t="shared" si="2"/>
        <v>4008996</v>
      </c>
      <c r="BN9" s="394"/>
      <c r="BO9" s="394"/>
      <c r="BR9" s="499"/>
    </row>
    <row r="10" spans="1:70" s="506" customFormat="1" ht="12" hidden="1" thickBot="1">
      <c r="A10" s="509"/>
      <c r="B10" s="509" t="s">
        <v>1838</v>
      </c>
      <c r="C10" s="510"/>
      <c r="D10" s="507">
        <f>K10+L10+S10+U10+V10+AA10+AC10+AE10+AI10+AJ10+AP10+AW10+BB10+BG10+BH10+BK10+BL10-BM10+F10</f>
        <v>127982000</v>
      </c>
      <c r="E10" s="507"/>
      <c r="F10" s="508">
        <v>0</v>
      </c>
      <c r="G10" s="508"/>
      <c r="H10" s="511"/>
      <c r="I10" s="512"/>
      <c r="J10" s="509"/>
      <c r="K10" s="508">
        <v>9443000</v>
      </c>
      <c r="L10" s="508">
        <v>42119000</v>
      </c>
      <c r="M10" s="508"/>
      <c r="N10" s="508"/>
      <c r="O10" s="508"/>
      <c r="P10" s="513"/>
      <c r="Q10" s="508"/>
      <c r="R10" s="513"/>
      <c r="S10" s="508">
        <v>16202000</v>
      </c>
      <c r="T10" s="508"/>
      <c r="U10" s="508">
        <f>U15</f>
        <v>16100000</v>
      </c>
      <c r="V10" s="508">
        <v>3197000</v>
      </c>
      <c r="W10" s="508"/>
      <c r="X10" s="508"/>
      <c r="Y10" s="508"/>
      <c r="Z10" s="508"/>
      <c r="AA10" s="508">
        <v>1834000</v>
      </c>
      <c r="AB10" s="514"/>
      <c r="AC10" s="508">
        <v>1037000</v>
      </c>
      <c r="AD10" s="515"/>
      <c r="AE10" s="516">
        <v>4047000</v>
      </c>
      <c r="AF10" s="517"/>
      <c r="AG10" s="516"/>
      <c r="AH10" s="518"/>
      <c r="AI10" s="508">
        <v>1218000</v>
      </c>
      <c r="AJ10" s="508">
        <v>1408000</v>
      </c>
      <c r="AK10" s="515"/>
      <c r="AL10" s="517">
        <f>AL15</f>
        <v>383044.5</v>
      </c>
      <c r="AM10" s="517"/>
      <c r="AN10" s="517">
        <v>860000</v>
      </c>
      <c r="AO10" s="516">
        <f>AO15</f>
        <v>166800</v>
      </c>
      <c r="AP10" s="508">
        <v>5584000</v>
      </c>
      <c r="AQ10" s="519"/>
      <c r="AR10" s="517">
        <v>735000</v>
      </c>
      <c r="AS10" s="517"/>
      <c r="AT10" s="517"/>
      <c r="AU10" s="517">
        <f>AU15</f>
        <v>3494275.2000000007</v>
      </c>
      <c r="AV10" s="516">
        <f>AV15</f>
        <v>2500000</v>
      </c>
      <c r="AW10" s="508">
        <v>9882000</v>
      </c>
      <c r="AX10" s="519"/>
      <c r="AY10" s="517">
        <v>2449000</v>
      </c>
      <c r="AZ10" s="517"/>
      <c r="BA10" s="516">
        <f>BA15</f>
        <v>2500000</v>
      </c>
      <c r="BB10" s="508">
        <f>BD10+BE10</f>
        <v>10814000</v>
      </c>
      <c r="BC10" s="519"/>
      <c r="BD10" s="519">
        <v>10814000</v>
      </c>
      <c r="BE10" s="516"/>
      <c r="BF10" s="508"/>
      <c r="BG10" s="508">
        <v>1964000</v>
      </c>
      <c r="BH10" s="508">
        <v>624000</v>
      </c>
      <c r="BI10" s="508"/>
      <c r="BJ10" s="508">
        <v>0</v>
      </c>
      <c r="BK10" s="508">
        <v>0</v>
      </c>
      <c r="BL10" s="508">
        <v>2509000</v>
      </c>
      <c r="BM10" s="508">
        <v>0</v>
      </c>
      <c r="BN10" s="394"/>
      <c r="BO10" s="394"/>
      <c r="BR10" s="499"/>
    </row>
    <row r="11" spans="1:70" s="506" customFormat="1" ht="12.75" customHeight="1">
      <c r="A11" s="1716" t="s">
        <v>162</v>
      </c>
      <c r="B11" s="1692" t="s">
        <v>690</v>
      </c>
      <c r="C11" s="1718" t="s">
        <v>1839</v>
      </c>
      <c r="D11" s="1720" t="s">
        <v>1840</v>
      </c>
      <c r="E11" s="1720" t="s">
        <v>1841</v>
      </c>
      <c r="F11" s="1723" t="s">
        <v>1842</v>
      </c>
      <c r="G11" s="1723" t="s">
        <v>1843</v>
      </c>
      <c r="H11" s="1725" t="s">
        <v>1844</v>
      </c>
      <c r="I11" s="1689" t="s">
        <v>1664</v>
      </c>
      <c r="J11" s="1689"/>
      <c r="K11" s="1689"/>
      <c r="L11" s="1689"/>
      <c r="M11" s="1689"/>
      <c r="N11" s="1689"/>
      <c r="O11" s="1689"/>
      <c r="P11" s="1689"/>
      <c r="Q11" s="1689"/>
      <c r="R11" s="1689"/>
      <c r="S11" s="1689"/>
      <c r="T11" s="1689"/>
      <c r="U11" s="1689"/>
      <c r="V11" s="1689"/>
      <c r="W11" s="1689"/>
      <c r="X11" s="1689"/>
      <c r="Y11" s="1689"/>
      <c r="Z11" s="1689"/>
      <c r="AA11" s="1689"/>
      <c r="AB11" s="1700" t="s">
        <v>1845</v>
      </c>
      <c r="AC11" s="1700"/>
      <c r="AD11" s="1713" t="s">
        <v>1846</v>
      </c>
      <c r="AE11" s="1713"/>
      <c r="AF11" s="1728" t="s">
        <v>1664</v>
      </c>
      <c r="AG11" s="1728"/>
      <c r="AH11" s="1713" t="s">
        <v>1847</v>
      </c>
      <c r="AI11" s="1713"/>
      <c r="AJ11" s="1686" t="s">
        <v>1848</v>
      </c>
      <c r="AK11" s="1689" t="s">
        <v>1664</v>
      </c>
      <c r="AL11" s="1689"/>
      <c r="AM11" s="1689"/>
      <c r="AN11" s="1689"/>
      <c r="AO11" s="1689"/>
      <c r="AP11" s="1686" t="s">
        <v>1849</v>
      </c>
      <c r="AQ11" s="1703" t="s">
        <v>1720</v>
      </c>
      <c r="AR11" s="1703"/>
      <c r="AS11" s="1703"/>
      <c r="AT11" s="1703"/>
      <c r="AU11" s="1703"/>
      <c r="AV11" s="1703"/>
      <c r="AW11" s="1704" t="s">
        <v>1850</v>
      </c>
      <c r="AX11" s="1707" t="s">
        <v>1664</v>
      </c>
      <c r="AY11" s="1708"/>
      <c r="AZ11" s="1708"/>
      <c r="BA11" s="1709"/>
      <c r="BB11" s="1692" t="s">
        <v>1851</v>
      </c>
      <c r="BC11" s="1697" t="s">
        <v>1664</v>
      </c>
      <c r="BD11" s="1698"/>
      <c r="BE11" s="1699"/>
      <c r="BF11" s="1700" t="s">
        <v>1852</v>
      </c>
      <c r="BG11" s="1700"/>
      <c r="BH11" s="1692" t="s">
        <v>1853</v>
      </c>
      <c r="BI11" s="1697" t="s">
        <v>1664</v>
      </c>
      <c r="BJ11" s="1699"/>
      <c r="BK11" s="1692" t="s">
        <v>1854</v>
      </c>
      <c r="BL11" s="1692" t="s">
        <v>1855</v>
      </c>
      <c r="BM11" s="1694" t="s">
        <v>1011</v>
      </c>
      <c r="BN11" s="394"/>
      <c r="BO11" s="394"/>
      <c r="BR11" s="499"/>
    </row>
    <row r="12" spans="1:70" s="506" customFormat="1" ht="33.75" customHeight="1">
      <c r="A12" s="1717"/>
      <c r="B12" s="1693"/>
      <c r="C12" s="1719"/>
      <c r="D12" s="1721"/>
      <c r="E12" s="1721"/>
      <c r="F12" s="1724"/>
      <c r="G12" s="1724"/>
      <c r="H12" s="1726"/>
      <c r="I12" s="1682" t="s">
        <v>1856</v>
      </c>
      <c r="J12" s="1682"/>
      <c r="K12" s="1682"/>
      <c r="L12" s="1683" t="s">
        <v>1857</v>
      </c>
      <c r="M12" s="1684"/>
      <c r="N12" s="1685"/>
      <c r="O12" s="1682" t="s">
        <v>1858</v>
      </c>
      <c r="P12" s="1682"/>
      <c r="Q12" s="1682"/>
      <c r="R12" s="1682"/>
      <c r="S12" s="1682"/>
      <c r="T12" s="1682" t="s">
        <v>1859</v>
      </c>
      <c r="U12" s="1682"/>
      <c r="V12" s="1683" t="s">
        <v>1860</v>
      </c>
      <c r="W12" s="1684"/>
      <c r="X12" s="1685"/>
      <c r="Y12" s="1683" t="s">
        <v>1861</v>
      </c>
      <c r="Z12" s="1684"/>
      <c r="AA12" s="1685"/>
      <c r="AB12" s="1682"/>
      <c r="AC12" s="1682"/>
      <c r="AD12" s="1727"/>
      <c r="AE12" s="1727"/>
      <c r="AF12" s="1682" t="s">
        <v>1862</v>
      </c>
      <c r="AG12" s="1682"/>
      <c r="AH12" s="1681"/>
      <c r="AI12" s="1681"/>
      <c r="AJ12" s="1687"/>
      <c r="AK12" s="1682" t="s">
        <v>1863</v>
      </c>
      <c r="AL12" s="1682"/>
      <c r="AM12" s="1682" t="s">
        <v>1864</v>
      </c>
      <c r="AN12" s="1682"/>
      <c r="AO12" s="1680" t="s">
        <v>1865</v>
      </c>
      <c r="AP12" s="1687"/>
      <c r="AQ12" s="1681" t="s">
        <v>1866</v>
      </c>
      <c r="AR12" s="1681"/>
      <c r="AS12" s="1710" t="s">
        <v>1867</v>
      </c>
      <c r="AT12" s="1711"/>
      <c r="AU12" s="1712"/>
      <c r="AV12" s="1680" t="s">
        <v>1868</v>
      </c>
      <c r="AW12" s="1705"/>
      <c r="AX12" s="1681" t="s">
        <v>1869</v>
      </c>
      <c r="AY12" s="1681"/>
      <c r="AZ12" s="1680" t="s">
        <v>1870</v>
      </c>
      <c r="BA12" s="1680" t="s">
        <v>1871</v>
      </c>
      <c r="BB12" s="1693"/>
      <c r="BC12" s="1681" t="s">
        <v>1872</v>
      </c>
      <c r="BD12" s="1681"/>
      <c r="BE12" s="1690" t="s">
        <v>1873</v>
      </c>
      <c r="BF12" s="1682"/>
      <c r="BG12" s="1682"/>
      <c r="BH12" s="1693"/>
      <c r="BI12" s="1701" t="s">
        <v>1874</v>
      </c>
      <c r="BJ12" s="1701" t="s">
        <v>1875</v>
      </c>
      <c r="BK12" s="1693"/>
      <c r="BL12" s="1693"/>
      <c r="BM12" s="1695"/>
    </row>
    <row r="13" spans="1:70" ht="72.75" customHeight="1">
      <c r="A13" s="1717"/>
      <c r="B13" s="1693"/>
      <c r="C13" s="1719"/>
      <c r="D13" s="1722"/>
      <c r="E13" s="1722"/>
      <c r="F13" s="1702"/>
      <c r="G13" s="1702"/>
      <c r="H13" s="1726"/>
      <c r="I13" s="520" t="s">
        <v>1876</v>
      </c>
      <c r="J13" s="520" t="s">
        <v>1877</v>
      </c>
      <c r="K13" s="520" t="s">
        <v>1878</v>
      </c>
      <c r="L13" s="520" t="s">
        <v>1879</v>
      </c>
      <c r="M13" s="520" t="s">
        <v>1880</v>
      </c>
      <c r="N13" s="520" t="s">
        <v>1724</v>
      </c>
      <c r="O13" s="520" t="s">
        <v>1881</v>
      </c>
      <c r="P13" s="520" t="s">
        <v>1882</v>
      </c>
      <c r="Q13" s="520" t="s">
        <v>1883</v>
      </c>
      <c r="R13" s="520" t="s">
        <v>1880</v>
      </c>
      <c r="S13" s="520" t="s">
        <v>1884</v>
      </c>
      <c r="T13" s="520" t="s">
        <v>1885</v>
      </c>
      <c r="U13" s="520" t="s">
        <v>1884</v>
      </c>
      <c r="V13" s="520" t="s">
        <v>1879</v>
      </c>
      <c r="W13" s="520" t="s">
        <v>1880</v>
      </c>
      <c r="X13" s="520" t="s">
        <v>1886</v>
      </c>
      <c r="Y13" s="520" t="s">
        <v>1879</v>
      </c>
      <c r="Z13" s="520" t="s">
        <v>1880</v>
      </c>
      <c r="AA13" s="520" t="s">
        <v>1886</v>
      </c>
      <c r="AB13" s="520" t="s">
        <v>1887</v>
      </c>
      <c r="AC13" s="520" t="s">
        <v>1888</v>
      </c>
      <c r="AD13" s="521" t="s">
        <v>1887</v>
      </c>
      <c r="AE13" s="520" t="s">
        <v>1888</v>
      </c>
      <c r="AF13" s="520" t="s">
        <v>1889</v>
      </c>
      <c r="AG13" s="520" t="s">
        <v>1888</v>
      </c>
      <c r="AH13" s="520" t="s">
        <v>1887</v>
      </c>
      <c r="AI13" s="520" t="s">
        <v>1888</v>
      </c>
      <c r="AJ13" s="1688"/>
      <c r="AK13" s="521" t="s">
        <v>1887</v>
      </c>
      <c r="AL13" s="520" t="s">
        <v>1884</v>
      </c>
      <c r="AM13" s="520" t="s">
        <v>1890</v>
      </c>
      <c r="AN13" s="520" t="s">
        <v>1884</v>
      </c>
      <c r="AO13" s="1681"/>
      <c r="AP13" s="1688"/>
      <c r="AQ13" s="520" t="s">
        <v>1891</v>
      </c>
      <c r="AR13" s="520" t="s">
        <v>1888</v>
      </c>
      <c r="AS13" s="520" t="s">
        <v>1879</v>
      </c>
      <c r="AT13" s="520" t="s">
        <v>1880</v>
      </c>
      <c r="AU13" s="520" t="s">
        <v>1884</v>
      </c>
      <c r="AV13" s="1681"/>
      <c r="AW13" s="1706"/>
      <c r="AX13" s="520" t="s">
        <v>1887</v>
      </c>
      <c r="AY13" s="520" t="s">
        <v>1888</v>
      </c>
      <c r="AZ13" s="1681"/>
      <c r="BA13" s="1681"/>
      <c r="BB13" s="1693"/>
      <c r="BC13" s="520" t="s">
        <v>1887</v>
      </c>
      <c r="BD13" s="520" t="s">
        <v>1888</v>
      </c>
      <c r="BE13" s="1691"/>
      <c r="BF13" s="520" t="s">
        <v>1887</v>
      </c>
      <c r="BG13" s="520" t="s">
        <v>1888</v>
      </c>
      <c r="BH13" s="1693"/>
      <c r="BI13" s="1702"/>
      <c r="BJ13" s="1702"/>
      <c r="BK13" s="1693"/>
      <c r="BL13" s="1693"/>
      <c r="BM13" s="1696"/>
    </row>
    <row r="14" spans="1:70" s="532" customFormat="1" ht="30" customHeight="1">
      <c r="A14" s="522" t="s">
        <v>167</v>
      </c>
      <c r="B14" s="523" t="s">
        <v>1268</v>
      </c>
      <c r="C14" s="524" t="s">
        <v>625</v>
      </c>
      <c r="D14" s="525" t="s">
        <v>1892</v>
      </c>
      <c r="E14" s="526" t="s">
        <v>1893</v>
      </c>
      <c r="F14" s="523" t="s">
        <v>1894</v>
      </c>
      <c r="G14" s="523" t="s">
        <v>1895</v>
      </c>
      <c r="H14" s="526" t="s">
        <v>1896</v>
      </c>
      <c r="I14" s="523" t="s">
        <v>1897</v>
      </c>
      <c r="J14" s="523" t="s">
        <v>1898</v>
      </c>
      <c r="K14" s="523" t="s">
        <v>1899</v>
      </c>
      <c r="L14" s="523" t="s">
        <v>1900</v>
      </c>
      <c r="M14" s="523" t="s">
        <v>1901</v>
      </c>
      <c r="N14" s="523" t="s">
        <v>1902</v>
      </c>
      <c r="O14" s="523" t="s">
        <v>1903</v>
      </c>
      <c r="P14" s="523" t="s">
        <v>1904</v>
      </c>
      <c r="Q14" s="523" t="s">
        <v>1905</v>
      </c>
      <c r="R14" s="523" t="s">
        <v>1906</v>
      </c>
      <c r="S14" s="523" t="s">
        <v>1907</v>
      </c>
      <c r="T14" s="523" t="s">
        <v>1908</v>
      </c>
      <c r="U14" s="523" t="s">
        <v>1909</v>
      </c>
      <c r="V14" s="523" t="s">
        <v>1910</v>
      </c>
      <c r="W14" s="523" t="s">
        <v>1911</v>
      </c>
      <c r="X14" s="523" t="s">
        <v>1912</v>
      </c>
      <c r="Y14" s="523" t="s">
        <v>1913</v>
      </c>
      <c r="Z14" s="523" t="s">
        <v>1914</v>
      </c>
      <c r="AA14" s="523" t="s">
        <v>1915</v>
      </c>
      <c r="AB14" s="523" t="s">
        <v>1916</v>
      </c>
      <c r="AC14" s="523" t="s">
        <v>1917</v>
      </c>
      <c r="AD14" s="527">
        <v>23</v>
      </c>
      <c r="AE14" s="523" t="s">
        <v>1918</v>
      </c>
      <c r="AF14" s="523" t="s">
        <v>1919</v>
      </c>
      <c r="AG14" s="523" t="s">
        <v>1920</v>
      </c>
      <c r="AH14" s="527">
        <v>25</v>
      </c>
      <c r="AI14" s="523" t="s">
        <v>1921</v>
      </c>
      <c r="AJ14" s="523" t="s">
        <v>1922</v>
      </c>
      <c r="AK14" s="527">
        <v>28</v>
      </c>
      <c r="AL14" s="523" t="s">
        <v>1923</v>
      </c>
      <c r="AM14" s="523" t="s">
        <v>1924</v>
      </c>
      <c r="AN14" s="523" t="s">
        <v>1925</v>
      </c>
      <c r="AO14" s="523" t="s">
        <v>1926</v>
      </c>
      <c r="AP14" s="523" t="s">
        <v>1927</v>
      </c>
      <c r="AQ14" s="523" t="s">
        <v>1928</v>
      </c>
      <c r="AR14" s="523" t="s">
        <v>1929</v>
      </c>
      <c r="AS14" s="523" t="s">
        <v>1930</v>
      </c>
      <c r="AT14" s="523" t="s">
        <v>1931</v>
      </c>
      <c r="AU14" s="523" t="s">
        <v>1932</v>
      </c>
      <c r="AV14" s="523" t="s">
        <v>1933</v>
      </c>
      <c r="AW14" s="523" t="s">
        <v>1934</v>
      </c>
      <c r="AX14" s="523" t="s">
        <v>1935</v>
      </c>
      <c r="AY14" s="523" t="s">
        <v>1936</v>
      </c>
      <c r="AZ14" s="523" t="s">
        <v>1937</v>
      </c>
      <c r="BA14" s="523" t="s">
        <v>1938</v>
      </c>
      <c r="BB14" s="523" t="s">
        <v>1939</v>
      </c>
      <c r="BC14" s="523" t="s">
        <v>1940</v>
      </c>
      <c r="BD14" s="523" t="s">
        <v>1941</v>
      </c>
      <c r="BE14" s="523" t="s">
        <v>1942</v>
      </c>
      <c r="BF14" s="523" t="s">
        <v>1943</v>
      </c>
      <c r="BG14" s="523" t="s">
        <v>1944</v>
      </c>
      <c r="BH14" s="523" t="s">
        <v>1945</v>
      </c>
      <c r="BI14" s="523" t="s">
        <v>1946</v>
      </c>
      <c r="BJ14" s="523" t="s">
        <v>1947</v>
      </c>
      <c r="BK14" s="523" t="s">
        <v>1948</v>
      </c>
      <c r="BL14" s="523" t="s">
        <v>2</v>
      </c>
      <c r="BM14" s="528" t="s">
        <v>1949</v>
      </c>
      <c r="BN14" s="336" t="s">
        <v>1950</v>
      </c>
      <c r="BO14" s="336" t="s">
        <v>1951</v>
      </c>
      <c r="BP14" s="529" t="s">
        <v>1952</v>
      </c>
      <c r="BQ14" s="530" t="s">
        <v>1953</v>
      </c>
      <c r="BR14" s="531" t="s">
        <v>1954</v>
      </c>
    </row>
    <row r="15" spans="1:70" s="506" customFormat="1" ht="27" customHeight="1">
      <c r="A15" s="533"/>
      <c r="B15" s="534" t="s">
        <v>1724</v>
      </c>
      <c r="C15" s="535">
        <f>SUM(C16:C38)</f>
        <v>264031</v>
      </c>
      <c r="D15" s="535">
        <f>E15+F15</f>
        <v>186361948.91450003</v>
      </c>
      <c r="E15" s="535">
        <f>SUM(E16:E38)</f>
        <v>185981948.91450003</v>
      </c>
      <c r="F15" s="535">
        <f>SUM(F16:F38)</f>
        <v>380000</v>
      </c>
      <c r="G15" s="535">
        <f>SUM(G16:G38)</f>
        <v>178779117.91450003</v>
      </c>
      <c r="H15" s="535">
        <f>SUM(H16:H38)</f>
        <v>142774080.39999998</v>
      </c>
      <c r="I15" s="536">
        <f>SUM(I16:I38)</f>
        <v>505</v>
      </c>
      <c r="J15" s="535"/>
      <c r="K15" s="535">
        <f>SUM(K16:K38)</f>
        <v>9888000</v>
      </c>
      <c r="L15" s="535">
        <f>SUM(L16:L38)</f>
        <v>46765050.400000006</v>
      </c>
      <c r="M15" s="535">
        <f t="shared" ref="M15:S15" si="3">SUM(M16:M38)</f>
        <v>26680116</v>
      </c>
      <c r="N15" s="535">
        <f>+L15+M15</f>
        <v>73445166.400000006</v>
      </c>
      <c r="O15" s="537">
        <f>SUM(O16:O38)</f>
        <v>7777800</v>
      </c>
      <c r="P15" s="536">
        <f>SUM(P16:P38)</f>
        <v>14536440</v>
      </c>
      <c r="Q15" s="537">
        <f t="shared" si="3"/>
        <v>865000</v>
      </c>
      <c r="R15" s="535">
        <f>SUM(R16:R38)</f>
        <v>12729600</v>
      </c>
      <c r="S15" s="535">
        <f t="shared" si="3"/>
        <v>35908840</v>
      </c>
      <c r="T15" s="535"/>
      <c r="U15" s="535">
        <f>SUM(U16:U38)</f>
        <v>16100000</v>
      </c>
      <c r="V15" s="535">
        <f t="shared" ref="V15:AA15" si="4">SUM(V16:V38)</f>
        <v>2994453</v>
      </c>
      <c r="W15" s="535">
        <f t="shared" si="4"/>
        <v>1708245</v>
      </c>
      <c r="X15" s="535">
        <f>SUM(X16:X38)</f>
        <v>4702698</v>
      </c>
      <c r="Y15" s="535">
        <f t="shared" si="4"/>
        <v>1737936</v>
      </c>
      <c r="Z15" s="535">
        <f t="shared" si="4"/>
        <v>991440</v>
      </c>
      <c r="AA15" s="535">
        <f t="shared" si="4"/>
        <v>2729376</v>
      </c>
      <c r="AB15" s="538"/>
      <c r="AC15" s="539">
        <f>SUM(AC16:AC38)</f>
        <v>1043122</v>
      </c>
      <c r="AD15" s="540"/>
      <c r="AE15" s="535">
        <f>SUM(AE16:AE38)</f>
        <v>4070467.5</v>
      </c>
      <c r="AF15" s="536">
        <f>SUM(AF16:AF38)</f>
        <v>139</v>
      </c>
      <c r="AG15" s="535">
        <f>SUM(AG16:AG38)</f>
        <v>1873000</v>
      </c>
      <c r="AH15" s="538"/>
      <c r="AI15" s="535">
        <f>SUM(AI16:AI38)</f>
        <v>1224351.8</v>
      </c>
      <c r="AJ15" s="535">
        <f>SUM(AJ16:AJ38)</f>
        <v>1683844.5</v>
      </c>
      <c r="AK15" s="538"/>
      <c r="AL15" s="535">
        <f>SUM(AL16:AL38)</f>
        <v>383044.5</v>
      </c>
      <c r="AM15" s="536">
        <f>SUM(AM16:AM38)</f>
        <v>34</v>
      </c>
      <c r="AN15" s="535">
        <f>SUM(AN16:AN38)</f>
        <v>1134000</v>
      </c>
      <c r="AO15" s="535">
        <f>SUM(AO16:AO38)</f>
        <v>166800</v>
      </c>
      <c r="AP15" s="535">
        <f>SUM(AP16:AP38)</f>
        <v>6733561.9999999991</v>
      </c>
      <c r="AQ15" s="535"/>
      <c r="AR15" s="535">
        <f t="shared" ref="AR15:AW15" si="5">SUM(AR16:AR38)</f>
        <v>739286.8</v>
      </c>
      <c r="AS15" s="535">
        <f t="shared" si="5"/>
        <v>2224987.2000000007</v>
      </c>
      <c r="AT15" s="535">
        <f t="shared" si="5"/>
        <v>1269288</v>
      </c>
      <c r="AU15" s="535">
        <f t="shared" si="5"/>
        <v>3494275.2000000007</v>
      </c>
      <c r="AV15" s="535">
        <f t="shared" si="5"/>
        <v>2500000</v>
      </c>
      <c r="AW15" s="535">
        <f t="shared" si="5"/>
        <v>5077104.7</v>
      </c>
      <c r="AX15" s="535"/>
      <c r="AY15" s="535">
        <f>SUM(AY16:AY38)</f>
        <v>2462104.6999999997</v>
      </c>
      <c r="AZ15" s="535">
        <f>SUM(AZ16:AZ38)</f>
        <v>115000</v>
      </c>
      <c r="BA15" s="535">
        <f>SUM(BA16:BA38)</f>
        <v>2500000</v>
      </c>
      <c r="BB15" s="535">
        <f>SUM(BB16:BB38)</f>
        <v>11642224</v>
      </c>
      <c r="BC15" s="535"/>
      <c r="BD15" s="535">
        <f>SUM(BD16:BD38)</f>
        <v>10707224</v>
      </c>
      <c r="BE15" s="535">
        <f>SUM(BE16:BE38)</f>
        <v>935000</v>
      </c>
      <c r="BF15" s="535"/>
      <c r="BG15" s="535">
        <f t="shared" ref="BG15:BR15" si="6">SUM(BG16:BG38)</f>
        <v>1974246</v>
      </c>
      <c r="BH15" s="535">
        <f t="shared" si="6"/>
        <v>2556115.0145</v>
      </c>
      <c r="BI15" s="535">
        <f t="shared" si="6"/>
        <v>230000</v>
      </c>
      <c r="BJ15" s="535">
        <f t="shared" si="6"/>
        <v>1445000</v>
      </c>
      <c r="BK15" s="535">
        <f t="shared" si="6"/>
        <v>1787792</v>
      </c>
      <c r="BL15" s="535">
        <f t="shared" si="6"/>
        <v>5415039</v>
      </c>
      <c r="BM15" s="541">
        <f>SUM(BM16:BM38)</f>
        <v>4008996</v>
      </c>
      <c r="BN15" s="542">
        <f>SUM(BN16:BN38)</f>
        <v>138689155.59999999</v>
      </c>
      <c r="BO15" s="542">
        <f>SUM(BO16:BO38)</f>
        <v>40089962.314500004</v>
      </c>
      <c r="BP15" s="542">
        <f t="shared" si="6"/>
        <v>4008996.2314500008</v>
      </c>
      <c r="BQ15" s="542">
        <f t="shared" si="6"/>
        <v>36080966.083050005</v>
      </c>
      <c r="BR15" s="542">
        <f t="shared" si="6"/>
        <v>1804048.3041525001</v>
      </c>
    </row>
    <row r="16" spans="1:70" s="506" customFormat="1" ht="19.350000000000001" customHeight="1">
      <c r="A16" s="543" t="s">
        <v>1955</v>
      </c>
      <c r="B16" s="544" t="s">
        <v>1956</v>
      </c>
      <c r="C16" s="544">
        <v>6159</v>
      </c>
      <c r="D16" s="545">
        <f>E16+F16</f>
        <v>6570589.9715</v>
      </c>
      <c r="E16" s="546">
        <f>G16+BK16+BL16</f>
        <v>6570589.9715</v>
      </c>
      <c r="F16" s="547"/>
      <c r="G16" s="548">
        <f t="shared" ref="G16:G38" si="7">+H16+AC16+AE16+AI16+AJ16+AP16+AW16+BB16+BG16+BH16</f>
        <v>6309778.9715</v>
      </c>
      <c r="H16" s="549">
        <f>+K16+N16+S16+U16+X16+AA16</f>
        <v>5430689.6000000006</v>
      </c>
      <c r="I16" s="550">
        <v>21</v>
      </c>
      <c r="J16" s="551">
        <v>19000</v>
      </c>
      <c r="K16" s="549">
        <f>I16*J16</f>
        <v>399000</v>
      </c>
      <c r="L16" s="549">
        <v>1812839.2</v>
      </c>
      <c r="M16" s="549">
        <v>1034868</v>
      </c>
      <c r="N16" s="549">
        <f>+L16+M16</f>
        <v>2847707.2</v>
      </c>
      <c r="O16" s="551">
        <v>321840</v>
      </c>
      <c r="P16" s="549">
        <v>429120</v>
      </c>
      <c r="Q16" s="551">
        <v>30000</v>
      </c>
      <c r="R16" s="551">
        <v>428400</v>
      </c>
      <c r="S16" s="549">
        <f>SUM(O16:R16)</f>
        <v>1209360</v>
      </c>
      <c r="T16" s="549">
        <v>700000</v>
      </c>
      <c r="U16" s="549">
        <f t="shared" ref="U16:U38" si="8">T16</f>
        <v>700000</v>
      </c>
      <c r="V16" s="549">
        <v>110498.4</v>
      </c>
      <c r="W16" s="549">
        <v>63036</v>
      </c>
      <c r="X16" s="549">
        <f>+V16+W16</f>
        <v>173534.4</v>
      </c>
      <c r="Y16" s="549">
        <v>64368</v>
      </c>
      <c r="Z16" s="549">
        <v>36720</v>
      </c>
      <c r="AA16" s="549">
        <f>+Y16+Z16</f>
        <v>101088</v>
      </c>
      <c r="AB16" s="552">
        <v>3.9</v>
      </c>
      <c r="AC16" s="551">
        <f>AB16*C16</f>
        <v>24020.1</v>
      </c>
      <c r="AD16" s="552">
        <v>14.3</v>
      </c>
      <c r="AE16" s="549">
        <f>C16*AD16</f>
        <v>88073.700000000012</v>
      </c>
      <c r="AF16" s="553">
        <v>4</v>
      </c>
      <c r="AG16" s="549">
        <v>60000</v>
      </c>
      <c r="AH16" s="552">
        <v>5.5</v>
      </c>
      <c r="AI16" s="549">
        <f t="shared" ref="AI16:AI38" si="9">AH16*C16</f>
        <v>33874.5</v>
      </c>
      <c r="AJ16" s="549">
        <f>AL16+AN16+AO16</f>
        <v>13422.599999999999</v>
      </c>
      <c r="AK16" s="552">
        <v>1.4</v>
      </c>
      <c r="AL16" s="549">
        <f t="shared" ref="AL16:AL38" si="10">AK16*C16</f>
        <v>8622.5999999999985</v>
      </c>
      <c r="AM16" s="554">
        <v>0</v>
      </c>
      <c r="AN16" s="549"/>
      <c r="AO16" s="549">
        <v>4800</v>
      </c>
      <c r="AP16" s="549">
        <f>AR16+AU16+AV16</f>
        <v>222790.8</v>
      </c>
      <c r="AQ16" s="552">
        <v>2.8</v>
      </c>
      <c r="AR16" s="549">
        <f t="shared" ref="AR16:AR38" si="11">AQ16*C16</f>
        <v>17245.199999999997</v>
      </c>
      <c r="AS16" s="549">
        <v>130881.59999999999</v>
      </c>
      <c r="AT16" s="549">
        <v>74664</v>
      </c>
      <c r="AU16" s="549">
        <f>+AS16+AT16</f>
        <v>205545.59999999998</v>
      </c>
      <c r="AV16" s="549"/>
      <c r="AW16" s="549">
        <f>+AY16+AZ16+BA16</f>
        <v>72749</v>
      </c>
      <c r="AX16" s="552">
        <v>11</v>
      </c>
      <c r="AY16" s="549">
        <f t="shared" ref="AY16:AY38" si="12">AX16*C16</f>
        <v>67749</v>
      </c>
      <c r="AZ16" s="549">
        <v>5000</v>
      </c>
      <c r="BA16" s="549"/>
      <c r="BB16" s="551">
        <f>BD16+BE16</f>
        <v>227883</v>
      </c>
      <c r="BC16" s="552">
        <v>37</v>
      </c>
      <c r="BD16" s="549">
        <f t="shared" ref="BD16:BD38" si="13">BC16*C16</f>
        <v>227883</v>
      </c>
      <c r="BE16" s="551"/>
      <c r="BF16" s="555">
        <v>9</v>
      </c>
      <c r="BG16" s="549">
        <f t="shared" ref="BG16:BG38" si="14">BF16*C16</f>
        <v>55431</v>
      </c>
      <c r="BH16" s="549">
        <f>0.5%*(H16+AC16+AE16+AI16+AJ16+AP16+AW16+BB16+BG16)+BI16+BJ16</f>
        <v>140844.6715</v>
      </c>
      <c r="BI16" s="549">
        <v>10000</v>
      </c>
      <c r="BJ16" s="549">
        <v>100000</v>
      </c>
      <c r="BK16" s="549">
        <f t="shared" ref="BK16:BK38" si="15">ROUND(1%*G16,0)</f>
        <v>63098</v>
      </c>
      <c r="BL16" s="549">
        <f>ROUND(2.31%*(G16+F16+BK16+'[3]Biểu 09'!C9),0)</f>
        <v>197713</v>
      </c>
      <c r="BM16" s="556">
        <f>ROUND(BP16,0)</f>
        <v>103774</v>
      </c>
      <c r="BN16" s="393">
        <f>+N16+O16+P16+R16+U16+X16+AA16+AG16+AN16+AO16+AU16</f>
        <v>5272035.2</v>
      </c>
      <c r="BO16" s="393">
        <f t="shared" ref="BO16:BO38" si="16">G16-BN16</f>
        <v>1037743.7714999998</v>
      </c>
      <c r="BP16" s="487">
        <f t="shared" ref="BP16:BP38" si="17">BO16*10%</f>
        <v>103774.37714999999</v>
      </c>
      <c r="BQ16" s="487">
        <f t="shared" ref="BQ16:BQ38" si="18">+BO16-BP16</f>
        <v>933969.39434999984</v>
      </c>
      <c r="BR16" s="557">
        <f>+BQ16*5%</f>
        <v>46698.469717499996</v>
      </c>
    </row>
    <row r="17" spans="1:70" s="506" customFormat="1" ht="19.350000000000001" customHeight="1">
      <c r="A17" s="543" t="s">
        <v>1897</v>
      </c>
      <c r="B17" s="544" t="s">
        <v>1957</v>
      </c>
      <c r="C17" s="544">
        <v>9618</v>
      </c>
      <c r="D17" s="545">
        <f t="shared" ref="D17:D38" si="19">E17+F17</f>
        <v>7376993.0690000011</v>
      </c>
      <c r="E17" s="546">
        <f t="shared" ref="E17:E37" si="20">G17+BK17+BL17</f>
        <v>7376993.0690000011</v>
      </c>
      <c r="F17" s="547"/>
      <c r="G17" s="548">
        <f t="shared" si="7"/>
        <v>7086261.0690000011</v>
      </c>
      <c r="H17" s="549">
        <f t="shared" ref="H17:H38" si="21">+K17+N17+S17+U17+X17+AA17</f>
        <v>5885140</v>
      </c>
      <c r="I17" s="550">
        <v>21</v>
      </c>
      <c r="J17" s="551">
        <v>19000</v>
      </c>
      <c r="K17" s="549">
        <f t="shared" ref="K17:K38" si="22">I17*J17</f>
        <v>399000</v>
      </c>
      <c r="L17" s="549">
        <v>1888517.6</v>
      </c>
      <c r="M17" s="549">
        <v>1077604</v>
      </c>
      <c r="N17" s="549">
        <f t="shared" ref="N17:N38" si="23">+L17+M17</f>
        <v>2966121.6</v>
      </c>
      <c r="O17" s="551">
        <v>321840</v>
      </c>
      <c r="P17" s="549">
        <v>643680</v>
      </c>
      <c r="Q17" s="551">
        <v>37500</v>
      </c>
      <c r="R17" s="551">
        <v>550800</v>
      </c>
      <c r="S17" s="549">
        <f t="shared" ref="S17:S38" si="24">SUM(O17:R17)</f>
        <v>1553820</v>
      </c>
      <c r="T17" s="549">
        <v>700000</v>
      </c>
      <c r="U17" s="549">
        <f t="shared" si="8"/>
        <v>700000</v>
      </c>
      <c r="V17" s="549">
        <v>99770.4</v>
      </c>
      <c r="W17" s="549">
        <v>56916</v>
      </c>
      <c r="X17" s="549">
        <f>+V17+W17</f>
        <v>156686.39999999999</v>
      </c>
      <c r="Y17" s="549">
        <v>69732</v>
      </c>
      <c r="Z17" s="549">
        <v>39780</v>
      </c>
      <c r="AA17" s="549">
        <f t="shared" ref="AA17:AA38" si="25">+Y17+Z17</f>
        <v>109512</v>
      </c>
      <c r="AB17" s="552">
        <v>3.9</v>
      </c>
      <c r="AC17" s="551">
        <f t="shared" ref="AC17:AC38" si="26">AB17*C17</f>
        <v>37510.199999999997</v>
      </c>
      <c r="AD17" s="552">
        <v>14.3</v>
      </c>
      <c r="AE17" s="549">
        <f t="shared" ref="AE17:AE38" si="27">C17*AD17</f>
        <v>137537.4</v>
      </c>
      <c r="AF17" s="553">
        <v>6</v>
      </c>
      <c r="AG17" s="549">
        <v>81000</v>
      </c>
      <c r="AH17" s="552">
        <v>5.5</v>
      </c>
      <c r="AI17" s="549">
        <f t="shared" si="9"/>
        <v>52899</v>
      </c>
      <c r="AJ17" s="549">
        <f t="shared" ref="AJ17:AJ38" si="28">AL17+AN17+AO17</f>
        <v>62665.2</v>
      </c>
      <c r="AK17" s="552">
        <v>1.4</v>
      </c>
      <c r="AL17" s="549">
        <f t="shared" si="10"/>
        <v>13465.199999999999</v>
      </c>
      <c r="AM17" s="554">
        <v>1</v>
      </c>
      <c r="AN17" s="549">
        <v>42000</v>
      </c>
      <c r="AO17" s="549">
        <v>7200</v>
      </c>
      <c r="AP17" s="549">
        <f t="shared" ref="AP17:AP38" si="29">AR17+AU17+AV17</f>
        <v>232475.99999999997</v>
      </c>
      <c r="AQ17" s="552">
        <v>2.8</v>
      </c>
      <c r="AR17" s="549">
        <f t="shared" si="11"/>
        <v>26930.399999999998</v>
      </c>
      <c r="AS17" s="549">
        <v>130881.59999999999</v>
      </c>
      <c r="AT17" s="549">
        <v>74664</v>
      </c>
      <c r="AU17" s="549">
        <f t="shared" ref="AU17:AU38" si="30">+AS17+AT17</f>
        <v>205545.59999999998</v>
      </c>
      <c r="AV17" s="549"/>
      <c r="AW17" s="549">
        <f t="shared" ref="AW17:AW38" si="31">+AY17+AZ17+BA17</f>
        <v>110798</v>
      </c>
      <c r="AX17" s="552">
        <v>11</v>
      </c>
      <c r="AY17" s="549">
        <f t="shared" si="12"/>
        <v>105798</v>
      </c>
      <c r="AZ17" s="549">
        <v>5000</v>
      </c>
      <c r="BA17" s="549"/>
      <c r="BB17" s="551">
        <f t="shared" ref="BB17:BB38" si="32">BD17+BE17</f>
        <v>355866</v>
      </c>
      <c r="BC17" s="552">
        <v>37</v>
      </c>
      <c r="BD17" s="549">
        <f t="shared" si="13"/>
        <v>355866</v>
      </c>
      <c r="BE17" s="551"/>
      <c r="BF17" s="555">
        <v>9</v>
      </c>
      <c r="BG17" s="549">
        <f t="shared" si="14"/>
        <v>86562</v>
      </c>
      <c r="BH17" s="549">
        <f t="shared" ref="BH17:BH38" si="33">0.5%*(H17+AC17+AE17+AI17+AJ17+AP17+AW17+BB17+BG17)+BI17+BJ17</f>
        <v>124807.269</v>
      </c>
      <c r="BI17" s="549">
        <v>10000</v>
      </c>
      <c r="BJ17" s="549">
        <v>80000</v>
      </c>
      <c r="BK17" s="549">
        <f t="shared" si="15"/>
        <v>70863</v>
      </c>
      <c r="BL17" s="549">
        <f>ROUND(2.31%*(G17+F17+BK17+'[3]Biểu 09'!C10),0)</f>
        <v>219869</v>
      </c>
      <c r="BM17" s="556">
        <f>ROUND(BP17,0)</f>
        <v>130188</v>
      </c>
      <c r="BN17" s="393">
        <f t="shared" ref="BN17:BN38" si="34">+N17+O17+P17+R17+U17+X17+AA17+AG17+AN17+AO17+AU17</f>
        <v>5784385.5999999996</v>
      </c>
      <c r="BO17" s="393">
        <f t="shared" si="16"/>
        <v>1301875.4690000014</v>
      </c>
      <c r="BP17" s="487">
        <f t="shared" si="17"/>
        <v>130187.54690000015</v>
      </c>
      <c r="BQ17" s="487">
        <f t="shared" si="18"/>
        <v>1171687.9221000012</v>
      </c>
      <c r="BR17" s="557">
        <f>+BQ17*5%</f>
        <v>58584.396105000065</v>
      </c>
    </row>
    <row r="18" spans="1:70" s="506" customFormat="1" ht="19.350000000000001" customHeight="1">
      <c r="A18" s="543" t="s">
        <v>1898</v>
      </c>
      <c r="B18" s="544" t="s">
        <v>1958</v>
      </c>
      <c r="C18" s="544">
        <v>21695</v>
      </c>
      <c r="D18" s="545">
        <f t="shared" si="19"/>
        <v>10010274.547499999</v>
      </c>
      <c r="E18" s="546">
        <f t="shared" si="20"/>
        <v>10010274.547499999</v>
      </c>
      <c r="F18" s="547"/>
      <c r="G18" s="548">
        <f t="shared" si="7"/>
        <v>9615625.5474999994</v>
      </c>
      <c r="H18" s="549">
        <f t="shared" si="21"/>
        <v>7278758.4000000004</v>
      </c>
      <c r="I18" s="550">
        <v>26</v>
      </c>
      <c r="J18" s="551">
        <v>19000</v>
      </c>
      <c r="K18" s="549">
        <f>I18*J18</f>
        <v>494000</v>
      </c>
      <c r="L18" s="549">
        <v>2199196</v>
      </c>
      <c r="M18" s="549">
        <v>1254340</v>
      </c>
      <c r="N18" s="549">
        <f t="shared" si="23"/>
        <v>3453536</v>
      </c>
      <c r="O18" s="551">
        <v>375480</v>
      </c>
      <c r="P18" s="549">
        <v>1072800</v>
      </c>
      <c r="Q18" s="551">
        <v>40000</v>
      </c>
      <c r="R18" s="551">
        <v>826200</v>
      </c>
      <c r="S18" s="549">
        <f t="shared" si="24"/>
        <v>2314480</v>
      </c>
      <c r="T18" s="549">
        <v>700000</v>
      </c>
      <c r="U18" s="549">
        <f t="shared" si="8"/>
        <v>700000</v>
      </c>
      <c r="V18" s="549">
        <v>121226.4</v>
      </c>
      <c r="W18" s="549">
        <v>69156</v>
      </c>
      <c r="X18" s="549">
        <f>+V18+W18</f>
        <v>190382.4</v>
      </c>
      <c r="Y18" s="549">
        <v>80460</v>
      </c>
      <c r="Z18" s="549">
        <v>45900</v>
      </c>
      <c r="AA18" s="549">
        <f t="shared" si="25"/>
        <v>126360</v>
      </c>
      <c r="AB18" s="552">
        <v>3.9</v>
      </c>
      <c r="AC18" s="551">
        <f t="shared" si="26"/>
        <v>84610.5</v>
      </c>
      <c r="AD18" s="552">
        <v>14.3</v>
      </c>
      <c r="AE18" s="549">
        <f t="shared" si="27"/>
        <v>310238.5</v>
      </c>
      <c r="AF18" s="553">
        <v>10</v>
      </c>
      <c r="AG18" s="549">
        <v>121000</v>
      </c>
      <c r="AH18" s="552">
        <v>5.5</v>
      </c>
      <c r="AI18" s="549">
        <f t="shared" si="9"/>
        <v>119322.5</v>
      </c>
      <c r="AJ18" s="549">
        <f t="shared" si="28"/>
        <v>42373</v>
      </c>
      <c r="AK18" s="552">
        <v>1.4</v>
      </c>
      <c r="AL18" s="549">
        <f t="shared" si="10"/>
        <v>30372.999999999996</v>
      </c>
      <c r="AM18" s="554">
        <v>0</v>
      </c>
      <c r="AN18" s="549"/>
      <c r="AO18" s="549">
        <v>12000</v>
      </c>
      <c r="AP18" s="549">
        <f t="shared" si="29"/>
        <v>266291.59999999998</v>
      </c>
      <c r="AQ18" s="552">
        <v>2.8</v>
      </c>
      <c r="AR18" s="549">
        <f t="shared" si="11"/>
        <v>60745.999999999993</v>
      </c>
      <c r="AS18" s="549">
        <v>130881.59999999999</v>
      </c>
      <c r="AT18" s="549">
        <v>74664</v>
      </c>
      <c r="AU18" s="549">
        <f t="shared" si="30"/>
        <v>205545.59999999998</v>
      </c>
      <c r="AV18" s="549"/>
      <c r="AW18" s="549">
        <f t="shared" si="31"/>
        <v>243645</v>
      </c>
      <c r="AX18" s="552">
        <v>11</v>
      </c>
      <c r="AY18" s="549">
        <f t="shared" si="12"/>
        <v>238645</v>
      </c>
      <c r="AZ18" s="549">
        <v>5000</v>
      </c>
      <c r="BA18" s="549"/>
      <c r="BB18" s="551">
        <f t="shared" si="32"/>
        <v>942715</v>
      </c>
      <c r="BC18" s="552">
        <v>37</v>
      </c>
      <c r="BD18" s="549">
        <f t="shared" si="13"/>
        <v>802715</v>
      </c>
      <c r="BE18" s="551">
        <v>140000</v>
      </c>
      <c r="BF18" s="555">
        <v>9</v>
      </c>
      <c r="BG18" s="549">
        <f t="shared" si="14"/>
        <v>195255</v>
      </c>
      <c r="BH18" s="549">
        <f t="shared" si="33"/>
        <v>132416.04749999999</v>
      </c>
      <c r="BI18" s="549">
        <v>10000</v>
      </c>
      <c r="BJ18" s="549">
        <v>75000</v>
      </c>
      <c r="BK18" s="549">
        <f t="shared" si="15"/>
        <v>96156</v>
      </c>
      <c r="BL18" s="549">
        <f>ROUND(2.31%*(G18+F18+BK18+'[3]Biểu 09'!C11),0)</f>
        <v>298493</v>
      </c>
      <c r="BM18" s="556">
        <f>ROUND(BP18,0)</f>
        <v>253232</v>
      </c>
      <c r="BN18" s="393">
        <f t="shared" si="34"/>
        <v>7083304</v>
      </c>
      <c r="BO18" s="393">
        <f t="shared" si="16"/>
        <v>2532321.5474999994</v>
      </c>
      <c r="BP18" s="487">
        <f t="shared" si="17"/>
        <v>253232.15474999996</v>
      </c>
      <c r="BQ18" s="487">
        <f t="shared" si="18"/>
        <v>2279089.3927499996</v>
      </c>
      <c r="BR18" s="499">
        <f t="shared" ref="BR18:BR38" si="35">+BQ18*5%</f>
        <v>113954.46963749999</v>
      </c>
    </row>
    <row r="19" spans="1:70" s="506" customFormat="1" ht="19.350000000000001" customHeight="1">
      <c r="A19" s="543" t="s">
        <v>1959</v>
      </c>
      <c r="B19" s="544" t="s">
        <v>1960</v>
      </c>
      <c r="C19" s="544">
        <v>19307</v>
      </c>
      <c r="D19" s="545">
        <f t="shared" si="19"/>
        <v>9459234.5194999985</v>
      </c>
      <c r="E19" s="546">
        <f t="shared" si="20"/>
        <v>9459234.5194999985</v>
      </c>
      <c r="F19" s="547"/>
      <c r="G19" s="548">
        <f t="shared" si="7"/>
        <v>9087941.5194999985</v>
      </c>
      <c r="H19" s="549">
        <f t="shared" si="21"/>
        <v>6882214</v>
      </c>
      <c r="I19" s="550">
        <v>25</v>
      </c>
      <c r="J19" s="551">
        <v>19000</v>
      </c>
      <c r="K19" s="549">
        <f t="shared" si="22"/>
        <v>475000</v>
      </c>
      <c r="L19" s="549">
        <v>2183196</v>
      </c>
      <c r="M19" s="549">
        <v>1245340</v>
      </c>
      <c r="N19" s="549">
        <f t="shared" si="23"/>
        <v>3428536</v>
      </c>
      <c r="O19" s="551">
        <v>375480</v>
      </c>
      <c r="P19" s="549">
        <v>858240</v>
      </c>
      <c r="Q19" s="551">
        <v>40000</v>
      </c>
      <c r="R19" s="551">
        <v>703800</v>
      </c>
      <c r="S19" s="549">
        <f t="shared" si="24"/>
        <v>1977520</v>
      </c>
      <c r="T19" s="549">
        <v>700000</v>
      </c>
      <c r="U19" s="549">
        <f t="shared" si="8"/>
        <v>700000</v>
      </c>
      <c r="V19" s="549">
        <v>111303</v>
      </c>
      <c r="W19" s="549">
        <v>63495</v>
      </c>
      <c r="X19" s="549">
        <f>+V19+W19</f>
        <v>174798</v>
      </c>
      <c r="Y19" s="549">
        <v>80460</v>
      </c>
      <c r="Z19" s="549">
        <v>45900</v>
      </c>
      <c r="AA19" s="549">
        <f t="shared" si="25"/>
        <v>126360</v>
      </c>
      <c r="AB19" s="552">
        <v>3.9</v>
      </c>
      <c r="AC19" s="551">
        <f t="shared" si="26"/>
        <v>75297.3</v>
      </c>
      <c r="AD19" s="552">
        <v>14.3</v>
      </c>
      <c r="AE19" s="549">
        <f t="shared" si="27"/>
        <v>276090.10000000003</v>
      </c>
      <c r="AF19" s="553">
        <v>8</v>
      </c>
      <c r="AG19" s="549">
        <v>102000</v>
      </c>
      <c r="AH19" s="552">
        <v>5.5</v>
      </c>
      <c r="AI19" s="549">
        <f t="shared" si="9"/>
        <v>106188.5</v>
      </c>
      <c r="AJ19" s="549">
        <f t="shared" si="28"/>
        <v>78629.8</v>
      </c>
      <c r="AK19" s="552">
        <v>1.4</v>
      </c>
      <c r="AL19" s="549">
        <f t="shared" si="10"/>
        <v>27029.8</v>
      </c>
      <c r="AM19" s="554">
        <v>1</v>
      </c>
      <c r="AN19" s="549">
        <v>42000</v>
      </c>
      <c r="AO19" s="549">
        <v>9600</v>
      </c>
      <c r="AP19" s="549">
        <f>AR19+AU19+AV19</f>
        <v>259605.19999999998</v>
      </c>
      <c r="AQ19" s="552">
        <v>2.8</v>
      </c>
      <c r="AR19" s="549">
        <f t="shared" si="11"/>
        <v>54059.6</v>
      </c>
      <c r="AS19" s="549">
        <v>130881.59999999999</v>
      </c>
      <c r="AT19" s="549">
        <v>74664</v>
      </c>
      <c r="AU19" s="549">
        <f t="shared" si="30"/>
        <v>205545.59999999998</v>
      </c>
      <c r="AV19" s="549"/>
      <c r="AW19" s="549">
        <f t="shared" si="31"/>
        <v>217377</v>
      </c>
      <c r="AX19" s="552">
        <v>11</v>
      </c>
      <c r="AY19" s="549">
        <f t="shared" si="12"/>
        <v>212377</v>
      </c>
      <c r="AZ19" s="549">
        <v>5000</v>
      </c>
      <c r="BA19" s="549"/>
      <c r="BB19" s="551">
        <f t="shared" si="32"/>
        <v>814359</v>
      </c>
      <c r="BC19" s="552">
        <v>37</v>
      </c>
      <c r="BD19" s="549">
        <f t="shared" si="13"/>
        <v>714359</v>
      </c>
      <c r="BE19" s="551">
        <v>100000</v>
      </c>
      <c r="BF19" s="555">
        <v>9</v>
      </c>
      <c r="BG19" s="549">
        <f t="shared" si="14"/>
        <v>173763</v>
      </c>
      <c r="BH19" s="549">
        <f t="shared" si="33"/>
        <v>204417.6195</v>
      </c>
      <c r="BI19" s="549">
        <v>10000</v>
      </c>
      <c r="BJ19" s="549">
        <v>150000</v>
      </c>
      <c r="BK19" s="549">
        <f t="shared" si="15"/>
        <v>90879</v>
      </c>
      <c r="BL19" s="549">
        <f>ROUND(2.31%*(G19+F19+BK19+'[3]Biểu 09'!C12),0)</f>
        <v>280414</v>
      </c>
      <c r="BM19" s="556">
        <f t="shared" ref="BM19:BM38" si="36">ROUND(BP19,0)</f>
        <v>236158</v>
      </c>
      <c r="BN19" s="393">
        <f t="shared" si="34"/>
        <v>6726359.5999999996</v>
      </c>
      <c r="BO19" s="393">
        <f t="shared" si="16"/>
        <v>2361581.9194999989</v>
      </c>
      <c r="BP19" s="487">
        <f t="shared" si="17"/>
        <v>236158.19194999989</v>
      </c>
      <c r="BQ19" s="487">
        <f t="shared" si="18"/>
        <v>2125423.727549999</v>
      </c>
      <c r="BR19" s="499">
        <f t="shared" si="35"/>
        <v>106271.18637749995</v>
      </c>
    </row>
    <row r="20" spans="1:70" s="506" customFormat="1" ht="19.350000000000001" customHeight="1">
      <c r="A20" s="543" t="s">
        <v>1900</v>
      </c>
      <c r="B20" s="544" t="s">
        <v>1961</v>
      </c>
      <c r="C20" s="544">
        <v>7044</v>
      </c>
      <c r="D20" s="545">
        <f t="shared" si="19"/>
        <v>7987473.2499999991</v>
      </c>
      <c r="E20" s="546">
        <f t="shared" si="20"/>
        <v>7987473.2499999991</v>
      </c>
      <c r="F20" s="547"/>
      <c r="G20" s="548">
        <f t="shared" si="7"/>
        <v>7678855.2499999991</v>
      </c>
      <c r="H20" s="549">
        <f t="shared" si="21"/>
        <v>6746468.7999999998</v>
      </c>
      <c r="I20" s="550">
        <v>22</v>
      </c>
      <c r="J20" s="551">
        <v>19000</v>
      </c>
      <c r="K20" s="549">
        <f t="shared" si="22"/>
        <v>418000</v>
      </c>
      <c r="L20" s="549">
        <v>2508839.2000000002</v>
      </c>
      <c r="M20" s="549">
        <v>1431868</v>
      </c>
      <c r="N20" s="549">
        <f t="shared" si="23"/>
        <v>3940707.2</v>
      </c>
      <c r="O20" s="551">
        <v>321840</v>
      </c>
      <c r="P20" s="549">
        <v>536400</v>
      </c>
      <c r="Q20" s="551">
        <v>37500</v>
      </c>
      <c r="R20" s="551">
        <v>489600</v>
      </c>
      <c r="S20" s="549">
        <f t="shared" si="24"/>
        <v>1385340</v>
      </c>
      <c r="T20" s="549">
        <v>700000</v>
      </c>
      <c r="U20" s="549">
        <f t="shared" si="8"/>
        <v>700000</v>
      </c>
      <c r="V20" s="549">
        <v>112107.6</v>
      </c>
      <c r="W20" s="549">
        <v>63954</v>
      </c>
      <c r="X20" s="549">
        <f>+V20+W20</f>
        <v>176061.6</v>
      </c>
      <c r="Y20" s="549">
        <v>80460</v>
      </c>
      <c r="Z20" s="549">
        <v>45900</v>
      </c>
      <c r="AA20" s="549">
        <f t="shared" si="25"/>
        <v>126360</v>
      </c>
      <c r="AB20" s="552">
        <v>3.9</v>
      </c>
      <c r="AC20" s="551">
        <f t="shared" si="26"/>
        <v>27471.599999999999</v>
      </c>
      <c r="AD20" s="552">
        <v>14.3</v>
      </c>
      <c r="AE20" s="549">
        <f t="shared" si="27"/>
        <v>100729.20000000001</v>
      </c>
      <c r="AF20" s="553">
        <v>5</v>
      </c>
      <c r="AG20" s="549">
        <v>70000</v>
      </c>
      <c r="AH20" s="552">
        <v>5.5</v>
      </c>
      <c r="AI20" s="549">
        <f t="shared" si="9"/>
        <v>38742</v>
      </c>
      <c r="AJ20" s="549">
        <f t="shared" si="28"/>
        <v>15861.599999999999</v>
      </c>
      <c r="AK20" s="552">
        <v>1.4</v>
      </c>
      <c r="AL20" s="549">
        <f t="shared" si="10"/>
        <v>9861.5999999999985</v>
      </c>
      <c r="AM20" s="554">
        <v>0</v>
      </c>
      <c r="AN20" s="549"/>
      <c r="AO20" s="549">
        <v>6000</v>
      </c>
      <c r="AP20" s="549">
        <f t="shared" si="29"/>
        <v>225268.8</v>
      </c>
      <c r="AQ20" s="552">
        <v>2.8</v>
      </c>
      <c r="AR20" s="549">
        <f t="shared" si="11"/>
        <v>19723.199999999997</v>
      </c>
      <c r="AS20" s="549">
        <v>130881.59999999999</v>
      </c>
      <c r="AT20" s="549">
        <v>74664</v>
      </c>
      <c r="AU20" s="549">
        <f t="shared" si="30"/>
        <v>205545.59999999998</v>
      </c>
      <c r="AV20" s="549"/>
      <c r="AW20" s="549">
        <f t="shared" si="31"/>
        <v>82484</v>
      </c>
      <c r="AX20" s="552">
        <v>11</v>
      </c>
      <c r="AY20" s="549">
        <f t="shared" si="12"/>
        <v>77484</v>
      </c>
      <c r="AZ20" s="549">
        <v>5000</v>
      </c>
      <c r="BA20" s="549"/>
      <c r="BB20" s="551">
        <f t="shared" si="32"/>
        <v>260628</v>
      </c>
      <c r="BC20" s="552">
        <v>37</v>
      </c>
      <c r="BD20" s="549">
        <f t="shared" si="13"/>
        <v>260628</v>
      </c>
      <c r="BE20" s="551"/>
      <c r="BF20" s="555">
        <v>9</v>
      </c>
      <c r="BG20" s="549">
        <f t="shared" si="14"/>
        <v>63396</v>
      </c>
      <c r="BH20" s="549">
        <f t="shared" si="33"/>
        <v>117805.25</v>
      </c>
      <c r="BI20" s="549">
        <v>10000</v>
      </c>
      <c r="BJ20" s="549">
        <v>70000</v>
      </c>
      <c r="BK20" s="549">
        <f t="shared" si="15"/>
        <v>76789</v>
      </c>
      <c r="BL20" s="549">
        <f>ROUND(2.31%*(G20+F20+BK20+'[3]Biểu 09'!C13),0)</f>
        <v>231829</v>
      </c>
      <c r="BM20" s="556">
        <f t="shared" si="36"/>
        <v>110634</v>
      </c>
      <c r="BN20" s="393">
        <f t="shared" si="34"/>
        <v>6572514.3999999994</v>
      </c>
      <c r="BO20" s="393">
        <f t="shared" si="16"/>
        <v>1106340.8499999996</v>
      </c>
      <c r="BP20" s="487">
        <f t="shared" si="17"/>
        <v>110634.08499999996</v>
      </c>
      <c r="BQ20" s="487">
        <f t="shared" si="18"/>
        <v>995706.76499999966</v>
      </c>
      <c r="BR20" s="499">
        <f t="shared" si="35"/>
        <v>49785.338249999986</v>
      </c>
    </row>
    <row r="21" spans="1:70" s="506" customFormat="1" ht="19.350000000000001" customHeight="1">
      <c r="A21" s="543" t="s">
        <v>1901</v>
      </c>
      <c r="B21" s="544" t="s">
        <v>1962</v>
      </c>
      <c r="C21" s="544">
        <v>15290</v>
      </c>
      <c r="D21" s="545">
        <f t="shared" si="19"/>
        <v>8634813.5429999996</v>
      </c>
      <c r="E21" s="546">
        <f t="shared" si="20"/>
        <v>8634813.5429999996</v>
      </c>
      <c r="F21" s="547"/>
      <c r="G21" s="548">
        <f t="shared" si="7"/>
        <v>8294258.5429999996</v>
      </c>
      <c r="H21" s="549">
        <f t="shared" si="21"/>
        <v>6495722</v>
      </c>
      <c r="I21" s="550">
        <v>23</v>
      </c>
      <c r="J21" s="551">
        <v>19000</v>
      </c>
      <c r="K21" s="549">
        <f t="shared" si="22"/>
        <v>437000</v>
      </c>
      <c r="L21" s="549">
        <v>2013678.4</v>
      </c>
      <c r="M21" s="549">
        <v>1149736</v>
      </c>
      <c r="N21" s="549">
        <f t="shared" si="23"/>
        <v>3163414.4</v>
      </c>
      <c r="O21" s="551">
        <v>321840</v>
      </c>
      <c r="P21" s="549">
        <v>858240</v>
      </c>
      <c r="Q21" s="551">
        <v>37500</v>
      </c>
      <c r="R21" s="551">
        <v>673200</v>
      </c>
      <c r="S21" s="549">
        <f t="shared" si="24"/>
        <v>1890780</v>
      </c>
      <c r="T21" s="549">
        <v>700000</v>
      </c>
      <c r="U21" s="549">
        <f t="shared" si="8"/>
        <v>700000</v>
      </c>
      <c r="V21" s="549">
        <v>113448.6</v>
      </c>
      <c r="W21" s="549">
        <v>64719</v>
      </c>
      <c r="X21" s="549">
        <f t="shared" ref="X21:X38" si="37">+V21+W21</f>
        <v>178167.6</v>
      </c>
      <c r="Y21" s="549">
        <v>80460</v>
      </c>
      <c r="Z21" s="549">
        <v>45900</v>
      </c>
      <c r="AA21" s="549">
        <f t="shared" si="25"/>
        <v>126360</v>
      </c>
      <c r="AB21" s="552">
        <v>3.9</v>
      </c>
      <c r="AC21" s="551">
        <f t="shared" si="26"/>
        <v>59631</v>
      </c>
      <c r="AD21" s="552">
        <v>14.3</v>
      </c>
      <c r="AE21" s="549">
        <f t="shared" si="27"/>
        <v>218647</v>
      </c>
      <c r="AF21" s="553">
        <v>8</v>
      </c>
      <c r="AG21" s="549">
        <v>101000</v>
      </c>
      <c r="AH21" s="552">
        <v>5.5</v>
      </c>
      <c r="AI21" s="549">
        <f t="shared" si="9"/>
        <v>84095</v>
      </c>
      <c r="AJ21" s="549">
        <f t="shared" si="28"/>
        <v>31006</v>
      </c>
      <c r="AK21" s="552">
        <v>1.4</v>
      </c>
      <c r="AL21" s="549">
        <f t="shared" si="10"/>
        <v>21406</v>
      </c>
      <c r="AM21" s="554">
        <v>0</v>
      </c>
      <c r="AN21" s="549"/>
      <c r="AO21" s="549">
        <v>9600</v>
      </c>
      <c r="AP21" s="549">
        <f t="shared" si="29"/>
        <v>248357.59999999998</v>
      </c>
      <c r="AQ21" s="552">
        <v>2.8</v>
      </c>
      <c r="AR21" s="549">
        <f t="shared" si="11"/>
        <v>42812</v>
      </c>
      <c r="AS21" s="549">
        <v>130881.59999999999</v>
      </c>
      <c r="AT21" s="549">
        <v>74664</v>
      </c>
      <c r="AU21" s="549">
        <f t="shared" si="30"/>
        <v>205545.59999999998</v>
      </c>
      <c r="AV21" s="549"/>
      <c r="AW21" s="549">
        <f t="shared" si="31"/>
        <v>173190</v>
      </c>
      <c r="AX21" s="552">
        <v>11</v>
      </c>
      <c r="AY21" s="549">
        <f t="shared" si="12"/>
        <v>168190</v>
      </c>
      <c r="AZ21" s="549">
        <v>5000</v>
      </c>
      <c r="BA21" s="549"/>
      <c r="BB21" s="551">
        <f t="shared" si="32"/>
        <v>605730</v>
      </c>
      <c r="BC21" s="552">
        <v>37</v>
      </c>
      <c r="BD21" s="549">
        <f t="shared" si="13"/>
        <v>565730</v>
      </c>
      <c r="BE21" s="551">
        <v>40000</v>
      </c>
      <c r="BF21" s="555">
        <v>9</v>
      </c>
      <c r="BG21" s="549">
        <f t="shared" si="14"/>
        <v>137610</v>
      </c>
      <c r="BH21" s="549">
        <f t="shared" si="33"/>
        <v>240269.943</v>
      </c>
      <c r="BI21" s="549">
        <v>10000</v>
      </c>
      <c r="BJ21" s="549">
        <v>190000</v>
      </c>
      <c r="BK21" s="549">
        <f t="shared" si="15"/>
        <v>82943</v>
      </c>
      <c r="BL21" s="549">
        <f>ROUND(2.31%*(G21+F21+BK21+'[3]Biểu 09'!C14),0)</f>
        <v>257612</v>
      </c>
      <c r="BM21" s="556">
        <f t="shared" si="36"/>
        <v>195689</v>
      </c>
      <c r="BN21" s="393">
        <f t="shared" si="34"/>
        <v>6337367.5999999996</v>
      </c>
      <c r="BO21" s="393">
        <f t="shared" si="16"/>
        <v>1956890.943</v>
      </c>
      <c r="BP21" s="487">
        <f t="shared" si="17"/>
        <v>195689.0943</v>
      </c>
      <c r="BQ21" s="487">
        <f t="shared" si="18"/>
        <v>1761201.8487</v>
      </c>
      <c r="BR21" s="499">
        <f t="shared" si="35"/>
        <v>88060.092434999999</v>
      </c>
    </row>
    <row r="22" spans="1:70" s="506" customFormat="1" ht="19.350000000000001" customHeight="1">
      <c r="A22" s="543" t="s">
        <v>1963</v>
      </c>
      <c r="B22" s="544" t="s">
        <v>1964</v>
      </c>
      <c r="C22" s="544">
        <v>16586</v>
      </c>
      <c r="D22" s="545">
        <f t="shared" si="19"/>
        <v>9413330.8870000001</v>
      </c>
      <c r="E22" s="546">
        <f t="shared" si="20"/>
        <v>9413330.8870000001</v>
      </c>
      <c r="F22" s="547"/>
      <c r="G22" s="548">
        <f t="shared" si="7"/>
        <v>9048013.8870000001</v>
      </c>
      <c r="H22" s="549">
        <f t="shared" si="21"/>
        <v>7273000.3999999994</v>
      </c>
      <c r="I22" s="550">
        <v>25</v>
      </c>
      <c r="J22" s="551">
        <v>19000</v>
      </c>
      <c r="K22" s="549">
        <f t="shared" si="22"/>
        <v>475000</v>
      </c>
      <c r="L22" s="549">
        <v>2449517.6</v>
      </c>
      <c r="M22" s="549">
        <v>1397604</v>
      </c>
      <c r="N22" s="549">
        <f t="shared" si="23"/>
        <v>3847121.6</v>
      </c>
      <c r="O22" s="551">
        <v>375480</v>
      </c>
      <c r="P22" s="549">
        <v>858240</v>
      </c>
      <c r="Q22" s="551">
        <v>40000</v>
      </c>
      <c r="R22" s="551">
        <v>703800</v>
      </c>
      <c r="S22" s="549">
        <f t="shared" si="24"/>
        <v>1977520</v>
      </c>
      <c r="T22" s="549">
        <v>700000</v>
      </c>
      <c r="U22" s="549">
        <f t="shared" si="8"/>
        <v>700000</v>
      </c>
      <c r="V22" s="549">
        <v>104329.8</v>
      </c>
      <c r="W22" s="549">
        <v>59517</v>
      </c>
      <c r="X22" s="549">
        <f t="shared" si="37"/>
        <v>163846.79999999999</v>
      </c>
      <c r="Y22" s="549">
        <v>69732</v>
      </c>
      <c r="Z22" s="549">
        <v>39780</v>
      </c>
      <c r="AA22" s="549">
        <f t="shared" si="25"/>
        <v>109512</v>
      </c>
      <c r="AB22" s="552">
        <v>3.9</v>
      </c>
      <c r="AC22" s="551">
        <f t="shared" si="26"/>
        <v>64685.4</v>
      </c>
      <c r="AD22" s="552">
        <v>14.3</v>
      </c>
      <c r="AE22" s="549">
        <f t="shared" si="27"/>
        <v>237179.80000000002</v>
      </c>
      <c r="AF22" s="553">
        <v>8</v>
      </c>
      <c r="AG22" s="549">
        <v>100000</v>
      </c>
      <c r="AH22" s="552">
        <v>5.5</v>
      </c>
      <c r="AI22" s="549">
        <f t="shared" si="9"/>
        <v>91223</v>
      </c>
      <c r="AJ22" s="549">
        <f t="shared" si="28"/>
        <v>74820.399999999994</v>
      </c>
      <c r="AK22" s="552">
        <v>1.4</v>
      </c>
      <c r="AL22" s="549">
        <f t="shared" si="10"/>
        <v>23220.399999999998</v>
      </c>
      <c r="AM22" s="554">
        <v>1</v>
      </c>
      <c r="AN22" s="549">
        <v>42000</v>
      </c>
      <c r="AO22" s="549">
        <v>9600</v>
      </c>
      <c r="AP22" s="549">
        <f t="shared" si="29"/>
        <v>251986.39999999997</v>
      </c>
      <c r="AQ22" s="552">
        <v>2.8</v>
      </c>
      <c r="AR22" s="549">
        <f t="shared" si="11"/>
        <v>46440.799999999996</v>
      </c>
      <c r="AS22" s="549">
        <v>130881.59999999999</v>
      </c>
      <c r="AT22" s="549">
        <v>74664</v>
      </c>
      <c r="AU22" s="549">
        <f t="shared" si="30"/>
        <v>205545.59999999998</v>
      </c>
      <c r="AV22" s="549"/>
      <c r="AW22" s="549">
        <f t="shared" si="31"/>
        <v>187446</v>
      </c>
      <c r="AX22" s="552">
        <v>11</v>
      </c>
      <c r="AY22" s="549">
        <f t="shared" si="12"/>
        <v>182446</v>
      </c>
      <c r="AZ22" s="549">
        <v>5000</v>
      </c>
      <c r="BA22" s="549"/>
      <c r="BB22" s="551">
        <f t="shared" si="32"/>
        <v>613682</v>
      </c>
      <c r="BC22" s="552">
        <v>37</v>
      </c>
      <c r="BD22" s="549">
        <f t="shared" si="13"/>
        <v>613682</v>
      </c>
      <c r="BE22" s="551"/>
      <c r="BF22" s="555">
        <v>9</v>
      </c>
      <c r="BG22" s="549">
        <f t="shared" si="14"/>
        <v>149274</v>
      </c>
      <c r="BH22" s="549">
        <f t="shared" si="33"/>
        <v>104716.48699999999</v>
      </c>
      <c r="BI22" s="549">
        <v>10000</v>
      </c>
      <c r="BJ22" s="549">
        <v>50000</v>
      </c>
      <c r="BK22" s="549">
        <f t="shared" si="15"/>
        <v>90480</v>
      </c>
      <c r="BL22" s="549">
        <f>ROUND(2.31%*(G22+F22+BK22+'[3]Biểu 09'!C15),0)</f>
        <v>274837</v>
      </c>
      <c r="BM22" s="556">
        <f t="shared" si="36"/>
        <v>193287</v>
      </c>
      <c r="BN22" s="393">
        <f t="shared" si="34"/>
        <v>7115145.9999999991</v>
      </c>
      <c r="BO22" s="393">
        <f t="shared" si="16"/>
        <v>1932867.887000001</v>
      </c>
      <c r="BP22" s="487">
        <f t="shared" si="17"/>
        <v>193286.78870000012</v>
      </c>
      <c r="BQ22" s="487">
        <f t="shared" si="18"/>
        <v>1739581.0983000009</v>
      </c>
      <c r="BR22" s="499">
        <f t="shared" si="35"/>
        <v>86979.054915000044</v>
      </c>
    </row>
    <row r="23" spans="1:70" s="506" customFormat="1" ht="19.350000000000001" customHeight="1">
      <c r="A23" s="543" t="s">
        <v>1903</v>
      </c>
      <c r="B23" s="544" t="s">
        <v>1965</v>
      </c>
      <c r="C23" s="544">
        <v>16995</v>
      </c>
      <c r="D23" s="545">
        <f t="shared" si="19"/>
        <v>10019775.467499999</v>
      </c>
      <c r="E23" s="546">
        <f t="shared" si="20"/>
        <v>10019775.467499999</v>
      </c>
      <c r="F23" s="547"/>
      <c r="G23" s="548">
        <f t="shared" si="7"/>
        <v>9622821.4674999993</v>
      </c>
      <c r="H23" s="549">
        <f t="shared" si="21"/>
        <v>7388172.3999999994</v>
      </c>
      <c r="I23" s="550">
        <v>24</v>
      </c>
      <c r="J23" s="551">
        <v>19000</v>
      </c>
      <c r="K23" s="549">
        <f t="shared" si="22"/>
        <v>456000</v>
      </c>
      <c r="L23" s="549">
        <v>2366356.7999999998</v>
      </c>
      <c r="M23" s="549">
        <v>1349472</v>
      </c>
      <c r="N23" s="549">
        <f t="shared" si="23"/>
        <v>3715828.8</v>
      </c>
      <c r="O23" s="551">
        <v>321840</v>
      </c>
      <c r="P23" s="549">
        <v>1072800</v>
      </c>
      <c r="Q23" s="551">
        <v>30000</v>
      </c>
      <c r="R23" s="551">
        <v>795600</v>
      </c>
      <c r="S23" s="549">
        <f t="shared" si="24"/>
        <v>2220240</v>
      </c>
      <c r="T23" s="549">
        <v>700000</v>
      </c>
      <c r="U23" s="549">
        <f t="shared" si="8"/>
        <v>700000</v>
      </c>
      <c r="V23" s="549">
        <v>113448.6</v>
      </c>
      <c r="W23" s="549">
        <v>64719</v>
      </c>
      <c r="X23" s="549">
        <f t="shared" si="37"/>
        <v>178167.6</v>
      </c>
      <c r="Y23" s="549">
        <v>75096</v>
      </c>
      <c r="Z23" s="549">
        <v>42840</v>
      </c>
      <c r="AA23" s="549">
        <f t="shared" si="25"/>
        <v>117936</v>
      </c>
      <c r="AB23" s="552">
        <v>3.9</v>
      </c>
      <c r="AC23" s="551">
        <f t="shared" si="26"/>
        <v>66280.5</v>
      </c>
      <c r="AD23" s="552">
        <v>14.3</v>
      </c>
      <c r="AE23" s="549">
        <f t="shared" si="27"/>
        <v>243028.5</v>
      </c>
      <c r="AF23" s="553">
        <v>10</v>
      </c>
      <c r="AG23" s="549">
        <v>120000</v>
      </c>
      <c r="AH23" s="552">
        <v>5.5</v>
      </c>
      <c r="AI23" s="549">
        <f t="shared" si="9"/>
        <v>93472.5</v>
      </c>
      <c r="AJ23" s="549">
        <f t="shared" si="28"/>
        <v>77793</v>
      </c>
      <c r="AK23" s="552">
        <v>1.4</v>
      </c>
      <c r="AL23" s="549">
        <f t="shared" si="10"/>
        <v>23793</v>
      </c>
      <c r="AM23" s="554">
        <v>1</v>
      </c>
      <c r="AN23" s="549">
        <v>42000</v>
      </c>
      <c r="AO23" s="549">
        <v>12000</v>
      </c>
      <c r="AP23" s="549">
        <f t="shared" si="29"/>
        <v>253131.59999999998</v>
      </c>
      <c r="AQ23" s="552">
        <v>2.8</v>
      </c>
      <c r="AR23" s="549">
        <f t="shared" si="11"/>
        <v>47586</v>
      </c>
      <c r="AS23" s="549">
        <v>130881.59999999999</v>
      </c>
      <c r="AT23" s="549">
        <v>74664</v>
      </c>
      <c r="AU23" s="549">
        <f t="shared" si="30"/>
        <v>205545.59999999998</v>
      </c>
      <c r="AV23" s="549"/>
      <c r="AW23" s="549">
        <f t="shared" si="31"/>
        <v>191945</v>
      </c>
      <c r="AX23" s="552">
        <v>11</v>
      </c>
      <c r="AY23" s="549">
        <f t="shared" si="12"/>
        <v>186945</v>
      </c>
      <c r="AZ23" s="549">
        <v>5000</v>
      </c>
      <c r="BA23" s="549"/>
      <c r="BB23" s="551">
        <f t="shared" si="32"/>
        <v>978815</v>
      </c>
      <c r="BC23" s="552">
        <v>37</v>
      </c>
      <c r="BD23" s="549">
        <f t="shared" si="13"/>
        <v>628815</v>
      </c>
      <c r="BE23" s="551">
        <v>350000</v>
      </c>
      <c r="BF23" s="555">
        <v>9</v>
      </c>
      <c r="BG23" s="549">
        <f t="shared" si="14"/>
        <v>152955</v>
      </c>
      <c r="BH23" s="549">
        <f t="shared" si="33"/>
        <v>177227.9675</v>
      </c>
      <c r="BI23" s="549">
        <v>10000</v>
      </c>
      <c r="BJ23" s="549">
        <v>120000</v>
      </c>
      <c r="BK23" s="549">
        <f t="shared" si="15"/>
        <v>96228</v>
      </c>
      <c r="BL23" s="549">
        <f>ROUND(2.31%*(G23+F23+BK23+'[3]Biểu 09'!C16),0)</f>
        <v>300726</v>
      </c>
      <c r="BM23" s="556">
        <f t="shared" si="36"/>
        <v>234110</v>
      </c>
      <c r="BN23" s="393">
        <f t="shared" si="34"/>
        <v>7281717.9999999991</v>
      </c>
      <c r="BO23" s="393">
        <f t="shared" si="16"/>
        <v>2341103.4675000003</v>
      </c>
      <c r="BP23" s="487">
        <f t="shared" si="17"/>
        <v>234110.34675000003</v>
      </c>
      <c r="BQ23" s="487">
        <f t="shared" si="18"/>
        <v>2106993.1207500002</v>
      </c>
      <c r="BR23" s="499">
        <f t="shared" si="35"/>
        <v>105349.65603750001</v>
      </c>
    </row>
    <row r="24" spans="1:70" s="506" customFormat="1" ht="19.350000000000001" customHeight="1">
      <c r="A24" s="543" t="s">
        <v>1904</v>
      </c>
      <c r="B24" s="544" t="s">
        <v>1966</v>
      </c>
      <c r="C24" s="544">
        <v>17326</v>
      </c>
      <c r="D24" s="545">
        <f t="shared" si="19"/>
        <v>9804334.8490000013</v>
      </c>
      <c r="E24" s="546">
        <f t="shared" si="20"/>
        <v>9804334.8490000013</v>
      </c>
      <c r="F24" s="547"/>
      <c r="G24" s="548">
        <f t="shared" si="7"/>
        <v>9413900.8490000013</v>
      </c>
      <c r="H24" s="549">
        <f t="shared" si="21"/>
        <v>7647832.3999999994</v>
      </c>
      <c r="I24" s="550">
        <v>25</v>
      </c>
      <c r="J24" s="551">
        <v>19000</v>
      </c>
      <c r="K24" s="549">
        <f t="shared" si="22"/>
        <v>475000</v>
      </c>
      <c r="L24" s="549">
        <v>2323517.6</v>
      </c>
      <c r="M24" s="549">
        <v>1325604</v>
      </c>
      <c r="N24" s="549">
        <f t="shared" si="23"/>
        <v>3649121.6</v>
      </c>
      <c r="O24" s="551">
        <v>375480</v>
      </c>
      <c r="P24" s="549">
        <v>1206900</v>
      </c>
      <c r="Q24" s="551">
        <v>40000</v>
      </c>
      <c r="R24" s="551">
        <v>902700</v>
      </c>
      <c r="S24" s="549">
        <f t="shared" si="24"/>
        <v>2525080</v>
      </c>
      <c r="T24" s="549">
        <v>700000</v>
      </c>
      <c r="U24" s="549">
        <f t="shared" si="8"/>
        <v>700000</v>
      </c>
      <c r="V24" s="549">
        <v>115057.8</v>
      </c>
      <c r="W24" s="549">
        <v>65637</v>
      </c>
      <c r="X24" s="549">
        <f t="shared" si="37"/>
        <v>180694.8</v>
      </c>
      <c r="Y24" s="549">
        <v>75096</v>
      </c>
      <c r="Z24" s="549">
        <v>42840</v>
      </c>
      <c r="AA24" s="549">
        <f t="shared" si="25"/>
        <v>117936</v>
      </c>
      <c r="AB24" s="552">
        <v>3.9</v>
      </c>
      <c r="AC24" s="551">
        <f t="shared" si="26"/>
        <v>67571.399999999994</v>
      </c>
      <c r="AD24" s="552">
        <v>14.3</v>
      </c>
      <c r="AE24" s="549">
        <f t="shared" si="27"/>
        <v>247761.80000000002</v>
      </c>
      <c r="AF24" s="553">
        <v>12</v>
      </c>
      <c r="AG24" s="549">
        <v>140000</v>
      </c>
      <c r="AH24" s="552">
        <v>5.5</v>
      </c>
      <c r="AI24" s="549">
        <f t="shared" si="9"/>
        <v>95293</v>
      </c>
      <c r="AJ24" s="549">
        <f t="shared" si="28"/>
        <v>38656.399999999994</v>
      </c>
      <c r="AK24" s="552">
        <v>1.4</v>
      </c>
      <c r="AL24" s="549">
        <f t="shared" si="10"/>
        <v>24256.399999999998</v>
      </c>
      <c r="AM24" s="554">
        <v>0</v>
      </c>
      <c r="AN24" s="549"/>
      <c r="AO24" s="549">
        <v>14400</v>
      </c>
      <c r="AP24" s="549">
        <f t="shared" si="29"/>
        <v>48512.799999999996</v>
      </c>
      <c r="AQ24" s="552">
        <v>2.8</v>
      </c>
      <c r="AR24" s="549">
        <f t="shared" si="11"/>
        <v>48512.799999999996</v>
      </c>
      <c r="AS24" s="549">
        <v>0</v>
      </c>
      <c r="AT24" s="549">
        <v>0</v>
      </c>
      <c r="AU24" s="549">
        <f t="shared" si="30"/>
        <v>0</v>
      </c>
      <c r="AV24" s="549"/>
      <c r="AW24" s="549">
        <f t="shared" si="31"/>
        <v>195586</v>
      </c>
      <c r="AX24" s="552">
        <v>11</v>
      </c>
      <c r="AY24" s="549">
        <f t="shared" si="12"/>
        <v>190586</v>
      </c>
      <c r="AZ24" s="549">
        <v>5000</v>
      </c>
      <c r="BA24" s="549"/>
      <c r="BB24" s="551">
        <f t="shared" si="32"/>
        <v>641062</v>
      </c>
      <c r="BC24" s="552">
        <v>37</v>
      </c>
      <c r="BD24" s="549">
        <f t="shared" si="13"/>
        <v>641062</v>
      </c>
      <c r="BE24" s="551"/>
      <c r="BF24" s="555">
        <v>9</v>
      </c>
      <c r="BG24" s="549">
        <f t="shared" si="14"/>
        <v>155934</v>
      </c>
      <c r="BH24" s="549">
        <f t="shared" si="33"/>
        <v>275691.049</v>
      </c>
      <c r="BI24" s="549">
        <v>10000</v>
      </c>
      <c r="BJ24" s="549">
        <v>220000</v>
      </c>
      <c r="BK24" s="549">
        <f t="shared" si="15"/>
        <v>94139</v>
      </c>
      <c r="BL24" s="549">
        <f>ROUND(2.31%*(G24+F24+BK24+'[3]Biểu 09'!C17),0)</f>
        <v>296295</v>
      </c>
      <c r="BM24" s="556">
        <f t="shared" si="36"/>
        <v>212667</v>
      </c>
      <c r="BN24" s="393">
        <f t="shared" si="34"/>
        <v>7287232.3999999994</v>
      </c>
      <c r="BO24" s="393">
        <f t="shared" si="16"/>
        <v>2126668.4490000019</v>
      </c>
      <c r="BP24" s="487">
        <f t="shared" si="17"/>
        <v>212666.8449000002</v>
      </c>
      <c r="BQ24" s="487">
        <f t="shared" si="18"/>
        <v>1914001.6041000017</v>
      </c>
      <c r="BR24" s="499">
        <f t="shared" si="35"/>
        <v>95700.080205000093</v>
      </c>
    </row>
    <row r="25" spans="1:70" s="506" customFormat="1" ht="19.350000000000001" customHeight="1">
      <c r="A25" s="543" t="s">
        <v>1905</v>
      </c>
      <c r="B25" s="544" t="s">
        <v>1640</v>
      </c>
      <c r="C25" s="544">
        <v>8207</v>
      </c>
      <c r="D25" s="545">
        <f>E25+F25</f>
        <v>6718029.7544999998</v>
      </c>
      <c r="E25" s="546">
        <f t="shared" si="20"/>
        <v>6638029.7544999998</v>
      </c>
      <c r="F25" s="547">
        <v>80000</v>
      </c>
      <c r="G25" s="548">
        <f t="shared" si="7"/>
        <v>6377827.7544999998</v>
      </c>
      <c r="H25" s="549">
        <f t="shared" si="21"/>
        <v>5449306.7999999998</v>
      </c>
      <c r="I25" s="550">
        <v>20</v>
      </c>
      <c r="J25" s="551">
        <v>20000</v>
      </c>
      <c r="K25" s="549">
        <f t="shared" si="22"/>
        <v>400000</v>
      </c>
      <c r="L25" s="549">
        <v>1797839.2</v>
      </c>
      <c r="M25" s="549">
        <v>1025868</v>
      </c>
      <c r="N25" s="549">
        <f t="shared" si="23"/>
        <v>2823707.2</v>
      </c>
      <c r="O25" s="551">
        <v>321840</v>
      </c>
      <c r="P25" s="549">
        <v>429120</v>
      </c>
      <c r="Q25" s="551">
        <v>37500</v>
      </c>
      <c r="R25" s="551">
        <v>428400</v>
      </c>
      <c r="S25" s="549">
        <f t="shared" si="24"/>
        <v>1216860</v>
      </c>
      <c r="T25" s="549">
        <v>700000</v>
      </c>
      <c r="U25" s="549">
        <f t="shared" si="8"/>
        <v>700000</v>
      </c>
      <c r="V25" s="549">
        <v>121494.6</v>
      </c>
      <c r="W25" s="549">
        <v>69309</v>
      </c>
      <c r="X25" s="549">
        <f t="shared" si="37"/>
        <v>190803.6</v>
      </c>
      <c r="Y25" s="549">
        <v>75096</v>
      </c>
      <c r="Z25" s="549">
        <v>42840</v>
      </c>
      <c r="AA25" s="549">
        <f t="shared" si="25"/>
        <v>117936</v>
      </c>
      <c r="AB25" s="552">
        <v>4</v>
      </c>
      <c r="AC25" s="551">
        <f t="shared" si="26"/>
        <v>32828</v>
      </c>
      <c r="AD25" s="552">
        <v>16.5</v>
      </c>
      <c r="AE25" s="549">
        <f t="shared" si="27"/>
        <v>135415.5</v>
      </c>
      <c r="AF25" s="553">
        <v>4</v>
      </c>
      <c r="AG25" s="549">
        <f>60000</f>
        <v>60000</v>
      </c>
      <c r="AH25" s="552">
        <v>3.8</v>
      </c>
      <c r="AI25" s="549">
        <f t="shared" si="9"/>
        <v>31186.6</v>
      </c>
      <c r="AJ25" s="549">
        <f t="shared" si="28"/>
        <v>101110.5</v>
      </c>
      <c r="AK25" s="552">
        <v>1.5</v>
      </c>
      <c r="AL25" s="549">
        <f t="shared" si="10"/>
        <v>12310.5</v>
      </c>
      <c r="AM25" s="554">
        <v>2</v>
      </c>
      <c r="AN25" s="549">
        <v>84000</v>
      </c>
      <c r="AO25" s="549">
        <v>4800</v>
      </c>
      <c r="AP25" s="549">
        <f t="shared" si="29"/>
        <v>22979.599999999999</v>
      </c>
      <c r="AQ25" s="552">
        <v>2.8</v>
      </c>
      <c r="AR25" s="549">
        <f t="shared" si="11"/>
        <v>22979.599999999999</v>
      </c>
      <c r="AS25" s="549">
        <v>0</v>
      </c>
      <c r="AT25" s="549">
        <v>0</v>
      </c>
      <c r="AU25" s="549">
        <f t="shared" si="30"/>
        <v>0</v>
      </c>
      <c r="AV25" s="549"/>
      <c r="AW25" s="549">
        <f t="shared" si="31"/>
        <v>68193.899999999994</v>
      </c>
      <c r="AX25" s="552">
        <v>7.7</v>
      </c>
      <c r="AY25" s="549">
        <f t="shared" si="12"/>
        <v>63193.9</v>
      </c>
      <c r="AZ25" s="549">
        <v>5000</v>
      </c>
      <c r="BA25" s="549"/>
      <c r="BB25" s="551">
        <f t="shared" si="32"/>
        <v>401108</v>
      </c>
      <c r="BC25" s="552">
        <v>44</v>
      </c>
      <c r="BD25" s="549">
        <f t="shared" si="13"/>
        <v>361108</v>
      </c>
      <c r="BE25" s="551">
        <v>40000</v>
      </c>
      <c r="BF25" s="555">
        <v>6</v>
      </c>
      <c r="BG25" s="549">
        <f t="shared" si="14"/>
        <v>49242</v>
      </c>
      <c r="BH25" s="549">
        <f t="shared" si="33"/>
        <v>86456.854500000001</v>
      </c>
      <c r="BI25" s="549">
        <v>10000</v>
      </c>
      <c r="BJ25" s="549">
        <v>45000</v>
      </c>
      <c r="BK25" s="549">
        <f t="shared" si="15"/>
        <v>63778</v>
      </c>
      <c r="BL25" s="549">
        <f>ROUND(2.31%*(G25+F25+BK25+'[3]Biểu 09'!C18),0)</f>
        <v>196424</v>
      </c>
      <c r="BM25" s="556">
        <f t="shared" si="36"/>
        <v>121722</v>
      </c>
      <c r="BN25" s="393">
        <f t="shared" si="34"/>
        <v>5160606.8</v>
      </c>
      <c r="BO25" s="393">
        <f t="shared" si="16"/>
        <v>1217220.9545</v>
      </c>
      <c r="BP25" s="487">
        <f t="shared" si="17"/>
        <v>121722.09545000001</v>
      </c>
      <c r="BQ25" s="487">
        <f t="shared" si="18"/>
        <v>1095498.8590500001</v>
      </c>
      <c r="BR25" s="499">
        <f t="shared" si="35"/>
        <v>54774.942952500009</v>
      </c>
    </row>
    <row r="26" spans="1:70" s="506" customFormat="1" ht="19.350000000000001" customHeight="1">
      <c r="A26" s="543" t="s">
        <v>1906</v>
      </c>
      <c r="B26" s="544" t="s">
        <v>1641</v>
      </c>
      <c r="C26" s="544">
        <v>7448</v>
      </c>
      <c r="D26" s="545">
        <f t="shared" si="19"/>
        <v>7191353.0899999999</v>
      </c>
      <c r="E26" s="546">
        <f t="shared" si="20"/>
        <v>7191353.0899999999</v>
      </c>
      <c r="F26" s="547"/>
      <c r="G26" s="548">
        <f t="shared" si="7"/>
        <v>6913767.0899999999</v>
      </c>
      <c r="H26" s="549">
        <f t="shared" si="21"/>
        <v>5837310</v>
      </c>
      <c r="I26" s="550">
        <v>20</v>
      </c>
      <c r="J26" s="551">
        <v>20000</v>
      </c>
      <c r="K26" s="549">
        <f t="shared" si="22"/>
        <v>400000</v>
      </c>
      <c r="L26" s="549">
        <v>1847839.2</v>
      </c>
      <c r="M26" s="549">
        <v>1053868</v>
      </c>
      <c r="N26" s="549">
        <f t="shared" si="23"/>
        <v>2901707.2</v>
      </c>
      <c r="O26" s="551">
        <v>321840</v>
      </c>
      <c r="P26" s="549">
        <v>616860</v>
      </c>
      <c r="Q26" s="551">
        <v>37500</v>
      </c>
      <c r="R26" s="551">
        <v>535500</v>
      </c>
      <c r="S26" s="549">
        <f t="shared" si="24"/>
        <v>1511700</v>
      </c>
      <c r="T26" s="549">
        <v>700000</v>
      </c>
      <c r="U26" s="549">
        <f t="shared" si="8"/>
        <v>700000</v>
      </c>
      <c r="V26" s="549">
        <v>131149.79999999999</v>
      </c>
      <c r="W26" s="549">
        <v>74817</v>
      </c>
      <c r="X26" s="549">
        <f t="shared" si="37"/>
        <v>205966.8</v>
      </c>
      <c r="Y26" s="549">
        <v>75096</v>
      </c>
      <c r="Z26" s="549">
        <v>42840</v>
      </c>
      <c r="AA26" s="549">
        <f t="shared" si="25"/>
        <v>117936</v>
      </c>
      <c r="AB26" s="552">
        <v>4</v>
      </c>
      <c r="AC26" s="551">
        <f t="shared" si="26"/>
        <v>29792</v>
      </c>
      <c r="AD26" s="552">
        <v>16.5</v>
      </c>
      <c r="AE26" s="549">
        <f t="shared" si="27"/>
        <v>122892</v>
      </c>
      <c r="AF26" s="553">
        <v>6</v>
      </c>
      <c r="AG26" s="549">
        <f>80000</f>
        <v>80000</v>
      </c>
      <c r="AH26" s="552">
        <v>3.8</v>
      </c>
      <c r="AI26" s="549">
        <f t="shared" si="9"/>
        <v>28302.399999999998</v>
      </c>
      <c r="AJ26" s="549">
        <f t="shared" si="28"/>
        <v>60372</v>
      </c>
      <c r="AK26" s="552">
        <v>1.5</v>
      </c>
      <c r="AL26" s="549">
        <f t="shared" si="10"/>
        <v>11172</v>
      </c>
      <c r="AM26" s="554">
        <v>1</v>
      </c>
      <c r="AN26" s="549">
        <v>42000</v>
      </c>
      <c r="AO26" s="549">
        <v>7200</v>
      </c>
      <c r="AP26" s="549">
        <f t="shared" si="29"/>
        <v>226399.99999999997</v>
      </c>
      <c r="AQ26" s="552">
        <v>2.8</v>
      </c>
      <c r="AR26" s="549">
        <f t="shared" si="11"/>
        <v>20854.399999999998</v>
      </c>
      <c r="AS26" s="549">
        <v>130881.59999999999</v>
      </c>
      <c r="AT26" s="549">
        <v>74664</v>
      </c>
      <c r="AU26" s="549">
        <f t="shared" si="30"/>
        <v>205545.59999999998</v>
      </c>
      <c r="AV26" s="549"/>
      <c r="AW26" s="549">
        <f t="shared" si="31"/>
        <v>62349.599999999999</v>
      </c>
      <c r="AX26" s="552">
        <v>7.7</v>
      </c>
      <c r="AY26" s="549">
        <f t="shared" si="12"/>
        <v>57349.599999999999</v>
      </c>
      <c r="AZ26" s="549">
        <v>5000</v>
      </c>
      <c r="BA26" s="549"/>
      <c r="BB26" s="551">
        <f t="shared" si="32"/>
        <v>377712</v>
      </c>
      <c r="BC26" s="552">
        <v>44</v>
      </c>
      <c r="BD26" s="549">
        <f t="shared" si="13"/>
        <v>327712</v>
      </c>
      <c r="BE26" s="551">
        <v>50000</v>
      </c>
      <c r="BF26" s="555">
        <v>6</v>
      </c>
      <c r="BG26" s="549">
        <f t="shared" si="14"/>
        <v>44688</v>
      </c>
      <c r="BH26" s="549">
        <f t="shared" si="33"/>
        <v>123949.09</v>
      </c>
      <c r="BI26" s="549">
        <v>10000</v>
      </c>
      <c r="BJ26" s="549">
        <v>80000</v>
      </c>
      <c r="BK26" s="549">
        <f t="shared" si="15"/>
        <v>69138</v>
      </c>
      <c r="BL26" s="549">
        <f>ROUND(2.31%*(G26+F26+BK26+'[3]Biểu 09'!C19),0)</f>
        <v>208448</v>
      </c>
      <c r="BM26" s="556">
        <f t="shared" si="36"/>
        <v>117921</v>
      </c>
      <c r="BN26" s="393">
        <f t="shared" si="34"/>
        <v>5734555.5999999996</v>
      </c>
      <c r="BO26" s="393">
        <f t="shared" si="16"/>
        <v>1179211.4900000002</v>
      </c>
      <c r="BP26" s="487">
        <f t="shared" si="17"/>
        <v>117921.14900000003</v>
      </c>
      <c r="BQ26" s="487">
        <f t="shared" si="18"/>
        <v>1061290.3410000002</v>
      </c>
      <c r="BR26" s="499">
        <f t="shared" si="35"/>
        <v>53064.517050000017</v>
      </c>
    </row>
    <row r="27" spans="1:70" s="506" customFormat="1" ht="19.350000000000001" customHeight="1">
      <c r="A27" s="543" t="s">
        <v>1967</v>
      </c>
      <c r="B27" s="544" t="s">
        <v>1642</v>
      </c>
      <c r="C27" s="544">
        <v>10175</v>
      </c>
      <c r="D27" s="545">
        <f t="shared" si="19"/>
        <v>7237978.4385000002</v>
      </c>
      <c r="E27" s="546">
        <f t="shared" si="20"/>
        <v>7237978.4385000002</v>
      </c>
      <c r="F27" s="547"/>
      <c r="G27" s="548">
        <f t="shared" si="7"/>
        <v>6959724.4385000002</v>
      </c>
      <c r="H27" s="549">
        <f t="shared" si="21"/>
        <v>5739899.6000000006</v>
      </c>
      <c r="I27" s="550">
        <v>21</v>
      </c>
      <c r="J27" s="551">
        <v>20000</v>
      </c>
      <c r="K27" s="549">
        <f t="shared" si="22"/>
        <v>420000</v>
      </c>
      <c r="L27" s="549">
        <v>1944839.2</v>
      </c>
      <c r="M27" s="549">
        <v>1109868</v>
      </c>
      <c r="N27" s="549">
        <f t="shared" si="23"/>
        <v>3054707.2</v>
      </c>
      <c r="O27" s="551">
        <v>321840</v>
      </c>
      <c r="P27" s="549">
        <v>429120</v>
      </c>
      <c r="Q27" s="551">
        <v>37500</v>
      </c>
      <c r="R27" s="551">
        <v>428400</v>
      </c>
      <c r="S27" s="549">
        <f t="shared" si="24"/>
        <v>1216860</v>
      </c>
      <c r="T27" s="549">
        <v>700000</v>
      </c>
      <c r="U27" s="549">
        <f t="shared" si="8"/>
        <v>700000</v>
      </c>
      <c r="V27" s="549">
        <v>141341.4</v>
      </c>
      <c r="W27" s="549">
        <v>80631</v>
      </c>
      <c r="X27" s="549">
        <f t="shared" si="37"/>
        <v>221972.4</v>
      </c>
      <c r="Y27" s="549">
        <v>80460</v>
      </c>
      <c r="Z27" s="549">
        <v>45900</v>
      </c>
      <c r="AA27" s="549">
        <f t="shared" si="25"/>
        <v>126360</v>
      </c>
      <c r="AB27" s="552">
        <v>4</v>
      </c>
      <c r="AC27" s="551">
        <f t="shared" si="26"/>
        <v>40700</v>
      </c>
      <c r="AD27" s="552">
        <v>16.5</v>
      </c>
      <c r="AE27" s="549">
        <f t="shared" si="27"/>
        <v>167887.5</v>
      </c>
      <c r="AF27" s="553">
        <v>4</v>
      </c>
      <c r="AG27" s="549">
        <f>60000</f>
        <v>60000</v>
      </c>
      <c r="AH27" s="552">
        <v>3.8</v>
      </c>
      <c r="AI27" s="549">
        <f t="shared" si="9"/>
        <v>38665</v>
      </c>
      <c r="AJ27" s="549">
        <f t="shared" si="28"/>
        <v>62062.5</v>
      </c>
      <c r="AK27" s="552">
        <v>1.5</v>
      </c>
      <c r="AL27" s="549">
        <f t="shared" si="10"/>
        <v>15262.5</v>
      </c>
      <c r="AM27" s="554">
        <v>1</v>
      </c>
      <c r="AN27" s="549">
        <v>42000</v>
      </c>
      <c r="AO27" s="549">
        <v>4800</v>
      </c>
      <c r="AP27" s="549">
        <f t="shared" si="29"/>
        <v>234035.59999999998</v>
      </c>
      <c r="AQ27" s="552">
        <v>2.8</v>
      </c>
      <c r="AR27" s="549">
        <f t="shared" si="11"/>
        <v>28490</v>
      </c>
      <c r="AS27" s="549">
        <v>130881.59999999999</v>
      </c>
      <c r="AT27" s="549">
        <v>74664</v>
      </c>
      <c r="AU27" s="549">
        <f t="shared" si="30"/>
        <v>205545.59999999998</v>
      </c>
      <c r="AV27" s="549"/>
      <c r="AW27" s="549">
        <f t="shared" si="31"/>
        <v>83347.5</v>
      </c>
      <c r="AX27" s="552">
        <v>7.7</v>
      </c>
      <c r="AY27" s="549">
        <f t="shared" si="12"/>
        <v>78347.5</v>
      </c>
      <c r="AZ27" s="549">
        <v>5000</v>
      </c>
      <c r="BA27" s="549"/>
      <c r="BB27" s="551">
        <f t="shared" si="32"/>
        <v>447700</v>
      </c>
      <c r="BC27" s="552">
        <v>44</v>
      </c>
      <c r="BD27" s="549">
        <f t="shared" si="13"/>
        <v>447700</v>
      </c>
      <c r="BE27" s="551"/>
      <c r="BF27" s="555">
        <v>6</v>
      </c>
      <c r="BG27" s="549">
        <f t="shared" si="14"/>
        <v>61050</v>
      </c>
      <c r="BH27" s="549">
        <f t="shared" si="33"/>
        <v>84376.738500000007</v>
      </c>
      <c r="BI27" s="549">
        <v>10000</v>
      </c>
      <c r="BJ27" s="549">
        <v>40000</v>
      </c>
      <c r="BK27" s="549">
        <f t="shared" si="15"/>
        <v>69597</v>
      </c>
      <c r="BL27" s="549">
        <f>ROUND(2.31%*(G27+F27+BK27+'[3]Biểu 09'!C20),0)</f>
        <v>208657</v>
      </c>
      <c r="BM27" s="556">
        <f t="shared" si="36"/>
        <v>136498</v>
      </c>
      <c r="BN27" s="393">
        <f t="shared" si="34"/>
        <v>5594745.2000000002</v>
      </c>
      <c r="BO27" s="393">
        <f t="shared" si="16"/>
        <v>1364979.2385</v>
      </c>
      <c r="BP27" s="487">
        <f t="shared" si="17"/>
        <v>136497.92384999999</v>
      </c>
      <c r="BQ27" s="487">
        <f t="shared" si="18"/>
        <v>1228481.3146500001</v>
      </c>
      <c r="BR27" s="499">
        <f t="shared" si="35"/>
        <v>61424.065732500007</v>
      </c>
    </row>
    <row r="28" spans="1:70" s="506" customFormat="1" ht="19.350000000000001" customHeight="1">
      <c r="A28" s="543" t="s">
        <v>1908</v>
      </c>
      <c r="B28" s="544" t="s">
        <v>1643</v>
      </c>
      <c r="C28" s="544">
        <v>6209</v>
      </c>
      <c r="D28" s="545">
        <f t="shared" si="19"/>
        <v>7107332.3154999996</v>
      </c>
      <c r="E28" s="546">
        <f t="shared" si="20"/>
        <v>7107332.3154999996</v>
      </c>
      <c r="F28" s="547"/>
      <c r="G28" s="548">
        <f t="shared" si="7"/>
        <v>6835350.3154999996</v>
      </c>
      <c r="H28" s="549">
        <f t="shared" si="21"/>
        <v>6027860.7999999998</v>
      </c>
      <c r="I28" s="550">
        <v>21</v>
      </c>
      <c r="J28" s="551">
        <v>20000</v>
      </c>
      <c r="K28" s="549">
        <f t="shared" si="22"/>
        <v>420000</v>
      </c>
      <c r="L28" s="549">
        <v>2006839.2</v>
      </c>
      <c r="M28" s="549">
        <v>1145868</v>
      </c>
      <c r="N28" s="549">
        <f t="shared" si="23"/>
        <v>3152707.2</v>
      </c>
      <c r="O28" s="551">
        <v>321840</v>
      </c>
      <c r="P28" s="549">
        <v>563220</v>
      </c>
      <c r="Q28" s="551">
        <v>37500</v>
      </c>
      <c r="R28" s="551">
        <v>504900</v>
      </c>
      <c r="S28" s="549">
        <f t="shared" si="24"/>
        <v>1427460</v>
      </c>
      <c r="T28" s="549">
        <v>700000</v>
      </c>
      <c r="U28" s="549">
        <f t="shared" si="8"/>
        <v>700000</v>
      </c>
      <c r="V28" s="549">
        <v>133563.6</v>
      </c>
      <c r="W28" s="549">
        <v>76194</v>
      </c>
      <c r="X28" s="549">
        <f t="shared" si="37"/>
        <v>209757.6</v>
      </c>
      <c r="Y28" s="549">
        <v>75096</v>
      </c>
      <c r="Z28" s="549">
        <v>42840</v>
      </c>
      <c r="AA28" s="549">
        <f t="shared" si="25"/>
        <v>117936</v>
      </c>
      <c r="AB28" s="552">
        <v>4</v>
      </c>
      <c r="AC28" s="551">
        <f t="shared" si="26"/>
        <v>24836</v>
      </c>
      <c r="AD28" s="552">
        <v>16.5</v>
      </c>
      <c r="AE28" s="549">
        <f t="shared" si="27"/>
        <v>102448.5</v>
      </c>
      <c r="AF28" s="553">
        <v>6</v>
      </c>
      <c r="AG28" s="549">
        <f>80000</f>
        <v>80000</v>
      </c>
      <c r="AH28" s="552">
        <v>3.8</v>
      </c>
      <c r="AI28" s="549">
        <f t="shared" si="9"/>
        <v>23594.199999999997</v>
      </c>
      <c r="AJ28" s="549">
        <f t="shared" si="28"/>
        <v>16513.5</v>
      </c>
      <c r="AK28" s="552">
        <v>1.5</v>
      </c>
      <c r="AL28" s="549">
        <f t="shared" si="10"/>
        <v>9313.5</v>
      </c>
      <c r="AM28" s="554">
        <v>7</v>
      </c>
      <c r="AN28" s="549"/>
      <c r="AO28" s="549">
        <v>7200</v>
      </c>
      <c r="AP28" s="549">
        <f t="shared" si="29"/>
        <v>222930.8</v>
      </c>
      <c r="AQ28" s="552">
        <v>2.8</v>
      </c>
      <c r="AR28" s="549">
        <f t="shared" si="11"/>
        <v>17385.199999999997</v>
      </c>
      <c r="AS28" s="549">
        <v>130881.59999999999</v>
      </c>
      <c r="AT28" s="549">
        <v>74664</v>
      </c>
      <c r="AU28" s="549">
        <f t="shared" si="30"/>
        <v>205545.59999999998</v>
      </c>
      <c r="AV28" s="549"/>
      <c r="AW28" s="549">
        <f t="shared" si="31"/>
        <v>52809.3</v>
      </c>
      <c r="AX28" s="552">
        <v>7.7</v>
      </c>
      <c r="AY28" s="549">
        <f t="shared" si="12"/>
        <v>47809.3</v>
      </c>
      <c r="AZ28" s="549">
        <v>5000</v>
      </c>
      <c r="BA28" s="549"/>
      <c r="BB28" s="551">
        <f t="shared" si="32"/>
        <v>273196</v>
      </c>
      <c r="BC28" s="552">
        <v>44</v>
      </c>
      <c r="BD28" s="549">
        <f t="shared" si="13"/>
        <v>273196</v>
      </c>
      <c r="BE28" s="551"/>
      <c r="BF28" s="555">
        <v>6</v>
      </c>
      <c r="BG28" s="549">
        <f t="shared" si="14"/>
        <v>37254</v>
      </c>
      <c r="BH28" s="549">
        <f t="shared" si="33"/>
        <v>53907.215499999998</v>
      </c>
      <c r="BI28" s="549">
        <v>10000</v>
      </c>
      <c r="BJ28" s="549">
        <v>10000</v>
      </c>
      <c r="BK28" s="549">
        <f t="shared" si="15"/>
        <v>68354</v>
      </c>
      <c r="BL28" s="549">
        <f>ROUND(2.31%*(G28+F28+BK28+'[3]Biểu 09'!C21),0)</f>
        <v>203628</v>
      </c>
      <c r="BM28" s="556">
        <f t="shared" si="36"/>
        <v>97224</v>
      </c>
      <c r="BN28" s="393">
        <f t="shared" si="34"/>
        <v>5863106.3999999994</v>
      </c>
      <c r="BO28" s="393">
        <f t="shared" si="16"/>
        <v>972243.91550000012</v>
      </c>
      <c r="BP28" s="487">
        <f t="shared" si="17"/>
        <v>97224.391550000015</v>
      </c>
      <c r="BQ28" s="487">
        <f t="shared" si="18"/>
        <v>875019.52395000006</v>
      </c>
      <c r="BR28" s="499">
        <f t="shared" si="35"/>
        <v>43750.976197500007</v>
      </c>
    </row>
    <row r="29" spans="1:70" s="506" customFormat="1" ht="19.350000000000001" customHeight="1">
      <c r="A29" s="543" t="s">
        <v>1968</v>
      </c>
      <c r="B29" s="544" t="s">
        <v>1644</v>
      </c>
      <c r="C29" s="544">
        <v>8459</v>
      </c>
      <c r="D29" s="545">
        <f t="shared" si="19"/>
        <v>6358568.8485000003</v>
      </c>
      <c r="E29" s="546">
        <f t="shared" si="20"/>
        <v>6358568.8485000003</v>
      </c>
      <c r="F29" s="547"/>
      <c r="G29" s="548">
        <f t="shared" si="7"/>
        <v>6115706.8485000003</v>
      </c>
      <c r="H29" s="549">
        <f t="shared" si="21"/>
        <v>5110072.4000000004</v>
      </c>
      <c r="I29" s="550">
        <v>20</v>
      </c>
      <c r="J29" s="551">
        <v>20000</v>
      </c>
      <c r="K29" s="549">
        <f t="shared" si="22"/>
        <v>400000</v>
      </c>
      <c r="L29" s="549">
        <v>1584000</v>
      </c>
      <c r="M29" s="549">
        <v>903000</v>
      </c>
      <c r="N29" s="549">
        <f t="shared" si="23"/>
        <v>2487000</v>
      </c>
      <c r="O29" s="551">
        <v>321840</v>
      </c>
      <c r="P29" s="549">
        <v>402300</v>
      </c>
      <c r="Q29" s="551">
        <v>37500</v>
      </c>
      <c r="R29" s="551">
        <v>413100</v>
      </c>
      <c r="S29" s="549">
        <f t="shared" si="24"/>
        <v>1174740</v>
      </c>
      <c r="T29" s="549">
        <v>700000</v>
      </c>
      <c r="U29" s="549">
        <f t="shared" si="8"/>
        <v>700000</v>
      </c>
      <c r="V29" s="549">
        <v>141341.4</v>
      </c>
      <c r="W29" s="549">
        <v>80631</v>
      </c>
      <c r="X29" s="549">
        <f t="shared" si="37"/>
        <v>221972.4</v>
      </c>
      <c r="Y29" s="549">
        <v>80460</v>
      </c>
      <c r="Z29" s="549">
        <v>45900</v>
      </c>
      <c r="AA29" s="549">
        <f t="shared" si="25"/>
        <v>126360</v>
      </c>
      <c r="AB29" s="552">
        <v>4</v>
      </c>
      <c r="AC29" s="551">
        <f t="shared" si="26"/>
        <v>33836</v>
      </c>
      <c r="AD29" s="552">
        <v>16.5</v>
      </c>
      <c r="AE29" s="549">
        <f t="shared" si="27"/>
        <v>139573.5</v>
      </c>
      <c r="AF29" s="553">
        <v>4</v>
      </c>
      <c r="AG29" s="549">
        <f>60000</f>
        <v>60000</v>
      </c>
      <c r="AH29" s="552">
        <v>3.8</v>
      </c>
      <c r="AI29" s="549">
        <f t="shared" si="9"/>
        <v>32144.199999999997</v>
      </c>
      <c r="AJ29" s="549">
        <f t="shared" si="28"/>
        <v>17488.5</v>
      </c>
      <c r="AK29" s="552">
        <v>1.5</v>
      </c>
      <c r="AL29" s="549">
        <f t="shared" si="10"/>
        <v>12688.5</v>
      </c>
      <c r="AM29" s="554">
        <v>0</v>
      </c>
      <c r="AN29" s="549">
        <v>0</v>
      </c>
      <c r="AO29" s="549">
        <v>4800</v>
      </c>
      <c r="AP29" s="549">
        <f t="shared" si="29"/>
        <v>229230.8</v>
      </c>
      <c r="AQ29" s="552">
        <v>2.8</v>
      </c>
      <c r="AR29" s="549">
        <f t="shared" si="11"/>
        <v>23685.199999999997</v>
      </c>
      <c r="AS29" s="549">
        <v>130881.59999999999</v>
      </c>
      <c r="AT29" s="549">
        <v>74664</v>
      </c>
      <c r="AU29" s="549">
        <f t="shared" si="30"/>
        <v>205545.59999999998</v>
      </c>
      <c r="AV29" s="549"/>
      <c r="AW29" s="549">
        <f t="shared" si="31"/>
        <v>70134.3</v>
      </c>
      <c r="AX29" s="552">
        <v>7.7</v>
      </c>
      <c r="AY29" s="549">
        <f t="shared" si="12"/>
        <v>65134.3</v>
      </c>
      <c r="AZ29" s="549">
        <v>5000</v>
      </c>
      <c r="BA29" s="549"/>
      <c r="BB29" s="551">
        <f t="shared" si="32"/>
        <v>372196</v>
      </c>
      <c r="BC29" s="552">
        <v>44</v>
      </c>
      <c r="BD29" s="549">
        <f t="shared" si="13"/>
        <v>372196</v>
      </c>
      <c r="BE29" s="551"/>
      <c r="BF29" s="555">
        <v>6</v>
      </c>
      <c r="BG29" s="549">
        <f t="shared" si="14"/>
        <v>50754</v>
      </c>
      <c r="BH29" s="549">
        <f t="shared" si="33"/>
        <v>60277.148500000003</v>
      </c>
      <c r="BI29" s="549">
        <v>10000</v>
      </c>
      <c r="BJ29" s="549">
        <v>20000</v>
      </c>
      <c r="BK29" s="549">
        <f t="shared" si="15"/>
        <v>61157</v>
      </c>
      <c r="BL29" s="549">
        <f>ROUND(2.31%*(G29+F29+BK29+'[3]Biểu 09'!C22),0)</f>
        <v>181705</v>
      </c>
      <c r="BM29" s="556">
        <f t="shared" si="36"/>
        <v>117279</v>
      </c>
      <c r="BN29" s="393">
        <f t="shared" si="34"/>
        <v>4942918</v>
      </c>
      <c r="BO29" s="393">
        <f t="shared" si="16"/>
        <v>1172788.8485000003</v>
      </c>
      <c r="BP29" s="487">
        <f t="shared" si="17"/>
        <v>117278.88485000003</v>
      </c>
      <c r="BQ29" s="487">
        <f t="shared" si="18"/>
        <v>1055509.9636500003</v>
      </c>
      <c r="BR29" s="499">
        <f t="shared" si="35"/>
        <v>52775.498182500014</v>
      </c>
    </row>
    <row r="30" spans="1:70" s="506" customFormat="1" ht="19.350000000000001" customHeight="1">
      <c r="A30" s="543" t="s">
        <v>1910</v>
      </c>
      <c r="B30" s="544" t="s">
        <v>1645</v>
      </c>
      <c r="C30" s="544">
        <v>5795</v>
      </c>
      <c r="D30" s="545">
        <f>E30+F30</f>
        <v>6703044.1044999994</v>
      </c>
      <c r="E30" s="546">
        <f t="shared" si="20"/>
        <v>6703044.1044999994</v>
      </c>
      <c r="F30" s="547"/>
      <c r="G30" s="548">
        <f t="shared" si="7"/>
        <v>6449680.1044999994</v>
      </c>
      <c r="H30" s="549">
        <f t="shared" si="21"/>
        <v>5491586.7999999998</v>
      </c>
      <c r="I30" s="550">
        <v>20</v>
      </c>
      <c r="J30" s="551">
        <v>20000</v>
      </c>
      <c r="K30" s="549">
        <f t="shared" si="22"/>
        <v>400000</v>
      </c>
      <c r="L30" s="549">
        <v>1944000</v>
      </c>
      <c r="M30" s="549">
        <v>1109000</v>
      </c>
      <c r="N30" s="549">
        <f t="shared" si="23"/>
        <v>3053000</v>
      </c>
      <c r="O30" s="551">
        <v>321840</v>
      </c>
      <c r="P30" s="549">
        <v>295020</v>
      </c>
      <c r="Q30" s="551">
        <v>37500</v>
      </c>
      <c r="R30" s="551">
        <v>351900</v>
      </c>
      <c r="S30" s="549">
        <f t="shared" si="24"/>
        <v>1006260</v>
      </c>
      <c r="T30" s="549">
        <v>700000</v>
      </c>
      <c r="U30" s="549">
        <f t="shared" si="8"/>
        <v>700000</v>
      </c>
      <c r="V30" s="549">
        <v>136513.79999999999</v>
      </c>
      <c r="W30" s="549">
        <v>77877</v>
      </c>
      <c r="X30" s="549">
        <f t="shared" si="37"/>
        <v>214390.8</v>
      </c>
      <c r="Y30" s="549">
        <v>75096</v>
      </c>
      <c r="Z30" s="549">
        <v>42840</v>
      </c>
      <c r="AA30" s="549">
        <f t="shared" si="25"/>
        <v>117936</v>
      </c>
      <c r="AB30" s="552">
        <v>4</v>
      </c>
      <c r="AC30" s="551">
        <f t="shared" si="26"/>
        <v>23180</v>
      </c>
      <c r="AD30" s="552">
        <v>16.5</v>
      </c>
      <c r="AE30" s="549">
        <f t="shared" si="27"/>
        <v>95617.5</v>
      </c>
      <c r="AF30" s="553">
        <v>3</v>
      </c>
      <c r="AG30" s="549">
        <v>50000</v>
      </c>
      <c r="AH30" s="552">
        <v>3.8</v>
      </c>
      <c r="AI30" s="549">
        <f t="shared" si="9"/>
        <v>22021</v>
      </c>
      <c r="AJ30" s="549">
        <f t="shared" si="28"/>
        <v>54292.5</v>
      </c>
      <c r="AK30" s="552">
        <v>1.5</v>
      </c>
      <c r="AL30" s="549">
        <f t="shared" si="10"/>
        <v>8692.5</v>
      </c>
      <c r="AM30" s="554">
        <v>1</v>
      </c>
      <c r="AN30" s="549">
        <v>42000</v>
      </c>
      <c r="AO30" s="549">
        <v>3600</v>
      </c>
      <c r="AP30" s="549">
        <f t="shared" si="29"/>
        <v>221771.59999999998</v>
      </c>
      <c r="AQ30" s="552">
        <v>2.8</v>
      </c>
      <c r="AR30" s="549">
        <f t="shared" si="11"/>
        <v>16225.999999999998</v>
      </c>
      <c r="AS30" s="549">
        <v>130881.59999999999</v>
      </c>
      <c r="AT30" s="549">
        <v>74664</v>
      </c>
      <c r="AU30" s="549">
        <f t="shared" si="30"/>
        <v>205545.59999999998</v>
      </c>
      <c r="AV30" s="549"/>
      <c r="AW30" s="549">
        <f t="shared" si="31"/>
        <v>49621.5</v>
      </c>
      <c r="AX30" s="552">
        <v>7.7</v>
      </c>
      <c r="AY30" s="549">
        <f t="shared" si="12"/>
        <v>44621.5</v>
      </c>
      <c r="AZ30" s="549">
        <v>5000</v>
      </c>
      <c r="BA30" s="549"/>
      <c r="BB30" s="551">
        <f t="shared" si="32"/>
        <v>374980</v>
      </c>
      <c r="BC30" s="552">
        <v>44</v>
      </c>
      <c r="BD30" s="549">
        <f t="shared" si="13"/>
        <v>254980</v>
      </c>
      <c r="BE30" s="551">
        <v>120000</v>
      </c>
      <c r="BF30" s="555">
        <v>6</v>
      </c>
      <c r="BG30" s="549">
        <f t="shared" si="14"/>
        <v>34770</v>
      </c>
      <c r="BH30" s="549">
        <f t="shared" si="33"/>
        <v>81839.204499999993</v>
      </c>
      <c r="BI30" s="549">
        <v>10000</v>
      </c>
      <c r="BJ30" s="549">
        <v>40000</v>
      </c>
      <c r="BK30" s="549">
        <f t="shared" si="15"/>
        <v>64497</v>
      </c>
      <c r="BL30" s="549">
        <f>ROUND(2.31%*(G30+F30+BK30+'[3]Biểu 09'!C23),0)</f>
        <v>188867</v>
      </c>
      <c r="BM30" s="556">
        <f t="shared" si="36"/>
        <v>109445</v>
      </c>
      <c r="BN30" s="393">
        <f t="shared" si="34"/>
        <v>5355232.3999999994</v>
      </c>
      <c r="BO30" s="393">
        <f t="shared" si="16"/>
        <v>1094447.7045</v>
      </c>
      <c r="BP30" s="487">
        <f t="shared" si="17"/>
        <v>109444.77045000001</v>
      </c>
      <c r="BQ30" s="487">
        <f t="shared" si="18"/>
        <v>985002.93405000004</v>
      </c>
      <c r="BR30" s="499">
        <f t="shared" si="35"/>
        <v>49250.146702500002</v>
      </c>
    </row>
    <row r="31" spans="1:70" s="506" customFormat="1" ht="19.350000000000001" customHeight="1">
      <c r="A31" s="543" t="s">
        <v>1911</v>
      </c>
      <c r="B31" s="544" t="s">
        <v>1646</v>
      </c>
      <c r="C31" s="544">
        <v>8209</v>
      </c>
      <c r="D31" s="545">
        <f t="shared" si="19"/>
        <v>6880358.8635</v>
      </c>
      <c r="E31" s="546">
        <f t="shared" si="20"/>
        <v>6880358.8635</v>
      </c>
      <c r="F31" s="547"/>
      <c r="G31" s="548">
        <f t="shared" si="7"/>
        <v>6618988.8635</v>
      </c>
      <c r="H31" s="549">
        <f t="shared" si="21"/>
        <v>5627450.4000000004</v>
      </c>
      <c r="I31" s="558">
        <v>20</v>
      </c>
      <c r="J31" s="551">
        <v>20000</v>
      </c>
      <c r="K31" s="549">
        <f t="shared" si="22"/>
        <v>400000</v>
      </c>
      <c r="L31" s="549">
        <v>1896000</v>
      </c>
      <c r="M31" s="549">
        <v>1081000</v>
      </c>
      <c r="N31" s="549">
        <f t="shared" si="23"/>
        <v>2977000</v>
      </c>
      <c r="O31" s="551">
        <v>321840</v>
      </c>
      <c r="P31" s="549">
        <v>429120</v>
      </c>
      <c r="Q31" s="551">
        <v>37500</v>
      </c>
      <c r="R31" s="551">
        <v>428400</v>
      </c>
      <c r="S31" s="549">
        <f t="shared" si="24"/>
        <v>1216860</v>
      </c>
      <c r="T31" s="549">
        <v>700000</v>
      </c>
      <c r="U31" s="549">
        <f t="shared" si="8"/>
        <v>700000</v>
      </c>
      <c r="V31" s="549">
        <v>137318.39999999999</v>
      </c>
      <c r="W31" s="549">
        <v>78336</v>
      </c>
      <c r="X31" s="549">
        <f t="shared" si="37"/>
        <v>215654.39999999999</v>
      </c>
      <c r="Y31" s="549">
        <v>75096</v>
      </c>
      <c r="Z31" s="549">
        <v>42840</v>
      </c>
      <c r="AA31" s="549">
        <f t="shared" si="25"/>
        <v>117936</v>
      </c>
      <c r="AB31" s="552">
        <v>4</v>
      </c>
      <c r="AC31" s="551">
        <f t="shared" si="26"/>
        <v>32836</v>
      </c>
      <c r="AD31" s="552">
        <v>16.5</v>
      </c>
      <c r="AE31" s="549">
        <f t="shared" si="27"/>
        <v>135448.5</v>
      </c>
      <c r="AF31" s="553">
        <v>4</v>
      </c>
      <c r="AG31" s="549">
        <f>60000</f>
        <v>60000</v>
      </c>
      <c r="AH31" s="552">
        <v>3.8</v>
      </c>
      <c r="AI31" s="549">
        <f t="shared" si="9"/>
        <v>31194.199999999997</v>
      </c>
      <c r="AJ31" s="549">
        <f t="shared" si="28"/>
        <v>17113.5</v>
      </c>
      <c r="AK31" s="552">
        <v>1.5</v>
      </c>
      <c r="AL31" s="549">
        <f t="shared" si="10"/>
        <v>12313.5</v>
      </c>
      <c r="AM31" s="554">
        <v>0</v>
      </c>
      <c r="AN31" s="549"/>
      <c r="AO31" s="549">
        <v>4800</v>
      </c>
      <c r="AP31" s="549">
        <f t="shared" si="29"/>
        <v>228530.8</v>
      </c>
      <c r="AQ31" s="552">
        <v>2.8</v>
      </c>
      <c r="AR31" s="549">
        <f t="shared" si="11"/>
        <v>22985.199999999997</v>
      </c>
      <c r="AS31" s="549">
        <v>130881.59999999999</v>
      </c>
      <c r="AT31" s="549">
        <v>74664</v>
      </c>
      <c r="AU31" s="549">
        <f t="shared" si="30"/>
        <v>205545.59999999998</v>
      </c>
      <c r="AV31" s="549"/>
      <c r="AW31" s="549">
        <f t="shared" si="31"/>
        <v>68209.3</v>
      </c>
      <c r="AX31" s="552">
        <v>7.7</v>
      </c>
      <c r="AY31" s="549">
        <f t="shared" si="12"/>
        <v>63209.3</v>
      </c>
      <c r="AZ31" s="549">
        <v>5000</v>
      </c>
      <c r="BA31" s="549"/>
      <c r="BB31" s="551">
        <f t="shared" si="32"/>
        <v>361196</v>
      </c>
      <c r="BC31" s="552">
        <v>44</v>
      </c>
      <c r="BD31" s="549">
        <f t="shared" si="13"/>
        <v>361196</v>
      </c>
      <c r="BE31" s="551"/>
      <c r="BF31" s="555">
        <v>6</v>
      </c>
      <c r="BG31" s="549">
        <f t="shared" si="14"/>
        <v>49254</v>
      </c>
      <c r="BH31" s="549">
        <f t="shared" si="33"/>
        <v>67756.163499999995</v>
      </c>
      <c r="BI31" s="549">
        <v>10000</v>
      </c>
      <c r="BJ31" s="549">
        <v>25000</v>
      </c>
      <c r="BK31" s="549">
        <f t="shared" si="15"/>
        <v>66190</v>
      </c>
      <c r="BL31" s="549">
        <f>ROUND(2.31%*(G31+F31+BK31+'[3]Biểu 09'!C24),0)</f>
        <v>195180</v>
      </c>
      <c r="BM31" s="556">
        <f t="shared" si="36"/>
        <v>115869</v>
      </c>
      <c r="BN31" s="393">
        <f t="shared" si="34"/>
        <v>5460296</v>
      </c>
      <c r="BO31" s="393">
        <f t="shared" si="16"/>
        <v>1158692.8635</v>
      </c>
      <c r="BP31" s="487">
        <f t="shared" si="17"/>
        <v>115869.28635000001</v>
      </c>
      <c r="BQ31" s="487">
        <f t="shared" si="18"/>
        <v>1042823.57715</v>
      </c>
      <c r="BR31" s="499">
        <f t="shared" si="35"/>
        <v>52141.178857500003</v>
      </c>
    </row>
    <row r="32" spans="1:70" s="506" customFormat="1" ht="19.350000000000001" customHeight="1">
      <c r="A32" s="543" t="s">
        <v>1969</v>
      </c>
      <c r="B32" s="544" t="s">
        <v>1647</v>
      </c>
      <c r="C32" s="544">
        <v>6571</v>
      </c>
      <c r="D32" s="545">
        <f t="shared" si="19"/>
        <v>7064024.8684999999</v>
      </c>
      <c r="E32" s="546">
        <f t="shared" si="20"/>
        <v>6964024.8684999999</v>
      </c>
      <c r="F32" s="547">
        <v>100000</v>
      </c>
      <c r="G32" s="548">
        <f t="shared" si="7"/>
        <v>6691223.8684999999</v>
      </c>
      <c r="H32" s="549">
        <f t="shared" si="21"/>
        <v>5815610.7999999998</v>
      </c>
      <c r="I32" s="550">
        <v>20</v>
      </c>
      <c r="J32" s="551">
        <v>20000</v>
      </c>
      <c r="K32" s="549">
        <f t="shared" si="22"/>
        <v>400000</v>
      </c>
      <c r="L32" s="549">
        <v>2011000</v>
      </c>
      <c r="M32" s="549">
        <v>1147000</v>
      </c>
      <c r="N32" s="549">
        <f t="shared" si="23"/>
        <v>3158000</v>
      </c>
      <c r="O32" s="551">
        <v>321840</v>
      </c>
      <c r="P32" s="549">
        <v>429120</v>
      </c>
      <c r="Q32" s="551">
        <v>37500</v>
      </c>
      <c r="R32" s="551">
        <v>428400</v>
      </c>
      <c r="S32" s="549">
        <f t="shared" si="24"/>
        <v>1216860</v>
      </c>
      <c r="T32" s="549">
        <v>700000</v>
      </c>
      <c r="U32" s="549">
        <f t="shared" si="8"/>
        <v>700000</v>
      </c>
      <c r="V32" s="549">
        <v>136513.79999999999</v>
      </c>
      <c r="W32" s="549">
        <v>77877</v>
      </c>
      <c r="X32" s="549">
        <f t="shared" si="37"/>
        <v>214390.8</v>
      </c>
      <c r="Y32" s="549">
        <v>80460</v>
      </c>
      <c r="Z32" s="549">
        <v>45900</v>
      </c>
      <c r="AA32" s="549">
        <f t="shared" si="25"/>
        <v>126360</v>
      </c>
      <c r="AB32" s="552">
        <v>4</v>
      </c>
      <c r="AC32" s="551">
        <f t="shared" si="26"/>
        <v>26284</v>
      </c>
      <c r="AD32" s="552">
        <v>16.5</v>
      </c>
      <c r="AE32" s="549">
        <f t="shared" si="27"/>
        <v>108421.5</v>
      </c>
      <c r="AF32" s="553">
        <v>4</v>
      </c>
      <c r="AG32" s="549">
        <f>60000</f>
        <v>60000</v>
      </c>
      <c r="AH32" s="552">
        <v>3.8</v>
      </c>
      <c r="AI32" s="549">
        <f t="shared" si="9"/>
        <v>24969.8</v>
      </c>
      <c r="AJ32" s="549">
        <f t="shared" si="28"/>
        <v>14656.5</v>
      </c>
      <c r="AK32" s="552">
        <v>1.5</v>
      </c>
      <c r="AL32" s="549">
        <f t="shared" si="10"/>
        <v>9856.5</v>
      </c>
      <c r="AM32" s="554">
        <v>0</v>
      </c>
      <c r="AN32" s="549"/>
      <c r="AO32" s="549">
        <v>4800</v>
      </c>
      <c r="AP32" s="549">
        <f t="shared" si="29"/>
        <v>223944.39999999997</v>
      </c>
      <c r="AQ32" s="552">
        <v>2.8</v>
      </c>
      <c r="AR32" s="549">
        <f t="shared" si="11"/>
        <v>18398.8</v>
      </c>
      <c r="AS32" s="549">
        <v>130881.59999999999</v>
      </c>
      <c r="AT32" s="549">
        <v>74664</v>
      </c>
      <c r="AU32" s="549">
        <f t="shared" si="30"/>
        <v>205545.59999999998</v>
      </c>
      <c r="AV32" s="549"/>
      <c r="AW32" s="549">
        <f t="shared" si="31"/>
        <v>55596.700000000004</v>
      </c>
      <c r="AX32" s="552">
        <v>7.7</v>
      </c>
      <c r="AY32" s="549">
        <f t="shared" si="12"/>
        <v>50596.700000000004</v>
      </c>
      <c r="AZ32" s="549">
        <v>5000</v>
      </c>
      <c r="BA32" s="549"/>
      <c r="BB32" s="551">
        <f t="shared" si="32"/>
        <v>329124</v>
      </c>
      <c r="BC32" s="552">
        <v>44</v>
      </c>
      <c r="BD32" s="549">
        <f t="shared" si="13"/>
        <v>289124</v>
      </c>
      <c r="BE32" s="551">
        <v>40000</v>
      </c>
      <c r="BF32" s="555">
        <v>6</v>
      </c>
      <c r="BG32" s="549">
        <f t="shared" si="14"/>
        <v>39426</v>
      </c>
      <c r="BH32" s="549">
        <f t="shared" si="33"/>
        <v>53190.1685</v>
      </c>
      <c r="BI32" s="549">
        <v>10000</v>
      </c>
      <c r="BJ32" s="549">
        <v>10000</v>
      </c>
      <c r="BK32" s="549">
        <f t="shared" si="15"/>
        <v>66912</v>
      </c>
      <c r="BL32" s="549">
        <f>ROUND(2.31%*(G32+F32+BK32+'[3]Biểu 09'!C25),0)</f>
        <v>205889</v>
      </c>
      <c r="BM32" s="556">
        <f t="shared" si="36"/>
        <v>104277</v>
      </c>
      <c r="BN32" s="393">
        <f t="shared" si="34"/>
        <v>5648456.3999999994</v>
      </c>
      <c r="BO32" s="393">
        <f t="shared" si="16"/>
        <v>1042767.4685000004</v>
      </c>
      <c r="BP32" s="487">
        <f t="shared" si="17"/>
        <v>104276.74685000005</v>
      </c>
      <c r="BQ32" s="487">
        <f t="shared" si="18"/>
        <v>938490.72165000043</v>
      </c>
      <c r="BR32" s="499">
        <f t="shared" si="35"/>
        <v>46924.536082500024</v>
      </c>
    </row>
    <row r="33" spans="1:70" s="506" customFormat="1" ht="19.350000000000001" customHeight="1">
      <c r="A33" s="543" t="s">
        <v>1913</v>
      </c>
      <c r="B33" s="544" t="s">
        <v>1648</v>
      </c>
      <c r="C33" s="544">
        <v>13681</v>
      </c>
      <c r="D33" s="545">
        <f t="shared" si="19"/>
        <v>9593006.959499998</v>
      </c>
      <c r="E33" s="546">
        <f t="shared" si="20"/>
        <v>9593006.959499998</v>
      </c>
      <c r="F33" s="547"/>
      <c r="G33" s="548">
        <f t="shared" si="7"/>
        <v>9229329.959499998</v>
      </c>
      <c r="H33" s="549">
        <f t="shared" si="21"/>
        <v>6575141.5999999996</v>
      </c>
      <c r="I33" s="550">
        <v>24</v>
      </c>
      <c r="J33" s="551">
        <v>20000</v>
      </c>
      <c r="K33" s="549">
        <f t="shared" si="22"/>
        <v>480000</v>
      </c>
      <c r="L33" s="549">
        <v>2386000</v>
      </c>
      <c r="M33" s="549">
        <v>1361000</v>
      </c>
      <c r="N33" s="549">
        <f t="shared" si="23"/>
        <v>3747000</v>
      </c>
      <c r="O33" s="551">
        <v>375480</v>
      </c>
      <c r="P33" s="549">
        <v>429120</v>
      </c>
      <c r="Q33" s="551">
        <v>40000</v>
      </c>
      <c r="R33" s="551">
        <v>459000</v>
      </c>
      <c r="S33" s="549">
        <f t="shared" si="24"/>
        <v>1303600</v>
      </c>
      <c r="T33" s="549">
        <v>700000</v>
      </c>
      <c r="U33" s="549">
        <f t="shared" si="8"/>
        <v>700000</v>
      </c>
      <c r="V33" s="549">
        <v>149655.6</v>
      </c>
      <c r="W33" s="549">
        <v>85374</v>
      </c>
      <c r="X33" s="549">
        <f t="shared" si="37"/>
        <v>235029.6</v>
      </c>
      <c r="Y33" s="549">
        <v>69732</v>
      </c>
      <c r="Z33" s="549">
        <v>39780</v>
      </c>
      <c r="AA33" s="549">
        <f t="shared" si="25"/>
        <v>109512</v>
      </c>
      <c r="AB33" s="552">
        <v>4</v>
      </c>
      <c r="AC33" s="551">
        <f t="shared" si="26"/>
        <v>54724</v>
      </c>
      <c r="AD33" s="552">
        <v>16.5</v>
      </c>
      <c r="AE33" s="549">
        <f t="shared" si="27"/>
        <v>225736.5</v>
      </c>
      <c r="AF33" s="553">
        <v>4</v>
      </c>
      <c r="AG33" s="549">
        <f>66000</f>
        <v>66000</v>
      </c>
      <c r="AH33" s="552">
        <v>3.8</v>
      </c>
      <c r="AI33" s="549">
        <f t="shared" si="9"/>
        <v>51987.799999999996</v>
      </c>
      <c r="AJ33" s="549">
        <f t="shared" si="28"/>
        <v>403321.5</v>
      </c>
      <c r="AK33" s="552">
        <v>1.5</v>
      </c>
      <c r="AL33" s="549">
        <f t="shared" si="10"/>
        <v>20521.5</v>
      </c>
      <c r="AM33" s="554">
        <v>9</v>
      </c>
      <c r="AN33" s="549">
        <v>378000</v>
      </c>
      <c r="AO33" s="549">
        <v>4800</v>
      </c>
      <c r="AP33" s="549">
        <f>AR33+AU33+AV33</f>
        <v>538306.80000000005</v>
      </c>
      <c r="AQ33" s="552">
        <v>2.8</v>
      </c>
      <c r="AR33" s="549">
        <f t="shared" si="11"/>
        <v>38306.799999999996</v>
      </c>
      <c r="AS33" s="549">
        <v>0</v>
      </c>
      <c r="AT33" s="549">
        <v>0</v>
      </c>
      <c r="AU33" s="549">
        <f t="shared" si="30"/>
        <v>0</v>
      </c>
      <c r="AV33" s="549">
        <v>500000</v>
      </c>
      <c r="AW33" s="549">
        <f t="shared" si="31"/>
        <v>610343.69999999995</v>
      </c>
      <c r="AX33" s="552">
        <v>7.7</v>
      </c>
      <c r="AY33" s="549">
        <f t="shared" si="12"/>
        <v>105343.7</v>
      </c>
      <c r="AZ33" s="549">
        <v>5000</v>
      </c>
      <c r="BA33" s="549">
        <v>500000</v>
      </c>
      <c r="BB33" s="551">
        <f t="shared" si="32"/>
        <v>601964</v>
      </c>
      <c r="BC33" s="552">
        <v>44</v>
      </c>
      <c r="BD33" s="549">
        <f t="shared" si="13"/>
        <v>601964</v>
      </c>
      <c r="BE33" s="551"/>
      <c r="BF33" s="555">
        <v>6</v>
      </c>
      <c r="BG33" s="549">
        <f t="shared" si="14"/>
        <v>82086</v>
      </c>
      <c r="BH33" s="549">
        <f t="shared" si="33"/>
        <v>85718.059500000003</v>
      </c>
      <c r="BI33" s="549">
        <v>10000</v>
      </c>
      <c r="BJ33" s="549">
        <v>30000</v>
      </c>
      <c r="BK33" s="549">
        <f t="shared" si="15"/>
        <v>92293</v>
      </c>
      <c r="BL33" s="549">
        <f>ROUND(2.31%*(G33+F33+BK33+'[3]Biểu 09'!C26),0)</f>
        <v>271384</v>
      </c>
      <c r="BM33" s="556">
        <f t="shared" si="36"/>
        <v>272539</v>
      </c>
      <c r="BN33" s="393">
        <f t="shared" si="34"/>
        <v>6503941.5999999996</v>
      </c>
      <c r="BO33" s="393">
        <f t="shared" si="16"/>
        <v>2725388.3594999984</v>
      </c>
      <c r="BP33" s="487">
        <f t="shared" si="17"/>
        <v>272538.83594999986</v>
      </c>
      <c r="BQ33" s="487">
        <f t="shared" si="18"/>
        <v>2452849.5235499986</v>
      </c>
      <c r="BR33" s="499">
        <f t="shared" si="35"/>
        <v>122642.47617749994</v>
      </c>
    </row>
    <row r="34" spans="1:70" s="506" customFormat="1" ht="19.350000000000001" customHeight="1">
      <c r="A34" s="543" t="s">
        <v>1914</v>
      </c>
      <c r="B34" s="544" t="s">
        <v>1649</v>
      </c>
      <c r="C34" s="544">
        <v>9405</v>
      </c>
      <c r="D34" s="545">
        <f t="shared" si="19"/>
        <v>8427237.3375000004</v>
      </c>
      <c r="E34" s="546">
        <f t="shared" si="20"/>
        <v>8427237.3375000004</v>
      </c>
      <c r="F34" s="547"/>
      <c r="G34" s="548">
        <f t="shared" si="7"/>
        <v>8101624.3375000004</v>
      </c>
      <c r="H34" s="549">
        <f t="shared" si="21"/>
        <v>5771170.4000000004</v>
      </c>
      <c r="I34" s="558">
        <v>21</v>
      </c>
      <c r="J34" s="551">
        <v>20000</v>
      </c>
      <c r="K34" s="549">
        <f t="shared" si="22"/>
        <v>420000</v>
      </c>
      <c r="L34" s="549">
        <v>1854839.2</v>
      </c>
      <c r="M34" s="549">
        <v>1058868</v>
      </c>
      <c r="N34" s="549">
        <f t="shared" si="23"/>
        <v>2913707.2</v>
      </c>
      <c r="O34" s="551">
        <v>321840</v>
      </c>
      <c r="P34" s="549">
        <v>536400</v>
      </c>
      <c r="Q34" s="551">
        <v>37500</v>
      </c>
      <c r="R34" s="551">
        <v>489600</v>
      </c>
      <c r="S34" s="549">
        <f t="shared" si="24"/>
        <v>1385340</v>
      </c>
      <c r="T34" s="549">
        <v>700000</v>
      </c>
      <c r="U34" s="549">
        <f t="shared" si="8"/>
        <v>700000</v>
      </c>
      <c r="V34" s="549">
        <v>143755.20000000001</v>
      </c>
      <c r="W34" s="549">
        <v>82008</v>
      </c>
      <c r="X34" s="549">
        <f t="shared" si="37"/>
        <v>225763.20000000001</v>
      </c>
      <c r="Y34" s="549">
        <v>80460</v>
      </c>
      <c r="Z34" s="549">
        <v>45900</v>
      </c>
      <c r="AA34" s="549">
        <f t="shared" si="25"/>
        <v>126360</v>
      </c>
      <c r="AB34" s="552">
        <v>4</v>
      </c>
      <c r="AC34" s="551">
        <f t="shared" si="26"/>
        <v>37620</v>
      </c>
      <c r="AD34" s="552">
        <v>16.5</v>
      </c>
      <c r="AE34" s="549">
        <f t="shared" si="27"/>
        <v>155182.5</v>
      </c>
      <c r="AF34" s="553">
        <v>5</v>
      </c>
      <c r="AG34" s="549">
        <v>71000</v>
      </c>
      <c r="AH34" s="552">
        <v>3.8</v>
      </c>
      <c r="AI34" s="549">
        <f t="shared" si="9"/>
        <v>35739</v>
      </c>
      <c r="AJ34" s="549">
        <f t="shared" si="28"/>
        <v>272107.5</v>
      </c>
      <c r="AK34" s="552">
        <v>1.5</v>
      </c>
      <c r="AL34" s="549">
        <f t="shared" si="10"/>
        <v>14107.5</v>
      </c>
      <c r="AM34" s="554">
        <v>6</v>
      </c>
      <c r="AN34" s="549">
        <v>252000</v>
      </c>
      <c r="AO34" s="549">
        <v>6000</v>
      </c>
      <c r="AP34" s="549">
        <f t="shared" si="29"/>
        <v>731879.6</v>
      </c>
      <c r="AQ34" s="552">
        <v>2.8</v>
      </c>
      <c r="AR34" s="549">
        <f t="shared" si="11"/>
        <v>26334</v>
      </c>
      <c r="AS34" s="549">
        <v>130881.59999999999</v>
      </c>
      <c r="AT34" s="549">
        <v>74664</v>
      </c>
      <c r="AU34" s="549">
        <f t="shared" si="30"/>
        <v>205545.59999999998</v>
      </c>
      <c r="AV34" s="549">
        <v>500000</v>
      </c>
      <c r="AW34" s="549">
        <f t="shared" si="31"/>
        <v>577418.5</v>
      </c>
      <c r="AX34" s="552">
        <v>7.7</v>
      </c>
      <c r="AY34" s="549">
        <f t="shared" si="12"/>
        <v>72418.5</v>
      </c>
      <c r="AZ34" s="549">
        <v>5000</v>
      </c>
      <c r="BA34" s="549">
        <v>500000</v>
      </c>
      <c r="BB34" s="551">
        <f t="shared" si="32"/>
        <v>413820</v>
      </c>
      <c r="BC34" s="552">
        <v>44</v>
      </c>
      <c r="BD34" s="549">
        <f t="shared" si="13"/>
        <v>413820</v>
      </c>
      <c r="BE34" s="551"/>
      <c r="BF34" s="555">
        <v>6</v>
      </c>
      <c r="BG34" s="549">
        <f t="shared" si="14"/>
        <v>56430</v>
      </c>
      <c r="BH34" s="549">
        <f t="shared" si="33"/>
        <v>50256.837500000001</v>
      </c>
      <c r="BI34" s="549">
        <v>10000</v>
      </c>
      <c r="BJ34" s="549"/>
      <c r="BK34" s="549">
        <f t="shared" si="15"/>
        <v>81016</v>
      </c>
      <c r="BL34" s="549">
        <f>ROUND(2.31%*(G34+F34+BK34+'[3]Biểu 09'!C27),0)</f>
        <v>244597</v>
      </c>
      <c r="BM34" s="556">
        <f t="shared" si="36"/>
        <v>225341</v>
      </c>
      <c r="BN34" s="393">
        <f t="shared" si="34"/>
        <v>5848216</v>
      </c>
      <c r="BO34" s="393">
        <f t="shared" si="16"/>
        <v>2253408.3375000004</v>
      </c>
      <c r="BP34" s="487">
        <f t="shared" si="17"/>
        <v>225340.83375000005</v>
      </c>
      <c r="BQ34" s="487">
        <f t="shared" si="18"/>
        <v>2028067.5037500004</v>
      </c>
      <c r="BR34" s="499">
        <f t="shared" si="35"/>
        <v>101403.37518750003</v>
      </c>
    </row>
    <row r="35" spans="1:70" s="506" customFormat="1" ht="19.350000000000001" customHeight="1">
      <c r="A35" s="543" t="s">
        <v>1970</v>
      </c>
      <c r="B35" s="544" t="s">
        <v>1650</v>
      </c>
      <c r="C35" s="544">
        <v>10190</v>
      </c>
      <c r="D35" s="545">
        <f t="shared" si="19"/>
        <v>7464350.949000001</v>
      </c>
      <c r="E35" s="546">
        <f t="shared" si="20"/>
        <v>7464350.949000001</v>
      </c>
      <c r="F35" s="547"/>
      <c r="G35" s="548">
        <f t="shared" si="7"/>
        <v>7186860.949000001</v>
      </c>
      <c r="H35" s="549">
        <f t="shared" si="21"/>
        <v>5238232.8000000007</v>
      </c>
      <c r="I35" s="550">
        <v>20</v>
      </c>
      <c r="J35" s="551">
        <v>20000</v>
      </c>
      <c r="K35" s="549">
        <f t="shared" si="22"/>
        <v>400000</v>
      </c>
      <c r="L35" s="549">
        <v>1744678.4</v>
      </c>
      <c r="M35" s="549">
        <v>994736</v>
      </c>
      <c r="N35" s="549">
        <f t="shared" si="23"/>
        <v>2739414.4</v>
      </c>
      <c r="O35" s="551">
        <v>321840</v>
      </c>
      <c r="P35" s="549">
        <v>321840</v>
      </c>
      <c r="Q35" s="551">
        <v>37500</v>
      </c>
      <c r="R35" s="551">
        <v>367200</v>
      </c>
      <c r="S35" s="549">
        <f t="shared" si="24"/>
        <v>1048380</v>
      </c>
      <c r="T35" s="549">
        <v>700000</v>
      </c>
      <c r="U35" s="549">
        <f t="shared" si="8"/>
        <v>700000</v>
      </c>
      <c r="V35" s="549">
        <v>148046.39999999999</v>
      </c>
      <c r="W35" s="549">
        <v>84456</v>
      </c>
      <c r="X35" s="549">
        <f t="shared" si="37"/>
        <v>232502.39999999999</v>
      </c>
      <c r="Y35" s="549">
        <v>75096</v>
      </c>
      <c r="Z35" s="549">
        <v>42840</v>
      </c>
      <c r="AA35" s="549">
        <f t="shared" si="25"/>
        <v>117936</v>
      </c>
      <c r="AB35" s="552">
        <v>4</v>
      </c>
      <c r="AC35" s="551">
        <f t="shared" si="26"/>
        <v>40760</v>
      </c>
      <c r="AD35" s="552">
        <v>16.5</v>
      </c>
      <c r="AE35" s="549">
        <f t="shared" si="27"/>
        <v>168135</v>
      </c>
      <c r="AF35" s="553">
        <v>3</v>
      </c>
      <c r="AG35" s="549">
        <f>61000</f>
        <v>61000</v>
      </c>
      <c r="AH35" s="552">
        <v>3.8</v>
      </c>
      <c r="AI35" s="549">
        <f t="shared" si="9"/>
        <v>38722</v>
      </c>
      <c r="AJ35" s="549">
        <f t="shared" si="28"/>
        <v>18885</v>
      </c>
      <c r="AK35" s="552">
        <v>1.5</v>
      </c>
      <c r="AL35" s="549">
        <f t="shared" si="10"/>
        <v>15285</v>
      </c>
      <c r="AM35" s="554">
        <v>0</v>
      </c>
      <c r="AN35" s="549"/>
      <c r="AO35" s="549">
        <v>3600</v>
      </c>
      <c r="AP35" s="549">
        <f t="shared" si="29"/>
        <v>528532</v>
      </c>
      <c r="AQ35" s="552">
        <v>2.8</v>
      </c>
      <c r="AR35" s="549">
        <f t="shared" si="11"/>
        <v>28532</v>
      </c>
      <c r="AS35" s="549">
        <v>0</v>
      </c>
      <c r="AT35" s="549">
        <v>0</v>
      </c>
      <c r="AU35" s="549">
        <f t="shared" si="30"/>
        <v>0</v>
      </c>
      <c r="AV35" s="549">
        <v>500000</v>
      </c>
      <c r="AW35" s="549">
        <f t="shared" si="31"/>
        <v>583463</v>
      </c>
      <c r="AX35" s="552">
        <v>7.7</v>
      </c>
      <c r="AY35" s="549">
        <f t="shared" si="12"/>
        <v>78463</v>
      </c>
      <c r="AZ35" s="549">
        <v>5000</v>
      </c>
      <c r="BA35" s="549">
        <v>500000</v>
      </c>
      <c r="BB35" s="551">
        <f t="shared" si="32"/>
        <v>448360</v>
      </c>
      <c r="BC35" s="552">
        <v>44</v>
      </c>
      <c r="BD35" s="549">
        <f t="shared" si="13"/>
        <v>448360</v>
      </c>
      <c r="BE35" s="551"/>
      <c r="BF35" s="555">
        <v>6</v>
      </c>
      <c r="BG35" s="549">
        <f t="shared" si="14"/>
        <v>61140</v>
      </c>
      <c r="BH35" s="549">
        <f t="shared" si="33"/>
        <v>60631.149000000005</v>
      </c>
      <c r="BI35" s="549">
        <v>10000</v>
      </c>
      <c r="BJ35" s="549">
        <v>15000</v>
      </c>
      <c r="BK35" s="549">
        <f t="shared" si="15"/>
        <v>71869</v>
      </c>
      <c r="BL35" s="549">
        <f>ROUND(2.31%*(G35+F35+BK35+'[3]Biểu 09'!C28),0)</f>
        <v>205621</v>
      </c>
      <c r="BM35" s="556">
        <f t="shared" si="36"/>
        <v>232153</v>
      </c>
      <c r="BN35" s="393">
        <f t="shared" si="34"/>
        <v>4865332.8000000007</v>
      </c>
      <c r="BO35" s="393">
        <f t="shared" si="16"/>
        <v>2321528.1490000002</v>
      </c>
      <c r="BP35" s="487">
        <f t="shared" si="17"/>
        <v>232152.81490000003</v>
      </c>
      <c r="BQ35" s="487">
        <f t="shared" si="18"/>
        <v>2089375.3341000001</v>
      </c>
      <c r="BR35" s="499">
        <f t="shared" si="35"/>
        <v>104468.76670500002</v>
      </c>
    </row>
    <row r="36" spans="1:70" s="506" customFormat="1" ht="19.350000000000001" customHeight="1">
      <c r="A36" s="543" t="s">
        <v>1916</v>
      </c>
      <c r="B36" s="544" t="s">
        <v>1651</v>
      </c>
      <c r="C36" s="544">
        <v>6887</v>
      </c>
      <c r="D36" s="545">
        <f t="shared" si="19"/>
        <v>7983795.6404999997</v>
      </c>
      <c r="E36" s="546">
        <f t="shared" si="20"/>
        <v>7983795.6404999997</v>
      </c>
      <c r="F36" s="547"/>
      <c r="G36" s="548">
        <f t="shared" si="7"/>
        <v>7690017.6404999997</v>
      </c>
      <c r="H36" s="549">
        <f t="shared" si="21"/>
        <v>5997760</v>
      </c>
      <c r="I36" s="550">
        <v>20</v>
      </c>
      <c r="J36" s="551">
        <v>20000</v>
      </c>
      <c r="K36" s="549">
        <f t="shared" si="22"/>
        <v>400000</v>
      </c>
      <c r="L36" s="549">
        <v>2143000</v>
      </c>
      <c r="M36" s="549">
        <v>1222000</v>
      </c>
      <c r="N36" s="549">
        <f t="shared" si="23"/>
        <v>3365000</v>
      </c>
      <c r="O36" s="551">
        <v>321840</v>
      </c>
      <c r="P36" s="549">
        <v>429120</v>
      </c>
      <c r="Q36" s="551">
        <v>37500</v>
      </c>
      <c r="R36" s="551">
        <v>428400</v>
      </c>
      <c r="S36" s="549">
        <f t="shared" si="24"/>
        <v>1216860</v>
      </c>
      <c r="T36" s="549">
        <v>700000</v>
      </c>
      <c r="U36" s="549">
        <f t="shared" si="8"/>
        <v>700000</v>
      </c>
      <c r="V36" s="549">
        <v>131418</v>
      </c>
      <c r="W36" s="549">
        <v>74970</v>
      </c>
      <c r="X36" s="549">
        <f t="shared" si="37"/>
        <v>206388</v>
      </c>
      <c r="Y36" s="549">
        <v>69732</v>
      </c>
      <c r="Z36" s="549">
        <v>39780</v>
      </c>
      <c r="AA36" s="549">
        <f t="shared" si="25"/>
        <v>109512</v>
      </c>
      <c r="AB36" s="552">
        <v>4</v>
      </c>
      <c r="AC36" s="551">
        <f t="shared" si="26"/>
        <v>27548</v>
      </c>
      <c r="AD36" s="552">
        <v>16.5</v>
      </c>
      <c r="AE36" s="549">
        <f t="shared" si="27"/>
        <v>113635.5</v>
      </c>
      <c r="AF36" s="553">
        <v>4</v>
      </c>
      <c r="AG36" s="549">
        <f>60000</f>
        <v>60000</v>
      </c>
      <c r="AH36" s="552">
        <v>3.8</v>
      </c>
      <c r="AI36" s="549">
        <f t="shared" si="9"/>
        <v>26170.6</v>
      </c>
      <c r="AJ36" s="549">
        <f t="shared" si="28"/>
        <v>15130.5</v>
      </c>
      <c r="AK36" s="552">
        <v>1.5</v>
      </c>
      <c r="AL36" s="549">
        <f t="shared" si="10"/>
        <v>10330.5</v>
      </c>
      <c r="AM36" s="554">
        <v>0</v>
      </c>
      <c r="AN36" s="549"/>
      <c r="AO36" s="549">
        <v>4800</v>
      </c>
      <c r="AP36" s="549">
        <f t="shared" si="29"/>
        <v>519283.6</v>
      </c>
      <c r="AQ36" s="552">
        <v>2.8</v>
      </c>
      <c r="AR36" s="549">
        <f t="shared" si="11"/>
        <v>19283.599999999999</v>
      </c>
      <c r="AS36" s="549">
        <v>0</v>
      </c>
      <c r="AT36" s="549">
        <v>0</v>
      </c>
      <c r="AU36" s="549">
        <f t="shared" si="30"/>
        <v>0</v>
      </c>
      <c r="AV36" s="549">
        <v>500000</v>
      </c>
      <c r="AW36" s="549">
        <f t="shared" si="31"/>
        <v>558029.9</v>
      </c>
      <c r="AX36" s="552">
        <v>7.7</v>
      </c>
      <c r="AY36" s="549">
        <f t="shared" si="12"/>
        <v>53029.9</v>
      </c>
      <c r="AZ36" s="549">
        <v>5000</v>
      </c>
      <c r="BA36" s="549">
        <v>500000</v>
      </c>
      <c r="BB36" s="551">
        <f t="shared" si="32"/>
        <v>323028</v>
      </c>
      <c r="BC36" s="552">
        <v>44</v>
      </c>
      <c r="BD36" s="549">
        <f t="shared" si="13"/>
        <v>303028</v>
      </c>
      <c r="BE36" s="551">
        <v>20000</v>
      </c>
      <c r="BF36" s="555">
        <v>6</v>
      </c>
      <c r="BG36" s="549">
        <f t="shared" si="14"/>
        <v>41322</v>
      </c>
      <c r="BH36" s="549">
        <f t="shared" si="33"/>
        <v>68109.540500000003</v>
      </c>
      <c r="BI36" s="549">
        <v>10000</v>
      </c>
      <c r="BJ36" s="549">
        <v>20000</v>
      </c>
      <c r="BK36" s="549">
        <f t="shared" si="15"/>
        <v>76900</v>
      </c>
      <c r="BL36" s="549">
        <f>ROUND(2.31%*(G36+F36+BK36+'[3]Biểu 09'!C29),0)</f>
        <v>216878</v>
      </c>
      <c r="BM36" s="556">
        <f t="shared" si="36"/>
        <v>206496</v>
      </c>
      <c r="BN36" s="393">
        <f t="shared" si="34"/>
        <v>5625060</v>
      </c>
      <c r="BO36" s="393">
        <f t="shared" si="16"/>
        <v>2064957.6404999997</v>
      </c>
      <c r="BP36" s="487">
        <f t="shared" si="17"/>
        <v>206495.76405</v>
      </c>
      <c r="BQ36" s="487">
        <f t="shared" si="18"/>
        <v>1858461.8764499999</v>
      </c>
      <c r="BR36" s="499">
        <f t="shared" si="35"/>
        <v>92923.093822499999</v>
      </c>
    </row>
    <row r="37" spans="1:70" s="506" customFormat="1" ht="19.350000000000001" customHeight="1">
      <c r="A37" s="543" t="s">
        <v>1971</v>
      </c>
      <c r="B37" s="544" t="s">
        <v>1652</v>
      </c>
      <c r="C37" s="544">
        <v>13006</v>
      </c>
      <c r="D37" s="545">
        <f t="shared" si="19"/>
        <v>9009442.9930000007</v>
      </c>
      <c r="E37" s="546">
        <f t="shared" si="20"/>
        <v>8809442.9930000007</v>
      </c>
      <c r="F37" s="547">
        <v>200000</v>
      </c>
      <c r="G37" s="548">
        <f t="shared" si="7"/>
        <v>8457179.9930000007</v>
      </c>
      <c r="H37" s="549">
        <f t="shared" si="21"/>
        <v>6957115.2000000002</v>
      </c>
      <c r="I37" s="550">
        <v>24</v>
      </c>
      <c r="J37" s="551">
        <v>20000</v>
      </c>
      <c r="K37" s="549">
        <f t="shared" si="22"/>
        <v>480000</v>
      </c>
      <c r="L37" s="549">
        <v>1994678.4</v>
      </c>
      <c r="M37" s="549">
        <v>1137736</v>
      </c>
      <c r="N37" s="549">
        <f t="shared" si="23"/>
        <v>3132414.4</v>
      </c>
      <c r="O37" s="551">
        <v>375480</v>
      </c>
      <c r="P37" s="549">
        <v>1045980</v>
      </c>
      <c r="Q37" s="551">
        <v>40000</v>
      </c>
      <c r="R37" s="551">
        <v>810900</v>
      </c>
      <c r="S37" s="549">
        <f t="shared" si="24"/>
        <v>2272360</v>
      </c>
      <c r="T37" s="549">
        <v>700000</v>
      </c>
      <c r="U37" s="549">
        <f t="shared" si="8"/>
        <v>700000</v>
      </c>
      <c r="V37" s="549">
        <v>156628.79999999999</v>
      </c>
      <c r="W37" s="549">
        <v>89352</v>
      </c>
      <c r="X37" s="549">
        <f t="shared" si="37"/>
        <v>245980.79999999999</v>
      </c>
      <c r="Y37" s="549">
        <v>80460</v>
      </c>
      <c r="Z37" s="549">
        <v>45900</v>
      </c>
      <c r="AA37" s="549">
        <f t="shared" si="25"/>
        <v>126360</v>
      </c>
      <c r="AB37" s="552">
        <v>4</v>
      </c>
      <c r="AC37" s="551">
        <f t="shared" si="26"/>
        <v>52024</v>
      </c>
      <c r="AD37" s="552">
        <v>16.5</v>
      </c>
      <c r="AE37" s="549">
        <f t="shared" si="27"/>
        <v>214599</v>
      </c>
      <c r="AF37" s="553">
        <v>11</v>
      </c>
      <c r="AG37" s="549">
        <f>130000</f>
        <v>130000</v>
      </c>
      <c r="AH37" s="552">
        <v>3.8</v>
      </c>
      <c r="AI37" s="549">
        <f t="shared" si="9"/>
        <v>49422.799999999996</v>
      </c>
      <c r="AJ37" s="549">
        <f t="shared" si="28"/>
        <v>74709</v>
      </c>
      <c r="AK37" s="552">
        <v>1.5</v>
      </c>
      <c r="AL37" s="549">
        <f t="shared" si="10"/>
        <v>19509</v>
      </c>
      <c r="AM37" s="554">
        <v>1</v>
      </c>
      <c r="AN37" s="549">
        <v>42000</v>
      </c>
      <c r="AO37" s="549">
        <v>13200</v>
      </c>
      <c r="AP37" s="549">
        <f t="shared" si="29"/>
        <v>241962.39999999997</v>
      </c>
      <c r="AQ37" s="552">
        <v>2.8</v>
      </c>
      <c r="AR37" s="549">
        <f t="shared" si="11"/>
        <v>36416.799999999996</v>
      </c>
      <c r="AS37" s="549">
        <v>130881.59999999999</v>
      </c>
      <c r="AT37" s="549">
        <v>74664</v>
      </c>
      <c r="AU37" s="549">
        <f t="shared" si="30"/>
        <v>205545.59999999998</v>
      </c>
      <c r="AV37" s="549"/>
      <c r="AW37" s="549">
        <f t="shared" si="31"/>
        <v>105146.2</v>
      </c>
      <c r="AX37" s="552">
        <v>7.7</v>
      </c>
      <c r="AY37" s="549">
        <f t="shared" si="12"/>
        <v>100146.2</v>
      </c>
      <c r="AZ37" s="549">
        <v>5000</v>
      </c>
      <c r="BA37" s="549"/>
      <c r="BB37" s="551">
        <f t="shared" si="32"/>
        <v>607264</v>
      </c>
      <c r="BC37" s="552">
        <v>44</v>
      </c>
      <c r="BD37" s="549">
        <f t="shared" si="13"/>
        <v>572264</v>
      </c>
      <c r="BE37" s="551">
        <v>35000</v>
      </c>
      <c r="BF37" s="555">
        <v>6</v>
      </c>
      <c r="BG37" s="549">
        <f t="shared" si="14"/>
        <v>78036</v>
      </c>
      <c r="BH37" s="549">
        <f t="shared" si="33"/>
        <v>76901.393000000011</v>
      </c>
      <c r="BI37" s="549">
        <v>10000</v>
      </c>
      <c r="BJ37" s="549">
        <v>25000</v>
      </c>
      <c r="BK37" s="549">
        <f t="shared" si="15"/>
        <v>84572</v>
      </c>
      <c r="BL37" s="549">
        <f>ROUND(2.31%*(G37+F37+BK37+'[3]Biểu 09'!C30),0)</f>
        <v>267691</v>
      </c>
      <c r="BM37" s="556">
        <f t="shared" si="36"/>
        <v>162932</v>
      </c>
      <c r="BN37" s="393">
        <f t="shared" si="34"/>
        <v>6827860.7999999998</v>
      </c>
      <c r="BO37" s="393">
        <f t="shared" si="16"/>
        <v>1629319.1930000009</v>
      </c>
      <c r="BP37" s="487">
        <f t="shared" si="17"/>
        <v>162931.9193000001</v>
      </c>
      <c r="BQ37" s="487">
        <f t="shared" si="18"/>
        <v>1466387.2737000007</v>
      </c>
      <c r="BR37" s="499">
        <f t="shared" si="35"/>
        <v>73319.363685000033</v>
      </c>
    </row>
    <row r="38" spans="1:70" s="506" customFormat="1" ht="19.350000000000001" customHeight="1" thickBot="1">
      <c r="A38" s="559" t="s">
        <v>1972</v>
      </c>
      <c r="B38" s="560" t="s">
        <v>1653</v>
      </c>
      <c r="C38" s="560">
        <v>19769</v>
      </c>
      <c r="D38" s="561">
        <f t="shared" si="19"/>
        <v>9346604.6475000009</v>
      </c>
      <c r="E38" s="546">
        <f>G38+BK38+BL38</f>
        <v>9346604.6475000009</v>
      </c>
      <c r="F38" s="562">
        <v>0</v>
      </c>
      <c r="G38" s="563">
        <f t="shared" si="7"/>
        <v>8994378.6475000009</v>
      </c>
      <c r="H38" s="564">
        <f t="shared" si="21"/>
        <v>6107564.7999999998</v>
      </c>
      <c r="I38" s="565">
        <v>22</v>
      </c>
      <c r="J38" s="566">
        <v>20000</v>
      </c>
      <c r="K38" s="564">
        <f t="shared" si="22"/>
        <v>440000</v>
      </c>
      <c r="L38" s="564">
        <v>1863839.2</v>
      </c>
      <c r="M38" s="564">
        <v>1063868</v>
      </c>
      <c r="N38" s="564">
        <f t="shared" si="23"/>
        <v>2927707.2</v>
      </c>
      <c r="O38" s="566">
        <v>375480</v>
      </c>
      <c r="P38" s="564">
        <v>643680</v>
      </c>
      <c r="Q38" s="566">
        <v>40000</v>
      </c>
      <c r="R38" s="566">
        <v>581400</v>
      </c>
      <c r="S38" s="564">
        <f t="shared" si="24"/>
        <v>1640560</v>
      </c>
      <c r="T38" s="564">
        <v>700000</v>
      </c>
      <c r="U38" s="564">
        <f t="shared" si="8"/>
        <v>700000</v>
      </c>
      <c r="V38" s="564">
        <v>184521.60000000001</v>
      </c>
      <c r="W38" s="564">
        <v>105264</v>
      </c>
      <c r="X38" s="564">
        <f t="shared" si="37"/>
        <v>289785.59999999998</v>
      </c>
      <c r="Y38" s="564">
        <v>69732</v>
      </c>
      <c r="Z38" s="564">
        <v>39780</v>
      </c>
      <c r="AA38" s="564">
        <f t="shared" si="25"/>
        <v>109512</v>
      </c>
      <c r="AB38" s="567">
        <v>4</v>
      </c>
      <c r="AC38" s="566">
        <f t="shared" si="26"/>
        <v>79076</v>
      </c>
      <c r="AD38" s="567">
        <v>16.5</v>
      </c>
      <c r="AE38" s="564">
        <f t="shared" si="27"/>
        <v>326188.5</v>
      </c>
      <c r="AF38" s="568">
        <v>6</v>
      </c>
      <c r="AG38" s="564">
        <f>80000</f>
        <v>80000</v>
      </c>
      <c r="AH38" s="567">
        <v>3.8</v>
      </c>
      <c r="AI38" s="564">
        <f t="shared" si="9"/>
        <v>75122.2</v>
      </c>
      <c r="AJ38" s="564">
        <f t="shared" si="28"/>
        <v>120853.5</v>
      </c>
      <c r="AK38" s="567">
        <v>1.5</v>
      </c>
      <c r="AL38" s="564">
        <f t="shared" si="10"/>
        <v>29653.5</v>
      </c>
      <c r="AM38" s="569">
        <v>2</v>
      </c>
      <c r="AN38" s="564">
        <v>84000</v>
      </c>
      <c r="AO38" s="564">
        <v>7200</v>
      </c>
      <c r="AP38" s="564">
        <f t="shared" si="29"/>
        <v>555353.19999999995</v>
      </c>
      <c r="AQ38" s="567">
        <v>2.8</v>
      </c>
      <c r="AR38" s="564">
        <f t="shared" si="11"/>
        <v>55353.2</v>
      </c>
      <c r="AS38" s="564">
        <v>0</v>
      </c>
      <c r="AT38" s="564">
        <v>0</v>
      </c>
      <c r="AU38" s="549">
        <f t="shared" si="30"/>
        <v>0</v>
      </c>
      <c r="AV38" s="564">
        <v>500000</v>
      </c>
      <c r="AW38" s="549">
        <f t="shared" si="31"/>
        <v>657221.30000000005</v>
      </c>
      <c r="AX38" s="567">
        <v>7.7</v>
      </c>
      <c r="AY38" s="564">
        <f t="shared" si="12"/>
        <v>152221.30000000002</v>
      </c>
      <c r="AZ38" s="564">
        <v>5000</v>
      </c>
      <c r="BA38" s="564">
        <v>500000</v>
      </c>
      <c r="BB38" s="566">
        <f t="shared" si="32"/>
        <v>869836</v>
      </c>
      <c r="BC38" s="567">
        <v>44</v>
      </c>
      <c r="BD38" s="564">
        <f t="shared" si="13"/>
        <v>869836</v>
      </c>
      <c r="BE38" s="566"/>
      <c r="BF38" s="570">
        <v>6</v>
      </c>
      <c r="BG38" s="564">
        <f t="shared" si="14"/>
        <v>118614</v>
      </c>
      <c r="BH38" s="549">
        <f t="shared" si="33"/>
        <v>84549.147499999992</v>
      </c>
      <c r="BI38" s="549">
        <v>10000</v>
      </c>
      <c r="BJ38" s="564">
        <v>30000</v>
      </c>
      <c r="BK38" s="564">
        <f t="shared" si="15"/>
        <v>89944</v>
      </c>
      <c r="BL38" s="549">
        <f>ROUND(2.31%*(G38+F38+BK38+'[3]Biểu 09'!C31),0)</f>
        <v>262282</v>
      </c>
      <c r="BM38" s="571">
        <f t="shared" si="36"/>
        <v>319561</v>
      </c>
      <c r="BN38" s="393">
        <f t="shared" si="34"/>
        <v>5798764.7999999998</v>
      </c>
      <c r="BO38" s="393">
        <f t="shared" si="16"/>
        <v>3195613.8475000011</v>
      </c>
      <c r="BP38" s="487">
        <f t="shared" si="17"/>
        <v>319561.38475000014</v>
      </c>
      <c r="BQ38" s="487">
        <f t="shared" si="18"/>
        <v>2876052.4627500009</v>
      </c>
      <c r="BR38" s="499">
        <f t="shared" si="35"/>
        <v>143802.62313750005</v>
      </c>
    </row>
    <row r="39" spans="1:70">
      <c r="C39" s="572" t="s">
        <v>1973</v>
      </c>
      <c r="I39" s="573"/>
      <c r="AB39" s="476"/>
      <c r="BR39" s="574">
        <f>SUM(BR16:BR38)</f>
        <v>1804048.3041525001</v>
      </c>
    </row>
    <row r="40" spans="1:70">
      <c r="C40" s="1678" t="s">
        <v>1974</v>
      </c>
      <c r="D40" s="1678"/>
      <c r="E40" s="1678"/>
      <c r="F40" s="1678"/>
      <c r="G40" s="1678"/>
      <c r="H40" s="1678"/>
      <c r="I40" s="1678"/>
      <c r="J40" s="1678"/>
      <c r="K40" s="1678"/>
      <c r="L40" s="1678"/>
      <c r="M40" s="1678"/>
      <c r="N40" s="1678"/>
      <c r="O40" s="1678"/>
      <c r="P40" s="1678"/>
      <c r="Q40" s="1678"/>
      <c r="R40" s="1678"/>
      <c r="S40" s="1678"/>
      <c r="T40" s="1678"/>
      <c r="U40" s="1678"/>
      <c r="V40" s="1678"/>
      <c r="W40" s="1678"/>
      <c r="X40" s="1678"/>
      <c r="Y40" s="1678"/>
      <c r="Z40" s="1678"/>
      <c r="AA40" s="1678"/>
      <c r="AB40" s="575"/>
    </row>
    <row r="41" spans="1:70" ht="14.45" customHeight="1">
      <c r="C41" s="1679" t="s">
        <v>1975</v>
      </c>
      <c r="D41" s="1679"/>
      <c r="E41" s="1679"/>
      <c r="F41" s="1679"/>
      <c r="G41" s="1679"/>
      <c r="H41" s="1679"/>
      <c r="I41" s="1679"/>
      <c r="J41" s="1679"/>
      <c r="K41" s="1679"/>
      <c r="L41" s="1679"/>
      <c r="M41" s="1679"/>
      <c r="N41" s="1679"/>
      <c r="O41" s="1679"/>
      <c r="P41" s="1679"/>
      <c r="Q41" s="1679"/>
      <c r="R41" s="1679"/>
      <c r="S41" s="1679"/>
      <c r="T41" s="1679"/>
      <c r="U41" s="1679"/>
      <c r="V41" s="1679"/>
      <c r="W41" s="1679"/>
      <c r="X41" s="1679"/>
      <c r="Y41" s="1679"/>
      <c r="Z41" s="1679"/>
      <c r="AA41" s="1679"/>
      <c r="AB41" s="1679"/>
      <c r="AC41" s="1679"/>
      <c r="AD41" s="1679"/>
    </row>
    <row r="42" spans="1:70">
      <c r="AB42" s="476"/>
    </row>
    <row r="59" spans="15:16">
      <c r="O59" s="473">
        <f>175</f>
        <v>175</v>
      </c>
      <c r="P59" s="473">
        <f>154</f>
        <v>154</v>
      </c>
    </row>
    <row r="60" spans="15:16">
      <c r="O60" s="473">
        <v>345</v>
      </c>
      <c r="P60" s="473">
        <v>300</v>
      </c>
    </row>
    <row r="61" spans="15:16">
      <c r="O61" s="473">
        <v>21</v>
      </c>
      <c r="P61" s="473">
        <v>19</v>
      </c>
    </row>
  </sheetData>
  <mergeCells count="60">
    <mergeCell ref="A5:W5"/>
    <mergeCell ref="X5:AT5"/>
    <mergeCell ref="AV5:BR5"/>
    <mergeCell ref="AF1:AG1"/>
    <mergeCell ref="BK1:BM1"/>
    <mergeCell ref="A4:W4"/>
    <mergeCell ref="X4:AT4"/>
    <mergeCell ref="AV4:BR4"/>
    <mergeCell ref="AH11:AI12"/>
    <mergeCell ref="AF6:AG6"/>
    <mergeCell ref="AQ6:AU6"/>
    <mergeCell ref="AV6:AW6"/>
    <mergeCell ref="A11:A13"/>
    <mergeCell ref="B11:B13"/>
    <mergeCell ref="C11:C13"/>
    <mergeCell ref="D11:D13"/>
    <mergeCell ref="E11:E13"/>
    <mergeCell ref="F11:F13"/>
    <mergeCell ref="G11:G13"/>
    <mergeCell ref="H11:H13"/>
    <mergeCell ref="I11:AA11"/>
    <mergeCell ref="AB11:AC12"/>
    <mergeCell ref="AD11:AE12"/>
    <mergeCell ref="AF11:AG11"/>
    <mergeCell ref="AQ11:AV11"/>
    <mergeCell ref="AW11:AW13"/>
    <mergeCell ref="AX11:BA11"/>
    <mergeCell ref="AM12:AN12"/>
    <mergeCell ref="AO12:AO13"/>
    <mergeCell ref="AQ12:AR12"/>
    <mergeCell ref="AS12:AU12"/>
    <mergeCell ref="BA12:BA13"/>
    <mergeCell ref="BC12:BD12"/>
    <mergeCell ref="BE12:BE13"/>
    <mergeCell ref="BL11:BL13"/>
    <mergeCell ref="BM11:BM13"/>
    <mergeCell ref="BB11:BB13"/>
    <mergeCell ref="BC11:BE11"/>
    <mergeCell ref="BF11:BG12"/>
    <mergeCell ref="BH11:BH13"/>
    <mergeCell ref="BI11:BJ11"/>
    <mergeCell ref="BK11:BK13"/>
    <mergeCell ref="BI12:BI13"/>
    <mergeCell ref="BJ12:BJ13"/>
    <mergeCell ref="C40:AA40"/>
    <mergeCell ref="C41:AD41"/>
    <mergeCell ref="AV12:AV13"/>
    <mergeCell ref="AX12:AY12"/>
    <mergeCell ref="AZ12:AZ13"/>
    <mergeCell ref="I12:K12"/>
    <mergeCell ref="L12:N12"/>
    <mergeCell ref="O12:S12"/>
    <mergeCell ref="T12:U12"/>
    <mergeCell ref="V12:X12"/>
    <mergeCell ref="Y12:AA12"/>
    <mergeCell ref="AF12:AG12"/>
    <mergeCell ref="AK12:AL12"/>
    <mergeCell ref="AJ11:AJ13"/>
    <mergeCell ref="AK11:AO11"/>
    <mergeCell ref="AP11:AP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31"/>
  <sheetViews>
    <sheetView topLeftCell="A3" zoomScale="85" zoomScaleNormal="85" workbookViewId="0">
      <selection activeCell="G11" sqref="G11:I11"/>
    </sheetView>
  </sheetViews>
  <sheetFormatPr defaultRowHeight="18.75"/>
  <cols>
    <col min="1" max="1" width="7.140625" style="2" customWidth="1"/>
    <col min="2" max="2" width="38.5703125" style="2" customWidth="1"/>
    <col min="3" max="3" width="19.28515625" style="2" customWidth="1"/>
    <col min="4" max="5" width="21.140625" style="2" customWidth="1"/>
    <col min="6" max="9" width="19.42578125" style="2" customWidth="1"/>
    <col min="10" max="10" width="20" style="2" customWidth="1"/>
    <col min="11" max="11" width="18" style="2" hidden="1" customWidth="1"/>
    <col min="12" max="12" width="0" style="2" hidden="1" customWidth="1"/>
    <col min="13" max="13" width="20.5703125" style="2" customWidth="1"/>
    <col min="14" max="263" width="9.140625" style="2"/>
    <col min="264" max="264" width="7.140625" style="2" customWidth="1"/>
    <col min="265" max="265" width="47.7109375" style="2" customWidth="1"/>
    <col min="266" max="266" width="19.28515625" style="2" customWidth="1"/>
    <col min="267" max="519" width="9.140625" style="2"/>
    <col min="520" max="520" width="7.140625" style="2" customWidth="1"/>
    <col min="521" max="521" width="47.7109375" style="2" customWidth="1"/>
    <col min="522" max="522" width="19.28515625" style="2" customWidth="1"/>
    <col min="523" max="775" width="9.140625" style="2"/>
    <col min="776" max="776" width="7.140625" style="2" customWidth="1"/>
    <col min="777" max="777" width="47.7109375" style="2" customWidth="1"/>
    <col min="778" max="778" width="19.28515625" style="2" customWidth="1"/>
    <col min="779" max="1031" width="9.140625" style="2"/>
    <col min="1032" max="1032" width="7.140625" style="2" customWidth="1"/>
    <col min="1033" max="1033" width="47.7109375" style="2" customWidth="1"/>
    <col min="1034" max="1034" width="19.28515625" style="2" customWidth="1"/>
    <col min="1035" max="1287" width="9.140625" style="2"/>
    <col min="1288" max="1288" width="7.140625" style="2" customWidth="1"/>
    <col min="1289" max="1289" width="47.7109375" style="2" customWidth="1"/>
    <col min="1290" max="1290" width="19.28515625" style="2" customWidth="1"/>
    <col min="1291" max="1543" width="9.140625" style="2"/>
    <col min="1544" max="1544" width="7.140625" style="2" customWidth="1"/>
    <col min="1545" max="1545" width="47.7109375" style="2" customWidth="1"/>
    <col min="1546" max="1546" width="19.28515625" style="2" customWidth="1"/>
    <col min="1547" max="1799" width="9.140625" style="2"/>
    <col min="1800" max="1800" width="7.140625" style="2" customWidth="1"/>
    <col min="1801" max="1801" width="47.7109375" style="2" customWidth="1"/>
    <col min="1802" max="1802" width="19.28515625" style="2" customWidth="1"/>
    <col min="1803" max="2055" width="9.140625" style="2"/>
    <col min="2056" max="2056" width="7.140625" style="2" customWidth="1"/>
    <col min="2057" max="2057" width="47.7109375" style="2" customWidth="1"/>
    <col min="2058" max="2058" width="19.28515625" style="2" customWidth="1"/>
    <col min="2059" max="2311" width="9.140625" style="2"/>
    <col min="2312" max="2312" width="7.140625" style="2" customWidth="1"/>
    <col min="2313" max="2313" width="47.7109375" style="2" customWidth="1"/>
    <col min="2314" max="2314" width="19.28515625" style="2" customWidth="1"/>
    <col min="2315" max="2567" width="9.140625" style="2"/>
    <col min="2568" max="2568" width="7.140625" style="2" customWidth="1"/>
    <col min="2569" max="2569" width="47.7109375" style="2" customWidth="1"/>
    <col min="2570" max="2570" width="19.28515625" style="2" customWidth="1"/>
    <col min="2571" max="2823" width="9.140625" style="2"/>
    <col min="2824" max="2824" width="7.140625" style="2" customWidth="1"/>
    <col min="2825" max="2825" width="47.7109375" style="2" customWidth="1"/>
    <col min="2826" max="2826" width="19.28515625" style="2" customWidth="1"/>
    <col min="2827" max="3079" width="9.140625" style="2"/>
    <col min="3080" max="3080" width="7.140625" style="2" customWidth="1"/>
    <col min="3081" max="3081" width="47.7109375" style="2" customWidth="1"/>
    <col min="3082" max="3082" width="19.28515625" style="2" customWidth="1"/>
    <col min="3083" max="3335" width="9.140625" style="2"/>
    <col min="3336" max="3336" width="7.140625" style="2" customWidth="1"/>
    <col min="3337" max="3337" width="47.7109375" style="2" customWidth="1"/>
    <col min="3338" max="3338" width="19.28515625" style="2" customWidth="1"/>
    <col min="3339" max="3591" width="9.140625" style="2"/>
    <col min="3592" max="3592" width="7.140625" style="2" customWidth="1"/>
    <col min="3593" max="3593" width="47.7109375" style="2" customWidth="1"/>
    <col min="3594" max="3594" width="19.28515625" style="2" customWidth="1"/>
    <col min="3595" max="3847" width="9.140625" style="2"/>
    <col min="3848" max="3848" width="7.140625" style="2" customWidth="1"/>
    <col min="3849" max="3849" width="47.7109375" style="2" customWidth="1"/>
    <col min="3850" max="3850" width="19.28515625" style="2" customWidth="1"/>
    <col min="3851" max="4103" width="9.140625" style="2"/>
    <col min="4104" max="4104" width="7.140625" style="2" customWidth="1"/>
    <col min="4105" max="4105" width="47.7109375" style="2" customWidth="1"/>
    <col min="4106" max="4106" width="19.28515625" style="2" customWidth="1"/>
    <col min="4107" max="4359" width="9.140625" style="2"/>
    <col min="4360" max="4360" width="7.140625" style="2" customWidth="1"/>
    <col min="4361" max="4361" width="47.7109375" style="2" customWidth="1"/>
    <col min="4362" max="4362" width="19.28515625" style="2" customWidth="1"/>
    <col min="4363" max="4615" width="9.140625" style="2"/>
    <col min="4616" max="4616" width="7.140625" style="2" customWidth="1"/>
    <col min="4617" max="4617" width="47.7109375" style="2" customWidth="1"/>
    <col min="4618" max="4618" width="19.28515625" style="2" customWidth="1"/>
    <col min="4619" max="4871" width="9.140625" style="2"/>
    <col min="4872" max="4872" width="7.140625" style="2" customWidth="1"/>
    <col min="4873" max="4873" width="47.7109375" style="2" customWidth="1"/>
    <col min="4874" max="4874" width="19.28515625" style="2" customWidth="1"/>
    <col min="4875" max="5127" width="9.140625" style="2"/>
    <col min="5128" max="5128" width="7.140625" style="2" customWidth="1"/>
    <col min="5129" max="5129" width="47.7109375" style="2" customWidth="1"/>
    <col min="5130" max="5130" width="19.28515625" style="2" customWidth="1"/>
    <col min="5131" max="5383" width="9.140625" style="2"/>
    <col min="5384" max="5384" width="7.140625" style="2" customWidth="1"/>
    <col min="5385" max="5385" width="47.7109375" style="2" customWidth="1"/>
    <col min="5386" max="5386" width="19.28515625" style="2" customWidth="1"/>
    <col min="5387" max="5639" width="9.140625" style="2"/>
    <col min="5640" max="5640" width="7.140625" style="2" customWidth="1"/>
    <col min="5641" max="5641" width="47.7109375" style="2" customWidth="1"/>
    <col min="5642" max="5642" width="19.28515625" style="2" customWidth="1"/>
    <col min="5643" max="5895" width="9.140625" style="2"/>
    <col min="5896" max="5896" width="7.140625" style="2" customWidth="1"/>
    <col min="5897" max="5897" width="47.7109375" style="2" customWidth="1"/>
    <col min="5898" max="5898" width="19.28515625" style="2" customWidth="1"/>
    <col min="5899" max="6151" width="9.140625" style="2"/>
    <col min="6152" max="6152" width="7.140625" style="2" customWidth="1"/>
    <col min="6153" max="6153" width="47.7109375" style="2" customWidth="1"/>
    <col min="6154" max="6154" width="19.28515625" style="2" customWidth="1"/>
    <col min="6155" max="6407" width="9.140625" style="2"/>
    <col min="6408" max="6408" width="7.140625" style="2" customWidth="1"/>
    <col min="6409" max="6409" width="47.7109375" style="2" customWidth="1"/>
    <col min="6410" max="6410" width="19.28515625" style="2" customWidth="1"/>
    <col min="6411" max="6663" width="9.140625" style="2"/>
    <col min="6664" max="6664" width="7.140625" style="2" customWidth="1"/>
    <col min="6665" max="6665" width="47.7109375" style="2" customWidth="1"/>
    <col min="6666" max="6666" width="19.28515625" style="2" customWidth="1"/>
    <col min="6667" max="6919" width="9.140625" style="2"/>
    <col min="6920" max="6920" width="7.140625" style="2" customWidth="1"/>
    <col min="6921" max="6921" width="47.7109375" style="2" customWidth="1"/>
    <col min="6922" max="6922" width="19.28515625" style="2" customWidth="1"/>
    <col min="6923" max="7175" width="9.140625" style="2"/>
    <col min="7176" max="7176" width="7.140625" style="2" customWidth="1"/>
    <col min="7177" max="7177" width="47.7109375" style="2" customWidth="1"/>
    <col min="7178" max="7178" width="19.28515625" style="2" customWidth="1"/>
    <col min="7179" max="7431" width="9.140625" style="2"/>
    <col min="7432" max="7432" width="7.140625" style="2" customWidth="1"/>
    <col min="7433" max="7433" width="47.7109375" style="2" customWidth="1"/>
    <col min="7434" max="7434" width="19.28515625" style="2" customWidth="1"/>
    <col min="7435" max="7687" width="9.140625" style="2"/>
    <col min="7688" max="7688" width="7.140625" style="2" customWidth="1"/>
    <col min="7689" max="7689" width="47.7109375" style="2" customWidth="1"/>
    <col min="7690" max="7690" width="19.28515625" style="2" customWidth="1"/>
    <col min="7691" max="7943" width="9.140625" style="2"/>
    <col min="7944" max="7944" width="7.140625" style="2" customWidth="1"/>
    <col min="7945" max="7945" width="47.7109375" style="2" customWidth="1"/>
    <col min="7946" max="7946" width="19.28515625" style="2" customWidth="1"/>
    <col min="7947" max="8199" width="9.140625" style="2"/>
    <col min="8200" max="8200" width="7.140625" style="2" customWidth="1"/>
    <col min="8201" max="8201" width="47.7109375" style="2" customWidth="1"/>
    <col min="8202" max="8202" width="19.28515625" style="2" customWidth="1"/>
    <col min="8203" max="8455" width="9.140625" style="2"/>
    <col min="8456" max="8456" width="7.140625" style="2" customWidth="1"/>
    <col min="8457" max="8457" width="47.7109375" style="2" customWidth="1"/>
    <col min="8458" max="8458" width="19.28515625" style="2" customWidth="1"/>
    <col min="8459" max="8711" width="9.140625" style="2"/>
    <col min="8712" max="8712" width="7.140625" style="2" customWidth="1"/>
    <col min="8713" max="8713" width="47.7109375" style="2" customWidth="1"/>
    <col min="8714" max="8714" width="19.28515625" style="2" customWidth="1"/>
    <col min="8715" max="8967" width="9.140625" style="2"/>
    <col min="8968" max="8968" width="7.140625" style="2" customWidth="1"/>
    <col min="8969" max="8969" width="47.7109375" style="2" customWidth="1"/>
    <col min="8970" max="8970" width="19.28515625" style="2" customWidth="1"/>
    <col min="8971" max="9223" width="9.140625" style="2"/>
    <col min="9224" max="9224" width="7.140625" style="2" customWidth="1"/>
    <col min="9225" max="9225" width="47.7109375" style="2" customWidth="1"/>
    <col min="9226" max="9226" width="19.28515625" style="2" customWidth="1"/>
    <col min="9227" max="9479" width="9.140625" style="2"/>
    <col min="9480" max="9480" width="7.140625" style="2" customWidth="1"/>
    <col min="9481" max="9481" width="47.7109375" style="2" customWidth="1"/>
    <col min="9482" max="9482" width="19.28515625" style="2" customWidth="1"/>
    <col min="9483" max="9735" width="9.140625" style="2"/>
    <col min="9736" max="9736" width="7.140625" style="2" customWidth="1"/>
    <col min="9737" max="9737" width="47.7109375" style="2" customWidth="1"/>
    <col min="9738" max="9738" width="19.28515625" style="2" customWidth="1"/>
    <col min="9739" max="9991" width="9.140625" style="2"/>
    <col min="9992" max="9992" width="7.140625" style="2" customWidth="1"/>
    <col min="9993" max="9993" width="47.7109375" style="2" customWidth="1"/>
    <col min="9994" max="9994" width="19.28515625" style="2" customWidth="1"/>
    <col min="9995" max="10247" width="9.140625" style="2"/>
    <col min="10248" max="10248" width="7.140625" style="2" customWidth="1"/>
    <col min="10249" max="10249" width="47.7109375" style="2" customWidth="1"/>
    <col min="10250" max="10250" width="19.28515625" style="2" customWidth="1"/>
    <col min="10251" max="10503" width="9.140625" style="2"/>
    <col min="10504" max="10504" width="7.140625" style="2" customWidth="1"/>
    <col min="10505" max="10505" width="47.7109375" style="2" customWidth="1"/>
    <col min="10506" max="10506" width="19.28515625" style="2" customWidth="1"/>
    <col min="10507" max="10759" width="9.140625" style="2"/>
    <col min="10760" max="10760" width="7.140625" style="2" customWidth="1"/>
    <col min="10761" max="10761" width="47.7109375" style="2" customWidth="1"/>
    <col min="10762" max="10762" width="19.28515625" style="2" customWidth="1"/>
    <col min="10763" max="11015" width="9.140625" style="2"/>
    <col min="11016" max="11016" width="7.140625" style="2" customWidth="1"/>
    <col min="11017" max="11017" width="47.7109375" style="2" customWidth="1"/>
    <col min="11018" max="11018" width="19.28515625" style="2" customWidth="1"/>
    <col min="11019" max="11271" width="9.140625" style="2"/>
    <col min="11272" max="11272" width="7.140625" style="2" customWidth="1"/>
    <col min="11273" max="11273" width="47.7109375" style="2" customWidth="1"/>
    <col min="11274" max="11274" width="19.28515625" style="2" customWidth="1"/>
    <col min="11275" max="11527" width="9.140625" style="2"/>
    <col min="11528" max="11528" width="7.140625" style="2" customWidth="1"/>
    <col min="11529" max="11529" width="47.7109375" style="2" customWidth="1"/>
    <col min="11530" max="11530" width="19.28515625" style="2" customWidth="1"/>
    <col min="11531" max="11783" width="9.140625" style="2"/>
    <col min="11784" max="11784" width="7.140625" style="2" customWidth="1"/>
    <col min="11785" max="11785" width="47.7109375" style="2" customWidth="1"/>
    <col min="11786" max="11786" width="19.28515625" style="2" customWidth="1"/>
    <col min="11787" max="12039" width="9.140625" style="2"/>
    <col min="12040" max="12040" width="7.140625" style="2" customWidth="1"/>
    <col min="12041" max="12041" width="47.7109375" style="2" customWidth="1"/>
    <col min="12042" max="12042" width="19.28515625" style="2" customWidth="1"/>
    <col min="12043" max="12295" width="9.140625" style="2"/>
    <col min="12296" max="12296" width="7.140625" style="2" customWidth="1"/>
    <col min="12297" max="12297" width="47.7109375" style="2" customWidth="1"/>
    <col min="12298" max="12298" width="19.28515625" style="2" customWidth="1"/>
    <col min="12299" max="12551" width="9.140625" style="2"/>
    <col min="12552" max="12552" width="7.140625" style="2" customWidth="1"/>
    <col min="12553" max="12553" width="47.7109375" style="2" customWidth="1"/>
    <col min="12554" max="12554" width="19.28515625" style="2" customWidth="1"/>
    <col min="12555" max="12807" width="9.140625" style="2"/>
    <col min="12808" max="12808" width="7.140625" style="2" customWidth="1"/>
    <col min="12809" max="12809" width="47.7109375" style="2" customWidth="1"/>
    <col min="12810" max="12810" width="19.28515625" style="2" customWidth="1"/>
    <col min="12811" max="13063" width="9.140625" style="2"/>
    <col min="13064" max="13064" width="7.140625" style="2" customWidth="1"/>
    <col min="13065" max="13065" width="47.7109375" style="2" customWidth="1"/>
    <col min="13066" max="13066" width="19.28515625" style="2" customWidth="1"/>
    <col min="13067" max="13319" width="9.140625" style="2"/>
    <col min="13320" max="13320" width="7.140625" style="2" customWidth="1"/>
    <col min="13321" max="13321" width="47.7109375" style="2" customWidth="1"/>
    <col min="13322" max="13322" width="19.28515625" style="2" customWidth="1"/>
    <col min="13323" max="13575" width="9.140625" style="2"/>
    <col min="13576" max="13576" width="7.140625" style="2" customWidth="1"/>
    <col min="13577" max="13577" width="47.7109375" style="2" customWidth="1"/>
    <col min="13578" max="13578" width="19.28515625" style="2" customWidth="1"/>
    <col min="13579" max="13831" width="9.140625" style="2"/>
    <col min="13832" max="13832" width="7.140625" style="2" customWidth="1"/>
    <col min="13833" max="13833" width="47.7109375" style="2" customWidth="1"/>
    <col min="13834" max="13834" width="19.28515625" style="2" customWidth="1"/>
    <col min="13835" max="14087" width="9.140625" style="2"/>
    <col min="14088" max="14088" width="7.140625" style="2" customWidth="1"/>
    <col min="14089" max="14089" width="47.7109375" style="2" customWidth="1"/>
    <col min="14090" max="14090" width="19.28515625" style="2" customWidth="1"/>
    <col min="14091" max="14343" width="9.140625" style="2"/>
    <col min="14344" max="14344" width="7.140625" style="2" customWidth="1"/>
    <col min="14345" max="14345" width="47.7109375" style="2" customWidth="1"/>
    <col min="14346" max="14346" width="19.28515625" style="2" customWidth="1"/>
    <col min="14347" max="14599" width="9.140625" style="2"/>
    <col min="14600" max="14600" width="7.140625" style="2" customWidth="1"/>
    <col min="14601" max="14601" width="47.7109375" style="2" customWidth="1"/>
    <col min="14602" max="14602" width="19.28515625" style="2" customWidth="1"/>
    <col min="14603" max="14855" width="9.140625" style="2"/>
    <col min="14856" max="14856" width="7.140625" style="2" customWidth="1"/>
    <col min="14857" max="14857" width="47.7109375" style="2" customWidth="1"/>
    <col min="14858" max="14858" width="19.28515625" style="2" customWidth="1"/>
    <col min="14859" max="15111" width="9.140625" style="2"/>
    <col min="15112" max="15112" width="7.140625" style="2" customWidth="1"/>
    <col min="15113" max="15113" width="47.7109375" style="2" customWidth="1"/>
    <col min="15114" max="15114" width="19.28515625" style="2" customWidth="1"/>
    <col min="15115" max="15367" width="9.140625" style="2"/>
    <col min="15368" max="15368" width="7.140625" style="2" customWidth="1"/>
    <col min="15369" max="15369" width="47.7109375" style="2" customWidth="1"/>
    <col min="15370" max="15370" width="19.28515625" style="2" customWidth="1"/>
    <col min="15371" max="15623" width="9.140625" style="2"/>
    <col min="15624" max="15624" width="7.140625" style="2" customWidth="1"/>
    <col min="15625" max="15625" width="47.7109375" style="2" customWidth="1"/>
    <col min="15626" max="15626" width="19.28515625" style="2" customWidth="1"/>
    <col min="15627" max="15879" width="9.140625" style="2"/>
    <col min="15880" max="15880" width="7.140625" style="2" customWidth="1"/>
    <col min="15881" max="15881" width="47.7109375" style="2" customWidth="1"/>
    <col min="15882" max="15882" width="19.28515625" style="2" customWidth="1"/>
    <col min="15883" max="16135" width="9.140625" style="2"/>
    <col min="16136" max="16136" width="7.140625" style="2" customWidth="1"/>
    <col min="16137" max="16137" width="47.7109375" style="2" customWidth="1"/>
    <col min="16138" max="16138" width="19.28515625" style="2" customWidth="1"/>
    <col min="16139" max="16384" width="9.140625" style="2"/>
  </cols>
  <sheetData>
    <row r="1" spans="1:12" ht="18.75" customHeight="1">
      <c r="A1" s="1838" t="s">
        <v>126</v>
      </c>
      <c r="B1" s="1838"/>
      <c r="C1" s="224"/>
      <c r="J1" s="3"/>
    </row>
    <row r="2" spans="1:12">
      <c r="A2" s="1798" t="s">
        <v>128</v>
      </c>
      <c r="B2" s="1798"/>
      <c r="C2" s="1"/>
      <c r="D2" s="4"/>
      <c r="E2" s="4"/>
      <c r="F2" s="4"/>
      <c r="G2" s="4"/>
      <c r="H2" s="4"/>
      <c r="I2" s="4"/>
    </row>
    <row r="3" spans="1:12">
      <c r="A3" s="5"/>
    </row>
    <row r="4" spans="1:12">
      <c r="A4" s="1798" t="str">
        <f>'TTDVNN V '!A4:G4</f>
        <v>DỰ TOÁN THU, CHI NGÂN SÁCH NHÀ NƯỚC NĂM 2025</v>
      </c>
      <c r="B4" s="1798"/>
      <c r="C4" s="1798"/>
      <c r="D4" s="1798"/>
      <c r="E4" s="1798"/>
      <c r="F4" s="1798"/>
      <c r="G4" s="1798"/>
      <c r="H4" s="1798"/>
      <c r="I4" s="1798"/>
      <c r="J4" s="1798"/>
    </row>
    <row r="5" spans="1:12">
      <c r="A5" s="1798" t="s">
        <v>129</v>
      </c>
      <c r="B5" s="1798"/>
      <c r="C5" s="1798"/>
      <c r="D5" s="1798"/>
      <c r="E5" s="1798"/>
      <c r="F5" s="1798"/>
      <c r="G5" s="1798"/>
      <c r="H5" s="1798"/>
      <c r="I5" s="1798"/>
      <c r="J5" s="1798"/>
    </row>
    <row r="6" spans="1:12">
      <c r="A6" s="1798" t="s">
        <v>127</v>
      </c>
      <c r="B6" s="1798"/>
      <c r="C6" s="1798"/>
      <c r="D6" s="1798"/>
      <c r="E6" s="1798"/>
      <c r="F6" s="1798"/>
      <c r="G6" s="1798"/>
      <c r="H6" s="1798"/>
      <c r="I6" s="1798"/>
      <c r="J6" s="1798"/>
    </row>
    <row r="7" spans="1:12">
      <c r="A7" s="1798" t="s">
        <v>17</v>
      </c>
      <c r="B7" s="1798"/>
      <c r="C7" s="1798"/>
      <c r="D7" s="1798"/>
      <c r="E7" s="1798"/>
      <c r="F7" s="1798"/>
      <c r="G7" s="1798"/>
      <c r="H7" s="1798"/>
      <c r="I7" s="1798"/>
      <c r="J7" s="1798"/>
    </row>
    <row r="8" spans="1:12">
      <c r="A8" s="1799">
        <f>'TTDVNN V '!A8:G8</f>
        <v>0</v>
      </c>
      <c r="B8" s="1799"/>
      <c r="C8" s="1799"/>
      <c r="D8" s="1799"/>
      <c r="E8" s="1799"/>
      <c r="F8" s="1799"/>
      <c r="G8" s="1799"/>
      <c r="H8" s="1799"/>
      <c r="I8" s="1799"/>
      <c r="J8" s="1799"/>
    </row>
    <row r="9" spans="1:12">
      <c r="A9" s="238"/>
      <c r="B9" s="238"/>
      <c r="C9" s="238"/>
      <c r="D9" s="238"/>
      <c r="E9" s="238"/>
      <c r="F9" s="238"/>
      <c r="G9" s="1398"/>
      <c r="H9" s="1398"/>
      <c r="I9" s="1398"/>
      <c r="J9" s="238"/>
    </row>
    <row r="10" spans="1:12">
      <c r="J10" s="6" t="s">
        <v>43</v>
      </c>
    </row>
    <row r="11" spans="1:12" ht="117" customHeight="1">
      <c r="A11" s="7" t="s">
        <v>0</v>
      </c>
      <c r="B11" s="7" t="s">
        <v>1</v>
      </c>
      <c r="C11" s="7" t="str">
        <f>'TTDVNN V '!C11</f>
        <v>Dự toán 
năm 2025</v>
      </c>
      <c r="D11" s="7" t="s">
        <v>18</v>
      </c>
      <c r="E11" s="7" t="str">
        <f>'TTDVNN V '!E11</f>
        <v>Thực hiện cải cách tiền lương từ nguồn tiết kiệm chi 10% của đơn vị</v>
      </c>
      <c r="F11" s="7" t="s">
        <v>117</v>
      </c>
      <c r="G11" s="1404" t="s">
        <v>2056</v>
      </c>
      <c r="H11" s="7" t="s">
        <v>2055</v>
      </c>
      <c r="I11" s="7" t="s">
        <v>2057</v>
      </c>
      <c r="J11" s="7" t="s">
        <v>19</v>
      </c>
    </row>
    <row r="12" spans="1:12">
      <c r="A12" s="8" t="s">
        <v>20</v>
      </c>
      <c r="B12" s="8" t="s">
        <v>21</v>
      </c>
      <c r="C12" s="8" t="s">
        <v>22</v>
      </c>
      <c r="D12" s="8" t="s">
        <v>23</v>
      </c>
      <c r="E12" s="8" t="str">
        <f>'TTDVNN V '!E12</f>
        <v>(5)</v>
      </c>
      <c r="F12" s="8" t="str">
        <f>'TTDVNN V '!F12</f>
        <v>(6)=(3)-(4)+(5)</v>
      </c>
      <c r="G12" s="8"/>
      <c r="H12" s="8"/>
      <c r="I12" s="8"/>
      <c r="J12" s="8" t="s">
        <v>25</v>
      </c>
    </row>
    <row r="13" spans="1:12" ht="37.5">
      <c r="A13" s="7" t="s">
        <v>2</v>
      </c>
      <c r="B13" s="9" t="s">
        <v>3</v>
      </c>
      <c r="C13" s="10">
        <v>50000000</v>
      </c>
      <c r="D13" s="10"/>
      <c r="E13" s="10"/>
      <c r="F13" s="10"/>
      <c r="G13" s="10"/>
      <c r="H13" s="10"/>
      <c r="I13" s="10"/>
      <c r="J13" s="11"/>
    </row>
    <row r="14" spans="1:12" ht="37.5">
      <c r="A14" s="7" t="s">
        <v>12</v>
      </c>
      <c r="B14" s="9" t="s">
        <v>84</v>
      </c>
      <c r="C14" s="10">
        <f>C15+C30</f>
        <v>1497300000</v>
      </c>
      <c r="D14" s="10">
        <f>D15+D30</f>
        <v>115400000</v>
      </c>
      <c r="E14" s="10">
        <f>E15+E30</f>
        <v>75400000</v>
      </c>
      <c r="F14" s="10">
        <f>F15+F30</f>
        <v>1457300000</v>
      </c>
      <c r="G14" s="10">
        <f t="shared" ref="G14:I14" si="0">G15+G30</f>
        <v>0</v>
      </c>
      <c r="H14" s="10">
        <f t="shared" si="0"/>
        <v>0</v>
      </c>
      <c r="I14" s="10">
        <f t="shared" si="0"/>
        <v>1457300000</v>
      </c>
      <c r="J14" s="11"/>
      <c r="K14" s="240">
        <f>C14+E14-D14</f>
        <v>1457300000</v>
      </c>
      <c r="L14" s="240">
        <f>K14-F14</f>
        <v>0</v>
      </c>
    </row>
    <row r="15" spans="1:12">
      <c r="A15" s="7">
        <v>1</v>
      </c>
      <c r="B15" s="9" t="s">
        <v>121</v>
      </c>
      <c r="C15" s="10">
        <f>C16+C20</f>
        <v>1097300000</v>
      </c>
      <c r="D15" s="10">
        <f>D16+D20</f>
        <v>75400000</v>
      </c>
      <c r="E15" s="10">
        <f>E16+E20</f>
        <v>75400000</v>
      </c>
      <c r="F15" s="10">
        <f>F16+F20</f>
        <v>1097300000</v>
      </c>
      <c r="G15" s="10">
        <f t="shared" ref="G15:I15" si="1">G16+G20</f>
        <v>0</v>
      </c>
      <c r="H15" s="10">
        <f t="shared" si="1"/>
        <v>0</v>
      </c>
      <c r="I15" s="10">
        <f t="shared" si="1"/>
        <v>1097300000</v>
      </c>
      <c r="J15" s="11"/>
      <c r="K15" s="240">
        <f t="shared" ref="K15:K31" si="2">C15+E15-D15</f>
        <v>1097300000</v>
      </c>
      <c r="L15" s="240">
        <f t="shared" ref="L15:L31" si="3">K15-F15</f>
        <v>0</v>
      </c>
    </row>
    <row r="16" spans="1:12" s="16" customFormat="1" ht="39">
      <c r="A16" s="12" t="s">
        <v>5</v>
      </c>
      <c r="B16" s="13" t="s">
        <v>9</v>
      </c>
      <c r="C16" s="14">
        <f>SUM(C17:C19)</f>
        <v>362600000</v>
      </c>
      <c r="D16" s="14">
        <f>SUM(D17:D19)</f>
        <v>5400000</v>
      </c>
      <c r="E16" s="14">
        <f>SUM(E17:E19)</f>
        <v>75400000</v>
      </c>
      <c r="F16" s="14">
        <f>SUM(F17:F19)</f>
        <v>432600000</v>
      </c>
      <c r="G16" s="14">
        <f t="shared" ref="G16:I16" si="4">SUM(G17:G19)</f>
        <v>0</v>
      </c>
      <c r="H16" s="14">
        <f t="shared" si="4"/>
        <v>0</v>
      </c>
      <c r="I16" s="14">
        <f t="shared" si="4"/>
        <v>432600000</v>
      </c>
      <c r="J16" s="15"/>
      <c r="K16" s="240">
        <f t="shared" si="2"/>
        <v>432600000</v>
      </c>
      <c r="L16" s="240">
        <f t="shared" si="3"/>
        <v>0</v>
      </c>
    </row>
    <row r="17" spans="1:13" ht="37.5">
      <c r="A17" s="17" t="s">
        <v>91</v>
      </c>
      <c r="B17" s="18" t="s">
        <v>26</v>
      </c>
      <c r="C17" s="19">
        <f>'Dự toán Chi tiết 2025'!L546</f>
        <v>245000000</v>
      </c>
      <c r="D17" s="19"/>
      <c r="E17" s="19"/>
      <c r="F17" s="19">
        <f>C17-D17+E17</f>
        <v>245000000</v>
      </c>
      <c r="G17" s="19"/>
      <c r="H17" s="19"/>
      <c r="I17" s="19">
        <f>F17-G17-H17</f>
        <v>245000000</v>
      </c>
      <c r="J17" s="11"/>
      <c r="K17" s="240">
        <f t="shared" si="2"/>
        <v>245000000</v>
      </c>
      <c r="L17" s="240">
        <f t="shared" si="3"/>
        <v>0</v>
      </c>
    </row>
    <row r="18" spans="1:13" ht="37.5">
      <c r="A18" s="17" t="s">
        <v>91</v>
      </c>
      <c r="B18" s="18" t="str">
        <f>'TTDVNN V '!B18</f>
        <v>Kinh phí thực hiện cải cách tiền lương</v>
      </c>
      <c r="C18" s="19">
        <f>'Dự toán Chi tiết 2025'!L548</f>
        <v>63600000</v>
      </c>
      <c r="D18" s="19"/>
      <c r="E18" s="19">
        <f>'Dự toán Chi tiết 2025'!L547-'Dự toán Chi tiết 2025'!L548</f>
        <v>75400000</v>
      </c>
      <c r="F18" s="19">
        <f>C18-D18+E18</f>
        <v>139000000</v>
      </c>
      <c r="G18" s="19"/>
      <c r="H18" s="19"/>
      <c r="I18" s="19">
        <f t="shared" ref="I18:I31" si="5">F18-G18-H18</f>
        <v>139000000</v>
      </c>
      <c r="J18" s="11"/>
      <c r="K18" s="240">
        <f>C18+E18-D18</f>
        <v>139000000</v>
      </c>
      <c r="L18" s="240">
        <f t="shared" si="3"/>
        <v>0</v>
      </c>
    </row>
    <row r="19" spans="1:13" ht="37.5">
      <c r="A19" s="17" t="s">
        <v>91</v>
      </c>
      <c r="B19" s="18" t="s">
        <v>27</v>
      </c>
      <c r="C19" s="19">
        <f>'Dự toán Chi tiết 2025'!L549</f>
        <v>54000000</v>
      </c>
      <c r="D19" s="19">
        <f>C19*10%</f>
        <v>5400000</v>
      </c>
      <c r="E19" s="19"/>
      <c r="F19" s="19">
        <f>C19-D19+E19</f>
        <v>48600000</v>
      </c>
      <c r="G19" s="19"/>
      <c r="H19" s="19"/>
      <c r="I19" s="19">
        <f t="shared" si="5"/>
        <v>48600000</v>
      </c>
      <c r="J19" s="11"/>
      <c r="K19" s="240">
        <f t="shared" si="2"/>
        <v>48600000</v>
      </c>
      <c r="L19" s="240">
        <f t="shared" si="3"/>
        <v>0</v>
      </c>
    </row>
    <row r="20" spans="1:13" s="16" customFormat="1" ht="39">
      <c r="A20" s="12" t="s">
        <v>6</v>
      </c>
      <c r="B20" s="13" t="s">
        <v>10</v>
      </c>
      <c r="C20" s="14">
        <f>SUM(C21:C29)</f>
        <v>734700000</v>
      </c>
      <c r="D20" s="14">
        <f>SUM(D21:D29)</f>
        <v>70000000</v>
      </c>
      <c r="E20" s="14"/>
      <c r="F20" s="14">
        <f>SUM(F21:F29)</f>
        <v>664700000</v>
      </c>
      <c r="G20" s="14">
        <f t="shared" ref="G20:I20" si="6">SUM(G21:G29)</f>
        <v>0</v>
      </c>
      <c r="H20" s="14">
        <f t="shared" si="6"/>
        <v>0</v>
      </c>
      <c r="I20" s="14">
        <f t="shared" si="6"/>
        <v>664700000</v>
      </c>
      <c r="J20" s="15"/>
      <c r="K20" s="240">
        <f t="shared" si="2"/>
        <v>664700000</v>
      </c>
      <c r="L20" s="240">
        <f t="shared" si="3"/>
        <v>0</v>
      </c>
    </row>
    <row r="21" spans="1:13">
      <c r="A21" s="17" t="s">
        <v>91</v>
      </c>
      <c r="B21" s="22" t="s">
        <v>450</v>
      </c>
      <c r="C21" s="19">
        <f>'Dự toán Chi tiết 2025'!L553</f>
        <v>22800000</v>
      </c>
      <c r="D21" s="19"/>
      <c r="E21" s="19"/>
      <c r="F21" s="19">
        <f t="shared" ref="F21:F29" si="7">C21-D21</f>
        <v>22800000</v>
      </c>
      <c r="G21" s="19"/>
      <c r="H21" s="19"/>
      <c r="I21" s="19">
        <f t="shared" si="5"/>
        <v>22800000</v>
      </c>
      <c r="J21" s="11"/>
      <c r="K21" s="240">
        <f t="shared" si="2"/>
        <v>22800000</v>
      </c>
      <c r="L21" s="240">
        <f t="shared" si="3"/>
        <v>0</v>
      </c>
      <c r="M21" s="19">
        <v>12408000</v>
      </c>
    </row>
    <row r="22" spans="1:13">
      <c r="A22" s="17"/>
      <c r="B22" s="22" t="str">
        <f>'Dự toán Chi tiết 2025'!B556</f>
        <v>Chi tổ chức Đại hội Chi bộ</v>
      </c>
      <c r="C22" s="19">
        <f>'Dự toán Chi tiết 2025'!L556</f>
        <v>11900000</v>
      </c>
      <c r="D22" s="19"/>
      <c r="E22" s="19"/>
      <c r="F22" s="19">
        <f t="shared" si="7"/>
        <v>11900000</v>
      </c>
      <c r="G22" s="19"/>
      <c r="H22" s="19"/>
      <c r="I22" s="19">
        <f t="shared" si="5"/>
        <v>11900000</v>
      </c>
      <c r="J22" s="11"/>
      <c r="K22" s="240"/>
      <c r="L22" s="240"/>
      <c r="M22" s="2">
        <v>10848900</v>
      </c>
    </row>
    <row r="23" spans="1:13" ht="112.5">
      <c r="A23" s="17" t="s">
        <v>91</v>
      </c>
      <c r="B23" s="22" t="s">
        <v>1067</v>
      </c>
      <c r="C23" s="19">
        <f>'Dự toán Chi tiết 2025'!L555</f>
        <v>100000000</v>
      </c>
      <c r="D23" s="19">
        <f t="shared" ref="D23:D29" si="8">C23*10%</f>
        <v>10000000</v>
      </c>
      <c r="E23" s="19"/>
      <c r="F23" s="19">
        <f t="shared" si="7"/>
        <v>90000000</v>
      </c>
      <c r="G23" s="19"/>
      <c r="H23" s="19"/>
      <c r="I23" s="19">
        <f t="shared" si="5"/>
        <v>90000000</v>
      </c>
      <c r="J23" s="20"/>
      <c r="K23" s="240">
        <f t="shared" si="2"/>
        <v>90000000</v>
      </c>
      <c r="L23" s="240">
        <f t="shared" si="3"/>
        <v>0</v>
      </c>
      <c r="M23" s="240">
        <f>M21-M22</f>
        <v>1559100</v>
      </c>
    </row>
    <row r="24" spans="1:13" ht="56.25">
      <c r="A24" s="17" t="s">
        <v>91</v>
      </c>
      <c r="B24" s="22" t="s">
        <v>1068</v>
      </c>
      <c r="C24" s="19">
        <f>'Dự toán Chi tiết 2025'!L557</f>
        <v>130000000</v>
      </c>
      <c r="D24" s="19">
        <f t="shared" si="8"/>
        <v>13000000</v>
      </c>
      <c r="E24" s="19"/>
      <c r="F24" s="19">
        <f t="shared" si="7"/>
        <v>117000000</v>
      </c>
      <c r="G24" s="19"/>
      <c r="H24" s="19"/>
      <c r="I24" s="19">
        <f t="shared" si="5"/>
        <v>117000000</v>
      </c>
      <c r="J24" s="20"/>
      <c r="K24" s="240">
        <f t="shared" si="2"/>
        <v>117000000</v>
      </c>
      <c r="L24" s="240">
        <f t="shared" si="3"/>
        <v>0</v>
      </c>
      <c r="M24" s="1401">
        <f>M23+'Lao động TBXH V'!H26</f>
        <v>3031400</v>
      </c>
    </row>
    <row r="25" spans="1:13" ht="56.25">
      <c r="A25" s="17" t="s">
        <v>91</v>
      </c>
      <c r="B25" s="22" t="s">
        <v>381</v>
      </c>
      <c r="C25" s="19">
        <f>'Dự toán Chi tiết 2025'!L558</f>
        <v>25000000</v>
      </c>
      <c r="D25" s="19">
        <f t="shared" si="8"/>
        <v>2500000</v>
      </c>
      <c r="E25" s="19"/>
      <c r="F25" s="19">
        <f t="shared" si="7"/>
        <v>22500000</v>
      </c>
      <c r="G25" s="19"/>
      <c r="H25" s="19"/>
      <c r="I25" s="19">
        <f t="shared" si="5"/>
        <v>22500000</v>
      </c>
      <c r="J25" s="11"/>
      <c r="K25" s="240">
        <f t="shared" si="2"/>
        <v>22500000</v>
      </c>
      <c r="L25" s="240">
        <f t="shared" si="3"/>
        <v>0</v>
      </c>
    </row>
    <row r="26" spans="1:13" ht="37.5">
      <c r="A26" s="17" t="s">
        <v>91</v>
      </c>
      <c r="B26" s="22" t="s">
        <v>136</v>
      </c>
      <c r="C26" s="19">
        <f>'Dự toán Chi tiết 2025'!L560</f>
        <v>15000000</v>
      </c>
      <c r="D26" s="19">
        <f t="shared" si="8"/>
        <v>1500000</v>
      </c>
      <c r="E26" s="19"/>
      <c r="F26" s="19">
        <f t="shared" si="7"/>
        <v>13500000</v>
      </c>
      <c r="G26" s="19"/>
      <c r="H26" s="19"/>
      <c r="I26" s="19">
        <f t="shared" si="5"/>
        <v>13500000</v>
      </c>
      <c r="J26" s="11"/>
      <c r="K26" s="240">
        <f t="shared" si="2"/>
        <v>13500000</v>
      </c>
      <c r="L26" s="240">
        <f t="shared" si="3"/>
        <v>0</v>
      </c>
    </row>
    <row r="27" spans="1:13" ht="37.5">
      <c r="A27" s="17" t="s">
        <v>91</v>
      </c>
      <c r="B27" s="22" t="s">
        <v>2053</v>
      </c>
      <c r="C27" s="19">
        <f>'Dự toán Chi tiết 2025'!L562</f>
        <v>400000000</v>
      </c>
      <c r="D27" s="19">
        <f t="shared" si="8"/>
        <v>40000000</v>
      </c>
      <c r="E27" s="19"/>
      <c r="F27" s="19">
        <f t="shared" si="7"/>
        <v>360000000</v>
      </c>
      <c r="G27" s="19"/>
      <c r="H27" s="19"/>
      <c r="I27" s="19">
        <f t="shared" si="5"/>
        <v>360000000</v>
      </c>
      <c r="J27" s="11"/>
      <c r="K27" s="240">
        <f t="shared" si="2"/>
        <v>360000000</v>
      </c>
      <c r="L27" s="240">
        <f t="shared" si="3"/>
        <v>0</v>
      </c>
    </row>
    <row r="28" spans="1:13" ht="37.5" hidden="1">
      <c r="A28" s="17" t="s">
        <v>91</v>
      </c>
      <c r="B28" s="22" t="s">
        <v>1070</v>
      </c>
      <c r="C28" s="19">
        <f>'Dự toán Chi tiết 2025'!L563</f>
        <v>0</v>
      </c>
      <c r="D28" s="19">
        <f t="shared" si="8"/>
        <v>0</v>
      </c>
      <c r="E28" s="19"/>
      <c r="F28" s="19">
        <f t="shared" si="7"/>
        <v>0</v>
      </c>
      <c r="G28" s="19"/>
      <c r="H28" s="19"/>
      <c r="I28" s="19">
        <f t="shared" si="5"/>
        <v>0</v>
      </c>
      <c r="J28" s="11"/>
      <c r="K28" s="240">
        <f t="shared" si="2"/>
        <v>0</v>
      </c>
      <c r="L28" s="240">
        <f t="shared" si="3"/>
        <v>0</v>
      </c>
    </row>
    <row r="29" spans="1:13" ht="93.75">
      <c r="A29" s="17" t="s">
        <v>91</v>
      </c>
      <c r="B29" s="22" t="s">
        <v>1071</v>
      </c>
      <c r="C29" s="19">
        <f>'Dự toán Chi tiết 2025'!L565</f>
        <v>30000000</v>
      </c>
      <c r="D29" s="19">
        <f t="shared" si="8"/>
        <v>3000000</v>
      </c>
      <c r="E29" s="19"/>
      <c r="F29" s="19">
        <f t="shared" si="7"/>
        <v>27000000</v>
      </c>
      <c r="G29" s="19"/>
      <c r="H29" s="19"/>
      <c r="I29" s="19">
        <f t="shared" si="5"/>
        <v>27000000</v>
      </c>
      <c r="J29" s="11"/>
      <c r="K29" s="240">
        <f t="shared" si="2"/>
        <v>27000000</v>
      </c>
      <c r="L29" s="240">
        <f t="shared" si="3"/>
        <v>0</v>
      </c>
    </row>
    <row r="30" spans="1:13">
      <c r="A30" s="7">
        <v>2</v>
      </c>
      <c r="B30" s="9" t="s">
        <v>2004</v>
      </c>
      <c r="C30" s="10">
        <f>C31</f>
        <v>400000000</v>
      </c>
      <c r="D30" s="10">
        <f>D31</f>
        <v>40000000</v>
      </c>
      <c r="E30" s="10"/>
      <c r="F30" s="10">
        <f>F31</f>
        <v>360000000</v>
      </c>
      <c r="G30" s="10">
        <f t="shared" ref="G30:I30" si="9">G31</f>
        <v>0</v>
      </c>
      <c r="H30" s="10">
        <f t="shared" si="9"/>
        <v>0</v>
      </c>
      <c r="I30" s="10">
        <f t="shared" si="9"/>
        <v>360000000</v>
      </c>
      <c r="J30" s="19"/>
      <c r="K30" s="240">
        <f t="shared" si="2"/>
        <v>360000000</v>
      </c>
      <c r="L30" s="240">
        <f t="shared" si="3"/>
        <v>0</v>
      </c>
    </row>
    <row r="31" spans="1:13" ht="75">
      <c r="A31" s="17" t="s">
        <v>91</v>
      </c>
      <c r="B31" s="22" t="s">
        <v>139</v>
      </c>
      <c r="C31" s="19">
        <v>400000000</v>
      </c>
      <c r="D31" s="19">
        <f>C31*10%</f>
        <v>40000000</v>
      </c>
      <c r="E31" s="19"/>
      <c r="F31" s="19">
        <f>C31-D31</f>
        <v>360000000</v>
      </c>
      <c r="G31" s="19"/>
      <c r="H31" s="19"/>
      <c r="I31" s="19">
        <f t="shared" si="5"/>
        <v>360000000</v>
      </c>
      <c r="J31" s="20" t="s">
        <v>713</v>
      </c>
      <c r="K31" s="240">
        <f t="shared" si="2"/>
        <v>360000000</v>
      </c>
      <c r="L31" s="240">
        <f t="shared" si="3"/>
        <v>0</v>
      </c>
    </row>
  </sheetData>
  <mergeCells count="7">
    <mergeCell ref="A1:B1"/>
    <mergeCell ref="A2:B2"/>
    <mergeCell ref="A8:J8"/>
    <mergeCell ref="A4:J4"/>
    <mergeCell ref="A5:J5"/>
    <mergeCell ref="A6:J6"/>
    <mergeCell ref="A7:J7"/>
  </mergeCells>
  <pageMargins left="0.52" right="0.4" top="0.6" bottom="0.28000000000000003" header="0.31496062992125984" footer="0.31496062992125984"/>
  <pageSetup paperSize="9" scale="45" fitToHeight="0"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36"/>
  <sheetViews>
    <sheetView topLeftCell="A4" zoomScale="85" zoomScaleNormal="85" workbookViewId="0">
      <selection activeCell="M4" sqref="M4"/>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18" style="2" hidden="1" customWidth="1"/>
    <col min="9" max="9" width="0" style="2" hidden="1" customWidth="1"/>
    <col min="10"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9" ht="18.75" customHeight="1">
      <c r="A1" s="1838" t="s">
        <v>140</v>
      </c>
      <c r="B1" s="1838"/>
      <c r="C1" s="224"/>
      <c r="G1" s="3"/>
    </row>
    <row r="2" spans="1:9">
      <c r="A2" s="1798" t="s">
        <v>142</v>
      </c>
      <c r="B2" s="1798"/>
      <c r="C2" s="1"/>
      <c r="D2" s="4"/>
      <c r="E2" s="4"/>
      <c r="F2" s="4"/>
    </row>
    <row r="3" spans="1:9">
      <c r="A3" s="5"/>
    </row>
    <row r="4" spans="1:9">
      <c r="A4" s="1798" t="str">
        <f>'TTDVNN V '!A4:G4</f>
        <v>DỰ TOÁN THU, CHI NGÂN SÁCH NHÀ NƯỚC NĂM 2025</v>
      </c>
      <c r="B4" s="1798"/>
      <c r="C4" s="1798"/>
      <c r="D4" s="1798"/>
      <c r="E4" s="1798"/>
      <c r="F4" s="1798"/>
      <c r="G4" s="1798"/>
    </row>
    <row r="5" spans="1:9">
      <c r="A5" s="1798" t="s">
        <v>143</v>
      </c>
      <c r="B5" s="1798"/>
      <c r="C5" s="1798"/>
      <c r="D5" s="1798"/>
      <c r="E5" s="1798"/>
      <c r="F5" s="1798"/>
      <c r="G5" s="1798"/>
    </row>
    <row r="6" spans="1:9">
      <c r="A6" s="1798" t="s">
        <v>141</v>
      </c>
      <c r="B6" s="1798"/>
      <c r="C6" s="1798"/>
      <c r="D6" s="1798"/>
      <c r="E6" s="1798"/>
      <c r="F6" s="1798"/>
      <c r="G6" s="1798"/>
    </row>
    <row r="7" spans="1:9">
      <c r="A7" s="1798" t="s">
        <v>17</v>
      </c>
      <c r="B7" s="1798"/>
      <c r="C7" s="1798"/>
      <c r="D7" s="1798"/>
      <c r="E7" s="1798"/>
      <c r="F7" s="1798"/>
      <c r="G7" s="1798"/>
    </row>
    <row r="8" spans="1:9">
      <c r="A8" s="1799">
        <f>'TTDVNN V '!A8:G8</f>
        <v>0</v>
      </c>
      <c r="B8" s="1799"/>
      <c r="C8" s="1799"/>
      <c r="D8" s="1799"/>
      <c r="E8" s="1799"/>
      <c r="F8" s="1799"/>
      <c r="G8" s="1799"/>
    </row>
    <row r="9" spans="1:9">
      <c r="A9" s="238"/>
      <c r="B9" s="238"/>
      <c r="C9" s="238"/>
      <c r="D9" s="238"/>
      <c r="E9" s="238"/>
      <c r="F9" s="238"/>
      <c r="G9" s="238"/>
    </row>
    <row r="10" spans="1:9">
      <c r="G10" s="6" t="s">
        <v>43</v>
      </c>
    </row>
    <row r="11" spans="1:9" ht="117" customHeight="1">
      <c r="A11" s="7" t="s">
        <v>0</v>
      </c>
      <c r="B11" s="7" t="s">
        <v>1</v>
      </c>
      <c r="C11" s="7" t="str">
        <f>'TTDVNN V '!C11</f>
        <v>Dự toán 
năm 2025</v>
      </c>
      <c r="D11" s="7" t="s">
        <v>18</v>
      </c>
      <c r="E11" s="7" t="str">
        <f>'TTDVNN V '!E11</f>
        <v>Thực hiện cải cách tiền lương từ nguồn tiết kiệm chi 10% của đơn vị</v>
      </c>
      <c r="F11" s="7" t="s">
        <v>117</v>
      </c>
      <c r="G11" s="7" t="s">
        <v>19</v>
      </c>
    </row>
    <row r="12" spans="1:9">
      <c r="A12" s="8" t="s">
        <v>20</v>
      </c>
      <c r="B12" s="8" t="s">
        <v>21</v>
      </c>
      <c r="C12" s="8" t="s">
        <v>22</v>
      </c>
      <c r="D12" s="8" t="s">
        <v>23</v>
      </c>
      <c r="E12" s="8" t="str">
        <f>'TTDVNN V '!E12</f>
        <v>(5)</v>
      </c>
      <c r="F12" s="8" t="str">
        <f>'TTDVNN V '!F12</f>
        <v>(6)=(3)-(4)+(5)</v>
      </c>
      <c r="G12" s="8" t="s">
        <v>25</v>
      </c>
    </row>
    <row r="13" spans="1:9" ht="37.5">
      <c r="A13" s="7" t="s">
        <v>2</v>
      </c>
      <c r="B13" s="9" t="s">
        <v>3</v>
      </c>
      <c r="C13" s="10">
        <f>C14+C15</f>
        <v>130000000</v>
      </c>
      <c r="D13" s="10"/>
      <c r="E13" s="10"/>
      <c r="F13" s="10"/>
      <c r="G13" s="11"/>
    </row>
    <row r="14" spans="1:9">
      <c r="A14" s="17">
        <v>1</v>
      </c>
      <c r="B14" s="18" t="s">
        <v>4</v>
      </c>
      <c r="C14" s="19">
        <v>130000000</v>
      </c>
      <c r="D14" s="19"/>
      <c r="E14" s="19"/>
      <c r="F14" s="19"/>
      <c r="G14" s="11"/>
    </row>
    <row r="15" spans="1:9">
      <c r="A15" s="17">
        <v>2</v>
      </c>
      <c r="B15" s="18" t="s">
        <v>7</v>
      </c>
      <c r="C15" s="19"/>
      <c r="D15" s="19"/>
      <c r="E15" s="19"/>
      <c r="F15" s="19"/>
      <c r="G15" s="11"/>
      <c r="H15" s="240">
        <f>C22-'Dự toán Chi tiết 2025'!L576</f>
        <v>0</v>
      </c>
    </row>
    <row r="16" spans="1:9" ht="37.5">
      <c r="A16" s="7" t="s">
        <v>12</v>
      </c>
      <c r="B16" s="9" t="s">
        <v>84</v>
      </c>
      <c r="C16" s="10">
        <f>C17</f>
        <v>1864000000</v>
      </c>
      <c r="D16" s="10">
        <f>D17</f>
        <v>131700000</v>
      </c>
      <c r="E16" s="10">
        <f>E17</f>
        <v>131700000</v>
      </c>
      <c r="F16" s="10">
        <f>F17</f>
        <v>1864000000</v>
      </c>
      <c r="G16" s="11"/>
      <c r="H16" s="240">
        <f>C16+E16-D16</f>
        <v>1864000000</v>
      </c>
      <c r="I16" s="240">
        <f>H16-F16</f>
        <v>0</v>
      </c>
    </row>
    <row r="17" spans="1:9">
      <c r="A17" s="7"/>
      <c r="B17" s="9" t="s">
        <v>121</v>
      </c>
      <c r="C17" s="10">
        <f>C18+C22</f>
        <v>1864000000</v>
      </c>
      <c r="D17" s="10">
        <f>D18+D22</f>
        <v>131700000</v>
      </c>
      <c r="E17" s="10">
        <f>E18+E22</f>
        <v>131700000</v>
      </c>
      <c r="F17" s="10">
        <f>F18+F22</f>
        <v>1864000000</v>
      </c>
      <c r="G17" s="11"/>
      <c r="H17" s="240">
        <f t="shared" ref="H17:H36" si="0">C17+E17-D17</f>
        <v>1864000000</v>
      </c>
      <c r="I17" s="240">
        <f t="shared" ref="I17:I36" si="1">H17-F17</f>
        <v>0</v>
      </c>
    </row>
    <row r="18" spans="1:9" s="16" customFormat="1" ht="39">
      <c r="A18" s="12">
        <v>1</v>
      </c>
      <c r="B18" s="13" t="s">
        <v>9</v>
      </c>
      <c r="C18" s="14">
        <f>SUM(C19:C21)</f>
        <v>620300000</v>
      </c>
      <c r="D18" s="14">
        <f>SUM(D19:D21)</f>
        <v>10800000</v>
      </c>
      <c r="E18" s="14">
        <f>SUM(E19:E21)</f>
        <v>131700000</v>
      </c>
      <c r="F18" s="14">
        <f>SUM(F19:F21)</f>
        <v>741200000</v>
      </c>
      <c r="G18" s="15"/>
      <c r="H18" s="240">
        <f t="shared" si="0"/>
        <v>741200000</v>
      </c>
      <c r="I18" s="240">
        <f t="shared" si="1"/>
        <v>0</v>
      </c>
    </row>
    <row r="19" spans="1:9" ht="37.5">
      <c r="A19" s="17">
        <v>1.1000000000000001</v>
      </c>
      <c r="B19" s="18" t="s">
        <v>26</v>
      </c>
      <c r="C19" s="19">
        <f>'Dự toán Chi tiết 2025'!L572</f>
        <v>410000000</v>
      </c>
      <c r="D19" s="19"/>
      <c r="E19" s="19"/>
      <c r="F19" s="19">
        <f>C19-D19+E19</f>
        <v>410000000</v>
      </c>
      <c r="G19" s="11"/>
      <c r="H19" s="240">
        <f t="shared" si="0"/>
        <v>410000000</v>
      </c>
      <c r="I19" s="240">
        <f t="shared" si="1"/>
        <v>0</v>
      </c>
    </row>
    <row r="20" spans="1:9" ht="37.5">
      <c r="A20" s="17">
        <v>1.2</v>
      </c>
      <c r="B20" s="18" t="str">
        <f>'TTDVNN V '!B18</f>
        <v>Kinh phí thực hiện cải cách tiền lương</v>
      </c>
      <c r="C20" s="19">
        <f>'Dự toán Chi tiết 2025'!L574</f>
        <v>102300000</v>
      </c>
      <c r="D20" s="19"/>
      <c r="E20" s="19">
        <f>D16</f>
        <v>131700000</v>
      </c>
      <c r="F20" s="19">
        <f>C20-D20+E20</f>
        <v>234000000</v>
      </c>
      <c r="G20" s="11"/>
      <c r="H20" s="240">
        <f t="shared" si="0"/>
        <v>234000000</v>
      </c>
      <c r="I20" s="240">
        <f t="shared" si="1"/>
        <v>0</v>
      </c>
    </row>
    <row r="21" spans="1:9" ht="37.5">
      <c r="A21" s="17" t="s">
        <v>157</v>
      </c>
      <c r="B21" s="18" t="s">
        <v>27</v>
      </c>
      <c r="C21" s="19">
        <f>'Dự toán Chi tiết 2025'!L575</f>
        <v>108000000</v>
      </c>
      <c r="D21" s="19">
        <f>C21*10%</f>
        <v>10800000</v>
      </c>
      <c r="E21" s="19"/>
      <c r="F21" s="19">
        <f>C21-D21+E21</f>
        <v>97200000</v>
      </c>
      <c r="G21" s="11"/>
      <c r="H21" s="240">
        <f t="shared" si="0"/>
        <v>97200000</v>
      </c>
      <c r="I21" s="240">
        <f t="shared" si="1"/>
        <v>0</v>
      </c>
    </row>
    <row r="22" spans="1:9" s="16" customFormat="1" ht="39">
      <c r="A22" s="17">
        <v>2</v>
      </c>
      <c r="B22" s="13" t="s">
        <v>10</v>
      </c>
      <c r="C22" s="14">
        <f>SUM(C23:C36)</f>
        <v>1243700000</v>
      </c>
      <c r="D22" s="14">
        <f>SUM(D23:D36)</f>
        <v>120900000</v>
      </c>
      <c r="E22" s="14">
        <f>SUM(E23:E36)</f>
        <v>0</v>
      </c>
      <c r="F22" s="14">
        <f>SUM(F23:F36)</f>
        <v>1122800000</v>
      </c>
      <c r="G22" s="15"/>
      <c r="H22" s="240">
        <f t="shared" si="0"/>
        <v>1122800000</v>
      </c>
      <c r="I22" s="240">
        <f t="shared" si="1"/>
        <v>0</v>
      </c>
    </row>
    <row r="23" spans="1:9" ht="56.25">
      <c r="A23" s="17" t="s">
        <v>8</v>
      </c>
      <c r="B23" s="22" t="str">
        <f>'Dự toán Chi tiết 2025'!B577</f>
        <v>Chi tuyên truyền phổ biến giáo dục pháp luật của thành phố Quảng Ngãi</v>
      </c>
      <c r="C23" s="19">
        <f>'Dự toán Chi tiết 2025'!L577</f>
        <v>600000000</v>
      </c>
      <c r="D23" s="19">
        <f>C23*10%</f>
        <v>60000000</v>
      </c>
      <c r="E23" s="19"/>
      <c r="F23" s="19">
        <f>C23-D23</f>
        <v>540000000</v>
      </c>
      <c r="G23" s="11"/>
      <c r="H23" s="240">
        <f t="shared" si="0"/>
        <v>540000000</v>
      </c>
      <c r="I23" s="240">
        <f t="shared" si="1"/>
        <v>0</v>
      </c>
    </row>
    <row r="24" spans="1:9" ht="37.5">
      <c r="A24" s="17" t="s">
        <v>11</v>
      </c>
      <c r="B24" s="22" t="s">
        <v>1073</v>
      </c>
      <c r="C24" s="19">
        <f>'Dự toán Chi tiết 2025'!L579</f>
        <v>14000000</v>
      </c>
      <c r="D24" s="19">
        <f t="shared" ref="D24:D36" si="2">C24*10%</f>
        <v>1400000</v>
      </c>
      <c r="E24" s="19"/>
      <c r="F24" s="19">
        <f t="shared" ref="F24:F36" si="3">C24-D24</f>
        <v>12600000</v>
      </c>
      <c r="G24" s="20"/>
      <c r="H24" s="240">
        <f t="shared" si="0"/>
        <v>12600000</v>
      </c>
      <c r="I24" s="240">
        <f t="shared" si="1"/>
        <v>0</v>
      </c>
    </row>
    <row r="25" spans="1:9" ht="37.5" hidden="1">
      <c r="A25" s="17" t="s">
        <v>13</v>
      </c>
      <c r="B25" s="22" t="s">
        <v>1074</v>
      </c>
      <c r="C25" s="19">
        <f>'Dự toán Chi tiết 2025'!L580</f>
        <v>0</v>
      </c>
      <c r="D25" s="19">
        <f t="shared" si="2"/>
        <v>0</v>
      </c>
      <c r="E25" s="19"/>
      <c r="F25" s="19">
        <f t="shared" si="3"/>
        <v>0</v>
      </c>
      <c r="G25" s="20"/>
      <c r="H25" s="240">
        <f t="shared" si="0"/>
        <v>0</v>
      </c>
      <c r="I25" s="240">
        <f t="shared" si="1"/>
        <v>0</v>
      </c>
    </row>
    <row r="26" spans="1:9" ht="93.75">
      <c r="A26" s="17" t="s">
        <v>13</v>
      </c>
      <c r="B26" s="22" t="s">
        <v>146</v>
      </c>
      <c r="C26" s="19">
        <f>'Dự toán Chi tiết 2025'!L583</f>
        <v>30000000</v>
      </c>
      <c r="D26" s="19">
        <f t="shared" si="2"/>
        <v>3000000</v>
      </c>
      <c r="E26" s="19"/>
      <c r="F26" s="19">
        <f t="shared" si="3"/>
        <v>27000000</v>
      </c>
      <c r="G26" s="11"/>
      <c r="H26" s="240">
        <f t="shared" si="0"/>
        <v>27000000</v>
      </c>
      <c r="I26" s="240">
        <f t="shared" si="1"/>
        <v>0</v>
      </c>
    </row>
    <row r="27" spans="1:9" ht="37.5">
      <c r="A27" s="17" t="s">
        <v>28</v>
      </c>
      <c r="B27" s="22" t="s">
        <v>147</v>
      </c>
      <c r="C27" s="19">
        <f>'Dự toán Chi tiết 2025'!L584</f>
        <v>20000000</v>
      </c>
      <c r="D27" s="19">
        <f t="shared" si="2"/>
        <v>2000000</v>
      </c>
      <c r="E27" s="19"/>
      <c r="F27" s="19">
        <f t="shared" si="3"/>
        <v>18000000</v>
      </c>
      <c r="G27" s="11"/>
      <c r="H27" s="240">
        <f t="shared" si="0"/>
        <v>18000000</v>
      </c>
      <c r="I27" s="240">
        <f t="shared" si="1"/>
        <v>0</v>
      </c>
    </row>
    <row r="28" spans="1:9" ht="37.5">
      <c r="A28" s="17" t="s">
        <v>29</v>
      </c>
      <c r="B28" s="22" t="s">
        <v>148</v>
      </c>
      <c r="C28" s="19">
        <f>'Dự toán Chi tiết 2025'!L585</f>
        <v>90000000</v>
      </c>
      <c r="D28" s="19">
        <f t="shared" si="2"/>
        <v>9000000</v>
      </c>
      <c r="E28" s="19"/>
      <c r="F28" s="19">
        <f t="shared" si="3"/>
        <v>81000000</v>
      </c>
      <c r="G28" s="11"/>
      <c r="H28" s="240">
        <f t="shared" si="0"/>
        <v>81000000</v>
      </c>
      <c r="I28" s="240">
        <f t="shared" si="1"/>
        <v>0</v>
      </c>
    </row>
    <row r="29" spans="1:9" ht="37.5">
      <c r="A29" s="17" t="s">
        <v>30</v>
      </c>
      <c r="B29" s="22" t="s">
        <v>149</v>
      </c>
      <c r="C29" s="19">
        <f>'Dự toán Chi tiết 2025'!L586</f>
        <v>15000000</v>
      </c>
      <c r="D29" s="19">
        <f t="shared" si="2"/>
        <v>1500000</v>
      </c>
      <c r="E29" s="19"/>
      <c r="F29" s="19">
        <f t="shared" si="3"/>
        <v>13500000</v>
      </c>
      <c r="G29" s="11"/>
      <c r="H29" s="240">
        <f t="shared" si="0"/>
        <v>13500000</v>
      </c>
      <c r="I29" s="240">
        <f t="shared" si="1"/>
        <v>0</v>
      </c>
    </row>
    <row r="30" spans="1:9">
      <c r="A30" s="17" t="s">
        <v>31</v>
      </c>
      <c r="B30" s="22" t="s">
        <v>150</v>
      </c>
      <c r="C30" s="19">
        <f>'Dự toán Chi tiết 2025'!L587</f>
        <v>75000000</v>
      </c>
      <c r="D30" s="19">
        <f t="shared" si="2"/>
        <v>7500000</v>
      </c>
      <c r="E30" s="19"/>
      <c r="F30" s="19">
        <f t="shared" si="3"/>
        <v>67500000</v>
      </c>
      <c r="G30" s="11"/>
      <c r="H30" s="240">
        <f t="shared" si="0"/>
        <v>67500000</v>
      </c>
      <c r="I30" s="240">
        <f t="shared" si="1"/>
        <v>0</v>
      </c>
    </row>
    <row r="31" spans="1:9" ht="37.5">
      <c r="A31" s="17" t="s">
        <v>32</v>
      </c>
      <c r="B31" s="22" t="s">
        <v>151</v>
      </c>
      <c r="C31" s="19">
        <f>'Dự toán Chi tiết 2025'!L588</f>
        <v>180000000</v>
      </c>
      <c r="D31" s="19">
        <f t="shared" si="2"/>
        <v>18000000</v>
      </c>
      <c r="E31" s="19"/>
      <c r="F31" s="19">
        <f t="shared" si="3"/>
        <v>162000000</v>
      </c>
      <c r="G31" s="11"/>
      <c r="H31" s="240">
        <f t="shared" si="0"/>
        <v>162000000</v>
      </c>
      <c r="I31" s="240">
        <f t="shared" si="1"/>
        <v>0</v>
      </c>
    </row>
    <row r="32" spans="1:9" ht="56.25">
      <c r="A32" s="17" t="s">
        <v>38</v>
      </c>
      <c r="B32" s="22" t="s">
        <v>1285</v>
      </c>
      <c r="C32" s="19">
        <f>'Dự toán Chi tiết 2025'!L589</f>
        <v>35000000</v>
      </c>
      <c r="D32" s="19">
        <f t="shared" si="2"/>
        <v>3500000</v>
      </c>
      <c r="E32" s="19"/>
      <c r="F32" s="19">
        <f t="shared" si="3"/>
        <v>31500000</v>
      </c>
      <c r="G32" s="11"/>
      <c r="H32" s="240">
        <f t="shared" si="0"/>
        <v>31500000</v>
      </c>
      <c r="I32" s="240">
        <f t="shared" si="1"/>
        <v>0</v>
      </c>
    </row>
    <row r="33" spans="1:9" ht="37.5">
      <c r="A33" s="17" t="s">
        <v>39</v>
      </c>
      <c r="B33" s="22" t="s">
        <v>153</v>
      </c>
      <c r="C33" s="19">
        <f>'Dự toán Chi tiết 2025'!L590</f>
        <v>22800000</v>
      </c>
      <c r="D33" s="19"/>
      <c r="E33" s="19"/>
      <c r="F33" s="19">
        <f t="shared" si="3"/>
        <v>22800000</v>
      </c>
      <c r="G33" s="11"/>
      <c r="H33" s="240">
        <f t="shared" si="0"/>
        <v>22800000</v>
      </c>
      <c r="I33" s="240">
        <f t="shared" si="1"/>
        <v>0</v>
      </c>
    </row>
    <row r="34" spans="1:9">
      <c r="A34" s="17" t="s">
        <v>40</v>
      </c>
      <c r="B34" s="22" t="str">
        <f>'Dự toán Chi tiết 2025'!B591</f>
        <v>Chi đại hội Chi bộ</v>
      </c>
      <c r="C34" s="19">
        <f>'Dự toán Chi tiết 2025'!L591</f>
        <v>11900000</v>
      </c>
      <c r="D34" s="19"/>
      <c r="E34" s="19"/>
      <c r="F34" s="19">
        <f t="shared" si="3"/>
        <v>11900000</v>
      </c>
      <c r="G34" s="11"/>
      <c r="H34" s="240"/>
      <c r="I34" s="240"/>
    </row>
    <row r="35" spans="1:9" ht="37.5">
      <c r="A35" s="17" t="s">
        <v>41</v>
      </c>
      <c r="B35" s="22" t="s">
        <v>154</v>
      </c>
      <c r="C35" s="19">
        <v>20000000</v>
      </c>
      <c r="D35" s="19">
        <f t="shared" si="2"/>
        <v>2000000</v>
      </c>
      <c r="E35" s="19"/>
      <c r="F35" s="19">
        <f t="shared" si="3"/>
        <v>18000000</v>
      </c>
      <c r="G35" s="11"/>
      <c r="H35" s="240">
        <f t="shared" si="0"/>
        <v>18000000</v>
      </c>
      <c r="I35" s="240">
        <f t="shared" si="1"/>
        <v>0</v>
      </c>
    </row>
    <row r="36" spans="1:9" ht="37.5">
      <c r="A36" s="17" t="s">
        <v>714</v>
      </c>
      <c r="B36" s="22" t="s">
        <v>156</v>
      </c>
      <c r="C36" s="19">
        <f>'Dự toán Chi tiết 2025'!L594</f>
        <v>130000000</v>
      </c>
      <c r="D36" s="19">
        <f t="shared" si="2"/>
        <v>13000000</v>
      </c>
      <c r="E36" s="19"/>
      <c r="F36" s="19">
        <f t="shared" si="3"/>
        <v>117000000</v>
      </c>
      <c r="G36" s="11"/>
      <c r="H36" s="240">
        <f t="shared" si="0"/>
        <v>117000000</v>
      </c>
      <c r="I36" s="240">
        <f t="shared" si="1"/>
        <v>0</v>
      </c>
    </row>
  </sheetData>
  <mergeCells count="7">
    <mergeCell ref="A1:B1"/>
    <mergeCell ref="A2:B2"/>
    <mergeCell ref="A8:G8"/>
    <mergeCell ref="A4:G4"/>
    <mergeCell ref="A5:G5"/>
    <mergeCell ref="A6:G6"/>
    <mergeCell ref="A7:G7"/>
  </mergeCells>
  <pageMargins left="0.53" right="0.43" top="0.74803149606299213" bottom="0.6692913385826772" header="0.31496062992125984" footer="0.23622047244094491"/>
  <pageSetup paperSize="9" scale="63" fitToHeight="0" orientation="portrait" verticalDpi="0" r:id="rId1"/>
  <headerFoot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38"/>
  <sheetViews>
    <sheetView topLeftCell="B10" zoomScale="85" zoomScaleNormal="85" workbookViewId="0">
      <selection activeCell="H4" sqref="H1:I1048576"/>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18" style="2" hidden="1" customWidth="1"/>
    <col min="9" max="9" width="0" style="2" hidden="1" customWidth="1"/>
    <col min="10"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9">
      <c r="A1" s="1838" t="s">
        <v>631</v>
      </c>
      <c r="B1" s="1838"/>
      <c r="C1" s="1838"/>
      <c r="G1" s="3"/>
    </row>
    <row r="2" spans="1:9">
      <c r="A2" s="1798" t="s">
        <v>634</v>
      </c>
      <c r="B2" s="1798"/>
      <c r="C2" s="1798"/>
      <c r="D2" s="4"/>
      <c r="E2" s="4"/>
      <c r="F2" s="4"/>
    </row>
    <row r="3" spans="1:9">
      <c r="A3" s="5"/>
    </row>
    <row r="4" spans="1:9">
      <c r="A4" s="1798" t="str">
        <f>'TTDVNN V '!A4:G4</f>
        <v>DỰ TOÁN THU, CHI NGÂN SÁCH NHÀ NƯỚC NĂM 2025</v>
      </c>
      <c r="B4" s="1798"/>
      <c r="C4" s="1798"/>
      <c r="D4" s="1798"/>
      <c r="E4" s="1798"/>
      <c r="F4" s="1798"/>
      <c r="G4" s="1798"/>
    </row>
    <row r="5" spans="1:9">
      <c r="A5" s="1798" t="s">
        <v>632</v>
      </c>
      <c r="B5" s="1798"/>
      <c r="C5" s="1798"/>
      <c r="D5" s="1798"/>
      <c r="E5" s="1798"/>
      <c r="F5" s="1798"/>
      <c r="G5" s="1798"/>
    </row>
    <row r="6" spans="1:9">
      <c r="A6" s="1798" t="s">
        <v>633</v>
      </c>
      <c r="B6" s="1798"/>
      <c r="C6" s="1798"/>
      <c r="D6" s="1798"/>
      <c r="E6" s="1798"/>
      <c r="F6" s="1798"/>
      <c r="G6" s="1798"/>
    </row>
    <row r="7" spans="1:9">
      <c r="A7" s="1798" t="s">
        <v>17</v>
      </c>
      <c r="B7" s="1798"/>
      <c r="C7" s="1798"/>
      <c r="D7" s="1798"/>
      <c r="E7" s="1798"/>
      <c r="F7" s="1798"/>
      <c r="G7" s="1798"/>
    </row>
    <row r="8" spans="1:9">
      <c r="A8" s="1799">
        <f>'TTDVNN V '!A8:G8</f>
        <v>0</v>
      </c>
      <c r="B8" s="1799"/>
      <c r="C8" s="1799"/>
      <c r="D8" s="1799"/>
      <c r="E8" s="1799"/>
      <c r="F8" s="1799"/>
      <c r="G8" s="1799"/>
    </row>
    <row r="9" spans="1:9">
      <c r="G9" s="6" t="s">
        <v>43</v>
      </c>
    </row>
    <row r="10" spans="1:9"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9">
      <c r="A11" s="8" t="s">
        <v>20</v>
      </c>
      <c r="B11" s="8" t="s">
        <v>21</v>
      </c>
      <c r="C11" s="8" t="s">
        <v>22</v>
      </c>
      <c r="D11" s="8" t="s">
        <v>23</v>
      </c>
      <c r="E11" s="8" t="str">
        <f>'TTDVNN V '!E12</f>
        <v>(5)</v>
      </c>
      <c r="F11" s="8" t="str">
        <f>'TTDVNN V '!F12</f>
        <v>(6)=(3)-(4)+(5)</v>
      </c>
      <c r="G11" s="8" t="s">
        <v>25</v>
      </c>
    </row>
    <row r="12" spans="1:9" ht="37.5">
      <c r="A12" s="7" t="s">
        <v>2</v>
      </c>
      <c r="B12" s="9" t="s">
        <v>3</v>
      </c>
      <c r="C12" s="10">
        <f>C13+C14</f>
        <v>150000000</v>
      </c>
      <c r="D12" s="10"/>
      <c r="E12" s="10"/>
      <c r="F12" s="10"/>
      <c r="G12" s="11"/>
    </row>
    <row r="13" spans="1:9">
      <c r="A13" s="17">
        <v>1</v>
      </c>
      <c r="B13" s="18" t="s">
        <v>4</v>
      </c>
      <c r="C13" s="19">
        <v>150000000</v>
      </c>
      <c r="D13" s="19"/>
      <c r="E13" s="19"/>
      <c r="F13" s="19"/>
      <c r="G13" s="11"/>
    </row>
    <row r="14" spans="1:9">
      <c r="A14" s="17">
        <v>2</v>
      </c>
      <c r="B14" s="18" t="s">
        <v>7</v>
      </c>
      <c r="C14" s="19"/>
      <c r="D14" s="19"/>
      <c r="E14" s="19"/>
      <c r="F14" s="19"/>
      <c r="G14" s="11"/>
      <c r="H14" s="240">
        <f>F15-'Dự toán Chi tiết 2025'!L597</f>
        <v>0</v>
      </c>
    </row>
    <row r="15" spans="1:9" ht="37.5">
      <c r="A15" s="7" t="s">
        <v>12</v>
      </c>
      <c r="B15" s="9" t="s">
        <v>84</v>
      </c>
      <c r="C15" s="10">
        <f>C16</f>
        <v>3615700000</v>
      </c>
      <c r="D15" s="10">
        <f>D16</f>
        <v>214000000</v>
      </c>
      <c r="E15" s="10">
        <f>E16</f>
        <v>214000000</v>
      </c>
      <c r="F15" s="10">
        <f>F16</f>
        <v>3615700000</v>
      </c>
      <c r="G15" s="11"/>
      <c r="H15" s="240">
        <f>C15+E15-D15</f>
        <v>3615700000</v>
      </c>
      <c r="I15" s="240">
        <f>H15-F15</f>
        <v>0</v>
      </c>
    </row>
    <row r="16" spans="1:9">
      <c r="A16" s="7"/>
      <c r="B16" s="9" t="s">
        <v>121</v>
      </c>
      <c r="C16" s="10">
        <f>C17+C21</f>
        <v>3615700000</v>
      </c>
      <c r="D16" s="10">
        <f>D17+D21</f>
        <v>214000000</v>
      </c>
      <c r="E16" s="10">
        <f>E17+E21</f>
        <v>214000000</v>
      </c>
      <c r="F16" s="10">
        <f>F17+F21</f>
        <v>3615700000</v>
      </c>
      <c r="G16" s="11"/>
      <c r="H16" s="240">
        <f t="shared" ref="H16:H38" si="0">C16+E16-D16</f>
        <v>3615700000</v>
      </c>
      <c r="I16" s="240">
        <f t="shared" ref="I16:I38" si="1">H16-F16</f>
        <v>0</v>
      </c>
    </row>
    <row r="17" spans="1:9" s="16" customFormat="1" ht="39">
      <c r="A17" s="12">
        <v>1</v>
      </c>
      <c r="B17" s="13" t="s">
        <v>9</v>
      </c>
      <c r="C17" s="14">
        <f>SUM(C18:C20)</f>
        <v>1660000000</v>
      </c>
      <c r="D17" s="14">
        <f>SUM(D18:D20)</f>
        <v>27000000</v>
      </c>
      <c r="E17" s="14">
        <f>SUM(E18:E20)</f>
        <v>214000000</v>
      </c>
      <c r="F17" s="14">
        <f>SUM(F18:F20)</f>
        <v>1847000000</v>
      </c>
      <c r="G17" s="15"/>
      <c r="H17" s="240">
        <f t="shared" si="0"/>
        <v>1847000000</v>
      </c>
      <c r="I17" s="240">
        <f t="shared" si="1"/>
        <v>0</v>
      </c>
    </row>
    <row r="18" spans="1:9" ht="37.5">
      <c r="A18" s="17" t="s">
        <v>5</v>
      </c>
      <c r="B18" s="18" t="s">
        <v>26</v>
      </c>
      <c r="C18" s="19">
        <f>'Dự toán Chi tiết 2025'!L602</f>
        <v>1022000000</v>
      </c>
      <c r="D18" s="19"/>
      <c r="E18" s="19"/>
      <c r="F18" s="19">
        <f>C18-D18+E18</f>
        <v>1022000000</v>
      </c>
      <c r="G18" s="11"/>
      <c r="H18" s="240">
        <f t="shared" si="0"/>
        <v>1022000000</v>
      </c>
      <c r="I18" s="240">
        <f t="shared" si="1"/>
        <v>0</v>
      </c>
    </row>
    <row r="19" spans="1:9" ht="37.5">
      <c r="A19" s="17" t="s">
        <v>6</v>
      </c>
      <c r="B19" s="18" t="str">
        <f>'TTDVNN V '!B18</f>
        <v>Kinh phí thực hiện cải cách tiền lương</v>
      </c>
      <c r="C19" s="19">
        <f>'Dự toán Chi tiết 2025'!L604</f>
        <v>368000000</v>
      </c>
      <c r="D19" s="19"/>
      <c r="E19" s="19">
        <f>D15</f>
        <v>214000000</v>
      </c>
      <c r="F19" s="19">
        <f>C19-D19+E19</f>
        <v>582000000</v>
      </c>
      <c r="G19" s="11"/>
      <c r="H19" s="240">
        <f>C19+E19-D19</f>
        <v>582000000</v>
      </c>
      <c r="I19" s="240">
        <f t="shared" si="1"/>
        <v>0</v>
      </c>
    </row>
    <row r="20" spans="1:9" ht="37.5">
      <c r="A20" s="17" t="s">
        <v>157</v>
      </c>
      <c r="B20" s="18" t="s">
        <v>27</v>
      </c>
      <c r="C20" s="19">
        <f>'Dự toán Chi tiết 2025'!L605</f>
        <v>270000000</v>
      </c>
      <c r="D20" s="19">
        <f>C20*10%</f>
        <v>27000000</v>
      </c>
      <c r="E20" s="19"/>
      <c r="F20" s="19">
        <f>C20-D20+E20</f>
        <v>243000000</v>
      </c>
      <c r="G20" s="11"/>
      <c r="H20" s="240">
        <f t="shared" si="0"/>
        <v>243000000</v>
      </c>
      <c r="I20" s="240">
        <f t="shared" si="1"/>
        <v>0</v>
      </c>
    </row>
    <row r="21" spans="1:9" s="16" customFormat="1" ht="39">
      <c r="A21" s="12">
        <v>2</v>
      </c>
      <c r="B21" s="13" t="str">
        <f>'Tư pháp V'!B22</f>
        <v>Kinh phí nhiệm vụ không thường xuyên</v>
      </c>
      <c r="C21" s="14">
        <f>SUM(C22:C38)</f>
        <v>1955700000</v>
      </c>
      <c r="D21" s="14">
        <f>SUM(D22:D38)</f>
        <v>187000000</v>
      </c>
      <c r="E21" s="14">
        <f>SUM(E22:E38)</f>
        <v>0</v>
      </c>
      <c r="F21" s="14">
        <f>SUM(F22:F38)</f>
        <v>1768700000</v>
      </c>
      <c r="G21" s="15"/>
      <c r="H21" s="240">
        <f t="shared" si="0"/>
        <v>1768700000</v>
      </c>
      <c r="I21" s="240">
        <f t="shared" si="1"/>
        <v>0</v>
      </c>
    </row>
    <row r="22" spans="1:9" ht="56.25">
      <c r="A22" s="17" t="s">
        <v>8</v>
      </c>
      <c r="B22" s="22" t="s">
        <v>384</v>
      </c>
      <c r="C22" s="19">
        <f>'Dự toán Chi tiết 2025'!L608</f>
        <v>100000000</v>
      </c>
      <c r="D22" s="19">
        <f>C22*10%</f>
        <v>10000000</v>
      </c>
      <c r="E22" s="19"/>
      <c r="F22" s="19">
        <f>C22-D22</f>
        <v>90000000</v>
      </c>
      <c r="G22" s="11"/>
      <c r="H22" s="240">
        <f t="shared" si="0"/>
        <v>90000000</v>
      </c>
      <c r="I22" s="240">
        <f t="shared" si="1"/>
        <v>0</v>
      </c>
    </row>
    <row r="23" spans="1:9" ht="37.5">
      <c r="A23" s="17" t="s">
        <v>11</v>
      </c>
      <c r="B23" s="22" t="s">
        <v>153</v>
      </c>
      <c r="C23" s="19">
        <f>'Dự toán Chi tiết 2025'!L609</f>
        <v>20700000</v>
      </c>
      <c r="D23" s="19"/>
      <c r="E23" s="19"/>
      <c r="F23" s="19">
        <f t="shared" ref="F23:F38" si="2">C23-D23</f>
        <v>20700000</v>
      </c>
      <c r="G23" s="11"/>
      <c r="H23" s="240">
        <f t="shared" si="0"/>
        <v>20700000</v>
      </c>
      <c r="I23" s="240">
        <f t="shared" si="1"/>
        <v>0</v>
      </c>
    </row>
    <row r="24" spans="1:9" ht="83.25" customHeight="1">
      <c r="A24" s="17" t="s">
        <v>13</v>
      </c>
      <c r="B24" s="22" t="str">
        <f>'Dự toán Chi tiết 2025'!B610</f>
        <v>Mua kệ, tủ tài liệu, mua sắm trang thiết bị; sửa chữa thiết bị phục vụ công tác chuyên môn, đặc thù của ngành</v>
      </c>
      <c r="C24" s="19">
        <f>'Dự toán Chi tiết 2025'!L610</f>
        <v>50000000</v>
      </c>
      <c r="D24" s="19">
        <f t="shared" ref="D24:D37" si="3">C24*10%</f>
        <v>5000000</v>
      </c>
      <c r="E24" s="19"/>
      <c r="F24" s="19">
        <f t="shared" si="2"/>
        <v>45000000</v>
      </c>
      <c r="G24" s="20"/>
      <c r="H24" s="240">
        <f t="shared" si="0"/>
        <v>45000000</v>
      </c>
      <c r="I24" s="240">
        <f t="shared" si="1"/>
        <v>0</v>
      </c>
    </row>
    <row r="25" spans="1:9" ht="75">
      <c r="A25" s="17" t="s">
        <v>28</v>
      </c>
      <c r="B25" s="22" t="s">
        <v>387</v>
      </c>
      <c r="C25" s="19">
        <f>'Dự toán Chi tiết 2025'!L611</f>
        <v>80000000</v>
      </c>
      <c r="D25" s="19">
        <f t="shared" si="3"/>
        <v>8000000</v>
      </c>
      <c r="E25" s="19"/>
      <c r="F25" s="19">
        <f t="shared" si="2"/>
        <v>72000000</v>
      </c>
      <c r="G25" s="20"/>
      <c r="H25" s="240">
        <f t="shared" si="0"/>
        <v>72000000</v>
      </c>
      <c r="I25" s="240">
        <f t="shared" si="1"/>
        <v>0</v>
      </c>
    </row>
    <row r="26" spans="1:9" ht="112.5">
      <c r="A26" s="17" t="s">
        <v>29</v>
      </c>
      <c r="B26" s="22" t="s">
        <v>2035</v>
      </c>
      <c r="C26" s="19">
        <f>'Dự toán Chi tiết 2025'!L612</f>
        <v>120000000</v>
      </c>
      <c r="D26" s="19">
        <f t="shared" si="3"/>
        <v>12000000</v>
      </c>
      <c r="E26" s="19"/>
      <c r="F26" s="19">
        <f t="shared" si="2"/>
        <v>108000000</v>
      </c>
      <c r="G26" s="11"/>
      <c r="H26" s="240">
        <f t="shared" si="0"/>
        <v>108000000</v>
      </c>
      <c r="I26" s="240">
        <f t="shared" si="1"/>
        <v>0</v>
      </c>
    </row>
    <row r="27" spans="1:9" ht="56.25">
      <c r="A27" s="17" t="s">
        <v>30</v>
      </c>
      <c r="B27" s="22" t="s">
        <v>389</v>
      </c>
      <c r="C27" s="19">
        <f>'Dự toán Chi tiết 2025'!L614</f>
        <v>50000000</v>
      </c>
      <c r="D27" s="19">
        <f t="shared" si="3"/>
        <v>5000000</v>
      </c>
      <c r="E27" s="19"/>
      <c r="F27" s="19">
        <f t="shared" si="2"/>
        <v>45000000</v>
      </c>
      <c r="G27" s="11"/>
      <c r="H27" s="240">
        <f t="shared" si="0"/>
        <v>45000000</v>
      </c>
      <c r="I27" s="240">
        <f t="shared" si="1"/>
        <v>0</v>
      </c>
    </row>
    <row r="28" spans="1:9" ht="75">
      <c r="A28" s="17" t="s">
        <v>31</v>
      </c>
      <c r="B28" s="22" t="s">
        <v>390</v>
      </c>
      <c r="C28" s="19">
        <f>'Dự toán Chi tiết 2025'!L615</f>
        <v>20000000</v>
      </c>
      <c r="D28" s="19">
        <f t="shared" si="3"/>
        <v>2000000</v>
      </c>
      <c r="E28" s="19"/>
      <c r="F28" s="19">
        <f t="shared" si="2"/>
        <v>18000000</v>
      </c>
      <c r="G28" s="11"/>
      <c r="H28" s="240">
        <f t="shared" si="0"/>
        <v>18000000</v>
      </c>
      <c r="I28" s="240">
        <f t="shared" si="1"/>
        <v>0</v>
      </c>
    </row>
    <row r="29" spans="1:9" ht="56.25">
      <c r="A29" s="17" t="s">
        <v>32</v>
      </c>
      <c r="B29" s="22" t="s">
        <v>391</v>
      </c>
      <c r="C29" s="19">
        <f>'Dự toán Chi tiết 2025'!L616</f>
        <v>200000000</v>
      </c>
      <c r="D29" s="19">
        <f t="shared" si="3"/>
        <v>20000000</v>
      </c>
      <c r="E29" s="19"/>
      <c r="F29" s="19">
        <f t="shared" si="2"/>
        <v>180000000</v>
      </c>
      <c r="G29" s="11"/>
      <c r="H29" s="240">
        <f t="shared" si="0"/>
        <v>180000000</v>
      </c>
      <c r="I29" s="240">
        <f t="shared" si="1"/>
        <v>0</v>
      </c>
    </row>
    <row r="30" spans="1:9" ht="56.25">
      <c r="A30" s="17" t="s">
        <v>38</v>
      </c>
      <c r="B30" s="22" t="s">
        <v>396</v>
      </c>
      <c r="C30" s="19">
        <f>'Dự toán Chi tiết 2025'!L617</f>
        <v>50000000</v>
      </c>
      <c r="D30" s="19"/>
      <c r="E30" s="19"/>
      <c r="F30" s="19">
        <f t="shared" si="2"/>
        <v>50000000</v>
      </c>
      <c r="G30" s="11"/>
      <c r="H30" s="240">
        <f t="shared" si="0"/>
        <v>50000000</v>
      </c>
      <c r="I30" s="240">
        <f t="shared" si="1"/>
        <v>0</v>
      </c>
    </row>
    <row r="31" spans="1:9" ht="37.5">
      <c r="A31" s="17" t="s">
        <v>39</v>
      </c>
      <c r="B31" s="22" t="s">
        <v>393</v>
      </c>
      <c r="C31" s="19">
        <f>'Dự toán Chi tiết 2025'!L618</f>
        <v>150000000</v>
      </c>
      <c r="D31" s="19">
        <f t="shared" si="3"/>
        <v>15000000</v>
      </c>
      <c r="E31" s="19"/>
      <c r="F31" s="19">
        <f t="shared" si="2"/>
        <v>135000000</v>
      </c>
      <c r="G31" s="11"/>
      <c r="H31" s="240">
        <f t="shared" si="0"/>
        <v>135000000</v>
      </c>
      <c r="I31" s="240">
        <f t="shared" si="1"/>
        <v>0</v>
      </c>
    </row>
    <row r="32" spans="1:9" ht="75">
      <c r="A32" s="17" t="s">
        <v>40</v>
      </c>
      <c r="B32" s="22" t="str">
        <f>'Dự toán Chi tiết 2025'!B620</f>
        <v>Hoạt động của Thường trực Hội đồng giá đất cụ thể và Hội đổng thẩm định đơn giá cây trồng, quản lý công sản,…</v>
      </c>
      <c r="C32" s="19">
        <f>'Dự toán Chi tiết 2025'!L620</f>
        <v>200000000</v>
      </c>
      <c r="D32" s="19">
        <f t="shared" si="3"/>
        <v>20000000</v>
      </c>
      <c r="E32" s="19"/>
      <c r="F32" s="19">
        <f t="shared" si="2"/>
        <v>180000000</v>
      </c>
      <c r="G32" s="11"/>
      <c r="H32" s="240">
        <f t="shared" si="0"/>
        <v>180000000</v>
      </c>
      <c r="I32" s="240">
        <f t="shared" si="1"/>
        <v>0</v>
      </c>
    </row>
    <row r="33" spans="1:9" ht="112.5">
      <c r="A33" s="17" t="s">
        <v>41</v>
      </c>
      <c r="B33" s="22" t="s">
        <v>2009</v>
      </c>
      <c r="C33" s="19">
        <f>'Dự toán Chi tiết 2025'!L621</f>
        <v>500000000</v>
      </c>
      <c r="D33" s="19">
        <f t="shared" si="3"/>
        <v>50000000</v>
      </c>
      <c r="E33" s="19"/>
      <c r="F33" s="19">
        <f t="shared" si="2"/>
        <v>450000000</v>
      </c>
      <c r="G33" s="19"/>
      <c r="H33" s="240">
        <f t="shared" si="0"/>
        <v>450000000</v>
      </c>
      <c r="I33" s="240">
        <f t="shared" si="1"/>
        <v>0</v>
      </c>
    </row>
    <row r="34" spans="1:9" ht="56.25">
      <c r="A34" s="17" t="s">
        <v>714</v>
      </c>
      <c r="B34" s="22" t="s">
        <v>1080</v>
      </c>
      <c r="C34" s="19">
        <f>'Dự toán Chi tiết 2025'!L622</f>
        <v>50000000</v>
      </c>
      <c r="D34" s="19">
        <f t="shared" si="3"/>
        <v>5000000</v>
      </c>
      <c r="E34" s="19"/>
      <c r="F34" s="19">
        <f t="shared" si="2"/>
        <v>45000000</v>
      </c>
      <c r="G34" s="11"/>
      <c r="H34" s="240">
        <f t="shared" si="0"/>
        <v>45000000</v>
      </c>
      <c r="I34" s="240">
        <f t="shared" si="1"/>
        <v>0</v>
      </c>
    </row>
    <row r="35" spans="1:9" ht="37.5" hidden="1">
      <c r="A35" s="17" t="s">
        <v>715</v>
      </c>
      <c r="B35" s="22" t="s">
        <v>1081</v>
      </c>
      <c r="C35" s="19">
        <f>'Dự toán Chi tiết 2025'!L623</f>
        <v>0</v>
      </c>
      <c r="D35" s="19">
        <f t="shared" si="3"/>
        <v>0</v>
      </c>
      <c r="E35" s="19"/>
      <c r="F35" s="19">
        <f t="shared" si="2"/>
        <v>0</v>
      </c>
      <c r="G35" s="11"/>
      <c r="H35" s="240">
        <f t="shared" si="0"/>
        <v>0</v>
      </c>
      <c r="I35" s="240">
        <f t="shared" si="1"/>
        <v>0</v>
      </c>
    </row>
    <row r="36" spans="1:9" ht="56.25">
      <c r="A36" s="17" t="s">
        <v>715</v>
      </c>
      <c r="B36" s="22" t="str">
        <f>'Dự toán Chi tiết 2025'!B619</f>
        <v>Kinh phí phục vụ công tác đấu giá nhà công sản trên địa bàn thành phố</v>
      </c>
      <c r="C36" s="19">
        <f>'Dự toán Chi tiết 2025'!L619</f>
        <v>250000000</v>
      </c>
      <c r="D36" s="19">
        <f t="shared" si="3"/>
        <v>25000000</v>
      </c>
      <c r="E36" s="19"/>
      <c r="F36" s="19">
        <f t="shared" si="2"/>
        <v>225000000</v>
      </c>
      <c r="G36" s="11"/>
      <c r="H36" s="240"/>
      <c r="I36" s="240"/>
    </row>
    <row r="37" spans="1:9" ht="190.5" customHeight="1">
      <c r="A37" s="17" t="s">
        <v>716</v>
      </c>
      <c r="B37" s="22" t="str">
        <f>'Dự toán Chi tiết 2025'!B624</f>
        <v>Kinh phí thực hiện nhiệm vụ chung do UBND thành phố giao phát sinh trong năm và thuê đơn vị kiểm toán độc lập theo quy định của pháp luật kiểm toán các báo cáo quyết toán của các dự án, chương trình mục tiêu có quy mô lớn theo Khoản 2 Điều 6 Thông tư số 137/TT-BTC</v>
      </c>
      <c r="C37" s="19">
        <f>'Dự toán Chi tiết 2025'!L624</f>
        <v>100000000</v>
      </c>
      <c r="D37" s="19">
        <f t="shared" si="3"/>
        <v>10000000</v>
      </c>
      <c r="E37" s="19"/>
      <c r="F37" s="19">
        <f t="shared" si="2"/>
        <v>90000000</v>
      </c>
      <c r="G37" s="11"/>
      <c r="H37" s="240">
        <f t="shared" si="0"/>
        <v>90000000</v>
      </c>
      <c r="I37" s="240">
        <f t="shared" si="1"/>
        <v>0</v>
      </c>
    </row>
    <row r="38" spans="1:9">
      <c r="A38" s="17" t="s">
        <v>717</v>
      </c>
      <c r="B38" s="22" t="str">
        <f>'Dự toán Chi tiết 2025'!B613</f>
        <v>Tổ chức Đại hội Chi bộ</v>
      </c>
      <c r="C38" s="19">
        <f>'Dự toán Chi tiết 2025'!L613</f>
        <v>15000000</v>
      </c>
      <c r="D38" s="19">
        <v>0</v>
      </c>
      <c r="E38" s="19"/>
      <c r="F38" s="19">
        <f t="shared" si="2"/>
        <v>15000000</v>
      </c>
      <c r="G38" s="11"/>
      <c r="H38" s="240">
        <f t="shared" si="0"/>
        <v>15000000</v>
      </c>
      <c r="I38" s="240">
        <f t="shared" si="1"/>
        <v>0</v>
      </c>
    </row>
  </sheetData>
  <mergeCells count="7">
    <mergeCell ref="A8:G8"/>
    <mergeCell ref="A1:C1"/>
    <mergeCell ref="A2:C2"/>
    <mergeCell ref="A4:G4"/>
    <mergeCell ref="A5:G5"/>
    <mergeCell ref="A6:G6"/>
    <mergeCell ref="A7:G7"/>
  </mergeCells>
  <pageMargins left="0.47244094488188981" right="0.43307086614173229" top="0.59055118110236227" bottom="0.74803149606299213" header="0.31496062992125984" footer="0.31496062992125984"/>
  <pageSetup paperSize="9" scale="63" fitToHeight="0" orientation="portrait" r:id="rId1"/>
  <headerFoot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37"/>
  <sheetViews>
    <sheetView topLeftCell="A10" zoomScale="85" zoomScaleNormal="85" workbookViewId="0">
      <selection activeCell="F15" sqref="F15"/>
    </sheetView>
  </sheetViews>
  <sheetFormatPr defaultRowHeight="18.75"/>
  <cols>
    <col min="1" max="1" width="7.140625" style="313" customWidth="1"/>
    <col min="2" max="2" width="38.5703125" style="313" customWidth="1"/>
    <col min="3" max="3" width="19.28515625" style="313" customWidth="1"/>
    <col min="4" max="5" width="21.140625" style="313" customWidth="1"/>
    <col min="6" max="6" width="19.42578125" style="313" customWidth="1"/>
    <col min="7" max="7" width="20" style="313" customWidth="1"/>
    <col min="8" max="8" width="22.7109375" style="313" customWidth="1"/>
    <col min="9" max="260" width="9.140625" style="313"/>
    <col min="261" max="261" width="7.140625" style="313" customWidth="1"/>
    <col min="262" max="262" width="47.7109375" style="313" customWidth="1"/>
    <col min="263" max="263" width="19.28515625" style="313" customWidth="1"/>
    <col min="264" max="516" width="9.140625" style="313"/>
    <col min="517" max="517" width="7.140625" style="313" customWidth="1"/>
    <col min="518" max="518" width="47.7109375" style="313" customWidth="1"/>
    <col min="519" max="519" width="19.28515625" style="313" customWidth="1"/>
    <col min="520" max="772" width="9.140625" style="313"/>
    <col min="773" max="773" width="7.140625" style="313" customWidth="1"/>
    <col min="774" max="774" width="47.7109375" style="313" customWidth="1"/>
    <col min="775" max="775" width="19.28515625" style="313" customWidth="1"/>
    <col min="776" max="1028" width="9.140625" style="313"/>
    <col min="1029" max="1029" width="7.140625" style="313" customWidth="1"/>
    <col min="1030" max="1030" width="47.7109375" style="313" customWidth="1"/>
    <col min="1031" max="1031" width="19.28515625" style="313" customWidth="1"/>
    <col min="1032" max="1284" width="9.140625" style="313"/>
    <col min="1285" max="1285" width="7.140625" style="313" customWidth="1"/>
    <col min="1286" max="1286" width="47.7109375" style="313" customWidth="1"/>
    <col min="1287" max="1287" width="19.28515625" style="313" customWidth="1"/>
    <col min="1288" max="1540" width="9.140625" style="313"/>
    <col min="1541" max="1541" width="7.140625" style="313" customWidth="1"/>
    <col min="1542" max="1542" width="47.7109375" style="313" customWidth="1"/>
    <col min="1543" max="1543" width="19.28515625" style="313" customWidth="1"/>
    <col min="1544" max="1796" width="9.140625" style="313"/>
    <col min="1797" max="1797" width="7.140625" style="313" customWidth="1"/>
    <col min="1798" max="1798" width="47.7109375" style="313" customWidth="1"/>
    <col min="1799" max="1799" width="19.28515625" style="313" customWidth="1"/>
    <col min="1800" max="2052" width="9.140625" style="313"/>
    <col min="2053" max="2053" width="7.140625" style="313" customWidth="1"/>
    <col min="2054" max="2054" width="47.7109375" style="313" customWidth="1"/>
    <col min="2055" max="2055" width="19.28515625" style="313" customWidth="1"/>
    <col min="2056" max="2308" width="9.140625" style="313"/>
    <col min="2309" max="2309" width="7.140625" style="313" customWidth="1"/>
    <col min="2310" max="2310" width="47.7109375" style="313" customWidth="1"/>
    <col min="2311" max="2311" width="19.28515625" style="313" customWidth="1"/>
    <col min="2312" max="2564" width="9.140625" style="313"/>
    <col min="2565" max="2565" width="7.140625" style="313" customWidth="1"/>
    <col min="2566" max="2566" width="47.7109375" style="313" customWidth="1"/>
    <col min="2567" max="2567" width="19.28515625" style="313" customWidth="1"/>
    <col min="2568" max="2820" width="9.140625" style="313"/>
    <col min="2821" max="2821" width="7.140625" style="313" customWidth="1"/>
    <col min="2822" max="2822" width="47.7109375" style="313" customWidth="1"/>
    <col min="2823" max="2823" width="19.28515625" style="313" customWidth="1"/>
    <col min="2824" max="3076" width="9.140625" style="313"/>
    <col min="3077" max="3077" width="7.140625" style="313" customWidth="1"/>
    <col min="3078" max="3078" width="47.7109375" style="313" customWidth="1"/>
    <col min="3079" max="3079" width="19.28515625" style="313" customWidth="1"/>
    <col min="3080" max="3332" width="9.140625" style="313"/>
    <col min="3333" max="3333" width="7.140625" style="313" customWidth="1"/>
    <col min="3334" max="3334" width="47.7109375" style="313" customWidth="1"/>
    <col min="3335" max="3335" width="19.28515625" style="313" customWidth="1"/>
    <col min="3336" max="3588" width="9.140625" style="313"/>
    <col min="3589" max="3589" width="7.140625" style="313" customWidth="1"/>
    <col min="3590" max="3590" width="47.7109375" style="313" customWidth="1"/>
    <col min="3591" max="3591" width="19.28515625" style="313" customWidth="1"/>
    <col min="3592" max="3844" width="9.140625" style="313"/>
    <col min="3845" max="3845" width="7.140625" style="313" customWidth="1"/>
    <col min="3846" max="3846" width="47.7109375" style="313" customWidth="1"/>
    <col min="3847" max="3847" width="19.28515625" style="313" customWidth="1"/>
    <col min="3848" max="4100" width="9.140625" style="313"/>
    <col min="4101" max="4101" width="7.140625" style="313" customWidth="1"/>
    <col min="4102" max="4102" width="47.7109375" style="313" customWidth="1"/>
    <col min="4103" max="4103" width="19.28515625" style="313" customWidth="1"/>
    <col min="4104" max="4356" width="9.140625" style="313"/>
    <col min="4357" max="4357" width="7.140625" style="313" customWidth="1"/>
    <col min="4358" max="4358" width="47.7109375" style="313" customWidth="1"/>
    <col min="4359" max="4359" width="19.28515625" style="313" customWidth="1"/>
    <col min="4360" max="4612" width="9.140625" style="313"/>
    <col min="4613" max="4613" width="7.140625" style="313" customWidth="1"/>
    <col min="4614" max="4614" width="47.7109375" style="313" customWidth="1"/>
    <col min="4615" max="4615" width="19.28515625" style="313" customWidth="1"/>
    <col min="4616" max="4868" width="9.140625" style="313"/>
    <col min="4869" max="4869" width="7.140625" style="313" customWidth="1"/>
    <col min="4870" max="4870" width="47.7109375" style="313" customWidth="1"/>
    <col min="4871" max="4871" width="19.28515625" style="313" customWidth="1"/>
    <col min="4872" max="5124" width="9.140625" style="313"/>
    <col min="5125" max="5125" width="7.140625" style="313" customWidth="1"/>
    <col min="5126" max="5126" width="47.7109375" style="313" customWidth="1"/>
    <col min="5127" max="5127" width="19.28515625" style="313" customWidth="1"/>
    <col min="5128" max="5380" width="9.140625" style="313"/>
    <col min="5381" max="5381" width="7.140625" style="313" customWidth="1"/>
    <col min="5382" max="5382" width="47.7109375" style="313" customWidth="1"/>
    <col min="5383" max="5383" width="19.28515625" style="313" customWidth="1"/>
    <col min="5384" max="5636" width="9.140625" style="313"/>
    <col min="5637" max="5637" width="7.140625" style="313" customWidth="1"/>
    <col min="5638" max="5638" width="47.7109375" style="313" customWidth="1"/>
    <col min="5639" max="5639" width="19.28515625" style="313" customWidth="1"/>
    <col min="5640" max="5892" width="9.140625" style="313"/>
    <col min="5893" max="5893" width="7.140625" style="313" customWidth="1"/>
    <col min="5894" max="5894" width="47.7109375" style="313" customWidth="1"/>
    <col min="5895" max="5895" width="19.28515625" style="313" customWidth="1"/>
    <col min="5896" max="6148" width="9.140625" style="313"/>
    <col min="6149" max="6149" width="7.140625" style="313" customWidth="1"/>
    <col min="6150" max="6150" width="47.7109375" style="313" customWidth="1"/>
    <col min="6151" max="6151" width="19.28515625" style="313" customWidth="1"/>
    <col min="6152" max="6404" width="9.140625" style="313"/>
    <col min="6405" max="6405" width="7.140625" style="313" customWidth="1"/>
    <col min="6406" max="6406" width="47.7109375" style="313" customWidth="1"/>
    <col min="6407" max="6407" width="19.28515625" style="313" customWidth="1"/>
    <col min="6408" max="6660" width="9.140625" style="313"/>
    <col min="6661" max="6661" width="7.140625" style="313" customWidth="1"/>
    <col min="6662" max="6662" width="47.7109375" style="313" customWidth="1"/>
    <col min="6663" max="6663" width="19.28515625" style="313" customWidth="1"/>
    <col min="6664" max="6916" width="9.140625" style="313"/>
    <col min="6917" max="6917" width="7.140625" style="313" customWidth="1"/>
    <col min="6918" max="6918" width="47.7109375" style="313" customWidth="1"/>
    <col min="6919" max="6919" width="19.28515625" style="313" customWidth="1"/>
    <col min="6920" max="7172" width="9.140625" style="313"/>
    <col min="7173" max="7173" width="7.140625" style="313" customWidth="1"/>
    <col min="7174" max="7174" width="47.7109375" style="313" customWidth="1"/>
    <col min="7175" max="7175" width="19.28515625" style="313" customWidth="1"/>
    <col min="7176" max="7428" width="9.140625" style="313"/>
    <col min="7429" max="7429" width="7.140625" style="313" customWidth="1"/>
    <col min="7430" max="7430" width="47.7109375" style="313" customWidth="1"/>
    <col min="7431" max="7431" width="19.28515625" style="313" customWidth="1"/>
    <col min="7432" max="7684" width="9.140625" style="313"/>
    <col min="7685" max="7685" width="7.140625" style="313" customWidth="1"/>
    <col min="7686" max="7686" width="47.7109375" style="313" customWidth="1"/>
    <col min="7687" max="7687" width="19.28515625" style="313" customWidth="1"/>
    <col min="7688" max="7940" width="9.140625" style="313"/>
    <col min="7941" max="7941" width="7.140625" style="313" customWidth="1"/>
    <col min="7942" max="7942" width="47.7109375" style="313" customWidth="1"/>
    <col min="7943" max="7943" width="19.28515625" style="313" customWidth="1"/>
    <col min="7944" max="8196" width="9.140625" style="313"/>
    <col min="8197" max="8197" width="7.140625" style="313" customWidth="1"/>
    <col min="8198" max="8198" width="47.7109375" style="313" customWidth="1"/>
    <col min="8199" max="8199" width="19.28515625" style="313" customWidth="1"/>
    <col min="8200" max="8452" width="9.140625" style="313"/>
    <col min="8453" max="8453" width="7.140625" style="313" customWidth="1"/>
    <col min="8454" max="8454" width="47.7109375" style="313" customWidth="1"/>
    <col min="8455" max="8455" width="19.28515625" style="313" customWidth="1"/>
    <col min="8456" max="8708" width="9.140625" style="313"/>
    <col min="8709" max="8709" width="7.140625" style="313" customWidth="1"/>
    <col min="8710" max="8710" width="47.7109375" style="313" customWidth="1"/>
    <col min="8711" max="8711" width="19.28515625" style="313" customWidth="1"/>
    <col min="8712" max="8964" width="9.140625" style="313"/>
    <col min="8965" max="8965" width="7.140625" style="313" customWidth="1"/>
    <col min="8966" max="8966" width="47.7109375" style="313" customWidth="1"/>
    <col min="8967" max="8967" width="19.28515625" style="313" customWidth="1"/>
    <col min="8968" max="9220" width="9.140625" style="313"/>
    <col min="9221" max="9221" width="7.140625" style="313" customWidth="1"/>
    <col min="9222" max="9222" width="47.7109375" style="313" customWidth="1"/>
    <col min="9223" max="9223" width="19.28515625" style="313" customWidth="1"/>
    <col min="9224" max="9476" width="9.140625" style="313"/>
    <col min="9477" max="9477" width="7.140625" style="313" customWidth="1"/>
    <col min="9478" max="9478" width="47.7109375" style="313" customWidth="1"/>
    <col min="9479" max="9479" width="19.28515625" style="313" customWidth="1"/>
    <col min="9480" max="9732" width="9.140625" style="313"/>
    <col min="9733" max="9733" width="7.140625" style="313" customWidth="1"/>
    <col min="9734" max="9734" width="47.7109375" style="313" customWidth="1"/>
    <col min="9735" max="9735" width="19.28515625" style="313" customWidth="1"/>
    <col min="9736" max="9988" width="9.140625" style="313"/>
    <col min="9989" max="9989" width="7.140625" style="313" customWidth="1"/>
    <col min="9990" max="9990" width="47.7109375" style="313" customWidth="1"/>
    <col min="9991" max="9991" width="19.28515625" style="313" customWidth="1"/>
    <col min="9992" max="10244" width="9.140625" style="313"/>
    <col min="10245" max="10245" width="7.140625" style="313" customWidth="1"/>
    <col min="10246" max="10246" width="47.7109375" style="313" customWidth="1"/>
    <col min="10247" max="10247" width="19.28515625" style="313" customWidth="1"/>
    <col min="10248" max="10500" width="9.140625" style="313"/>
    <col min="10501" max="10501" width="7.140625" style="313" customWidth="1"/>
    <col min="10502" max="10502" width="47.7109375" style="313" customWidth="1"/>
    <col min="10503" max="10503" width="19.28515625" style="313" customWidth="1"/>
    <col min="10504" max="10756" width="9.140625" style="313"/>
    <col min="10757" max="10757" width="7.140625" style="313" customWidth="1"/>
    <col min="10758" max="10758" width="47.7109375" style="313" customWidth="1"/>
    <col min="10759" max="10759" width="19.28515625" style="313" customWidth="1"/>
    <col min="10760" max="11012" width="9.140625" style="313"/>
    <col min="11013" max="11013" width="7.140625" style="313" customWidth="1"/>
    <col min="11014" max="11014" width="47.7109375" style="313" customWidth="1"/>
    <col min="11015" max="11015" width="19.28515625" style="313" customWidth="1"/>
    <col min="11016" max="11268" width="9.140625" style="313"/>
    <col min="11269" max="11269" width="7.140625" style="313" customWidth="1"/>
    <col min="11270" max="11270" width="47.7109375" style="313" customWidth="1"/>
    <col min="11271" max="11271" width="19.28515625" style="313" customWidth="1"/>
    <col min="11272" max="11524" width="9.140625" style="313"/>
    <col min="11525" max="11525" width="7.140625" style="313" customWidth="1"/>
    <col min="11526" max="11526" width="47.7109375" style="313" customWidth="1"/>
    <col min="11527" max="11527" width="19.28515625" style="313" customWidth="1"/>
    <col min="11528" max="11780" width="9.140625" style="313"/>
    <col min="11781" max="11781" width="7.140625" style="313" customWidth="1"/>
    <col min="11782" max="11782" width="47.7109375" style="313" customWidth="1"/>
    <col min="11783" max="11783" width="19.28515625" style="313" customWidth="1"/>
    <col min="11784" max="12036" width="9.140625" style="313"/>
    <col min="12037" max="12037" width="7.140625" style="313" customWidth="1"/>
    <col min="12038" max="12038" width="47.7109375" style="313" customWidth="1"/>
    <col min="12039" max="12039" width="19.28515625" style="313" customWidth="1"/>
    <col min="12040" max="12292" width="9.140625" style="313"/>
    <col min="12293" max="12293" width="7.140625" style="313" customWidth="1"/>
    <col min="12294" max="12294" width="47.7109375" style="313" customWidth="1"/>
    <col min="12295" max="12295" width="19.28515625" style="313" customWidth="1"/>
    <col min="12296" max="12548" width="9.140625" style="313"/>
    <col min="12549" max="12549" width="7.140625" style="313" customWidth="1"/>
    <col min="12550" max="12550" width="47.7109375" style="313" customWidth="1"/>
    <col min="12551" max="12551" width="19.28515625" style="313" customWidth="1"/>
    <col min="12552" max="12804" width="9.140625" style="313"/>
    <col min="12805" max="12805" width="7.140625" style="313" customWidth="1"/>
    <col min="12806" max="12806" width="47.7109375" style="313" customWidth="1"/>
    <col min="12807" max="12807" width="19.28515625" style="313" customWidth="1"/>
    <col min="12808" max="13060" width="9.140625" style="313"/>
    <col min="13061" max="13061" width="7.140625" style="313" customWidth="1"/>
    <col min="13062" max="13062" width="47.7109375" style="313" customWidth="1"/>
    <col min="13063" max="13063" width="19.28515625" style="313" customWidth="1"/>
    <col min="13064" max="13316" width="9.140625" style="313"/>
    <col min="13317" max="13317" width="7.140625" style="313" customWidth="1"/>
    <col min="13318" max="13318" width="47.7109375" style="313" customWidth="1"/>
    <col min="13319" max="13319" width="19.28515625" style="313" customWidth="1"/>
    <col min="13320" max="13572" width="9.140625" style="313"/>
    <col min="13573" max="13573" width="7.140625" style="313" customWidth="1"/>
    <col min="13574" max="13574" width="47.7109375" style="313" customWidth="1"/>
    <col min="13575" max="13575" width="19.28515625" style="313" customWidth="1"/>
    <col min="13576" max="13828" width="9.140625" style="313"/>
    <col min="13829" max="13829" width="7.140625" style="313" customWidth="1"/>
    <col min="13830" max="13830" width="47.7109375" style="313" customWidth="1"/>
    <col min="13831" max="13831" width="19.28515625" style="313" customWidth="1"/>
    <col min="13832" max="14084" width="9.140625" style="313"/>
    <col min="14085" max="14085" width="7.140625" style="313" customWidth="1"/>
    <col min="14086" max="14086" width="47.7109375" style="313" customWidth="1"/>
    <col min="14087" max="14087" width="19.28515625" style="313" customWidth="1"/>
    <col min="14088" max="14340" width="9.140625" style="313"/>
    <col min="14341" max="14341" width="7.140625" style="313" customWidth="1"/>
    <col min="14342" max="14342" width="47.7109375" style="313" customWidth="1"/>
    <col min="14343" max="14343" width="19.28515625" style="313" customWidth="1"/>
    <col min="14344" max="14596" width="9.140625" style="313"/>
    <col min="14597" max="14597" width="7.140625" style="313" customWidth="1"/>
    <col min="14598" max="14598" width="47.7109375" style="313" customWidth="1"/>
    <col min="14599" max="14599" width="19.28515625" style="313" customWidth="1"/>
    <col min="14600" max="14852" width="9.140625" style="313"/>
    <col min="14853" max="14853" width="7.140625" style="313" customWidth="1"/>
    <col min="14854" max="14854" width="47.7109375" style="313" customWidth="1"/>
    <col min="14855" max="14855" width="19.28515625" style="313" customWidth="1"/>
    <col min="14856" max="15108" width="9.140625" style="313"/>
    <col min="15109" max="15109" width="7.140625" style="313" customWidth="1"/>
    <col min="15110" max="15110" width="47.7109375" style="313" customWidth="1"/>
    <col min="15111" max="15111" width="19.28515625" style="313" customWidth="1"/>
    <col min="15112" max="15364" width="9.140625" style="313"/>
    <col min="15365" max="15365" width="7.140625" style="313" customWidth="1"/>
    <col min="15366" max="15366" width="47.7109375" style="313" customWidth="1"/>
    <col min="15367" max="15367" width="19.28515625" style="313" customWidth="1"/>
    <col min="15368" max="15620" width="9.140625" style="313"/>
    <col min="15621" max="15621" width="7.140625" style="313" customWidth="1"/>
    <col min="15622" max="15622" width="47.7109375" style="313" customWidth="1"/>
    <col min="15623" max="15623" width="19.28515625" style="313" customWidth="1"/>
    <col min="15624" max="15876" width="9.140625" style="313"/>
    <col min="15877" max="15877" width="7.140625" style="313" customWidth="1"/>
    <col min="15878" max="15878" width="47.7109375" style="313" customWidth="1"/>
    <col min="15879" max="15879" width="19.28515625" style="313" customWidth="1"/>
    <col min="15880" max="16132" width="9.140625" style="313"/>
    <col min="16133" max="16133" width="7.140625" style="313" customWidth="1"/>
    <col min="16134" max="16134" width="47.7109375" style="313" customWidth="1"/>
    <col min="16135" max="16135" width="19.28515625" style="313" customWidth="1"/>
    <col min="16136" max="16384" width="9.140625" style="313"/>
  </cols>
  <sheetData>
    <row r="1" spans="1:8" ht="18.75" customHeight="1">
      <c r="A1" s="1840" t="s">
        <v>2060</v>
      </c>
      <c r="B1" s="1840"/>
      <c r="C1" s="1840"/>
      <c r="D1" s="1840"/>
      <c r="G1" s="1472"/>
    </row>
    <row r="2" spans="1:8">
      <c r="A2" s="1841" t="s">
        <v>636</v>
      </c>
      <c r="B2" s="1841"/>
      <c r="C2" s="1841"/>
      <c r="D2" s="1841"/>
      <c r="E2" s="1473"/>
      <c r="F2" s="1473"/>
    </row>
    <row r="3" spans="1:8">
      <c r="A3" s="1474"/>
    </row>
    <row r="4" spans="1:8">
      <c r="A4" s="1841" t="str">
        <f>'TTDVNN V '!A4:G4</f>
        <v>DỰ TOÁN THU, CHI NGÂN SÁCH NHÀ NƯỚC NĂM 2025</v>
      </c>
      <c r="B4" s="1841"/>
      <c r="C4" s="1841"/>
      <c r="D4" s="1841"/>
      <c r="E4" s="1841"/>
      <c r="F4" s="1841"/>
      <c r="G4" s="1841"/>
    </row>
    <row r="5" spans="1:8">
      <c r="A5" s="1841" t="s">
        <v>2059</v>
      </c>
      <c r="B5" s="1841"/>
      <c r="C5" s="1841"/>
      <c r="D5" s="1841"/>
      <c r="E5" s="1841"/>
      <c r="F5" s="1841"/>
      <c r="G5" s="1841"/>
    </row>
    <row r="6" spans="1:8">
      <c r="A6" s="1841" t="s">
        <v>638</v>
      </c>
      <c r="B6" s="1841"/>
      <c r="C6" s="1841"/>
      <c r="D6" s="1841"/>
      <c r="E6" s="1841"/>
      <c r="F6" s="1841"/>
      <c r="G6" s="1841"/>
    </row>
    <row r="7" spans="1:8">
      <c r="A7" s="1841" t="s">
        <v>17</v>
      </c>
      <c r="B7" s="1841"/>
      <c r="C7" s="1841"/>
      <c r="D7" s="1841"/>
      <c r="E7" s="1841"/>
      <c r="F7" s="1841"/>
      <c r="G7" s="1841"/>
    </row>
    <row r="8" spans="1:8">
      <c r="A8" s="1839"/>
      <c r="B8" s="1839"/>
      <c r="C8" s="1839"/>
      <c r="D8" s="1839"/>
      <c r="E8" s="1839"/>
      <c r="F8" s="1839"/>
      <c r="G8" s="1839"/>
    </row>
    <row r="9" spans="1:8">
      <c r="G9" s="1475" t="s">
        <v>43</v>
      </c>
    </row>
    <row r="10" spans="1:8" ht="117" customHeight="1">
      <c r="A10" s="1476" t="s">
        <v>0</v>
      </c>
      <c r="B10" s="1476" t="s">
        <v>1</v>
      </c>
      <c r="C10" s="1476" t="str">
        <f>'TTDVNN V '!C11</f>
        <v>Dự toán 
năm 2025</v>
      </c>
      <c r="D10" s="1476" t="s">
        <v>18</v>
      </c>
      <c r="E10" s="1476" t="str">
        <f>'TTDVNN V '!E11</f>
        <v>Thực hiện cải cách tiền lương từ nguồn tiết kiệm chi 10% của đơn vị</v>
      </c>
      <c r="F10" s="1476" t="s">
        <v>117</v>
      </c>
      <c r="G10" s="1476" t="s">
        <v>19</v>
      </c>
    </row>
    <row r="11" spans="1:8">
      <c r="A11" s="1477" t="s">
        <v>20</v>
      </c>
      <c r="B11" s="1477" t="s">
        <v>21</v>
      </c>
      <c r="C11" s="1477" t="s">
        <v>22</v>
      </c>
      <c r="D11" s="1477" t="s">
        <v>23</v>
      </c>
      <c r="E11" s="1477" t="str">
        <f>'TTDVNN V '!E12</f>
        <v>(5)</v>
      </c>
      <c r="F11" s="1477" t="str">
        <f>'TTDVNN V '!F12</f>
        <v>(6)=(3)-(4)+(5)</v>
      </c>
      <c r="G11" s="1477" t="s">
        <v>25</v>
      </c>
    </row>
    <row r="12" spans="1:8" ht="37.5">
      <c r="A12" s="1476" t="s">
        <v>2</v>
      </c>
      <c r="B12" s="1478" t="s">
        <v>3</v>
      </c>
      <c r="C12" s="314">
        <f>C13</f>
        <v>175000000</v>
      </c>
      <c r="D12" s="314"/>
      <c r="E12" s="314"/>
      <c r="F12" s="314"/>
      <c r="G12" s="1479"/>
    </row>
    <row r="13" spans="1:8">
      <c r="A13" s="1480">
        <v>1</v>
      </c>
      <c r="B13" s="1481" t="s">
        <v>4</v>
      </c>
      <c r="C13" s="312">
        <f>150000000+25000000</f>
        <v>175000000</v>
      </c>
      <c r="D13" s="312"/>
      <c r="E13" s="312"/>
      <c r="F13" s="312"/>
      <c r="G13" s="1479"/>
    </row>
    <row r="14" spans="1:8">
      <c r="A14" s="1480">
        <v>2</v>
      </c>
      <c r="B14" s="1481" t="s">
        <v>7</v>
      </c>
      <c r="C14" s="312"/>
      <c r="D14" s="312">
        <f>C14*40%</f>
        <v>0</v>
      </c>
      <c r="E14" s="312"/>
      <c r="F14" s="312">
        <f>C14-D14</f>
        <v>0</v>
      </c>
      <c r="G14" s="1479"/>
    </row>
    <row r="15" spans="1:8" ht="37.5">
      <c r="A15" s="1476" t="s">
        <v>12</v>
      </c>
      <c r="B15" s="1478" t="s">
        <v>84</v>
      </c>
      <c r="C15" s="314">
        <f>C16+C33</f>
        <v>4787913036.333334</v>
      </c>
      <c r="D15" s="314">
        <f t="shared" ref="D15:F15" si="0">D16+D33</f>
        <v>217800000</v>
      </c>
      <c r="E15" s="314">
        <f t="shared" si="0"/>
        <v>217800000</v>
      </c>
      <c r="F15" s="314">
        <f t="shared" si="0"/>
        <v>4787913036.333334</v>
      </c>
      <c r="G15" s="1479"/>
      <c r="H15" s="1482">
        <f>F15-'Quản lý đô thị V'!F15</f>
        <v>570713036.33333397</v>
      </c>
    </row>
    <row r="16" spans="1:8">
      <c r="A16" s="1476"/>
      <c r="B16" s="1478" t="s">
        <v>121</v>
      </c>
      <c r="C16" s="314">
        <f>C17+C22</f>
        <v>3118413036.3333335</v>
      </c>
      <c r="D16" s="314">
        <f t="shared" ref="D16:F16" si="1">D17+D22</f>
        <v>77800000</v>
      </c>
      <c r="E16" s="314">
        <f t="shared" si="1"/>
        <v>217800000</v>
      </c>
      <c r="F16" s="314">
        <f t="shared" si="1"/>
        <v>3258413036.3333335</v>
      </c>
      <c r="G16" s="1479"/>
    </row>
    <row r="17" spans="1:8" s="1487" customFormat="1" ht="39">
      <c r="A17" s="1483">
        <v>1</v>
      </c>
      <c r="B17" s="1484" t="s">
        <v>9</v>
      </c>
      <c r="C17" s="1485">
        <f>SUM(C18:C20)</f>
        <v>2619853036.3333335</v>
      </c>
      <c r="D17" s="1485">
        <f>SUM(D18:D20)</f>
        <v>37800000</v>
      </c>
      <c r="E17" s="1485">
        <f>SUM(E18:E20)</f>
        <v>217800000</v>
      </c>
      <c r="F17" s="1485">
        <f>SUM(F18:F20)</f>
        <v>2799853036.3333335</v>
      </c>
      <c r="G17" s="1486"/>
      <c r="H17" s="1482">
        <v>995478641</v>
      </c>
    </row>
    <row r="18" spans="1:8" ht="37.5">
      <c r="A18" s="1480" t="s">
        <v>5</v>
      </c>
      <c r="B18" s="1481" t="s">
        <v>26</v>
      </c>
      <c r="C18" s="312">
        <f>'Dự toán Chi tiết 2025'!L633+[15]TH!$J$12-'Quản lý đô thị _điều chỉnh'!G18</f>
        <v>1492474327</v>
      </c>
      <c r="D18" s="312"/>
      <c r="E18" s="312"/>
      <c r="F18" s="312">
        <f>C18-D18+E18</f>
        <v>1492474327</v>
      </c>
      <c r="G18" s="1479"/>
      <c r="H18" s="1482">
        <f>F15-'Quản lý đô thị V'!F15</f>
        <v>570713036.33333397</v>
      </c>
    </row>
    <row r="19" spans="1:8" ht="37.5">
      <c r="A19" s="1480" t="s">
        <v>6</v>
      </c>
      <c r="B19" s="1481" t="str">
        <f>'TTDVNN V '!B18</f>
        <v>Kinh phí thực hiện cải cách tiền lương</v>
      </c>
      <c r="C19" s="312">
        <f>'Dự toán Chi tiết 2025'!L635+[15]TH!$J$13-'Quản lý đô thị _điều chỉnh'!G19</f>
        <v>741470455</v>
      </c>
      <c r="D19" s="312"/>
      <c r="E19" s="312">
        <f>D15</f>
        <v>217800000</v>
      </c>
      <c r="F19" s="312">
        <f>C19-D19+E19</f>
        <v>959270455</v>
      </c>
      <c r="G19" s="1479"/>
      <c r="H19" s="1482">
        <f>C17+C22</f>
        <v>3118413036.3333335</v>
      </c>
    </row>
    <row r="20" spans="1:8" ht="37.5">
      <c r="A20" s="1480" t="s">
        <v>157</v>
      </c>
      <c r="B20" s="1481" t="s">
        <v>27</v>
      </c>
      <c r="C20" s="312">
        <f>'Dự toán Chi tiết 2025'!L636+[15]TH!$J$14-'Quản lý đô thị _điều chỉnh'!G20</f>
        <v>385908254.33333331</v>
      </c>
      <c r="D20" s="312">
        <f>378000000*10%</f>
        <v>37800000</v>
      </c>
      <c r="E20" s="312"/>
      <c r="F20" s="312">
        <f>C20-D20+E20</f>
        <v>348108254.33333331</v>
      </c>
      <c r="G20" s="1479"/>
      <c r="H20" s="1482">
        <f>F17+F22</f>
        <v>3258413036.3333335</v>
      </c>
    </row>
    <row r="21" spans="1:8" s="1487" customFormat="1" ht="39">
      <c r="A21" s="1483">
        <v>2</v>
      </c>
      <c r="B21" s="1484" t="str">
        <f>'TCKH V '!B21</f>
        <v>Kinh phí nhiệm vụ không thường xuyên</v>
      </c>
      <c r="C21" s="1485">
        <f>C22+C33</f>
        <v>2168060000</v>
      </c>
      <c r="D21" s="1485">
        <f t="shared" ref="D21:F21" si="2">D22+D33</f>
        <v>180000000</v>
      </c>
      <c r="E21" s="1485">
        <f t="shared" si="2"/>
        <v>0</v>
      </c>
      <c r="F21" s="1485">
        <f t="shared" si="2"/>
        <v>1988060000</v>
      </c>
      <c r="G21" s="1486"/>
      <c r="H21" s="1488">
        <f>H20-H19</f>
        <v>140000000</v>
      </c>
    </row>
    <row r="22" spans="1:8" s="1487" customFormat="1" ht="19.5">
      <c r="A22" s="1483"/>
      <c r="B22" s="1484" t="s">
        <v>2007</v>
      </c>
      <c r="C22" s="1485">
        <f>SUM(C23:C32)</f>
        <v>498560000</v>
      </c>
      <c r="D22" s="1485">
        <f t="shared" ref="D22:F22" si="3">SUM(D23:D32)</f>
        <v>40000000</v>
      </c>
      <c r="E22" s="1485">
        <f t="shared" si="3"/>
        <v>0</v>
      </c>
      <c r="F22" s="1485">
        <f t="shared" si="3"/>
        <v>458560000</v>
      </c>
      <c r="G22" s="1486"/>
    </row>
    <row r="23" spans="1:8">
      <c r="A23" s="1480" t="s">
        <v>8</v>
      </c>
      <c r="B23" s="1481" t="s">
        <v>399</v>
      </c>
      <c r="C23" s="312">
        <f>'Dự toán Chi tiết 2025'!L638-'Quản lý đô thị _điều chỉnh'!G22</f>
        <v>33000000</v>
      </c>
      <c r="D23" s="312"/>
      <c r="E23" s="312"/>
      <c r="F23" s="312">
        <f t="shared" ref="F23:F34" si="4">C23-D23</f>
        <v>33000000</v>
      </c>
      <c r="G23" s="1479"/>
    </row>
    <row r="24" spans="1:8">
      <c r="A24" s="1480" t="s">
        <v>11</v>
      </c>
      <c r="B24" s="1481" t="s">
        <v>400</v>
      </c>
      <c r="C24" s="312">
        <f>'Dự toán Chi tiết 2025'!L639+[15]TH!$J$18</f>
        <v>19660000</v>
      </c>
      <c r="D24" s="312"/>
      <c r="E24" s="312"/>
      <c r="F24" s="312">
        <f t="shared" si="4"/>
        <v>19660000</v>
      </c>
      <c r="G24" s="1479"/>
    </row>
    <row r="25" spans="1:8" ht="75">
      <c r="A25" s="1480" t="s">
        <v>13</v>
      </c>
      <c r="B25" s="1481" t="s">
        <v>2005</v>
      </c>
      <c r="C25" s="312">
        <f>'Dự toán Chi tiết 2025'!L641</f>
        <v>145000000</v>
      </c>
      <c r="D25" s="312">
        <f>C25*10%</f>
        <v>14500000</v>
      </c>
      <c r="E25" s="312"/>
      <c r="F25" s="312">
        <f t="shared" si="4"/>
        <v>130500000</v>
      </c>
      <c r="G25" s="1347"/>
    </row>
    <row r="26" spans="1:8" hidden="1">
      <c r="A26" s="1480" t="s">
        <v>28</v>
      </c>
      <c r="B26" s="1481" t="s">
        <v>1085</v>
      </c>
      <c r="C26" s="312">
        <f>'Dự toán Chi tiết 2025'!L642</f>
        <v>0</v>
      </c>
      <c r="D26" s="312">
        <f>C26*10%</f>
        <v>0</v>
      </c>
      <c r="E26" s="312"/>
      <c r="F26" s="312">
        <f t="shared" si="4"/>
        <v>0</v>
      </c>
      <c r="G26" s="1347"/>
    </row>
    <row r="27" spans="1:8">
      <c r="A27" s="1480" t="s">
        <v>28</v>
      </c>
      <c r="B27" s="1481" t="str">
        <f>'Dự toán Chi tiết 2025'!B640</f>
        <v>Kinh phí tổ chức Đại hội Chi bộ</v>
      </c>
      <c r="C27" s="312">
        <f>'Dự toán Chi tiết 2025'!L640</f>
        <v>18900000</v>
      </c>
      <c r="D27" s="312"/>
      <c r="E27" s="312"/>
      <c r="F27" s="312">
        <f t="shared" si="4"/>
        <v>18900000</v>
      </c>
      <c r="G27" s="1347"/>
    </row>
    <row r="28" spans="1:8">
      <c r="A28" s="1480" t="s">
        <v>29</v>
      </c>
      <c r="B28" s="1347" t="str">
        <f>'Dự toán Chi tiết 2025'!B646</f>
        <v>Kinh phí TTB màn hình ti vi</v>
      </c>
      <c r="C28" s="312">
        <v>25000000</v>
      </c>
      <c r="D28" s="312">
        <f t="shared" ref="D28:D32" si="5">C28*10%</f>
        <v>2500000</v>
      </c>
      <c r="E28" s="312"/>
      <c r="F28" s="312">
        <f t="shared" si="4"/>
        <v>22500000</v>
      </c>
      <c r="G28" s="1347"/>
    </row>
    <row r="29" spans="1:8" ht="56.25">
      <c r="A29" s="1480" t="s">
        <v>30</v>
      </c>
      <c r="B29" s="1481" t="s">
        <v>1086</v>
      </c>
      <c r="C29" s="312">
        <f>'Dự toán Chi tiết 2025'!L643</f>
        <v>180000000</v>
      </c>
      <c r="D29" s="312">
        <f t="shared" si="5"/>
        <v>18000000</v>
      </c>
      <c r="E29" s="312"/>
      <c r="F29" s="312">
        <f t="shared" si="4"/>
        <v>162000000</v>
      </c>
      <c r="G29" s="1479"/>
    </row>
    <row r="30" spans="1:8">
      <c r="A30" s="1480" t="s">
        <v>31</v>
      </c>
      <c r="B30" s="1481" t="s">
        <v>1382</v>
      </c>
      <c r="C30" s="312">
        <f>'Kinh tế V_điều chỉnh'!H28/2</f>
        <v>4500000</v>
      </c>
      <c r="D30" s="312"/>
      <c r="E30" s="312"/>
      <c r="F30" s="312">
        <f t="shared" si="4"/>
        <v>4500000</v>
      </c>
      <c r="G30" s="1479"/>
    </row>
    <row r="31" spans="1:8" ht="56.25">
      <c r="A31" s="1480" t="s">
        <v>32</v>
      </c>
      <c r="B31" s="1481" t="str">
        <f>'Kinh tế V_điều chỉnh'!B30</f>
        <v>Chi kiểm soát giết mổ; cấp phép kinh doanh Rượu, ga, thuốc lá; An toàn thực phẩm,…</v>
      </c>
      <c r="C31" s="312">
        <v>22500000</v>
      </c>
      <c r="D31" s="312"/>
      <c r="E31" s="312"/>
      <c r="F31" s="312">
        <f t="shared" si="4"/>
        <v>22500000</v>
      </c>
      <c r="G31" s="1479"/>
    </row>
    <row r="32" spans="1:8" ht="37.5">
      <c r="A32" s="1480" t="s">
        <v>38</v>
      </c>
      <c r="B32" s="1481" t="str">
        <f>'Dự toán Chi tiết 2025'!B649</f>
        <v>Kinh phí lập hồ sơ các tuyến đường trên địa bàn thành phố</v>
      </c>
      <c r="C32" s="312">
        <f>'Dự toán Chi tiết 2025'!L649</f>
        <v>50000000</v>
      </c>
      <c r="D32" s="312">
        <f t="shared" si="5"/>
        <v>5000000</v>
      </c>
      <c r="E32" s="312"/>
      <c r="F32" s="312">
        <f t="shared" si="4"/>
        <v>45000000</v>
      </c>
      <c r="G32" s="1347"/>
    </row>
    <row r="33" spans="1:8" s="1491" customFormat="1" ht="19.5">
      <c r="A33" s="1489"/>
      <c r="B33" s="1484" t="s">
        <v>2008</v>
      </c>
      <c r="C33" s="1490">
        <f>C34+C35+C36+C37</f>
        <v>1669500000</v>
      </c>
      <c r="D33" s="1490">
        <f t="shared" ref="D33:F33" si="6">D34+D35+D36+D37</f>
        <v>140000000</v>
      </c>
      <c r="E33" s="1490">
        <f t="shared" si="6"/>
        <v>0</v>
      </c>
      <c r="F33" s="1490">
        <f t="shared" si="6"/>
        <v>1529500000</v>
      </c>
      <c r="G33" s="1489"/>
    </row>
    <row r="34" spans="1:8">
      <c r="A34" s="1480" t="s">
        <v>39</v>
      </c>
      <c r="B34" s="1481" t="str">
        <f>'Kinh tế V_điều chỉnh'!B36</f>
        <v>Công thương (309)</v>
      </c>
      <c r="C34" s="312">
        <f>'Kinh tế V_điều chỉnh'!H36</f>
        <v>269500000</v>
      </c>
      <c r="D34" s="312"/>
      <c r="E34" s="312"/>
      <c r="F34" s="312">
        <f t="shared" si="4"/>
        <v>269500000</v>
      </c>
      <c r="G34" s="1347"/>
      <c r="H34" s="1482">
        <f>C36+C37+C35</f>
        <v>1400000000</v>
      </c>
    </row>
    <row r="35" spans="1:8" ht="52.5" customHeight="1">
      <c r="A35" s="1480" t="s">
        <v>40</v>
      </c>
      <c r="B35" s="1481" t="str">
        <f>'Dự toán Chi tiết 2025'!B645</f>
        <v>Báo cáo đánh giá, rà soát đô thị loại II thành phố Quảng Ngãi và khu vực dự kiến các xã lên phường</v>
      </c>
      <c r="C35" s="312">
        <f>'Dự toán Chi tiết 2025'!L645</f>
        <v>500000000</v>
      </c>
      <c r="D35" s="312">
        <f>C35*10%</f>
        <v>50000000</v>
      </c>
      <c r="E35" s="312"/>
      <c r="F35" s="312">
        <f>C35-D35</f>
        <v>450000000</v>
      </c>
      <c r="G35" s="1347"/>
    </row>
    <row r="36" spans="1:8" ht="45" customHeight="1">
      <c r="A36" s="1480" t="s">
        <v>41</v>
      </c>
      <c r="B36" s="1481" t="str">
        <f>'Tài nguyên Môi trường V'!B33</f>
        <v>Kinh phí chỉnh lý tài liệu và số hoá tài liệu</v>
      </c>
      <c r="C36" s="312">
        <f>'Dự toán Chi tiết 2025'!L647</f>
        <v>500000000</v>
      </c>
      <c r="D36" s="312">
        <f>C36*10%</f>
        <v>50000000</v>
      </c>
      <c r="E36" s="312"/>
      <c r="F36" s="312">
        <f>C36-D36</f>
        <v>450000000</v>
      </c>
      <c r="G36" s="1347"/>
    </row>
    <row r="37" spans="1:8" ht="80.25" customHeight="1">
      <c r="A37" s="1480" t="s">
        <v>714</v>
      </c>
      <c r="B37" s="1481" t="str">
        <f>'Dự toán Chi tiết 2025'!B648</f>
        <v>Kinh phí thực hiện số hoá bản đồ, hồ sơ, tạo lập cơ sở dữ liệu hà tầng đô thị, quy hoạch đô thị trên ĐB TP trên nền bản đồ số.</v>
      </c>
      <c r="C37" s="312">
        <f>'Dự toán Chi tiết 2025'!L648</f>
        <v>400000000</v>
      </c>
      <c r="D37" s="312">
        <f>C37*10%</f>
        <v>40000000</v>
      </c>
      <c r="E37" s="312"/>
      <c r="F37" s="312">
        <f>C37-D37</f>
        <v>360000000</v>
      </c>
      <c r="G37" s="1347"/>
    </row>
  </sheetData>
  <mergeCells count="7">
    <mergeCell ref="A8:G8"/>
    <mergeCell ref="A1:D1"/>
    <mergeCell ref="A2:D2"/>
    <mergeCell ref="A4:G4"/>
    <mergeCell ref="A5:G5"/>
    <mergeCell ref="A6:G6"/>
    <mergeCell ref="A7:G7"/>
  </mergeCells>
  <pageMargins left="0.53" right="0.45" top="0.6" bottom="0.74803149606299213" header="0.31496062992125984" footer="0.31496062992125984"/>
  <pageSetup paperSize="9" scale="63" fitToHeight="0"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32"/>
  <sheetViews>
    <sheetView topLeftCell="A14" zoomScale="85" zoomScaleNormal="85" workbookViewId="0">
      <selection activeCell="I15" sqref="I15"/>
    </sheetView>
  </sheetViews>
  <sheetFormatPr defaultRowHeight="18.75"/>
  <cols>
    <col min="1" max="1" width="7.140625" style="2" customWidth="1"/>
    <col min="2" max="2" width="38.5703125" style="2" customWidth="1"/>
    <col min="3" max="3" width="19.28515625" style="2" customWidth="1"/>
    <col min="4" max="5" width="21.140625" style="2" customWidth="1"/>
    <col min="6" max="7" width="19.42578125" style="2" customWidth="1"/>
    <col min="8" max="8" width="20" style="2" customWidth="1"/>
    <col min="9" max="9" width="22.7109375" style="2" customWidth="1"/>
    <col min="10" max="261" width="9.140625" style="2"/>
    <col min="262" max="262" width="7.140625" style="2" customWidth="1"/>
    <col min="263" max="263" width="47.7109375" style="2" customWidth="1"/>
    <col min="264" max="264" width="19.28515625" style="2" customWidth="1"/>
    <col min="265" max="517" width="9.140625" style="2"/>
    <col min="518" max="518" width="7.140625" style="2" customWidth="1"/>
    <col min="519" max="519" width="47.7109375" style="2" customWidth="1"/>
    <col min="520" max="520" width="19.28515625" style="2" customWidth="1"/>
    <col min="521" max="773" width="9.140625" style="2"/>
    <col min="774" max="774" width="7.140625" style="2" customWidth="1"/>
    <col min="775" max="775" width="47.7109375" style="2" customWidth="1"/>
    <col min="776" max="776" width="19.28515625" style="2" customWidth="1"/>
    <col min="777" max="1029" width="9.140625" style="2"/>
    <col min="1030" max="1030" width="7.140625" style="2" customWidth="1"/>
    <col min="1031" max="1031" width="47.7109375" style="2" customWidth="1"/>
    <col min="1032" max="1032" width="19.28515625" style="2" customWidth="1"/>
    <col min="1033" max="1285" width="9.140625" style="2"/>
    <col min="1286" max="1286" width="7.140625" style="2" customWidth="1"/>
    <col min="1287" max="1287" width="47.7109375" style="2" customWidth="1"/>
    <col min="1288" max="1288" width="19.28515625" style="2" customWidth="1"/>
    <col min="1289" max="1541" width="9.140625" style="2"/>
    <col min="1542" max="1542" width="7.140625" style="2" customWidth="1"/>
    <col min="1543" max="1543" width="47.7109375" style="2" customWidth="1"/>
    <col min="1544" max="1544" width="19.28515625" style="2" customWidth="1"/>
    <col min="1545" max="1797" width="9.140625" style="2"/>
    <col min="1798" max="1798" width="7.140625" style="2" customWidth="1"/>
    <col min="1799" max="1799" width="47.7109375" style="2" customWidth="1"/>
    <col min="1800" max="1800" width="19.28515625" style="2" customWidth="1"/>
    <col min="1801" max="2053" width="9.140625" style="2"/>
    <col min="2054" max="2054" width="7.140625" style="2" customWidth="1"/>
    <col min="2055" max="2055" width="47.7109375" style="2" customWidth="1"/>
    <col min="2056" max="2056" width="19.28515625" style="2" customWidth="1"/>
    <col min="2057" max="2309" width="9.140625" style="2"/>
    <col min="2310" max="2310" width="7.140625" style="2" customWidth="1"/>
    <col min="2311" max="2311" width="47.7109375" style="2" customWidth="1"/>
    <col min="2312" max="2312" width="19.28515625" style="2" customWidth="1"/>
    <col min="2313" max="2565" width="9.140625" style="2"/>
    <col min="2566" max="2566" width="7.140625" style="2" customWidth="1"/>
    <col min="2567" max="2567" width="47.7109375" style="2" customWidth="1"/>
    <col min="2568" max="2568" width="19.28515625" style="2" customWidth="1"/>
    <col min="2569" max="2821" width="9.140625" style="2"/>
    <col min="2822" max="2822" width="7.140625" style="2" customWidth="1"/>
    <col min="2823" max="2823" width="47.7109375" style="2" customWidth="1"/>
    <col min="2824" max="2824" width="19.28515625" style="2" customWidth="1"/>
    <col min="2825" max="3077" width="9.140625" style="2"/>
    <col min="3078" max="3078" width="7.140625" style="2" customWidth="1"/>
    <col min="3079" max="3079" width="47.7109375" style="2" customWidth="1"/>
    <col min="3080" max="3080" width="19.28515625" style="2" customWidth="1"/>
    <col min="3081" max="3333" width="9.140625" style="2"/>
    <col min="3334" max="3334" width="7.140625" style="2" customWidth="1"/>
    <col min="3335" max="3335" width="47.7109375" style="2" customWidth="1"/>
    <col min="3336" max="3336" width="19.28515625" style="2" customWidth="1"/>
    <col min="3337" max="3589" width="9.140625" style="2"/>
    <col min="3590" max="3590" width="7.140625" style="2" customWidth="1"/>
    <col min="3591" max="3591" width="47.7109375" style="2" customWidth="1"/>
    <col min="3592" max="3592" width="19.28515625" style="2" customWidth="1"/>
    <col min="3593" max="3845" width="9.140625" style="2"/>
    <col min="3846" max="3846" width="7.140625" style="2" customWidth="1"/>
    <col min="3847" max="3847" width="47.7109375" style="2" customWidth="1"/>
    <col min="3848" max="3848" width="19.28515625" style="2" customWidth="1"/>
    <col min="3849" max="4101" width="9.140625" style="2"/>
    <col min="4102" max="4102" width="7.140625" style="2" customWidth="1"/>
    <col min="4103" max="4103" width="47.7109375" style="2" customWidth="1"/>
    <col min="4104" max="4104" width="19.28515625" style="2" customWidth="1"/>
    <col min="4105" max="4357" width="9.140625" style="2"/>
    <col min="4358" max="4358" width="7.140625" style="2" customWidth="1"/>
    <col min="4359" max="4359" width="47.7109375" style="2" customWidth="1"/>
    <col min="4360" max="4360" width="19.28515625" style="2" customWidth="1"/>
    <col min="4361" max="4613" width="9.140625" style="2"/>
    <col min="4614" max="4614" width="7.140625" style="2" customWidth="1"/>
    <col min="4615" max="4615" width="47.7109375" style="2" customWidth="1"/>
    <col min="4616" max="4616" width="19.28515625" style="2" customWidth="1"/>
    <col min="4617" max="4869" width="9.140625" style="2"/>
    <col min="4870" max="4870" width="7.140625" style="2" customWidth="1"/>
    <col min="4871" max="4871" width="47.7109375" style="2" customWidth="1"/>
    <col min="4872" max="4872" width="19.28515625" style="2" customWidth="1"/>
    <col min="4873" max="5125" width="9.140625" style="2"/>
    <col min="5126" max="5126" width="7.140625" style="2" customWidth="1"/>
    <col min="5127" max="5127" width="47.7109375" style="2" customWidth="1"/>
    <col min="5128" max="5128" width="19.28515625" style="2" customWidth="1"/>
    <col min="5129" max="5381" width="9.140625" style="2"/>
    <col min="5382" max="5382" width="7.140625" style="2" customWidth="1"/>
    <col min="5383" max="5383" width="47.7109375" style="2" customWidth="1"/>
    <col min="5384" max="5384" width="19.28515625" style="2" customWidth="1"/>
    <col min="5385" max="5637" width="9.140625" style="2"/>
    <col min="5638" max="5638" width="7.140625" style="2" customWidth="1"/>
    <col min="5639" max="5639" width="47.7109375" style="2" customWidth="1"/>
    <col min="5640" max="5640" width="19.28515625" style="2" customWidth="1"/>
    <col min="5641" max="5893" width="9.140625" style="2"/>
    <col min="5894" max="5894" width="7.140625" style="2" customWidth="1"/>
    <col min="5895" max="5895" width="47.7109375" style="2" customWidth="1"/>
    <col min="5896" max="5896" width="19.28515625" style="2" customWidth="1"/>
    <col min="5897" max="6149" width="9.140625" style="2"/>
    <col min="6150" max="6150" width="7.140625" style="2" customWidth="1"/>
    <col min="6151" max="6151" width="47.7109375" style="2" customWidth="1"/>
    <col min="6152" max="6152" width="19.28515625" style="2" customWidth="1"/>
    <col min="6153" max="6405" width="9.140625" style="2"/>
    <col min="6406" max="6406" width="7.140625" style="2" customWidth="1"/>
    <col min="6407" max="6407" width="47.7109375" style="2" customWidth="1"/>
    <col min="6408" max="6408" width="19.28515625" style="2" customWidth="1"/>
    <col min="6409" max="6661" width="9.140625" style="2"/>
    <col min="6662" max="6662" width="7.140625" style="2" customWidth="1"/>
    <col min="6663" max="6663" width="47.7109375" style="2" customWidth="1"/>
    <col min="6664" max="6664" width="19.28515625" style="2" customWidth="1"/>
    <col min="6665" max="6917" width="9.140625" style="2"/>
    <col min="6918" max="6918" width="7.140625" style="2" customWidth="1"/>
    <col min="6919" max="6919" width="47.7109375" style="2" customWidth="1"/>
    <col min="6920" max="6920" width="19.28515625" style="2" customWidth="1"/>
    <col min="6921" max="7173" width="9.140625" style="2"/>
    <col min="7174" max="7174" width="7.140625" style="2" customWidth="1"/>
    <col min="7175" max="7175" width="47.7109375" style="2" customWidth="1"/>
    <col min="7176" max="7176" width="19.28515625" style="2" customWidth="1"/>
    <col min="7177" max="7429" width="9.140625" style="2"/>
    <col min="7430" max="7430" width="7.140625" style="2" customWidth="1"/>
    <col min="7431" max="7431" width="47.7109375" style="2" customWidth="1"/>
    <col min="7432" max="7432" width="19.28515625" style="2" customWidth="1"/>
    <col min="7433" max="7685" width="9.140625" style="2"/>
    <col min="7686" max="7686" width="7.140625" style="2" customWidth="1"/>
    <col min="7687" max="7687" width="47.7109375" style="2" customWidth="1"/>
    <col min="7688" max="7688" width="19.28515625" style="2" customWidth="1"/>
    <col min="7689" max="7941" width="9.140625" style="2"/>
    <col min="7942" max="7942" width="7.140625" style="2" customWidth="1"/>
    <col min="7943" max="7943" width="47.7109375" style="2" customWidth="1"/>
    <col min="7944" max="7944" width="19.28515625" style="2" customWidth="1"/>
    <col min="7945" max="8197" width="9.140625" style="2"/>
    <col min="8198" max="8198" width="7.140625" style="2" customWidth="1"/>
    <col min="8199" max="8199" width="47.7109375" style="2" customWidth="1"/>
    <col min="8200" max="8200" width="19.28515625" style="2" customWidth="1"/>
    <col min="8201" max="8453" width="9.140625" style="2"/>
    <col min="8454" max="8454" width="7.140625" style="2" customWidth="1"/>
    <col min="8455" max="8455" width="47.7109375" style="2" customWidth="1"/>
    <col min="8456" max="8456" width="19.28515625" style="2" customWidth="1"/>
    <col min="8457" max="8709" width="9.140625" style="2"/>
    <col min="8710" max="8710" width="7.140625" style="2" customWidth="1"/>
    <col min="8711" max="8711" width="47.7109375" style="2" customWidth="1"/>
    <col min="8712" max="8712" width="19.28515625" style="2" customWidth="1"/>
    <col min="8713" max="8965" width="9.140625" style="2"/>
    <col min="8966" max="8966" width="7.140625" style="2" customWidth="1"/>
    <col min="8967" max="8967" width="47.7109375" style="2" customWidth="1"/>
    <col min="8968" max="8968" width="19.28515625" style="2" customWidth="1"/>
    <col min="8969" max="9221" width="9.140625" style="2"/>
    <col min="9222" max="9222" width="7.140625" style="2" customWidth="1"/>
    <col min="9223" max="9223" width="47.7109375" style="2" customWidth="1"/>
    <col min="9224" max="9224" width="19.28515625" style="2" customWidth="1"/>
    <col min="9225" max="9477" width="9.140625" style="2"/>
    <col min="9478" max="9478" width="7.140625" style="2" customWidth="1"/>
    <col min="9479" max="9479" width="47.7109375" style="2" customWidth="1"/>
    <col min="9480" max="9480" width="19.28515625" style="2" customWidth="1"/>
    <col min="9481" max="9733" width="9.140625" style="2"/>
    <col min="9734" max="9734" width="7.140625" style="2" customWidth="1"/>
    <col min="9735" max="9735" width="47.7109375" style="2" customWidth="1"/>
    <col min="9736" max="9736" width="19.28515625" style="2" customWidth="1"/>
    <col min="9737" max="9989" width="9.140625" style="2"/>
    <col min="9990" max="9990" width="7.140625" style="2" customWidth="1"/>
    <col min="9991" max="9991" width="47.7109375" style="2" customWidth="1"/>
    <col min="9992" max="9992" width="19.28515625" style="2" customWidth="1"/>
    <col min="9993" max="10245" width="9.140625" style="2"/>
    <col min="10246" max="10246" width="7.140625" style="2" customWidth="1"/>
    <col min="10247" max="10247" width="47.7109375" style="2" customWidth="1"/>
    <col min="10248" max="10248" width="19.28515625" style="2" customWidth="1"/>
    <col min="10249" max="10501" width="9.140625" style="2"/>
    <col min="10502" max="10502" width="7.140625" style="2" customWidth="1"/>
    <col min="10503" max="10503" width="47.7109375" style="2" customWidth="1"/>
    <col min="10504" max="10504" width="19.28515625" style="2" customWidth="1"/>
    <col min="10505" max="10757" width="9.140625" style="2"/>
    <col min="10758" max="10758" width="7.140625" style="2" customWidth="1"/>
    <col min="10759" max="10759" width="47.7109375" style="2" customWidth="1"/>
    <col min="10760" max="10760" width="19.28515625" style="2" customWidth="1"/>
    <col min="10761" max="11013" width="9.140625" style="2"/>
    <col min="11014" max="11014" width="7.140625" style="2" customWidth="1"/>
    <col min="11015" max="11015" width="47.7109375" style="2" customWidth="1"/>
    <col min="11016" max="11016" width="19.28515625" style="2" customWidth="1"/>
    <col min="11017" max="11269" width="9.140625" style="2"/>
    <col min="11270" max="11270" width="7.140625" style="2" customWidth="1"/>
    <col min="11271" max="11271" width="47.7109375" style="2" customWidth="1"/>
    <col min="11272" max="11272" width="19.28515625" style="2" customWidth="1"/>
    <col min="11273" max="11525" width="9.140625" style="2"/>
    <col min="11526" max="11526" width="7.140625" style="2" customWidth="1"/>
    <col min="11527" max="11527" width="47.7109375" style="2" customWidth="1"/>
    <col min="11528" max="11528" width="19.28515625" style="2" customWidth="1"/>
    <col min="11529" max="11781" width="9.140625" style="2"/>
    <col min="11782" max="11782" width="7.140625" style="2" customWidth="1"/>
    <col min="11783" max="11783" width="47.7109375" style="2" customWidth="1"/>
    <col min="11784" max="11784" width="19.28515625" style="2" customWidth="1"/>
    <col min="11785" max="12037" width="9.140625" style="2"/>
    <col min="12038" max="12038" width="7.140625" style="2" customWidth="1"/>
    <col min="12039" max="12039" width="47.7109375" style="2" customWidth="1"/>
    <col min="12040" max="12040" width="19.28515625" style="2" customWidth="1"/>
    <col min="12041" max="12293" width="9.140625" style="2"/>
    <col min="12294" max="12294" width="7.140625" style="2" customWidth="1"/>
    <col min="12295" max="12295" width="47.7109375" style="2" customWidth="1"/>
    <col min="12296" max="12296" width="19.28515625" style="2" customWidth="1"/>
    <col min="12297" max="12549" width="9.140625" style="2"/>
    <col min="12550" max="12550" width="7.140625" style="2" customWidth="1"/>
    <col min="12551" max="12551" width="47.7109375" style="2" customWidth="1"/>
    <col min="12552" max="12552" width="19.28515625" style="2" customWidth="1"/>
    <col min="12553" max="12805" width="9.140625" style="2"/>
    <col min="12806" max="12806" width="7.140625" style="2" customWidth="1"/>
    <col min="12807" max="12807" width="47.7109375" style="2" customWidth="1"/>
    <col min="12808" max="12808" width="19.28515625" style="2" customWidth="1"/>
    <col min="12809" max="13061" width="9.140625" style="2"/>
    <col min="13062" max="13062" width="7.140625" style="2" customWidth="1"/>
    <col min="13063" max="13063" width="47.7109375" style="2" customWidth="1"/>
    <col min="13064" max="13064" width="19.28515625" style="2" customWidth="1"/>
    <col min="13065" max="13317" width="9.140625" style="2"/>
    <col min="13318" max="13318" width="7.140625" style="2" customWidth="1"/>
    <col min="13319" max="13319" width="47.7109375" style="2" customWidth="1"/>
    <col min="13320" max="13320" width="19.28515625" style="2" customWidth="1"/>
    <col min="13321" max="13573" width="9.140625" style="2"/>
    <col min="13574" max="13574" width="7.140625" style="2" customWidth="1"/>
    <col min="13575" max="13575" width="47.7109375" style="2" customWidth="1"/>
    <col min="13576" max="13576" width="19.28515625" style="2" customWidth="1"/>
    <col min="13577" max="13829" width="9.140625" style="2"/>
    <col min="13830" max="13830" width="7.140625" style="2" customWidth="1"/>
    <col min="13831" max="13831" width="47.7109375" style="2" customWidth="1"/>
    <col min="13832" max="13832" width="19.28515625" style="2" customWidth="1"/>
    <col min="13833" max="14085" width="9.140625" style="2"/>
    <col min="14086" max="14086" width="7.140625" style="2" customWidth="1"/>
    <col min="14087" max="14087" width="47.7109375" style="2" customWidth="1"/>
    <col min="14088" max="14088" width="19.28515625" style="2" customWidth="1"/>
    <col min="14089" max="14341" width="9.140625" style="2"/>
    <col min="14342" max="14342" width="7.140625" style="2" customWidth="1"/>
    <col min="14343" max="14343" width="47.7109375" style="2" customWidth="1"/>
    <col min="14344" max="14344" width="19.28515625" style="2" customWidth="1"/>
    <col min="14345" max="14597" width="9.140625" style="2"/>
    <col min="14598" max="14598" width="7.140625" style="2" customWidth="1"/>
    <col min="14599" max="14599" width="47.7109375" style="2" customWidth="1"/>
    <col min="14600" max="14600" width="19.28515625" style="2" customWidth="1"/>
    <col min="14601" max="14853" width="9.140625" style="2"/>
    <col min="14854" max="14854" width="7.140625" style="2" customWidth="1"/>
    <col min="14855" max="14855" width="47.7109375" style="2" customWidth="1"/>
    <col min="14856" max="14856" width="19.28515625" style="2" customWidth="1"/>
    <col min="14857" max="15109" width="9.140625" style="2"/>
    <col min="15110" max="15110" width="7.140625" style="2" customWidth="1"/>
    <col min="15111" max="15111" width="47.7109375" style="2" customWidth="1"/>
    <col min="15112" max="15112" width="19.28515625" style="2" customWidth="1"/>
    <col min="15113" max="15365" width="9.140625" style="2"/>
    <col min="15366" max="15366" width="7.140625" style="2" customWidth="1"/>
    <col min="15367" max="15367" width="47.7109375" style="2" customWidth="1"/>
    <col min="15368" max="15368" width="19.28515625" style="2" customWidth="1"/>
    <col min="15369" max="15621" width="9.140625" style="2"/>
    <col min="15622" max="15622" width="7.140625" style="2" customWidth="1"/>
    <col min="15623" max="15623" width="47.7109375" style="2" customWidth="1"/>
    <col min="15624" max="15624" width="19.28515625" style="2" customWidth="1"/>
    <col min="15625" max="15877" width="9.140625" style="2"/>
    <col min="15878" max="15878" width="7.140625" style="2" customWidth="1"/>
    <col min="15879" max="15879" width="47.7109375" style="2" customWidth="1"/>
    <col min="15880" max="15880" width="19.28515625" style="2" customWidth="1"/>
    <col min="15881" max="16133" width="9.140625" style="2"/>
    <col min="16134" max="16134" width="7.140625" style="2" customWidth="1"/>
    <col min="16135" max="16135" width="47.7109375" style="2" customWidth="1"/>
    <col min="16136" max="16136" width="19.28515625" style="2" customWidth="1"/>
    <col min="16137" max="16384" width="9.140625" style="2"/>
  </cols>
  <sheetData>
    <row r="1" spans="1:11">
      <c r="A1" s="1838" t="s">
        <v>635</v>
      </c>
      <c r="B1" s="1838"/>
      <c r="C1" s="1838"/>
      <c r="H1" s="3"/>
    </row>
    <row r="2" spans="1:11">
      <c r="A2" s="1798" t="s">
        <v>636</v>
      </c>
      <c r="B2" s="1798"/>
      <c r="C2" s="1798"/>
      <c r="D2" s="4"/>
      <c r="E2" s="4"/>
      <c r="F2" s="4"/>
      <c r="G2" s="4"/>
    </row>
    <row r="3" spans="1:11">
      <c r="A3" s="1842" t="s">
        <v>2063</v>
      </c>
      <c r="B3" s="1842"/>
      <c r="C3" s="1842"/>
      <c r="D3" s="1842"/>
      <c r="E3" s="1842"/>
      <c r="F3" s="1842"/>
      <c r="G3" s="1842"/>
      <c r="H3" s="1842"/>
      <c r="I3" s="1640"/>
      <c r="J3" s="1640"/>
      <c r="K3" s="1640"/>
    </row>
    <row r="4" spans="1:11" hidden="1">
      <c r="A4" s="1798" t="str">
        <f>'TTDVNN V '!A4:G4</f>
        <v>DỰ TOÁN THU, CHI NGÂN SÁCH NHÀ NƯỚC NĂM 2025</v>
      </c>
      <c r="B4" s="1798"/>
      <c r="C4" s="1798"/>
      <c r="D4" s="1798"/>
      <c r="E4" s="1798"/>
      <c r="F4" s="1798"/>
      <c r="G4" s="1798"/>
      <c r="H4" s="1798"/>
    </row>
    <row r="5" spans="1:11">
      <c r="A5" s="1798" t="s">
        <v>637</v>
      </c>
      <c r="B5" s="1798"/>
      <c r="C5" s="1798"/>
      <c r="D5" s="1798"/>
      <c r="E5" s="1798"/>
      <c r="F5" s="1798"/>
      <c r="G5" s="1798"/>
      <c r="H5" s="1798"/>
    </row>
    <row r="6" spans="1:11">
      <c r="A6" s="1798" t="s">
        <v>638</v>
      </c>
      <c r="B6" s="1798"/>
      <c r="C6" s="1798"/>
      <c r="D6" s="1798"/>
      <c r="E6" s="1798"/>
      <c r="F6" s="1798"/>
      <c r="G6" s="1798"/>
      <c r="H6" s="1798"/>
    </row>
    <row r="7" spans="1:11">
      <c r="A7" s="1798" t="s">
        <v>17</v>
      </c>
      <c r="B7" s="1798"/>
      <c r="C7" s="1798"/>
      <c r="D7" s="1798"/>
      <c r="E7" s="1798"/>
      <c r="F7" s="1798"/>
      <c r="G7" s="1798"/>
      <c r="H7" s="1798"/>
    </row>
    <row r="8" spans="1:11">
      <c r="A8" s="1799"/>
      <c r="B8" s="1799"/>
      <c r="C8" s="1799"/>
      <c r="D8" s="1799"/>
      <c r="E8" s="1799"/>
      <c r="F8" s="1799"/>
      <c r="G8" s="1799"/>
      <c r="H8" s="1799"/>
    </row>
    <row r="9" spans="1:11">
      <c r="H9" s="6" t="s">
        <v>43</v>
      </c>
    </row>
    <row r="10" spans="1:11"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290" t="s">
        <v>2056</v>
      </c>
      <c r="H10" s="7" t="s">
        <v>19</v>
      </c>
    </row>
    <row r="11" spans="1:11">
      <c r="A11" s="8" t="s">
        <v>20</v>
      </c>
      <c r="B11" s="8" t="s">
        <v>21</v>
      </c>
      <c r="C11" s="8" t="s">
        <v>22</v>
      </c>
      <c r="D11" s="8" t="s">
        <v>23</v>
      </c>
      <c r="E11" s="8" t="str">
        <f>'TTDVNN V '!E12</f>
        <v>(5)</v>
      </c>
      <c r="F11" s="8" t="str">
        <f>'TTDVNN V '!F12</f>
        <v>(6)=(3)-(4)+(5)</v>
      </c>
      <c r="G11" s="8" t="s">
        <v>25</v>
      </c>
      <c r="H11" s="8" t="s">
        <v>1287</v>
      </c>
    </row>
    <row r="12" spans="1:11" ht="37.5">
      <c r="A12" s="7" t="s">
        <v>2</v>
      </c>
      <c r="B12" s="9" t="s">
        <v>3</v>
      </c>
      <c r="C12" s="10">
        <f>C13</f>
        <v>150000000</v>
      </c>
      <c r="D12" s="10"/>
      <c r="E12" s="10"/>
      <c r="F12" s="10"/>
      <c r="G12" s="10"/>
      <c r="H12" s="11"/>
    </row>
    <row r="13" spans="1:11">
      <c r="A13" s="17">
        <v>1</v>
      </c>
      <c r="B13" s="18" t="s">
        <v>4</v>
      </c>
      <c r="C13" s="19">
        <v>150000000</v>
      </c>
      <c r="D13" s="19"/>
      <c r="E13" s="19"/>
      <c r="F13" s="19"/>
      <c r="G13" s="19"/>
      <c r="H13" s="11"/>
    </row>
    <row r="14" spans="1:11">
      <c r="A14" s="17">
        <v>2</v>
      </c>
      <c r="B14" s="18" t="s">
        <v>7</v>
      </c>
      <c r="C14" s="19"/>
      <c r="D14" s="19">
        <f>C14*40%</f>
        <v>0</v>
      </c>
      <c r="E14" s="19"/>
      <c r="F14" s="19">
        <f>C14-D14</f>
        <v>0</v>
      </c>
      <c r="G14" s="19"/>
      <c r="H14" s="11"/>
    </row>
    <row r="15" spans="1:11" ht="37.5">
      <c r="A15" s="7" t="s">
        <v>12</v>
      </c>
      <c r="B15" s="9" t="s">
        <v>84</v>
      </c>
      <c r="C15" s="10">
        <f>C16</f>
        <v>4217200000</v>
      </c>
      <c r="D15" s="10">
        <f>D16</f>
        <v>217800000</v>
      </c>
      <c r="E15" s="10">
        <f>E16</f>
        <v>217800000</v>
      </c>
      <c r="F15" s="10">
        <f>F16</f>
        <v>4217200000</v>
      </c>
      <c r="G15" s="10">
        <f>G16</f>
        <v>424765605</v>
      </c>
      <c r="H15" s="11"/>
      <c r="I15" s="240">
        <f>F15-G15</f>
        <v>3792434395</v>
      </c>
    </row>
    <row r="16" spans="1:11">
      <c r="A16" s="7"/>
      <c r="B16" s="9" t="s">
        <v>121</v>
      </c>
      <c r="C16" s="10">
        <f>C17+C21</f>
        <v>4217200000</v>
      </c>
      <c r="D16" s="10">
        <f>D17+D21</f>
        <v>217800000</v>
      </c>
      <c r="E16" s="10">
        <f>E17+E21</f>
        <v>217800000</v>
      </c>
      <c r="F16" s="10">
        <f>F17+F21</f>
        <v>4217200000</v>
      </c>
      <c r="G16" s="10">
        <f>G17+G21</f>
        <v>424765605</v>
      </c>
      <c r="H16" s="11"/>
    </row>
    <row r="17" spans="1:8" s="16" customFormat="1" ht="39">
      <c r="A17" s="12">
        <v>1</v>
      </c>
      <c r="B17" s="13" t="s">
        <v>9</v>
      </c>
      <c r="C17" s="14">
        <f>SUM(C18:C20)</f>
        <v>2344200000</v>
      </c>
      <c r="D17" s="14">
        <f>SUM(D18:D20)</f>
        <v>37800000</v>
      </c>
      <c r="E17" s="14">
        <f>SUM(E18:E20)</f>
        <v>217800000</v>
      </c>
      <c r="F17" s="14">
        <f>SUM(F18:F20)</f>
        <v>2524200000</v>
      </c>
      <c r="G17" s="14">
        <f>SUM(G18:G20)</f>
        <v>421765605</v>
      </c>
      <c r="H17" s="15"/>
    </row>
    <row r="18" spans="1:8" ht="37.5">
      <c r="A18" s="17" t="s">
        <v>5</v>
      </c>
      <c r="B18" s="18" t="s">
        <v>26</v>
      </c>
      <c r="C18" s="19">
        <f>'Dự toán Chi tiết 2025'!L633</f>
        <v>1392000000</v>
      </c>
      <c r="D18" s="19"/>
      <c r="E18" s="19"/>
      <c r="F18" s="19">
        <f>C18-D18+E18</f>
        <v>1392000000</v>
      </c>
      <c r="G18" s="19">
        <f>'[16]PHONG QLĐT'!$G$17</f>
        <v>299709575</v>
      </c>
      <c r="H18" s="11"/>
    </row>
    <row r="19" spans="1:8" ht="37.5">
      <c r="A19" s="17" t="s">
        <v>6</v>
      </c>
      <c r="B19" s="18" t="str">
        <f>'TTDVNN V '!B18</f>
        <v>Kinh phí thực hiện cải cách tiền lương</v>
      </c>
      <c r="C19" s="19">
        <f>'Dự toán Chi tiết 2025'!L635</f>
        <v>574200000</v>
      </c>
      <c r="D19" s="19"/>
      <c r="E19" s="19">
        <f>D15</f>
        <v>217800000</v>
      </c>
      <c r="F19" s="19">
        <f>C19-D19+E19</f>
        <v>792000000</v>
      </c>
      <c r="G19" s="19">
        <f>'[16]PHONG QLĐT'!$G$18</f>
        <v>68042375</v>
      </c>
      <c r="H19" s="11"/>
    </row>
    <row r="20" spans="1:8" ht="37.5">
      <c r="A20" s="17" t="s">
        <v>157</v>
      </c>
      <c r="B20" s="18" t="s">
        <v>27</v>
      </c>
      <c r="C20" s="19">
        <f>'Dự toán Chi tiết 2025'!L636</f>
        <v>378000000</v>
      </c>
      <c r="D20" s="19">
        <f>C20*10%</f>
        <v>37800000</v>
      </c>
      <c r="E20" s="19"/>
      <c r="F20" s="19">
        <f>C20-D20+E20</f>
        <v>340200000</v>
      </c>
      <c r="G20" s="19">
        <f>'[16]PHONG QLĐT'!$G$19</f>
        <v>54013655</v>
      </c>
      <c r="H20" s="11"/>
    </row>
    <row r="21" spans="1:8" s="16" customFormat="1" ht="39">
      <c r="A21" s="12">
        <v>2</v>
      </c>
      <c r="B21" s="13" t="str">
        <f>'TCKH V '!B21</f>
        <v>Kinh phí nhiệm vụ không thường xuyên</v>
      </c>
      <c r="C21" s="14">
        <f>SUM(C22:C32)</f>
        <v>1873000000</v>
      </c>
      <c r="D21" s="14">
        <f>SUM(D22:D32)</f>
        <v>180000000</v>
      </c>
      <c r="E21" s="14"/>
      <c r="F21" s="14">
        <f>SUM(F22:F32)</f>
        <v>1693000000</v>
      </c>
      <c r="G21" s="14">
        <f>SUM(G22:G32)</f>
        <v>3000000</v>
      </c>
      <c r="H21" s="15"/>
    </row>
    <row r="22" spans="1:8">
      <c r="A22" s="17" t="s">
        <v>8</v>
      </c>
      <c r="B22" s="18" t="s">
        <v>399</v>
      </c>
      <c r="C22" s="19">
        <f>'Dự toán Chi tiết 2025'!L638</f>
        <v>36000000</v>
      </c>
      <c r="D22" s="19"/>
      <c r="E22" s="19"/>
      <c r="F22" s="19">
        <f t="shared" ref="F22:F32" si="0">C22-D22</f>
        <v>36000000</v>
      </c>
      <c r="G22" s="19">
        <f>'[16]PHONG QLĐT'!$G$21</f>
        <v>3000000</v>
      </c>
      <c r="H22" s="11"/>
    </row>
    <row r="23" spans="1:8">
      <c r="A23" s="17" t="s">
        <v>11</v>
      </c>
      <c r="B23" s="18" t="s">
        <v>400</v>
      </c>
      <c r="C23" s="19">
        <f>'Dự toán Chi tiết 2025'!L639</f>
        <v>18100000</v>
      </c>
      <c r="D23" s="19"/>
      <c r="E23" s="19"/>
      <c r="F23" s="19">
        <f t="shared" si="0"/>
        <v>18100000</v>
      </c>
      <c r="G23" s="19"/>
      <c r="H23" s="11"/>
    </row>
    <row r="24" spans="1:8" ht="75">
      <c r="A24" s="17" t="s">
        <v>13</v>
      </c>
      <c r="B24" s="18" t="s">
        <v>2005</v>
      </c>
      <c r="C24" s="19">
        <f>'Dự toán Chi tiết 2025'!L641</f>
        <v>145000000</v>
      </c>
      <c r="D24" s="19">
        <f>C24*10%</f>
        <v>14500000</v>
      </c>
      <c r="E24" s="19"/>
      <c r="F24" s="19">
        <f t="shared" si="0"/>
        <v>130500000</v>
      </c>
      <c r="G24" s="19"/>
      <c r="H24" s="20"/>
    </row>
    <row r="25" spans="1:8" hidden="1">
      <c r="A25" s="17" t="s">
        <v>28</v>
      </c>
      <c r="B25" s="18" t="s">
        <v>1085</v>
      </c>
      <c r="C25" s="19">
        <f>'Dự toán Chi tiết 2025'!L642</f>
        <v>0</v>
      </c>
      <c r="D25" s="19">
        <f>C25*10%</f>
        <v>0</v>
      </c>
      <c r="E25" s="19"/>
      <c r="F25" s="19">
        <f t="shared" si="0"/>
        <v>0</v>
      </c>
      <c r="G25" s="19"/>
      <c r="H25" s="20"/>
    </row>
    <row r="26" spans="1:8">
      <c r="A26" s="17" t="s">
        <v>28</v>
      </c>
      <c r="B26" s="18" t="str">
        <f>'Dự toán Chi tiết 2025'!B640</f>
        <v>Kinh phí tổ chức Đại hội Chi bộ</v>
      </c>
      <c r="C26" s="19">
        <f>'Dự toán Chi tiết 2025'!L640</f>
        <v>18900000</v>
      </c>
      <c r="D26" s="19"/>
      <c r="E26" s="19"/>
      <c r="F26" s="19">
        <f t="shared" si="0"/>
        <v>18900000</v>
      </c>
      <c r="G26" s="19"/>
      <c r="H26" s="20"/>
    </row>
    <row r="27" spans="1:8" ht="52.5" customHeight="1">
      <c r="A27" s="17" t="s">
        <v>29</v>
      </c>
      <c r="B27" s="18" t="str">
        <f>'Dự toán Chi tiết 2025'!B645</f>
        <v>Báo cáo đánh giá, rà soát đô thị loại II thành phố Quảng Ngãi và khu vực dự kiến các xã lên phường</v>
      </c>
      <c r="C27" s="19">
        <f>'Dự toán Chi tiết 2025'!L645</f>
        <v>500000000</v>
      </c>
      <c r="D27" s="19">
        <f>C27*10%</f>
        <v>50000000</v>
      </c>
      <c r="E27" s="19"/>
      <c r="F27" s="19">
        <f t="shared" si="0"/>
        <v>450000000</v>
      </c>
      <c r="G27" s="19"/>
      <c r="H27" s="20"/>
    </row>
    <row r="28" spans="1:8">
      <c r="A28" s="17" t="s">
        <v>30</v>
      </c>
      <c r="B28" s="20" t="str">
        <f>'Dự toán Chi tiết 2025'!B646</f>
        <v>Kinh phí TTB màn hình ti vi</v>
      </c>
      <c r="C28" s="19">
        <v>25000000</v>
      </c>
      <c r="D28" s="19">
        <f t="shared" ref="D28:D32" si="1">C28*10%</f>
        <v>2500000</v>
      </c>
      <c r="E28" s="19"/>
      <c r="F28" s="19">
        <f t="shared" si="0"/>
        <v>22500000</v>
      </c>
      <c r="G28" s="19"/>
      <c r="H28" s="20"/>
    </row>
    <row r="29" spans="1:8" ht="45" customHeight="1">
      <c r="A29" s="17" t="s">
        <v>31</v>
      </c>
      <c r="B29" s="18" t="str">
        <f>'Tài nguyên Môi trường V'!B33</f>
        <v>Kinh phí chỉnh lý tài liệu và số hoá tài liệu</v>
      </c>
      <c r="C29" s="19">
        <f>'Dự toán Chi tiết 2025'!L647</f>
        <v>500000000</v>
      </c>
      <c r="D29" s="19">
        <f t="shared" si="1"/>
        <v>50000000</v>
      </c>
      <c r="E29" s="19"/>
      <c r="F29" s="19">
        <f t="shared" si="0"/>
        <v>450000000</v>
      </c>
      <c r="G29" s="19"/>
      <c r="H29" s="20"/>
    </row>
    <row r="30" spans="1:8" ht="80.25" customHeight="1">
      <c r="A30" s="17" t="s">
        <v>32</v>
      </c>
      <c r="B30" s="18" t="str">
        <f>'Dự toán Chi tiết 2025'!B648</f>
        <v>Kinh phí thực hiện số hoá bản đồ, hồ sơ, tạo lập cơ sở dữ liệu hà tầng đô thị, quy hoạch đô thị trên ĐB TP trên nền bản đồ số.</v>
      </c>
      <c r="C30" s="19">
        <f>'Dự toán Chi tiết 2025'!L648</f>
        <v>400000000</v>
      </c>
      <c r="D30" s="19">
        <f t="shared" si="1"/>
        <v>40000000</v>
      </c>
      <c r="E30" s="19"/>
      <c r="F30" s="19">
        <f t="shared" si="0"/>
        <v>360000000</v>
      </c>
      <c r="G30" s="19"/>
      <c r="H30" s="20"/>
    </row>
    <row r="31" spans="1:8" ht="56.25">
      <c r="A31" s="17" t="s">
        <v>38</v>
      </c>
      <c r="B31" s="18" t="s">
        <v>1086</v>
      </c>
      <c r="C31" s="19">
        <f>'Dự toán Chi tiết 2025'!L643</f>
        <v>180000000</v>
      </c>
      <c r="D31" s="19">
        <f t="shared" si="1"/>
        <v>18000000</v>
      </c>
      <c r="E31" s="19"/>
      <c r="F31" s="19">
        <f t="shared" si="0"/>
        <v>162000000</v>
      </c>
      <c r="G31" s="19"/>
      <c r="H31" s="11"/>
    </row>
    <row r="32" spans="1:8" ht="37.5">
      <c r="A32" s="17" t="s">
        <v>39</v>
      </c>
      <c r="B32" s="18" t="str">
        <f>'Dự toán Chi tiết 2025'!B649</f>
        <v>Kinh phí lập hồ sơ các tuyến đường trên địa bàn thành phố</v>
      </c>
      <c r="C32" s="19">
        <f>'Dự toán Chi tiết 2025'!L649</f>
        <v>50000000</v>
      </c>
      <c r="D32" s="19">
        <f t="shared" si="1"/>
        <v>5000000</v>
      </c>
      <c r="E32" s="19"/>
      <c r="F32" s="19">
        <f t="shared" si="0"/>
        <v>45000000</v>
      </c>
      <c r="G32" s="19"/>
      <c r="H32" s="20"/>
    </row>
  </sheetData>
  <mergeCells count="8">
    <mergeCell ref="A8:H8"/>
    <mergeCell ref="A3:H3"/>
    <mergeCell ref="A1:C1"/>
    <mergeCell ref="A2:C2"/>
    <mergeCell ref="A4:H4"/>
    <mergeCell ref="A5:H5"/>
    <mergeCell ref="A6:H6"/>
    <mergeCell ref="A7:H7"/>
  </mergeCells>
  <pageMargins left="0.53" right="0.45" top="0.6" bottom="0.74803149606299213" header="0.31496062992125984" footer="0.31496062992125984"/>
  <pageSetup paperSize="9" scale="63" fitToHeight="0"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32"/>
  <sheetViews>
    <sheetView topLeftCell="A16" zoomScale="85" zoomScaleNormal="85" workbookViewId="0">
      <selection activeCell="A26" sqref="A26:XFD26"/>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22.7109375" style="2" customWidth="1"/>
    <col min="9"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8">
      <c r="A1" s="1838" t="s">
        <v>635</v>
      </c>
      <c r="B1" s="1838"/>
      <c r="C1" s="1838"/>
      <c r="G1" s="3"/>
    </row>
    <row r="2" spans="1:8">
      <c r="A2" s="1798" t="s">
        <v>636</v>
      </c>
      <c r="B2" s="1798"/>
      <c r="C2" s="1798"/>
      <c r="D2" s="4"/>
      <c r="E2" s="4"/>
      <c r="F2" s="4"/>
    </row>
    <row r="3" spans="1:8">
      <c r="A3" s="5"/>
    </row>
    <row r="4" spans="1:8">
      <c r="A4" s="1798" t="str">
        <f>'TTDVNN V '!A4:G4</f>
        <v>DỰ TOÁN THU, CHI NGÂN SÁCH NHÀ NƯỚC NĂM 2025</v>
      </c>
      <c r="B4" s="1798"/>
      <c r="C4" s="1798"/>
      <c r="D4" s="1798"/>
      <c r="E4" s="1798"/>
      <c r="F4" s="1798"/>
      <c r="G4" s="1798"/>
    </row>
    <row r="5" spans="1:8">
      <c r="A5" s="1798" t="s">
        <v>637</v>
      </c>
      <c r="B5" s="1798"/>
      <c r="C5" s="1798"/>
      <c r="D5" s="1798"/>
      <c r="E5" s="1798"/>
      <c r="F5" s="1798"/>
      <c r="G5" s="1798"/>
    </row>
    <row r="6" spans="1:8">
      <c r="A6" s="1798" t="s">
        <v>638</v>
      </c>
      <c r="B6" s="1798"/>
      <c r="C6" s="1798"/>
      <c r="D6" s="1798"/>
      <c r="E6" s="1798"/>
      <c r="F6" s="1798"/>
      <c r="G6" s="1798"/>
    </row>
    <row r="7" spans="1:8">
      <c r="A7" s="1798" t="s">
        <v>17</v>
      </c>
      <c r="B7" s="1798"/>
      <c r="C7" s="1798"/>
      <c r="D7" s="1798"/>
      <c r="E7" s="1798"/>
      <c r="F7" s="1798"/>
      <c r="G7" s="1798"/>
    </row>
    <row r="8" spans="1:8">
      <c r="A8" s="1799">
        <f>'TTDVNN V '!A8:G8</f>
        <v>0</v>
      </c>
      <c r="B8" s="1799"/>
      <c r="C8" s="1799"/>
      <c r="D8" s="1799"/>
      <c r="E8" s="1799"/>
      <c r="F8" s="1799"/>
      <c r="G8" s="1799"/>
    </row>
    <row r="9" spans="1:8">
      <c r="G9" s="6" t="s">
        <v>43</v>
      </c>
    </row>
    <row r="10" spans="1:8"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8">
      <c r="A11" s="8" t="s">
        <v>20</v>
      </c>
      <c r="B11" s="8" t="s">
        <v>21</v>
      </c>
      <c r="C11" s="8" t="s">
        <v>22</v>
      </c>
      <c r="D11" s="8" t="s">
        <v>23</v>
      </c>
      <c r="E11" s="8" t="str">
        <f>'TTDVNN V '!E12</f>
        <v>(5)</v>
      </c>
      <c r="F11" s="8" t="str">
        <f>'TTDVNN V '!F12</f>
        <v>(6)=(3)-(4)+(5)</v>
      </c>
      <c r="G11" s="8" t="s">
        <v>25</v>
      </c>
    </row>
    <row r="12" spans="1:8" ht="37.5">
      <c r="A12" s="7" t="s">
        <v>2</v>
      </c>
      <c r="B12" s="9" t="s">
        <v>3</v>
      </c>
      <c r="C12" s="10">
        <f>C13</f>
        <v>150000000</v>
      </c>
      <c r="D12" s="10"/>
      <c r="E12" s="10"/>
      <c r="F12" s="10"/>
      <c r="G12" s="11"/>
    </row>
    <row r="13" spans="1:8">
      <c r="A13" s="17">
        <v>1</v>
      </c>
      <c r="B13" s="18" t="s">
        <v>4</v>
      </c>
      <c r="C13" s="19">
        <v>150000000</v>
      </c>
      <c r="D13" s="19"/>
      <c r="E13" s="19"/>
      <c r="F13" s="19"/>
      <c r="G13" s="11"/>
    </row>
    <row r="14" spans="1:8">
      <c r="A14" s="17">
        <v>2</v>
      </c>
      <c r="B14" s="18" t="s">
        <v>7</v>
      </c>
      <c r="C14" s="19"/>
      <c r="D14" s="19">
        <f>C14*40%</f>
        <v>0</v>
      </c>
      <c r="E14" s="19"/>
      <c r="F14" s="19">
        <f>C14-D14</f>
        <v>0</v>
      </c>
      <c r="G14" s="11"/>
    </row>
    <row r="15" spans="1:8" ht="37.5">
      <c r="A15" s="7" t="s">
        <v>12</v>
      </c>
      <c r="B15" s="9" t="s">
        <v>84</v>
      </c>
      <c r="C15" s="10">
        <f>C16</f>
        <v>4217200000</v>
      </c>
      <c r="D15" s="10">
        <f>D16</f>
        <v>217800000</v>
      </c>
      <c r="E15" s="10">
        <f>E16</f>
        <v>217800000</v>
      </c>
      <c r="F15" s="10">
        <f>F16</f>
        <v>4217200000</v>
      </c>
      <c r="G15" s="11"/>
      <c r="H15" s="240">
        <f>F15-'Dự toán Chi tiết 2025'!L629</f>
        <v>0</v>
      </c>
    </row>
    <row r="16" spans="1:8">
      <c r="A16" s="7"/>
      <c r="B16" s="9" t="s">
        <v>121</v>
      </c>
      <c r="C16" s="10">
        <f>C17+C21</f>
        <v>4217200000</v>
      </c>
      <c r="D16" s="10">
        <f>D17+D21</f>
        <v>217800000</v>
      </c>
      <c r="E16" s="10">
        <f>E17+E21</f>
        <v>217800000</v>
      </c>
      <c r="F16" s="10">
        <f>F17+F21</f>
        <v>4217200000</v>
      </c>
      <c r="G16" s="11"/>
    </row>
    <row r="17" spans="1:7" s="16" customFormat="1" ht="39">
      <c r="A17" s="12">
        <v>1</v>
      </c>
      <c r="B17" s="13" t="s">
        <v>9</v>
      </c>
      <c r="C17" s="14">
        <f>SUM(C18:C20)</f>
        <v>2344200000</v>
      </c>
      <c r="D17" s="14">
        <f>SUM(D18:D20)</f>
        <v>37800000</v>
      </c>
      <c r="E17" s="14">
        <f>SUM(E18:E20)</f>
        <v>217800000</v>
      </c>
      <c r="F17" s="14">
        <f>SUM(F18:F20)</f>
        <v>2524200000</v>
      </c>
      <c r="G17" s="15"/>
    </row>
    <row r="18" spans="1:7" ht="37.5">
      <c r="A18" s="17" t="s">
        <v>5</v>
      </c>
      <c r="B18" s="18" t="s">
        <v>26</v>
      </c>
      <c r="C18" s="19">
        <f>'Dự toán Chi tiết 2025'!L633</f>
        <v>1392000000</v>
      </c>
      <c r="D18" s="19"/>
      <c r="E18" s="19"/>
      <c r="F18" s="19">
        <f>C18-D18+E18</f>
        <v>1392000000</v>
      </c>
      <c r="G18" s="11"/>
    </row>
    <row r="19" spans="1:7" ht="37.5">
      <c r="A19" s="17" t="s">
        <v>6</v>
      </c>
      <c r="B19" s="18" t="str">
        <f>'TTDVNN V '!B18</f>
        <v>Kinh phí thực hiện cải cách tiền lương</v>
      </c>
      <c r="C19" s="19">
        <f>'Dự toán Chi tiết 2025'!L635</f>
        <v>574200000</v>
      </c>
      <c r="D19" s="19"/>
      <c r="E19" s="19">
        <f>D15</f>
        <v>217800000</v>
      </c>
      <c r="F19" s="19">
        <f>C19-D19+E19</f>
        <v>792000000</v>
      </c>
      <c r="G19" s="11"/>
    </row>
    <row r="20" spans="1:7" ht="37.5">
      <c r="A20" s="17" t="s">
        <v>157</v>
      </c>
      <c r="B20" s="18" t="s">
        <v>27</v>
      </c>
      <c r="C20" s="19">
        <f>'Dự toán Chi tiết 2025'!L636</f>
        <v>378000000</v>
      </c>
      <c r="D20" s="19">
        <f>C20*10%</f>
        <v>37800000</v>
      </c>
      <c r="E20" s="19"/>
      <c r="F20" s="19">
        <f>C20-D20+E20</f>
        <v>340200000</v>
      </c>
      <c r="G20" s="11"/>
    </row>
    <row r="21" spans="1:7" s="16" customFormat="1" ht="39">
      <c r="A21" s="12">
        <v>2</v>
      </c>
      <c r="B21" s="13" t="str">
        <f>'TCKH V '!B21</f>
        <v>Kinh phí nhiệm vụ không thường xuyên</v>
      </c>
      <c r="C21" s="14">
        <f>SUM(C22:C32)</f>
        <v>1873000000</v>
      </c>
      <c r="D21" s="14">
        <f>SUM(D22:D32)</f>
        <v>180000000</v>
      </c>
      <c r="E21" s="14"/>
      <c r="F21" s="14">
        <f>SUM(F22:F32)</f>
        <v>1693000000</v>
      </c>
      <c r="G21" s="15"/>
    </row>
    <row r="22" spans="1:7">
      <c r="A22" s="17" t="s">
        <v>8</v>
      </c>
      <c r="B22" s="18" t="s">
        <v>399</v>
      </c>
      <c r="C22" s="19">
        <f>'Dự toán Chi tiết 2025'!L638</f>
        <v>36000000</v>
      </c>
      <c r="D22" s="19"/>
      <c r="E22" s="19"/>
      <c r="F22" s="19">
        <f t="shared" ref="F22:F32" si="0">C22-D22</f>
        <v>36000000</v>
      </c>
      <c r="G22" s="11"/>
    </row>
    <row r="23" spans="1:7">
      <c r="A23" s="17" t="s">
        <v>11</v>
      </c>
      <c r="B23" s="18" t="s">
        <v>400</v>
      </c>
      <c r="C23" s="19">
        <f>'Dự toán Chi tiết 2025'!L639</f>
        <v>18100000</v>
      </c>
      <c r="D23" s="19"/>
      <c r="E23" s="19"/>
      <c r="F23" s="19">
        <f t="shared" si="0"/>
        <v>18100000</v>
      </c>
      <c r="G23" s="11"/>
    </row>
    <row r="24" spans="1:7" ht="75">
      <c r="A24" s="17" t="s">
        <v>13</v>
      </c>
      <c r="B24" s="18" t="s">
        <v>2005</v>
      </c>
      <c r="C24" s="19">
        <f>'Dự toán Chi tiết 2025'!L641</f>
        <v>145000000</v>
      </c>
      <c r="D24" s="19">
        <f>C24*10%</f>
        <v>14500000</v>
      </c>
      <c r="E24" s="19"/>
      <c r="F24" s="19">
        <f t="shared" si="0"/>
        <v>130500000</v>
      </c>
      <c r="G24" s="20"/>
    </row>
    <row r="25" spans="1:7" hidden="1">
      <c r="A25" s="17" t="s">
        <v>28</v>
      </c>
      <c r="B25" s="18" t="s">
        <v>1085</v>
      </c>
      <c r="C25" s="19">
        <f>'Dự toán Chi tiết 2025'!L642</f>
        <v>0</v>
      </c>
      <c r="D25" s="19">
        <f>C25*10%</f>
        <v>0</v>
      </c>
      <c r="E25" s="19"/>
      <c r="F25" s="19">
        <f t="shared" si="0"/>
        <v>0</v>
      </c>
      <c r="G25" s="20"/>
    </row>
    <row r="26" spans="1:7">
      <c r="A26" s="17" t="s">
        <v>28</v>
      </c>
      <c r="B26" s="18" t="str">
        <f>'Dự toán Chi tiết 2025'!B640</f>
        <v>Kinh phí tổ chức Đại hội Chi bộ</v>
      </c>
      <c r="C26" s="19">
        <f>'Dự toán Chi tiết 2025'!L640</f>
        <v>18900000</v>
      </c>
      <c r="D26" s="19"/>
      <c r="E26" s="19"/>
      <c r="F26" s="19">
        <f t="shared" si="0"/>
        <v>18900000</v>
      </c>
      <c r="G26" s="20"/>
    </row>
    <row r="27" spans="1:7" ht="52.5" customHeight="1">
      <c r="A27" s="17" t="s">
        <v>29</v>
      </c>
      <c r="B27" s="18" t="str">
        <f>'Dự toán Chi tiết 2025'!B645</f>
        <v>Báo cáo đánh giá, rà soát đô thị loại II thành phố Quảng Ngãi và khu vực dự kiến các xã lên phường</v>
      </c>
      <c r="C27" s="19">
        <f>'Dự toán Chi tiết 2025'!L645</f>
        <v>500000000</v>
      </c>
      <c r="D27" s="19">
        <f>C27*10%</f>
        <v>50000000</v>
      </c>
      <c r="E27" s="19"/>
      <c r="F27" s="19">
        <f t="shared" si="0"/>
        <v>450000000</v>
      </c>
      <c r="G27" s="20"/>
    </row>
    <row r="28" spans="1:7">
      <c r="A28" s="17" t="s">
        <v>30</v>
      </c>
      <c r="B28" s="20" t="str">
        <f>'Dự toán Chi tiết 2025'!B646</f>
        <v>Kinh phí TTB màn hình ti vi</v>
      </c>
      <c r="C28" s="19">
        <v>25000000</v>
      </c>
      <c r="D28" s="19">
        <f t="shared" ref="D28:D32" si="1">C28*10%</f>
        <v>2500000</v>
      </c>
      <c r="E28" s="19"/>
      <c r="F28" s="19">
        <f t="shared" si="0"/>
        <v>22500000</v>
      </c>
      <c r="G28" s="20"/>
    </row>
    <row r="29" spans="1:7" ht="45" customHeight="1">
      <c r="A29" s="17" t="s">
        <v>31</v>
      </c>
      <c r="B29" s="18" t="str">
        <f>'Tài nguyên Môi trường V'!B33</f>
        <v>Kinh phí chỉnh lý tài liệu và số hoá tài liệu</v>
      </c>
      <c r="C29" s="19">
        <f>'Dự toán Chi tiết 2025'!L647</f>
        <v>500000000</v>
      </c>
      <c r="D29" s="19">
        <f t="shared" si="1"/>
        <v>50000000</v>
      </c>
      <c r="E29" s="19"/>
      <c r="F29" s="19">
        <f t="shared" si="0"/>
        <v>450000000</v>
      </c>
      <c r="G29" s="20"/>
    </row>
    <row r="30" spans="1:7" ht="80.25" customHeight="1">
      <c r="A30" s="17" t="s">
        <v>32</v>
      </c>
      <c r="B30" s="18" t="str">
        <f>'Dự toán Chi tiết 2025'!B648</f>
        <v>Kinh phí thực hiện số hoá bản đồ, hồ sơ, tạo lập cơ sở dữ liệu hà tầng đô thị, quy hoạch đô thị trên ĐB TP trên nền bản đồ số.</v>
      </c>
      <c r="C30" s="19">
        <f>'Dự toán Chi tiết 2025'!L648</f>
        <v>400000000</v>
      </c>
      <c r="D30" s="19">
        <f t="shared" si="1"/>
        <v>40000000</v>
      </c>
      <c r="E30" s="19"/>
      <c r="F30" s="19">
        <f t="shared" si="0"/>
        <v>360000000</v>
      </c>
      <c r="G30" s="20"/>
    </row>
    <row r="31" spans="1:7" ht="56.25">
      <c r="A31" s="17" t="s">
        <v>38</v>
      </c>
      <c r="B31" s="18" t="s">
        <v>1086</v>
      </c>
      <c r="C31" s="19">
        <f>'Dự toán Chi tiết 2025'!L643</f>
        <v>180000000</v>
      </c>
      <c r="D31" s="19">
        <f t="shared" si="1"/>
        <v>18000000</v>
      </c>
      <c r="E31" s="19"/>
      <c r="F31" s="19">
        <f t="shared" si="0"/>
        <v>162000000</v>
      </c>
      <c r="G31" s="11"/>
    </row>
    <row r="32" spans="1:7" ht="37.5">
      <c r="A32" s="17" t="s">
        <v>39</v>
      </c>
      <c r="B32" s="18" t="str">
        <f>'Dự toán Chi tiết 2025'!B649</f>
        <v>Kinh phí lập hồ sơ các tuyến đường trên địa bàn thành phố</v>
      </c>
      <c r="C32" s="19">
        <f>'Dự toán Chi tiết 2025'!L649</f>
        <v>50000000</v>
      </c>
      <c r="D32" s="19">
        <f t="shared" si="1"/>
        <v>5000000</v>
      </c>
      <c r="E32" s="19"/>
      <c r="F32" s="19">
        <f t="shared" si="0"/>
        <v>45000000</v>
      </c>
      <c r="G32" s="20"/>
    </row>
  </sheetData>
  <mergeCells count="7">
    <mergeCell ref="A8:G8"/>
    <mergeCell ref="A1:C1"/>
    <mergeCell ref="A2:C2"/>
    <mergeCell ref="A4:G4"/>
    <mergeCell ref="A5:G5"/>
    <mergeCell ref="A6:G6"/>
    <mergeCell ref="A7:G7"/>
  </mergeCells>
  <pageMargins left="0.53" right="0.45" top="0.6" bottom="0.74803149606299213" header="0.31496062992125984" footer="0.31496062992125984"/>
  <pageSetup paperSize="9" scale="63" fitToHeight="0"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47"/>
  <sheetViews>
    <sheetView topLeftCell="A13" zoomScale="85" zoomScaleNormal="85" workbookViewId="0">
      <selection activeCell="H14" sqref="H14"/>
    </sheetView>
  </sheetViews>
  <sheetFormatPr defaultRowHeight="18.75"/>
  <cols>
    <col min="1" max="1" width="7.140625" style="319" customWidth="1"/>
    <col min="2" max="2" width="38.5703125" style="319" customWidth="1"/>
    <col min="3" max="3" width="19.28515625" style="319" customWidth="1"/>
    <col min="4" max="5" width="21.140625" style="319" customWidth="1"/>
    <col min="6" max="6" width="19.42578125" style="319" customWidth="1"/>
    <col min="7" max="8" width="20" style="319" customWidth="1"/>
    <col min="9" max="9" width="24.85546875" style="319" customWidth="1"/>
    <col min="10" max="260" width="9.140625" style="319"/>
    <col min="261" max="261" width="7.140625" style="319" customWidth="1"/>
    <col min="262" max="262" width="47.7109375" style="319" customWidth="1"/>
    <col min="263" max="263" width="19.28515625" style="319" customWidth="1"/>
    <col min="264" max="516" width="9.140625" style="319"/>
    <col min="517" max="517" width="7.140625" style="319" customWidth="1"/>
    <col min="518" max="518" width="47.7109375" style="319" customWidth="1"/>
    <col min="519" max="519" width="19.28515625" style="319" customWidth="1"/>
    <col min="520" max="772" width="9.140625" style="319"/>
    <col min="773" max="773" width="7.140625" style="319" customWidth="1"/>
    <col min="774" max="774" width="47.7109375" style="319" customWidth="1"/>
    <col min="775" max="775" width="19.28515625" style="319" customWidth="1"/>
    <col min="776" max="1028" width="9.140625" style="319"/>
    <col min="1029" max="1029" width="7.140625" style="319" customWidth="1"/>
    <col min="1030" max="1030" width="47.7109375" style="319" customWidth="1"/>
    <col min="1031" max="1031" width="19.28515625" style="319" customWidth="1"/>
    <col min="1032" max="1284" width="9.140625" style="319"/>
    <col min="1285" max="1285" width="7.140625" style="319" customWidth="1"/>
    <col min="1286" max="1286" width="47.7109375" style="319" customWidth="1"/>
    <col min="1287" max="1287" width="19.28515625" style="319" customWidth="1"/>
    <col min="1288" max="1540" width="9.140625" style="319"/>
    <col min="1541" max="1541" width="7.140625" style="319" customWidth="1"/>
    <col min="1542" max="1542" width="47.7109375" style="319" customWidth="1"/>
    <col min="1543" max="1543" width="19.28515625" style="319" customWidth="1"/>
    <col min="1544" max="1796" width="9.140625" style="319"/>
    <col min="1797" max="1797" width="7.140625" style="319" customWidth="1"/>
    <col min="1798" max="1798" width="47.7109375" style="319" customWidth="1"/>
    <col min="1799" max="1799" width="19.28515625" style="319" customWidth="1"/>
    <col min="1800" max="2052" width="9.140625" style="319"/>
    <col min="2053" max="2053" width="7.140625" style="319" customWidth="1"/>
    <col min="2054" max="2054" width="47.7109375" style="319" customWidth="1"/>
    <col min="2055" max="2055" width="19.28515625" style="319" customWidth="1"/>
    <col min="2056" max="2308" width="9.140625" style="319"/>
    <col min="2309" max="2309" width="7.140625" style="319" customWidth="1"/>
    <col min="2310" max="2310" width="47.7109375" style="319" customWidth="1"/>
    <col min="2311" max="2311" width="19.28515625" style="319" customWidth="1"/>
    <col min="2312" max="2564" width="9.140625" style="319"/>
    <col min="2565" max="2565" width="7.140625" style="319" customWidth="1"/>
    <col min="2566" max="2566" width="47.7109375" style="319" customWidth="1"/>
    <col min="2567" max="2567" width="19.28515625" style="319" customWidth="1"/>
    <col min="2568" max="2820" width="9.140625" style="319"/>
    <col min="2821" max="2821" width="7.140625" style="319" customWidth="1"/>
    <col min="2822" max="2822" width="47.7109375" style="319" customWidth="1"/>
    <col min="2823" max="2823" width="19.28515625" style="319" customWidth="1"/>
    <col min="2824" max="3076" width="9.140625" style="319"/>
    <col min="3077" max="3077" width="7.140625" style="319" customWidth="1"/>
    <col min="3078" max="3078" width="47.7109375" style="319" customWidth="1"/>
    <col min="3079" max="3079" width="19.28515625" style="319" customWidth="1"/>
    <col min="3080" max="3332" width="9.140625" style="319"/>
    <col min="3333" max="3333" width="7.140625" style="319" customWidth="1"/>
    <col min="3334" max="3334" width="47.7109375" style="319" customWidth="1"/>
    <col min="3335" max="3335" width="19.28515625" style="319" customWidth="1"/>
    <col min="3336" max="3588" width="9.140625" style="319"/>
    <col min="3589" max="3589" width="7.140625" style="319" customWidth="1"/>
    <col min="3590" max="3590" width="47.7109375" style="319" customWidth="1"/>
    <col min="3591" max="3591" width="19.28515625" style="319" customWidth="1"/>
    <col min="3592" max="3844" width="9.140625" style="319"/>
    <col min="3845" max="3845" width="7.140625" style="319" customWidth="1"/>
    <col min="3846" max="3846" width="47.7109375" style="319" customWidth="1"/>
    <col min="3847" max="3847" width="19.28515625" style="319" customWidth="1"/>
    <col min="3848" max="4100" width="9.140625" style="319"/>
    <col min="4101" max="4101" width="7.140625" style="319" customWidth="1"/>
    <col min="4102" max="4102" width="47.7109375" style="319" customWidth="1"/>
    <col min="4103" max="4103" width="19.28515625" style="319" customWidth="1"/>
    <col min="4104" max="4356" width="9.140625" style="319"/>
    <col min="4357" max="4357" width="7.140625" style="319" customWidth="1"/>
    <col min="4358" max="4358" width="47.7109375" style="319" customWidth="1"/>
    <col min="4359" max="4359" width="19.28515625" style="319" customWidth="1"/>
    <col min="4360" max="4612" width="9.140625" style="319"/>
    <col min="4613" max="4613" width="7.140625" style="319" customWidth="1"/>
    <col min="4614" max="4614" width="47.7109375" style="319" customWidth="1"/>
    <col min="4615" max="4615" width="19.28515625" style="319" customWidth="1"/>
    <col min="4616" max="4868" width="9.140625" style="319"/>
    <col min="4869" max="4869" width="7.140625" style="319" customWidth="1"/>
    <col min="4870" max="4870" width="47.7109375" style="319" customWidth="1"/>
    <col min="4871" max="4871" width="19.28515625" style="319" customWidth="1"/>
    <col min="4872" max="5124" width="9.140625" style="319"/>
    <col min="5125" max="5125" width="7.140625" style="319" customWidth="1"/>
    <col min="5126" max="5126" width="47.7109375" style="319" customWidth="1"/>
    <col min="5127" max="5127" width="19.28515625" style="319" customWidth="1"/>
    <col min="5128" max="5380" width="9.140625" style="319"/>
    <col min="5381" max="5381" width="7.140625" style="319" customWidth="1"/>
    <col min="5382" max="5382" width="47.7109375" style="319" customWidth="1"/>
    <col min="5383" max="5383" width="19.28515625" style="319" customWidth="1"/>
    <col min="5384" max="5636" width="9.140625" style="319"/>
    <col min="5637" max="5637" width="7.140625" style="319" customWidth="1"/>
    <col min="5638" max="5638" width="47.7109375" style="319" customWidth="1"/>
    <col min="5639" max="5639" width="19.28515625" style="319" customWidth="1"/>
    <col min="5640" max="5892" width="9.140625" style="319"/>
    <col min="5893" max="5893" width="7.140625" style="319" customWidth="1"/>
    <col min="5894" max="5894" width="47.7109375" style="319" customWidth="1"/>
    <col min="5895" max="5895" width="19.28515625" style="319" customWidth="1"/>
    <col min="5896" max="6148" width="9.140625" style="319"/>
    <col min="6149" max="6149" width="7.140625" style="319" customWidth="1"/>
    <col min="6150" max="6150" width="47.7109375" style="319" customWidth="1"/>
    <col min="6151" max="6151" width="19.28515625" style="319" customWidth="1"/>
    <col min="6152" max="6404" width="9.140625" style="319"/>
    <col min="6405" max="6405" width="7.140625" style="319" customWidth="1"/>
    <col min="6406" max="6406" width="47.7109375" style="319" customWidth="1"/>
    <col min="6407" max="6407" width="19.28515625" style="319" customWidth="1"/>
    <col min="6408" max="6660" width="9.140625" style="319"/>
    <col min="6661" max="6661" width="7.140625" style="319" customWidth="1"/>
    <col min="6662" max="6662" width="47.7109375" style="319" customWidth="1"/>
    <col min="6663" max="6663" width="19.28515625" style="319" customWidth="1"/>
    <col min="6664" max="6916" width="9.140625" style="319"/>
    <col min="6917" max="6917" width="7.140625" style="319" customWidth="1"/>
    <col min="6918" max="6918" width="47.7109375" style="319" customWidth="1"/>
    <col min="6919" max="6919" width="19.28515625" style="319" customWidth="1"/>
    <col min="6920" max="7172" width="9.140625" style="319"/>
    <col min="7173" max="7173" width="7.140625" style="319" customWidth="1"/>
    <col min="7174" max="7174" width="47.7109375" style="319" customWidth="1"/>
    <col min="7175" max="7175" width="19.28515625" style="319" customWidth="1"/>
    <col min="7176" max="7428" width="9.140625" style="319"/>
    <col min="7429" max="7429" width="7.140625" style="319" customWidth="1"/>
    <col min="7430" max="7430" width="47.7109375" style="319" customWidth="1"/>
    <col min="7431" max="7431" width="19.28515625" style="319" customWidth="1"/>
    <col min="7432" max="7684" width="9.140625" style="319"/>
    <col min="7685" max="7685" width="7.140625" style="319" customWidth="1"/>
    <col min="7686" max="7686" width="47.7109375" style="319" customWidth="1"/>
    <col min="7687" max="7687" width="19.28515625" style="319" customWidth="1"/>
    <col min="7688" max="7940" width="9.140625" style="319"/>
    <col min="7941" max="7941" width="7.140625" style="319" customWidth="1"/>
    <col min="7942" max="7942" width="47.7109375" style="319" customWidth="1"/>
    <col min="7943" max="7943" width="19.28515625" style="319" customWidth="1"/>
    <col min="7944" max="8196" width="9.140625" style="319"/>
    <col min="8197" max="8197" width="7.140625" style="319" customWidth="1"/>
    <col min="8198" max="8198" width="47.7109375" style="319" customWidth="1"/>
    <col min="8199" max="8199" width="19.28515625" style="319" customWidth="1"/>
    <col min="8200" max="8452" width="9.140625" style="319"/>
    <col min="8453" max="8453" width="7.140625" style="319" customWidth="1"/>
    <col min="8454" max="8454" width="47.7109375" style="319" customWidth="1"/>
    <col min="8455" max="8455" width="19.28515625" style="319" customWidth="1"/>
    <col min="8456" max="8708" width="9.140625" style="319"/>
    <col min="8709" max="8709" width="7.140625" style="319" customWidth="1"/>
    <col min="8710" max="8710" width="47.7109375" style="319" customWidth="1"/>
    <col min="8711" max="8711" width="19.28515625" style="319" customWidth="1"/>
    <col min="8712" max="8964" width="9.140625" style="319"/>
    <col min="8965" max="8965" width="7.140625" style="319" customWidth="1"/>
    <col min="8966" max="8966" width="47.7109375" style="319" customWidth="1"/>
    <col min="8967" max="8967" width="19.28515625" style="319" customWidth="1"/>
    <col min="8968" max="9220" width="9.140625" style="319"/>
    <col min="9221" max="9221" width="7.140625" style="319" customWidth="1"/>
    <col min="9222" max="9222" width="47.7109375" style="319" customWidth="1"/>
    <col min="9223" max="9223" width="19.28515625" style="319" customWidth="1"/>
    <col min="9224" max="9476" width="9.140625" style="319"/>
    <col min="9477" max="9477" width="7.140625" style="319" customWidth="1"/>
    <col min="9478" max="9478" width="47.7109375" style="319" customWidth="1"/>
    <col min="9479" max="9479" width="19.28515625" style="319" customWidth="1"/>
    <col min="9480" max="9732" width="9.140625" style="319"/>
    <col min="9733" max="9733" width="7.140625" style="319" customWidth="1"/>
    <col min="9734" max="9734" width="47.7109375" style="319" customWidth="1"/>
    <col min="9735" max="9735" width="19.28515625" style="319" customWidth="1"/>
    <col min="9736" max="9988" width="9.140625" style="319"/>
    <col min="9989" max="9989" width="7.140625" style="319" customWidth="1"/>
    <col min="9990" max="9990" width="47.7109375" style="319" customWidth="1"/>
    <col min="9991" max="9991" width="19.28515625" style="319" customWidth="1"/>
    <col min="9992" max="10244" width="9.140625" style="319"/>
    <col min="10245" max="10245" width="7.140625" style="319" customWidth="1"/>
    <col min="10246" max="10246" width="47.7109375" style="319" customWidth="1"/>
    <col min="10247" max="10247" width="19.28515625" style="319" customWidth="1"/>
    <col min="10248" max="10500" width="9.140625" style="319"/>
    <col min="10501" max="10501" width="7.140625" style="319" customWidth="1"/>
    <col min="10502" max="10502" width="47.7109375" style="319" customWidth="1"/>
    <col min="10503" max="10503" width="19.28515625" style="319" customWidth="1"/>
    <col min="10504" max="10756" width="9.140625" style="319"/>
    <col min="10757" max="10757" width="7.140625" style="319" customWidth="1"/>
    <col min="10758" max="10758" width="47.7109375" style="319" customWidth="1"/>
    <col min="10759" max="10759" width="19.28515625" style="319" customWidth="1"/>
    <col min="10760" max="11012" width="9.140625" style="319"/>
    <col min="11013" max="11013" width="7.140625" style="319" customWidth="1"/>
    <col min="11014" max="11014" width="47.7109375" style="319" customWidth="1"/>
    <col min="11015" max="11015" width="19.28515625" style="319" customWidth="1"/>
    <col min="11016" max="11268" width="9.140625" style="319"/>
    <col min="11269" max="11269" width="7.140625" style="319" customWidth="1"/>
    <col min="11270" max="11270" width="47.7109375" style="319" customWidth="1"/>
    <col min="11271" max="11271" width="19.28515625" style="319" customWidth="1"/>
    <col min="11272" max="11524" width="9.140625" style="319"/>
    <col min="11525" max="11525" width="7.140625" style="319" customWidth="1"/>
    <col min="11526" max="11526" width="47.7109375" style="319" customWidth="1"/>
    <col min="11527" max="11527" width="19.28515625" style="319" customWidth="1"/>
    <col min="11528" max="11780" width="9.140625" style="319"/>
    <col min="11781" max="11781" width="7.140625" style="319" customWidth="1"/>
    <col min="11782" max="11782" width="47.7109375" style="319" customWidth="1"/>
    <col min="11783" max="11783" width="19.28515625" style="319" customWidth="1"/>
    <col min="11784" max="12036" width="9.140625" style="319"/>
    <col min="12037" max="12037" width="7.140625" style="319" customWidth="1"/>
    <col min="12038" max="12038" width="47.7109375" style="319" customWidth="1"/>
    <col min="12039" max="12039" width="19.28515625" style="319" customWidth="1"/>
    <col min="12040" max="12292" width="9.140625" style="319"/>
    <col min="12293" max="12293" width="7.140625" style="319" customWidth="1"/>
    <col min="12294" max="12294" width="47.7109375" style="319" customWidth="1"/>
    <col min="12295" max="12295" width="19.28515625" style="319" customWidth="1"/>
    <col min="12296" max="12548" width="9.140625" style="319"/>
    <col min="12549" max="12549" width="7.140625" style="319" customWidth="1"/>
    <col min="12550" max="12550" width="47.7109375" style="319" customWidth="1"/>
    <col min="12551" max="12551" width="19.28515625" style="319" customWidth="1"/>
    <col min="12552" max="12804" width="9.140625" style="319"/>
    <col min="12805" max="12805" width="7.140625" style="319" customWidth="1"/>
    <col min="12806" max="12806" width="47.7109375" style="319" customWidth="1"/>
    <col min="12807" max="12807" width="19.28515625" style="319" customWidth="1"/>
    <col min="12808" max="13060" width="9.140625" style="319"/>
    <col min="13061" max="13061" width="7.140625" style="319" customWidth="1"/>
    <col min="13062" max="13062" width="47.7109375" style="319" customWidth="1"/>
    <col min="13063" max="13063" width="19.28515625" style="319" customWidth="1"/>
    <col min="13064" max="13316" width="9.140625" style="319"/>
    <col min="13317" max="13317" width="7.140625" style="319" customWidth="1"/>
    <col min="13318" max="13318" width="47.7109375" style="319" customWidth="1"/>
    <col min="13319" max="13319" width="19.28515625" style="319" customWidth="1"/>
    <col min="13320" max="13572" width="9.140625" style="319"/>
    <col min="13573" max="13573" width="7.140625" style="319" customWidth="1"/>
    <col min="13574" max="13574" width="47.7109375" style="319" customWidth="1"/>
    <col min="13575" max="13575" width="19.28515625" style="319" customWidth="1"/>
    <col min="13576" max="13828" width="9.140625" style="319"/>
    <col min="13829" max="13829" width="7.140625" style="319" customWidth="1"/>
    <col min="13830" max="13830" width="47.7109375" style="319" customWidth="1"/>
    <col min="13831" max="13831" width="19.28515625" style="319" customWidth="1"/>
    <col min="13832" max="14084" width="9.140625" style="319"/>
    <col min="14085" max="14085" width="7.140625" style="319" customWidth="1"/>
    <col min="14086" max="14086" width="47.7109375" style="319" customWidth="1"/>
    <col min="14087" max="14087" width="19.28515625" style="319" customWidth="1"/>
    <col min="14088" max="14340" width="9.140625" style="319"/>
    <col min="14341" max="14341" width="7.140625" style="319" customWidth="1"/>
    <col min="14342" max="14342" width="47.7109375" style="319" customWidth="1"/>
    <col min="14343" max="14343" width="19.28515625" style="319" customWidth="1"/>
    <col min="14344" max="14596" width="9.140625" style="319"/>
    <col min="14597" max="14597" width="7.140625" style="319" customWidth="1"/>
    <col min="14598" max="14598" width="47.7109375" style="319" customWidth="1"/>
    <col min="14599" max="14599" width="19.28515625" style="319" customWidth="1"/>
    <col min="14600" max="14852" width="9.140625" style="319"/>
    <col min="14853" max="14853" width="7.140625" style="319" customWidth="1"/>
    <col min="14854" max="14854" width="47.7109375" style="319" customWidth="1"/>
    <col min="14855" max="14855" width="19.28515625" style="319" customWidth="1"/>
    <col min="14856" max="15108" width="9.140625" style="319"/>
    <col min="15109" max="15109" width="7.140625" style="319" customWidth="1"/>
    <col min="15110" max="15110" width="47.7109375" style="319" customWidth="1"/>
    <col min="15111" max="15111" width="19.28515625" style="319" customWidth="1"/>
    <col min="15112" max="15364" width="9.140625" style="319"/>
    <col min="15365" max="15365" width="7.140625" style="319" customWidth="1"/>
    <col min="15366" max="15366" width="47.7109375" style="319" customWidth="1"/>
    <col min="15367" max="15367" width="19.28515625" style="319" customWidth="1"/>
    <col min="15368" max="15620" width="9.140625" style="319"/>
    <col min="15621" max="15621" width="7.140625" style="319" customWidth="1"/>
    <col min="15622" max="15622" width="47.7109375" style="319" customWidth="1"/>
    <col min="15623" max="15623" width="19.28515625" style="319" customWidth="1"/>
    <col min="15624" max="15876" width="9.140625" style="319"/>
    <col min="15877" max="15877" width="7.140625" style="319" customWidth="1"/>
    <col min="15878" max="15878" width="47.7109375" style="319" customWidth="1"/>
    <col min="15879" max="15879" width="19.28515625" style="319" customWidth="1"/>
    <col min="15880" max="16132" width="9.140625" style="319"/>
    <col min="16133" max="16133" width="7.140625" style="319" customWidth="1"/>
    <col min="16134" max="16134" width="47.7109375" style="319" customWidth="1"/>
    <col min="16135" max="16135" width="19.28515625" style="319" customWidth="1"/>
    <col min="16136" max="16384" width="9.140625" style="319"/>
  </cols>
  <sheetData>
    <row r="1" spans="1:9" ht="18.75" customHeight="1">
      <c r="A1" s="1843" t="s">
        <v>2166</v>
      </c>
      <c r="B1" s="1843"/>
      <c r="C1" s="1843"/>
      <c r="D1" s="1843"/>
      <c r="E1" s="1460"/>
      <c r="G1" s="1355"/>
    </row>
    <row r="2" spans="1:9">
      <c r="A2" s="1667" t="s">
        <v>2006</v>
      </c>
      <c r="B2" s="1667"/>
      <c r="C2" s="1667"/>
      <c r="D2" s="1667"/>
      <c r="E2" s="1454"/>
      <c r="F2" s="1357"/>
    </row>
    <row r="3" spans="1:9">
      <c r="A3" s="1637"/>
      <c r="B3" s="1637"/>
      <c r="C3" s="1637"/>
      <c r="D3" s="1637"/>
      <c r="E3" s="1637"/>
      <c r="F3" s="1357"/>
    </row>
    <row r="4" spans="1:9">
      <c r="A4" s="1842" t="s">
        <v>2063</v>
      </c>
      <c r="B4" s="1842"/>
      <c r="C4" s="1842"/>
      <c r="D4" s="1842"/>
      <c r="E4" s="1842"/>
      <c r="F4" s="1842"/>
      <c r="G4" s="1842"/>
      <c r="H4" s="1640"/>
      <c r="I4" s="1640"/>
    </row>
    <row r="5" spans="1:9" hidden="1">
      <c r="A5" s="1667" t="str">
        <f>'TTDVNN V '!A4:G4</f>
        <v>DỰ TOÁN THU, CHI NGÂN SÁCH NHÀ NƯỚC NĂM 2025</v>
      </c>
      <c r="B5" s="1667"/>
      <c r="C5" s="1667"/>
      <c r="D5" s="1667"/>
      <c r="E5" s="1667"/>
      <c r="F5" s="1667"/>
      <c r="G5" s="1667"/>
    </row>
    <row r="6" spans="1:9">
      <c r="A6" s="1667" t="s">
        <v>2167</v>
      </c>
      <c r="B6" s="1667"/>
      <c r="C6" s="1667"/>
      <c r="D6" s="1667"/>
      <c r="E6" s="1667"/>
      <c r="F6" s="1667"/>
      <c r="G6" s="1667"/>
    </row>
    <row r="7" spans="1:9">
      <c r="A7" s="1667" t="s">
        <v>641</v>
      </c>
      <c r="B7" s="1667"/>
      <c r="C7" s="1667"/>
      <c r="D7" s="1667"/>
      <c r="E7" s="1667"/>
      <c r="F7" s="1667"/>
      <c r="G7" s="1667"/>
    </row>
    <row r="8" spans="1:9">
      <c r="A8" s="1667" t="s">
        <v>17</v>
      </c>
      <c r="B8" s="1667"/>
      <c r="C8" s="1667"/>
      <c r="D8" s="1667"/>
      <c r="E8" s="1667"/>
      <c r="F8" s="1667"/>
      <c r="G8" s="1667"/>
    </row>
    <row r="9" spans="1:9">
      <c r="A9" s="1668"/>
      <c r="B9" s="1668"/>
      <c r="C9" s="1668"/>
      <c r="D9" s="1668"/>
      <c r="E9" s="1668"/>
      <c r="F9" s="1668"/>
      <c r="G9" s="1668"/>
    </row>
    <row r="10" spans="1:9">
      <c r="G10" s="1456" t="s">
        <v>43</v>
      </c>
    </row>
    <row r="11" spans="1:9" ht="117" customHeight="1">
      <c r="A11" s="1441" t="s">
        <v>0</v>
      </c>
      <c r="B11" s="1441" t="s">
        <v>1</v>
      </c>
      <c r="C11" s="1441" t="str">
        <f>'TTDVNN V '!C11</f>
        <v>Dự toán 
năm 2025</v>
      </c>
      <c r="D11" s="1441" t="s">
        <v>18</v>
      </c>
      <c r="E11" s="1441" t="str">
        <f>'TTDVNN V '!E11</f>
        <v>Thực hiện cải cách tiền lương từ nguồn tiết kiệm chi 10% của đơn vị</v>
      </c>
      <c r="F11" s="1441" t="s">
        <v>117</v>
      </c>
      <c r="G11" s="1441" t="s">
        <v>19</v>
      </c>
    </row>
    <row r="12" spans="1:9">
      <c r="A12" s="1358" t="s">
        <v>20</v>
      </c>
      <c r="B12" s="1358" t="s">
        <v>21</v>
      </c>
      <c r="C12" s="1358" t="s">
        <v>22</v>
      </c>
      <c r="D12" s="1358" t="s">
        <v>23</v>
      </c>
      <c r="E12" s="1358" t="str">
        <f>'TTDVNN V '!E12</f>
        <v>(5)</v>
      </c>
      <c r="F12" s="1358" t="str">
        <f>'TTDVNN V '!F12</f>
        <v>(6)=(3)-(4)+(5)</v>
      </c>
      <c r="G12" s="1358" t="s">
        <v>25</v>
      </c>
    </row>
    <row r="13" spans="1:9" ht="37.5">
      <c r="A13" s="1441" t="s">
        <v>2</v>
      </c>
      <c r="B13" s="1359" t="s">
        <v>3</v>
      </c>
      <c r="C13" s="1360">
        <f>C14+C15</f>
        <v>85000000</v>
      </c>
      <c r="D13" s="1360"/>
      <c r="E13" s="1360"/>
      <c r="F13" s="1360"/>
      <c r="G13" s="318"/>
    </row>
    <row r="14" spans="1:9">
      <c r="A14" s="315">
        <v>1</v>
      </c>
      <c r="B14" s="316" t="s">
        <v>639</v>
      </c>
      <c r="C14" s="317">
        <f>50000000+35000000</f>
        <v>85000000</v>
      </c>
      <c r="D14" s="317"/>
      <c r="E14" s="317"/>
      <c r="F14" s="317"/>
      <c r="G14" s="318"/>
      <c r="H14" s="320">
        <f>F16-'Tài nguyên Môi trường V'!F15</f>
        <v>5115929665.3333321</v>
      </c>
    </row>
    <row r="15" spans="1:9">
      <c r="A15" s="315">
        <v>2</v>
      </c>
      <c r="B15" s="316" t="s">
        <v>7</v>
      </c>
      <c r="C15" s="317"/>
      <c r="D15" s="317"/>
      <c r="E15" s="317"/>
      <c r="F15" s="317"/>
      <c r="G15" s="318"/>
    </row>
    <row r="16" spans="1:9" ht="37.5">
      <c r="A16" s="1441" t="s">
        <v>12</v>
      </c>
      <c r="B16" s="1359" t="s">
        <v>84</v>
      </c>
      <c r="C16" s="1360">
        <f>C17</f>
        <v>15973211665.333332</v>
      </c>
      <c r="D16" s="1360">
        <f>D17</f>
        <v>892900000</v>
      </c>
      <c r="E16" s="1360">
        <f>E17</f>
        <v>892900000</v>
      </c>
      <c r="F16" s="1360">
        <f>F17</f>
        <v>15973211665.333332</v>
      </c>
      <c r="G16" s="318"/>
      <c r="H16" s="320">
        <f>F16-'Tài nguyên Môi trường V'!F15</f>
        <v>5115929665.3333321</v>
      </c>
      <c r="I16" s="320">
        <f>F16-'Dự toán Chi tiết 2025'!L656</f>
        <v>5115929665.3333321</v>
      </c>
    </row>
    <row r="17" spans="1:9">
      <c r="A17" s="1441" t="s">
        <v>192</v>
      </c>
      <c r="B17" s="1359" t="s">
        <v>121</v>
      </c>
      <c r="C17" s="1360">
        <f>C18+C22</f>
        <v>15973211665.333332</v>
      </c>
      <c r="D17" s="1360">
        <f>D18+D22</f>
        <v>892900000</v>
      </c>
      <c r="E17" s="1360">
        <f>E18+E22</f>
        <v>892900000</v>
      </c>
      <c r="F17" s="1360">
        <f>F18+F22</f>
        <v>15973211665.333332</v>
      </c>
      <c r="G17" s="318"/>
      <c r="H17" s="320">
        <v>4500977901</v>
      </c>
    </row>
    <row r="18" spans="1:9" s="1365" customFormat="1" ht="39">
      <c r="A18" s="1361">
        <v>1</v>
      </c>
      <c r="B18" s="1362" t="s">
        <v>9</v>
      </c>
      <c r="C18" s="1363">
        <f>SUM(C19:C21)</f>
        <v>2857887665.333333</v>
      </c>
      <c r="D18" s="1363">
        <f>SUM(D19:D21)</f>
        <v>45900000</v>
      </c>
      <c r="E18" s="1363">
        <f>SUM(E19:E21)</f>
        <v>892900000</v>
      </c>
      <c r="F18" s="1363">
        <f>SUM(F19:F21)</f>
        <v>3704887665.333333</v>
      </c>
      <c r="G18" s="1364"/>
      <c r="H18" s="320">
        <f>H16-H17</f>
        <v>614951764.33333206</v>
      </c>
      <c r="I18" s="1434">
        <f>F18-'Dự toán Chi tiết 2025'!L657</f>
        <v>1398155665.333333</v>
      </c>
    </row>
    <row r="19" spans="1:9" ht="37.5">
      <c r="A19" s="315" t="s">
        <v>5</v>
      </c>
      <c r="B19" s="316" t="s">
        <v>26</v>
      </c>
      <c r="C19" s="317">
        <f>'Dự toán Chi tiết 2025'!L659+[15]TH!$K$12+'[13]Sheet1 (2)'!$L$17</f>
        <v>2055246281</v>
      </c>
      <c r="D19" s="317"/>
      <c r="E19" s="317"/>
      <c r="F19" s="317">
        <f>C19-D19+E19</f>
        <v>2055246281</v>
      </c>
      <c r="G19" s="318"/>
      <c r="H19" s="320">
        <f>F16-F39-F40-F47</f>
        <v>11935711665.333332</v>
      </c>
    </row>
    <row r="20" spans="1:9" ht="37.5">
      <c r="A20" s="315" t="s">
        <v>6</v>
      </c>
      <c r="B20" s="316" t="str">
        <f>'TTDVNN V '!B18</f>
        <v>Kinh phí thực hiện cải cách tiền lương</v>
      </c>
      <c r="C20" s="317">
        <f>'Dự toán Chi tiết 2025'!L661+[15]TH!$K$13+'[13]Sheet1 (2)'!$L$18</f>
        <v>261331304</v>
      </c>
      <c r="D20" s="317"/>
      <c r="E20" s="317">
        <f>D16</f>
        <v>892900000</v>
      </c>
      <c r="F20" s="317">
        <f>C20-D20+E20</f>
        <v>1154231304</v>
      </c>
      <c r="G20" s="318"/>
      <c r="I20" s="320">
        <v>614951764</v>
      </c>
    </row>
    <row r="21" spans="1:9" ht="37.5">
      <c r="A21" s="315" t="s">
        <v>157</v>
      </c>
      <c r="B21" s="316" t="s">
        <v>27</v>
      </c>
      <c r="C21" s="317">
        <f>'Dự toán Chi tiết 2025'!L662+[15]TH!$K$14+'[13]Sheet1 (2)'!$L$19</f>
        <v>541310080.33333325</v>
      </c>
      <c r="D21" s="317">
        <f>459000000*10%</f>
        <v>45900000</v>
      </c>
      <c r="E21" s="317"/>
      <c r="F21" s="317">
        <f>C21-D21+E21</f>
        <v>495410080.33333325</v>
      </c>
      <c r="G21" s="318"/>
      <c r="I21" s="319">
        <v>4500977901</v>
      </c>
    </row>
    <row r="22" spans="1:9" s="1365" customFormat="1" ht="39">
      <c r="A22" s="1361">
        <v>2</v>
      </c>
      <c r="B22" s="1362" t="str">
        <f>'Quản lý đô thị V'!B21</f>
        <v>Kinh phí nhiệm vụ không thường xuyên</v>
      </c>
      <c r="C22" s="1363">
        <f>C23+C38+C47+C34</f>
        <v>13115324000</v>
      </c>
      <c r="D22" s="1363">
        <f t="shared" ref="D22:F22" si="0">D23+D38+D47+D34</f>
        <v>847000000</v>
      </c>
      <c r="E22" s="1363">
        <f t="shared" si="0"/>
        <v>0</v>
      </c>
      <c r="F22" s="1363">
        <f t="shared" si="0"/>
        <v>12268324000</v>
      </c>
      <c r="G22" s="1364"/>
      <c r="H22" s="1434">
        <f>C22-D22</f>
        <v>12268324000</v>
      </c>
      <c r="I22" s="1434">
        <f>SUM(I20:I21)</f>
        <v>5115929665</v>
      </c>
    </row>
    <row r="23" spans="1:9" s="1365" customFormat="1" ht="19.5">
      <c r="A23" s="1361"/>
      <c r="B23" s="1362" t="s">
        <v>2007</v>
      </c>
      <c r="C23" s="1363">
        <f>SUM(C24:C33)</f>
        <v>940130000</v>
      </c>
      <c r="D23" s="1363">
        <f>SUM(D24:D33)</f>
        <v>77000000</v>
      </c>
      <c r="E23" s="1363">
        <f>SUM(E24:E33)</f>
        <v>0</v>
      </c>
      <c r="F23" s="1363">
        <f>SUM(F24:F33)</f>
        <v>863130000</v>
      </c>
      <c r="G23" s="1364"/>
      <c r="I23" s="1434">
        <f>F16-'Tài nguyên Môi trường V'!F15</f>
        <v>5115929665.3333321</v>
      </c>
    </row>
    <row r="24" spans="1:9">
      <c r="A24" s="315" t="s">
        <v>8</v>
      </c>
      <c r="B24" s="316" t="s">
        <v>399</v>
      </c>
      <c r="C24" s="317">
        <f>'Dự toán Chi tiết 2025'!L665</f>
        <v>36000000</v>
      </c>
      <c r="D24" s="317"/>
      <c r="E24" s="317"/>
      <c r="F24" s="317">
        <f t="shared" ref="F24:F47" si="1">C24-D24</f>
        <v>36000000</v>
      </c>
      <c r="G24" s="318"/>
    </row>
    <row r="25" spans="1:9" ht="37.5">
      <c r="A25" s="315" t="s">
        <v>11</v>
      </c>
      <c r="B25" s="316" t="s">
        <v>409</v>
      </c>
      <c r="C25" s="317">
        <f>'Dự toán Chi tiết 2025'!L666+'[13]Sheet1 (2)'!$L$22</f>
        <v>10550000</v>
      </c>
      <c r="D25" s="317"/>
      <c r="E25" s="317"/>
      <c r="F25" s="317">
        <f t="shared" si="1"/>
        <v>10550000</v>
      </c>
      <c r="G25" s="318"/>
      <c r="I25" s="320">
        <f>C18+C23</f>
        <v>3798017665.333333</v>
      </c>
    </row>
    <row r="26" spans="1:9">
      <c r="A26" s="315" t="s">
        <v>13</v>
      </c>
      <c r="B26" s="316" t="str">
        <f>'Dự toán Chi tiết 2025'!B667</f>
        <v>Kinh phí tổ chức Đại hội Chi bộ</v>
      </c>
      <c r="C26" s="317">
        <f>'Dự toán Chi tiết 2025'!L667+2300000+'[13]Sheet1 (2)'!$L$23</f>
        <v>37580000</v>
      </c>
      <c r="D26" s="317"/>
      <c r="E26" s="317"/>
      <c r="F26" s="317">
        <f t="shared" si="1"/>
        <v>37580000</v>
      </c>
      <c r="G26" s="318"/>
      <c r="I26" s="320">
        <f>F18+F23</f>
        <v>4568017665.333333</v>
      </c>
    </row>
    <row r="27" spans="1:9" ht="90" customHeight="1">
      <c r="A27" s="315" t="s">
        <v>28</v>
      </c>
      <c r="B27" s="316" t="str">
        <f>'Dự toán Chi tiết 2025'!B668</f>
        <v>Kinh phí công tác mua phôi,.. phục vụ công tác cấp Giấy chứng nhận QSD đất  và cấp giấy chứng nhận QSD đất lần đầu</v>
      </c>
      <c r="C27" s="317">
        <f>'Dự toán Chi tiết 2025'!L668</f>
        <v>250000000</v>
      </c>
      <c r="D27" s="317">
        <f>C27*10%</f>
        <v>25000000</v>
      </c>
      <c r="E27" s="317"/>
      <c r="F27" s="317">
        <f t="shared" si="1"/>
        <v>225000000</v>
      </c>
      <c r="G27" s="1493"/>
      <c r="I27" s="320">
        <f>I26-I25</f>
        <v>770000000</v>
      </c>
    </row>
    <row r="28" spans="1:9" ht="37.5">
      <c r="A28" s="315" t="s">
        <v>29</v>
      </c>
      <c r="B28" s="1493" t="str">
        <f>'Dự toán Chi tiết 2025'!B677</f>
        <v>Kinh phí khai thác và sử dụng tài liệu đất đai</v>
      </c>
      <c r="C28" s="317">
        <f>'Dự toán Chi tiết 2025'!L677</f>
        <v>50000000</v>
      </c>
      <c r="D28" s="317">
        <f t="shared" ref="D28:D46" si="2">C28*10%</f>
        <v>5000000</v>
      </c>
      <c r="E28" s="317"/>
      <c r="F28" s="317">
        <f t="shared" si="1"/>
        <v>45000000</v>
      </c>
      <c r="G28" s="1494"/>
    </row>
    <row r="29" spans="1:9" ht="75">
      <c r="A29" s="315" t="s">
        <v>30</v>
      </c>
      <c r="B29" s="316" t="s">
        <v>415</v>
      </c>
      <c r="C29" s="317">
        <f>'Dự toán Chi tiết 2025'!L678</f>
        <v>20000000</v>
      </c>
      <c r="D29" s="317">
        <f t="shared" si="2"/>
        <v>2000000</v>
      </c>
      <c r="E29" s="317"/>
      <c r="F29" s="317">
        <f t="shared" si="1"/>
        <v>18000000</v>
      </c>
      <c r="G29" s="1494"/>
    </row>
    <row r="30" spans="1:9">
      <c r="A30" s="315"/>
      <c r="B30" s="316" t="str">
        <f>'ĐT_Kinh tế, HT &amp;Đô thị_V'!B30</f>
        <v>01 bộ bàn ghế</v>
      </c>
      <c r="C30" s="317">
        <v>4500000</v>
      </c>
      <c r="D30" s="317"/>
      <c r="E30" s="317"/>
      <c r="F30" s="317">
        <f t="shared" si="1"/>
        <v>4500000</v>
      </c>
      <c r="G30" s="1494"/>
    </row>
    <row r="31" spans="1:9" ht="56.25">
      <c r="A31" s="315"/>
      <c r="B31" s="316" t="str">
        <f>'Kinh tế V_điều chỉnh'!B30</f>
        <v>Chi kiểm soát giết mổ; cấp phép kinh doanh Rượu, ga, thuốc lá; An toàn thực phẩm,…</v>
      </c>
      <c r="C31" s="317">
        <v>31500000</v>
      </c>
      <c r="D31" s="317"/>
      <c r="E31" s="317"/>
      <c r="F31" s="317">
        <f t="shared" si="1"/>
        <v>31500000</v>
      </c>
      <c r="G31" s="1494"/>
    </row>
    <row r="32" spans="1:9" ht="112.5">
      <c r="A32" s="315"/>
      <c r="B32" s="316" t="str">
        <f>'Lap động tbxh_điều chỉnh'!B28</f>
        <v>Hoạt động điều tra, rà soát, đánh giá hộ nghèo; Quản lý nhà nước về người cao tuổi; bình đẳng giới; ban vì sự tiến bộ của phụ nữ; tệ nạn xã hội, Người khuyết tật; trẻ em; lao động việc làm….</v>
      </c>
      <c r="C32" s="317">
        <f>'[13]Sheet1 (2)'!$L$27</f>
        <v>50000000</v>
      </c>
      <c r="D32" s="317"/>
      <c r="E32" s="317"/>
      <c r="F32" s="317">
        <f t="shared" si="1"/>
        <v>50000000</v>
      </c>
      <c r="G32" s="1494"/>
    </row>
    <row r="33" spans="1:8" ht="75">
      <c r="A33" s="315" t="s">
        <v>31</v>
      </c>
      <c r="B33" s="316" t="s">
        <v>2052</v>
      </c>
      <c r="C33" s="317">
        <v>450000000</v>
      </c>
      <c r="D33" s="317">
        <f>C33*10%</f>
        <v>45000000</v>
      </c>
      <c r="E33" s="317"/>
      <c r="F33" s="317">
        <f>C33-D33</f>
        <v>405000000</v>
      </c>
      <c r="G33" s="1494"/>
    </row>
    <row r="34" spans="1:8" s="1365" customFormat="1" ht="19.5">
      <c r="A34" s="1361"/>
      <c r="B34" s="1362" t="str">
        <f>'Lap động tbxh_điều chỉnh'!B29</f>
        <v>Chi đảm bảo xã hội</v>
      </c>
      <c r="C34" s="1363">
        <f>C36+C37</f>
        <v>437694000</v>
      </c>
      <c r="D34" s="1363">
        <f t="shared" ref="D34:F34" si="3">D36+D37</f>
        <v>0</v>
      </c>
      <c r="E34" s="1363">
        <f t="shared" si="3"/>
        <v>0</v>
      </c>
      <c r="F34" s="1363">
        <f t="shared" si="3"/>
        <v>437694000</v>
      </c>
      <c r="G34" s="1495"/>
    </row>
    <row r="35" spans="1:8" ht="75">
      <c r="A35" s="315"/>
      <c r="B35" s="1493" t="str">
        <f>'Lap động tbxh_điều chỉnh'!B31</f>
        <v>Chính sách và hoạt động phục vụ các đối tượng bảo trợ xã hội và các đối tượng khác (Loại 370, Khoản 398)</v>
      </c>
      <c r="C35" s="317">
        <f>C36+C37</f>
        <v>437694000</v>
      </c>
      <c r="D35" s="317">
        <f t="shared" ref="D35:F35" si="4">D36+D37</f>
        <v>0</v>
      </c>
      <c r="E35" s="317">
        <f t="shared" si="4"/>
        <v>0</v>
      </c>
      <c r="F35" s="317">
        <f t="shared" si="4"/>
        <v>437694000</v>
      </c>
      <c r="G35" s="1494"/>
    </row>
    <row r="36" spans="1:8" ht="75">
      <c r="A36" s="315" t="s">
        <v>32</v>
      </c>
      <c r="B36" s="1493" t="str">
        <f>'[13]Sheet1 (2)'!$B$38</f>
        <v>Tham gia các cuộc thi nghề công tác xã hội, người KT, hội thi giảm nghèo và các hoạt động khác do tỉnh tổ chức</v>
      </c>
      <c r="C36" s="317">
        <f>'[13]Sheet1 (2)'!$L$38</f>
        <v>30000000</v>
      </c>
      <c r="D36" s="317"/>
      <c r="E36" s="317"/>
      <c r="F36" s="317">
        <f>C36-D36</f>
        <v>30000000</v>
      </c>
      <c r="G36" s="1494"/>
    </row>
    <row r="37" spans="1:8" ht="37.5">
      <c r="A37" s="315" t="s">
        <v>38</v>
      </c>
      <c r="B37" s="1493" t="str">
        <f>'[13]Sheet1 (2)'!$B$40</f>
        <v>Hỗ trợ tiền điện hộ nghèo hộ chính sách</v>
      </c>
      <c r="C37" s="317">
        <f>'[13]Sheet1 (2)'!$L$40</f>
        <v>407694000</v>
      </c>
      <c r="D37" s="317"/>
      <c r="E37" s="317"/>
      <c r="F37" s="317">
        <f>C37-D37</f>
        <v>407694000</v>
      </c>
      <c r="G37" s="1494"/>
    </row>
    <row r="38" spans="1:8" s="1365" customFormat="1" ht="19.5">
      <c r="A38" s="1361"/>
      <c r="B38" s="1362" t="s">
        <v>2008</v>
      </c>
      <c r="C38" s="1363">
        <f>SUM(C39:C46)</f>
        <v>9031500000</v>
      </c>
      <c r="D38" s="1363">
        <f t="shared" ref="D38:F38" si="5">SUM(D39:D46)</f>
        <v>770000000</v>
      </c>
      <c r="E38" s="1363">
        <f t="shared" si="5"/>
        <v>0</v>
      </c>
      <c r="F38" s="1363">
        <f t="shared" si="5"/>
        <v>8261500000</v>
      </c>
      <c r="G38" s="1495"/>
      <c r="H38" s="1434">
        <f>C38-D38</f>
        <v>8261500000</v>
      </c>
    </row>
    <row r="39" spans="1:8" s="1365" customFormat="1" ht="19.5">
      <c r="A39" s="315" t="s">
        <v>39</v>
      </c>
      <c r="B39" s="1493" t="str">
        <f>'Kinh tế V_điều chỉnh'!B37</f>
        <v>Nông nghiệp (281)</v>
      </c>
      <c r="C39" s="317">
        <f>[15]TH!$K$26</f>
        <v>431500000</v>
      </c>
      <c r="D39" s="1363"/>
      <c r="E39" s="1363"/>
      <c r="F39" s="317">
        <f t="shared" si="1"/>
        <v>431500000</v>
      </c>
      <c r="G39" s="1495"/>
    </row>
    <row r="40" spans="1:8" s="1365" customFormat="1" ht="36" customHeight="1">
      <c r="A40" s="315" t="s">
        <v>40</v>
      </c>
      <c r="B40" s="1493" t="str">
        <f>'Kinh tế V_điều chỉnh'!B39</f>
        <v>Hỗ trợ chương trình OCOP mỗi xã 01 sản phẩm (338)</v>
      </c>
      <c r="C40" s="317">
        <f>'Kinh tế V_điều chỉnh'!H39</f>
        <v>900000000</v>
      </c>
      <c r="D40" s="1363"/>
      <c r="E40" s="1363"/>
      <c r="F40" s="317">
        <f t="shared" si="1"/>
        <v>900000000</v>
      </c>
      <c r="G40" s="1495"/>
    </row>
    <row r="41" spans="1:8" ht="56.25">
      <c r="A41" s="315" t="s">
        <v>41</v>
      </c>
      <c r="B41" s="316" t="str">
        <f>'Dự toán Chi tiết 2025'!B680</f>
        <v>Kinh phí lập kế hoạch và điều chỉnh kế hoạch sử dụng đất năm 2025</v>
      </c>
      <c r="C41" s="317">
        <f>'Dự toán Chi tiết 2025'!L680</f>
        <v>1500000000</v>
      </c>
      <c r="D41" s="317">
        <f t="shared" si="2"/>
        <v>150000000</v>
      </c>
      <c r="E41" s="317"/>
      <c r="F41" s="317">
        <f t="shared" si="1"/>
        <v>1350000000</v>
      </c>
      <c r="G41" s="1494"/>
    </row>
    <row r="42" spans="1:8" ht="37.5">
      <c r="A42" s="315" t="s">
        <v>714</v>
      </c>
      <c r="B42" s="316" t="str">
        <f>'Dự toán Chi tiết 2025'!B681</f>
        <v>Kinh phí lập kế hoạch sử dụng đất năm 2026</v>
      </c>
      <c r="C42" s="317">
        <f>'Dự toán Chi tiết 2025'!L681</f>
        <v>200000000</v>
      </c>
      <c r="D42" s="317">
        <f>C42*10%</f>
        <v>20000000</v>
      </c>
      <c r="E42" s="317"/>
      <c r="F42" s="317">
        <f t="shared" si="1"/>
        <v>180000000</v>
      </c>
      <c r="G42" s="1494"/>
    </row>
    <row r="43" spans="1:8" ht="37.5">
      <c r="A43" s="315" t="s">
        <v>715</v>
      </c>
      <c r="B43" s="316" t="s">
        <v>2010</v>
      </c>
      <c r="C43" s="317">
        <f>'Dự toán Chi tiết 2025'!L684</f>
        <v>500000000</v>
      </c>
      <c r="D43" s="317">
        <f t="shared" si="2"/>
        <v>50000000</v>
      </c>
      <c r="E43" s="317"/>
      <c r="F43" s="317">
        <f t="shared" si="1"/>
        <v>450000000</v>
      </c>
      <c r="G43" s="1494"/>
    </row>
    <row r="44" spans="1:8">
      <c r="A44" s="315" t="s">
        <v>716</v>
      </c>
      <c r="B44" s="316" t="str">
        <f>'Dự toán Chi tiết 2025'!B682</f>
        <v>Kinh phí kiểm kê 2021-2025</v>
      </c>
      <c r="C44" s="317">
        <f>'Dự toán Chi tiết 2025'!L682</f>
        <v>2000000000</v>
      </c>
      <c r="D44" s="317">
        <f t="shared" si="2"/>
        <v>200000000</v>
      </c>
      <c r="E44" s="317"/>
      <c r="F44" s="317">
        <f t="shared" si="1"/>
        <v>1800000000</v>
      </c>
      <c r="G44" s="1494"/>
    </row>
    <row r="45" spans="1:8">
      <c r="A45" s="315" t="s">
        <v>717</v>
      </c>
      <c r="B45" s="316" t="str">
        <f>'Dự toán Chi tiết 2025'!B683</f>
        <v>Kinh phí tư vấn thẩm định giá</v>
      </c>
      <c r="C45" s="317">
        <f>'Dự toán Chi tiết 2025'!L683</f>
        <v>2000000000</v>
      </c>
      <c r="D45" s="317">
        <f t="shared" si="2"/>
        <v>200000000</v>
      </c>
      <c r="E45" s="317"/>
      <c r="F45" s="317">
        <f t="shared" si="1"/>
        <v>1800000000</v>
      </c>
      <c r="G45" s="1494"/>
    </row>
    <row r="46" spans="1:8" ht="37.5">
      <c r="A46" s="315" t="s">
        <v>1525</v>
      </c>
      <c r="B46" s="316" t="str">
        <f>'Dự toán Chi tiết 2025'!B685</f>
        <v>Kinh phí lập điều chỉnh quy hoạch</v>
      </c>
      <c r="C46" s="317">
        <f>'Dự toán Chi tiết 2025'!L685</f>
        <v>1500000000</v>
      </c>
      <c r="D46" s="317">
        <f t="shared" si="2"/>
        <v>150000000</v>
      </c>
      <c r="E46" s="317"/>
      <c r="F46" s="317">
        <f t="shared" si="1"/>
        <v>1350000000</v>
      </c>
      <c r="G46" s="1494"/>
    </row>
    <row r="47" spans="1:8" ht="75">
      <c r="A47" s="1494"/>
      <c r="B47" s="1359" t="str">
        <f>'Kinh tế V_điều chỉnh'!B41</f>
        <v>Chi phòng chống dịch bệnh gia súc, gia cầm và động vật thủy sản trên địa bàn thành phố Quảng Ngãi năm 2025</v>
      </c>
      <c r="C47" s="1363">
        <f>'Kinh tế V_điều chỉnh'!C41</f>
        <v>2706000000</v>
      </c>
      <c r="D47" s="1363"/>
      <c r="E47" s="1363"/>
      <c r="F47" s="1363">
        <f t="shared" si="1"/>
        <v>2706000000</v>
      </c>
      <c r="G47" s="1494"/>
    </row>
  </sheetData>
  <mergeCells count="8">
    <mergeCell ref="A9:G9"/>
    <mergeCell ref="A1:D1"/>
    <mergeCell ref="A2:D2"/>
    <mergeCell ref="A5:G5"/>
    <mergeCell ref="A6:G6"/>
    <mergeCell ref="A7:G7"/>
    <mergeCell ref="A8:G8"/>
    <mergeCell ref="A4:G4"/>
  </mergeCells>
  <pageMargins left="0.47244094488188981" right="0.39370078740157483" top="0.59055118110236227" bottom="0.51181102362204722" header="0.31496062992125984" footer="0.23622047244094491"/>
  <pageSetup paperSize="9" scale="64" fitToHeight="0"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36"/>
  <sheetViews>
    <sheetView topLeftCell="B7" zoomScale="85" zoomScaleNormal="85" workbookViewId="0">
      <selection activeCell="I15" sqref="I15"/>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9.140625" style="2"/>
    <col min="9" max="9" width="16.5703125" style="2" bestFit="1" customWidth="1"/>
    <col min="10"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9" ht="18.75" customHeight="1">
      <c r="A1" s="1838" t="s">
        <v>640</v>
      </c>
      <c r="B1" s="1838"/>
      <c r="C1" s="1838"/>
      <c r="D1" s="1838"/>
      <c r="E1" s="266"/>
      <c r="G1" s="3"/>
    </row>
    <row r="2" spans="1:9">
      <c r="A2" s="1798" t="s">
        <v>2006</v>
      </c>
      <c r="B2" s="1798"/>
      <c r="C2" s="1798"/>
      <c r="D2" s="1798"/>
      <c r="E2" s="237"/>
      <c r="F2" s="4"/>
    </row>
    <row r="3" spans="1:9">
      <c r="A3" s="5"/>
    </row>
    <row r="4" spans="1:9">
      <c r="A4" s="1798" t="str">
        <f>'TTDVNN V '!A4:G4</f>
        <v>DỰ TOÁN THU, CHI NGÂN SÁCH NHÀ NƯỚC NĂM 2025</v>
      </c>
      <c r="B4" s="1798"/>
      <c r="C4" s="1798"/>
      <c r="D4" s="1798"/>
      <c r="E4" s="1798"/>
      <c r="F4" s="1798"/>
      <c r="G4" s="1798"/>
    </row>
    <row r="5" spans="1:9">
      <c r="A5" s="1798" t="s">
        <v>645</v>
      </c>
      <c r="B5" s="1798"/>
      <c r="C5" s="1798"/>
      <c r="D5" s="1798"/>
      <c r="E5" s="1798"/>
      <c r="F5" s="1798"/>
      <c r="G5" s="1798"/>
    </row>
    <row r="6" spans="1:9">
      <c r="A6" s="1798" t="s">
        <v>641</v>
      </c>
      <c r="B6" s="1798"/>
      <c r="C6" s="1798"/>
      <c r="D6" s="1798"/>
      <c r="E6" s="1798"/>
      <c r="F6" s="1798"/>
      <c r="G6" s="1798"/>
    </row>
    <row r="7" spans="1:9">
      <c r="A7" s="1798" t="s">
        <v>17</v>
      </c>
      <c r="B7" s="1798"/>
      <c r="C7" s="1798"/>
      <c r="D7" s="1798"/>
      <c r="E7" s="1798"/>
      <c r="F7" s="1798"/>
      <c r="G7" s="1798"/>
    </row>
    <row r="8" spans="1:9">
      <c r="A8" s="1799">
        <f>'TTDVNN V '!A8:G8</f>
        <v>0</v>
      </c>
      <c r="B8" s="1799"/>
      <c r="C8" s="1799"/>
      <c r="D8" s="1799"/>
      <c r="E8" s="1799"/>
      <c r="F8" s="1799"/>
      <c r="G8" s="1799"/>
    </row>
    <row r="9" spans="1:9">
      <c r="G9" s="6" t="s">
        <v>43</v>
      </c>
    </row>
    <row r="10" spans="1:9"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9">
      <c r="A11" s="8" t="s">
        <v>20</v>
      </c>
      <c r="B11" s="8" t="s">
        <v>21</v>
      </c>
      <c r="C11" s="8" t="s">
        <v>22</v>
      </c>
      <c r="D11" s="8" t="s">
        <v>23</v>
      </c>
      <c r="E11" s="8" t="str">
        <f>'TTDVNN V '!E12</f>
        <v>(5)</v>
      </c>
      <c r="F11" s="8" t="str">
        <f>'TTDVNN V '!F12</f>
        <v>(6)=(3)-(4)+(5)</v>
      </c>
      <c r="G11" s="8" t="s">
        <v>25</v>
      </c>
    </row>
    <row r="12" spans="1:9" ht="37.5">
      <c r="A12" s="7" t="s">
        <v>2</v>
      </c>
      <c r="B12" s="9" t="s">
        <v>3</v>
      </c>
      <c r="C12" s="10">
        <f>C13+C14</f>
        <v>50000000</v>
      </c>
      <c r="D12" s="10"/>
      <c r="E12" s="10"/>
      <c r="F12" s="10"/>
      <c r="G12" s="11"/>
    </row>
    <row r="13" spans="1:9">
      <c r="A13" s="17">
        <v>1</v>
      </c>
      <c r="B13" s="18" t="s">
        <v>639</v>
      </c>
      <c r="C13" s="19">
        <v>50000000</v>
      </c>
      <c r="D13" s="19"/>
      <c r="E13" s="19"/>
      <c r="F13" s="19"/>
      <c r="G13" s="11"/>
    </row>
    <row r="14" spans="1:9">
      <c r="A14" s="17">
        <v>2</v>
      </c>
      <c r="B14" s="18" t="s">
        <v>7</v>
      </c>
      <c r="C14" s="19"/>
      <c r="D14" s="19"/>
      <c r="E14" s="19"/>
      <c r="F14" s="19"/>
      <c r="G14" s="11"/>
    </row>
    <row r="15" spans="1:9" ht="37.5">
      <c r="A15" s="7" t="s">
        <v>12</v>
      </c>
      <c r="B15" s="9" t="s">
        <v>84</v>
      </c>
      <c r="C15" s="10">
        <f>C16</f>
        <v>10857282000</v>
      </c>
      <c r="D15" s="10">
        <f>D16</f>
        <v>892900000</v>
      </c>
      <c r="E15" s="10">
        <f>E16</f>
        <v>892900000</v>
      </c>
      <c r="F15" s="10">
        <f>F16</f>
        <v>10857282000</v>
      </c>
      <c r="G15" s="11"/>
      <c r="I15" s="240">
        <f>F15-'Dự toán Chi tiết 2025'!L656</f>
        <v>0</v>
      </c>
    </row>
    <row r="16" spans="1:9">
      <c r="A16" s="7" t="s">
        <v>192</v>
      </c>
      <c r="B16" s="9" t="s">
        <v>121</v>
      </c>
      <c r="C16" s="10">
        <f>C17+C21</f>
        <v>10857282000</v>
      </c>
      <c r="D16" s="10">
        <f>D17+D21</f>
        <v>892900000</v>
      </c>
      <c r="E16" s="10">
        <f>E17+E21</f>
        <v>892900000</v>
      </c>
      <c r="F16" s="10">
        <f>F17+F21</f>
        <v>10857282000</v>
      </c>
      <c r="G16" s="11"/>
    </row>
    <row r="17" spans="1:9" s="16" customFormat="1" ht="39">
      <c r="A17" s="12">
        <v>1</v>
      </c>
      <c r="B17" s="13" t="s">
        <v>9</v>
      </c>
      <c r="C17" s="14">
        <f>SUM(C18:C20)</f>
        <v>2306732000</v>
      </c>
      <c r="D17" s="14">
        <f>SUM(D18:D20)</f>
        <v>45900000</v>
      </c>
      <c r="E17" s="14">
        <f>SUM(E18:E20)</f>
        <v>892900000</v>
      </c>
      <c r="F17" s="14">
        <f>SUM(F18:F20)</f>
        <v>3153732000</v>
      </c>
      <c r="G17" s="15"/>
      <c r="I17" s="311">
        <f>F17-'Dự toán Chi tiết 2025'!L657</f>
        <v>847000000</v>
      </c>
    </row>
    <row r="18" spans="1:9" ht="37.5">
      <c r="A18" s="17" t="s">
        <v>5</v>
      </c>
      <c r="B18" s="18" t="s">
        <v>26</v>
      </c>
      <c r="C18" s="19">
        <f>'Dự toán Chi tiết 2025'!L659</f>
        <v>1745100000</v>
      </c>
      <c r="D18" s="19"/>
      <c r="E18" s="19"/>
      <c r="F18" s="19">
        <f>C18-D18+E18</f>
        <v>1745100000</v>
      </c>
      <c r="G18" s="11"/>
    </row>
    <row r="19" spans="1:9" ht="37.5">
      <c r="A19" s="17" t="s">
        <v>6</v>
      </c>
      <c r="B19" s="18" t="str">
        <f>'TTDVNN V '!B18</f>
        <v>Kinh phí thực hiện cải cách tiền lương</v>
      </c>
      <c r="C19" s="19">
        <f>'Dự toán Chi tiết 2025'!L661</f>
        <v>102632000</v>
      </c>
      <c r="D19" s="19"/>
      <c r="E19" s="19">
        <f>D15</f>
        <v>892900000</v>
      </c>
      <c r="F19" s="19">
        <f>C19-D19+E19</f>
        <v>995532000</v>
      </c>
      <c r="G19" s="11"/>
      <c r="I19" s="240"/>
    </row>
    <row r="20" spans="1:9" ht="37.5">
      <c r="A20" s="17" t="s">
        <v>157</v>
      </c>
      <c r="B20" s="18" t="s">
        <v>27</v>
      </c>
      <c r="C20" s="19">
        <f>'Dự toán Chi tiết 2025'!L662</f>
        <v>459000000</v>
      </c>
      <c r="D20" s="19">
        <f>C20*10%</f>
        <v>45900000</v>
      </c>
      <c r="E20" s="19"/>
      <c r="F20" s="19">
        <f>C20-D20+E20</f>
        <v>413100000</v>
      </c>
      <c r="G20" s="11"/>
    </row>
    <row r="21" spans="1:9" s="16" customFormat="1" ht="39">
      <c r="A21" s="12">
        <v>2</v>
      </c>
      <c r="B21" s="13" t="str">
        <f>'Quản lý đô thị V'!B21</f>
        <v>Kinh phí nhiệm vụ không thường xuyên</v>
      </c>
      <c r="C21" s="14">
        <f>C22+C30</f>
        <v>8550550000</v>
      </c>
      <c r="D21" s="14">
        <f t="shared" ref="D21:F21" si="0">D22+D30</f>
        <v>847000000</v>
      </c>
      <c r="E21" s="14">
        <f t="shared" si="0"/>
        <v>0</v>
      </c>
      <c r="F21" s="14">
        <f t="shared" si="0"/>
        <v>7703550000</v>
      </c>
      <c r="G21" s="15"/>
    </row>
    <row r="22" spans="1:9" s="16" customFormat="1" ht="19.5">
      <c r="A22" s="12"/>
      <c r="B22" s="13" t="s">
        <v>2007</v>
      </c>
      <c r="C22" s="14">
        <f>SUM(C23:C29)</f>
        <v>850550000</v>
      </c>
      <c r="D22" s="14">
        <f t="shared" ref="D22:E22" si="1">SUM(D23:D29)</f>
        <v>77000000</v>
      </c>
      <c r="E22" s="14">
        <f t="shared" si="1"/>
        <v>0</v>
      </c>
      <c r="F22" s="14">
        <f>SUM(F23:F29)</f>
        <v>773550000</v>
      </c>
      <c r="G22" s="15"/>
    </row>
    <row r="23" spans="1:9">
      <c r="A23" s="17" t="s">
        <v>8</v>
      </c>
      <c r="B23" s="22" t="s">
        <v>399</v>
      </c>
      <c r="C23" s="19">
        <f>'Dự toán Chi tiết 2025'!L665</f>
        <v>36000000</v>
      </c>
      <c r="D23" s="19"/>
      <c r="E23" s="19"/>
      <c r="F23" s="19">
        <f t="shared" ref="F23:F36" si="2">C23-D23</f>
        <v>36000000</v>
      </c>
      <c r="G23" s="11"/>
    </row>
    <row r="24" spans="1:9" ht="37.5">
      <c r="A24" s="17" t="s">
        <v>11</v>
      </c>
      <c r="B24" s="22" t="s">
        <v>409</v>
      </c>
      <c r="C24" s="19">
        <f>'Dự toán Chi tiết 2025'!L666</f>
        <v>10050000</v>
      </c>
      <c r="D24" s="19"/>
      <c r="E24" s="19"/>
      <c r="F24" s="19">
        <f t="shared" si="2"/>
        <v>10050000</v>
      </c>
      <c r="G24" s="11"/>
    </row>
    <row r="25" spans="1:9">
      <c r="A25" s="17" t="s">
        <v>13</v>
      </c>
      <c r="B25" s="22" t="str">
        <f>'Dự toán Chi tiết 2025'!B667</f>
        <v>Kinh phí tổ chức Đại hội Chi bộ</v>
      </c>
      <c r="C25" s="19">
        <f>'Dự toán Chi tiết 2025'!L667</f>
        <v>34500000</v>
      </c>
      <c r="D25" s="19"/>
      <c r="E25" s="19"/>
      <c r="F25" s="19">
        <f t="shared" si="2"/>
        <v>34500000</v>
      </c>
      <c r="G25" s="11"/>
    </row>
    <row r="26" spans="1:9" ht="90" customHeight="1">
      <c r="A26" s="17" t="s">
        <v>28</v>
      </c>
      <c r="B26" s="22" t="str">
        <f>'Dự toán Chi tiết 2025'!B668</f>
        <v>Kinh phí công tác mua phôi,.. phục vụ công tác cấp Giấy chứng nhận QSD đất  và cấp giấy chứng nhận QSD đất lần đầu</v>
      </c>
      <c r="C26" s="19">
        <f>'Dự toán Chi tiết 2025'!L668</f>
        <v>250000000</v>
      </c>
      <c r="D26" s="19">
        <f>C26*10%</f>
        <v>25000000</v>
      </c>
      <c r="E26" s="19"/>
      <c r="F26" s="19">
        <f t="shared" si="2"/>
        <v>225000000</v>
      </c>
      <c r="G26" s="20"/>
    </row>
    <row r="27" spans="1:9" ht="37.5">
      <c r="A27" s="17" t="s">
        <v>29</v>
      </c>
      <c r="B27" s="50" t="str">
        <f>'Dự toán Chi tiết 2025'!B677</f>
        <v>Kinh phí khai thác và sử dụng tài liệu đất đai</v>
      </c>
      <c r="C27" s="19">
        <f>'Dự toán Chi tiết 2025'!L677</f>
        <v>50000000</v>
      </c>
      <c r="D27" s="19">
        <f t="shared" ref="D27:D36" si="3">C27*10%</f>
        <v>5000000</v>
      </c>
      <c r="E27" s="19"/>
      <c r="F27" s="19">
        <f t="shared" si="2"/>
        <v>45000000</v>
      </c>
      <c r="G27" s="252"/>
    </row>
    <row r="28" spans="1:9" ht="75">
      <c r="A28" s="17" t="s">
        <v>30</v>
      </c>
      <c r="B28" s="22" t="s">
        <v>415</v>
      </c>
      <c r="C28" s="19">
        <f>'Dự toán Chi tiết 2025'!L678</f>
        <v>20000000</v>
      </c>
      <c r="D28" s="19">
        <f t="shared" si="3"/>
        <v>2000000</v>
      </c>
      <c r="E28" s="19"/>
      <c r="F28" s="19">
        <f t="shared" si="2"/>
        <v>18000000</v>
      </c>
      <c r="G28" s="252"/>
    </row>
    <row r="29" spans="1:9" ht="75">
      <c r="A29" s="17" t="s">
        <v>31</v>
      </c>
      <c r="B29" s="22" t="s">
        <v>2052</v>
      </c>
      <c r="C29" s="19">
        <v>450000000</v>
      </c>
      <c r="D29" s="19">
        <f>C29*10%</f>
        <v>45000000</v>
      </c>
      <c r="E29" s="19"/>
      <c r="F29" s="19">
        <f>C29-D29</f>
        <v>405000000</v>
      </c>
      <c r="G29" s="252"/>
    </row>
    <row r="30" spans="1:9" s="16" customFormat="1" ht="19.5">
      <c r="A30" s="12"/>
      <c r="B30" s="1343" t="s">
        <v>2008</v>
      </c>
      <c r="C30" s="14">
        <f>SUM(C31:C36)</f>
        <v>7700000000</v>
      </c>
      <c r="D30" s="14">
        <f t="shared" ref="D30:F30" si="4">SUM(D31:D36)</f>
        <v>770000000</v>
      </c>
      <c r="E30" s="14">
        <f t="shared" si="4"/>
        <v>0</v>
      </c>
      <c r="F30" s="14">
        <f t="shared" si="4"/>
        <v>6930000000</v>
      </c>
      <c r="G30" s="1344"/>
    </row>
    <row r="31" spans="1:9" ht="56.25">
      <c r="A31" s="17" t="s">
        <v>32</v>
      </c>
      <c r="B31" s="22" t="str">
        <f>'Dự toán Chi tiết 2025'!B680</f>
        <v>Kinh phí lập kế hoạch và điều chỉnh kế hoạch sử dụng đất năm 2025</v>
      </c>
      <c r="C31" s="19">
        <f>'Dự toán Chi tiết 2025'!L680</f>
        <v>1500000000</v>
      </c>
      <c r="D31" s="19">
        <f t="shared" si="3"/>
        <v>150000000</v>
      </c>
      <c r="E31" s="19"/>
      <c r="F31" s="19">
        <f t="shared" si="2"/>
        <v>1350000000</v>
      </c>
      <c r="G31" s="252"/>
    </row>
    <row r="32" spans="1:9" ht="37.5">
      <c r="A32" s="17" t="s">
        <v>38</v>
      </c>
      <c r="B32" s="22" t="str">
        <f>'Dự toán Chi tiết 2025'!B681</f>
        <v>Kinh phí lập kế hoạch sử dụng đất năm 2026</v>
      </c>
      <c r="C32" s="19">
        <f>'Dự toán Chi tiết 2025'!L681</f>
        <v>200000000</v>
      </c>
      <c r="D32" s="19">
        <f t="shared" si="3"/>
        <v>20000000</v>
      </c>
      <c r="E32" s="19"/>
      <c r="F32" s="19">
        <f t="shared" si="2"/>
        <v>180000000</v>
      </c>
      <c r="G32" s="252"/>
    </row>
    <row r="33" spans="1:7" ht="37.5">
      <c r="A33" s="17" t="s">
        <v>39</v>
      </c>
      <c r="B33" s="22" t="s">
        <v>2010</v>
      </c>
      <c r="C33" s="19">
        <f>'Dự toán Chi tiết 2025'!L684</f>
        <v>500000000</v>
      </c>
      <c r="D33" s="19">
        <f t="shared" si="3"/>
        <v>50000000</v>
      </c>
      <c r="E33" s="19"/>
      <c r="F33" s="19">
        <f t="shared" si="2"/>
        <v>450000000</v>
      </c>
      <c r="G33" s="252"/>
    </row>
    <row r="34" spans="1:7">
      <c r="A34" s="17" t="s">
        <v>40</v>
      </c>
      <c r="B34" s="22" t="str">
        <f>'Dự toán Chi tiết 2025'!B682</f>
        <v>Kinh phí kiểm kê 2021-2025</v>
      </c>
      <c r="C34" s="19">
        <f>'Dự toán Chi tiết 2025'!L682</f>
        <v>2000000000</v>
      </c>
      <c r="D34" s="19">
        <f t="shared" si="3"/>
        <v>200000000</v>
      </c>
      <c r="E34" s="19"/>
      <c r="F34" s="19">
        <f t="shared" si="2"/>
        <v>1800000000</v>
      </c>
      <c r="G34" s="252"/>
    </row>
    <row r="35" spans="1:7">
      <c r="A35" s="17" t="s">
        <v>41</v>
      </c>
      <c r="B35" s="22" t="str">
        <f>'Dự toán Chi tiết 2025'!B683</f>
        <v>Kinh phí tư vấn thẩm định giá</v>
      </c>
      <c r="C35" s="19">
        <f>'Dự toán Chi tiết 2025'!L683</f>
        <v>2000000000</v>
      </c>
      <c r="D35" s="19">
        <f t="shared" si="3"/>
        <v>200000000</v>
      </c>
      <c r="E35" s="19"/>
      <c r="F35" s="19">
        <f t="shared" si="2"/>
        <v>1800000000</v>
      </c>
      <c r="G35" s="252"/>
    </row>
    <row r="36" spans="1:7" ht="37.5">
      <c r="A36" s="17" t="s">
        <v>714</v>
      </c>
      <c r="B36" s="22" t="str">
        <f>'Dự toán Chi tiết 2025'!B685</f>
        <v>Kinh phí lập điều chỉnh quy hoạch</v>
      </c>
      <c r="C36" s="297">
        <f>'Dự toán Chi tiết 2025'!L685</f>
        <v>1500000000</v>
      </c>
      <c r="D36" s="19">
        <f t="shared" si="3"/>
        <v>150000000</v>
      </c>
      <c r="E36" s="19"/>
      <c r="F36" s="19">
        <f t="shared" si="2"/>
        <v>1350000000</v>
      </c>
      <c r="G36" s="252"/>
    </row>
  </sheetData>
  <mergeCells count="7">
    <mergeCell ref="A8:G8"/>
    <mergeCell ref="A1:D1"/>
    <mergeCell ref="A2:D2"/>
    <mergeCell ref="A4:G4"/>
    <mergeCell ref="A5:G5"/>
    <mergeCell ref="A6:G6"/>
    <mergeCell ref="A7:G7"/>
  </mergeCells>
  <pageMargins left="0.47244094488188981" right="0.39370078740157483" top="0.59055118110236227" bottom="0.51181102362204722" header="0.31496062992125984" footer="0.23622047244094491"/>
  <pageSetup paperSize="9" scale="64" fitToHeight="0"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41"/>
  <sheetViews>
    <sheetView topLeftCell="A7" zoomScale="85" zoomScaleNormal="85" workbookViewId="0">
      <selection activeCell="G17" sqref="G17"/>
    </sheetView>
  </sheetViews>
  <sheetFormatPr defaultRowHeight="18.75"/>
  <cols>
    <col min="1" max="1" width="7.140625" style="288" customWidth="1"/>
    <col min="2" max="2" width="38.5703125" style="288" customWidth="1"/>
    <col min="3" max="3" width="19.28515625" style="288" customWidth="1"/>
    <col min="4" max="5" width="21.140625" style="288" customWidth="1"/>
    <col min="6" max="7" width="19.42578125" style="288" customWidth="1"/>
    <col min="8" max="9" width="19.42578125" style="288" hidden="1" customWidth="1"/>
    <col min="10" max="10" width="20" style="288" customWidth="1"/>
    <col min="11" max="11" width="18" style="288" bestFit="1" customWidth="1"/>
    <col min="12" max="263" width="9.140625" style="288"/>
    <col min="264" max="264" width="7.140625" style="288" customWidth="1"/>
    <col min="265" max="265" width="47.7109375" style="288" customWidth="1"/>
    <col min="266" max="266" width="19.28515625" style="288" customWidth="1"/>
    <col min="267" max="519" width="9.140625" style="288"/>
    <col min="520" max="520" width="7.140625" style="288" customWidth="1"/>
    <col min="521" max="521" width="47.7109375" style="288" customWidth="1"/>
    <col min="522" max="522" width="19.28515625" style="288" customWidth="1"/>
    <col min="523" max="775" width="9.140625" style="288"/>
    <col min="776" max="776" width="7.140625" style="288" customWidth="1"/>
    <col min="777" max="777" width="47.7109375" style="288" customWidth="1"/>
    <col min="778" max="778" width="19.28515625" style="288" customWidth="1"/>
    <col min="779" max="1031" width="9.140625" style="288"/>
    <col min="1032" max="1032" width="7.140625" style="288" customWidth="1"/>
    <col min="1033" max="1033" width="47.7109375" style="288" customWidth="1"/>
    <col min="1034" max="1034" width="19.28515625" style="288" customWidth="1"/>
    <col min="1035" max="1287" width="9.140625" style="288"/>
    <col min="1288" max="1288" width="7.140625" style="288" customWidth="1"/>
    <col min="1289" max="1289" width="47.7109375" style="288" customWidth="1"/>
    <col min="1290" max="1290" width="19.28515625" style="288" customWidth="1"/>
    <col min="1291" max="1543" width="9.140625" style="288"/>
    <col min="1544" max="1544" width="7.140625" style="288" customWidth="1"/>
    <col min="1545" max="1545" width="47.7109375" style="288" customWidth="1"/>
    <col min="1546" max="1546" width="19.28515625" style="288" customWidth="1"/>
    <col min="1547" max="1799" width="9.140625" style="288"/>
    <col min="1800" max="1800" width="7.140625" style="288" customWidth="1"/>
    <col min="1801" max="1801" width="47.7109375" style="288" customWidth="1"/>
    <col min="1802" max="1802" width="19.28515625" style="288" customWidth="1"/>
    <col min="1803" max="2055" width="9.140625" style="288"/>
    <col min="2056" max="2056" width="7.140625" style="288" customWidth="1"/>
    <col min="2057" max="2057" width="47.7109375" style="288" customWidth="1"/>
    <col min="2058" max="2058" width="19.28515625" style="288" customWidth="1"/>
    <col min="2059" max="2311" width="9.140625" style="288"/>
    <col min="2312" max="2312" width="7.140625" style="288" customWidth="1"/>
    <col min="2313" max="2313" width="47.7109375" style="288" customWidth="1"/>
    <col min="2314" max="2314" width="19.28515625" style="288" customWidth="1"/>
    <col min="2315" max="2567" width="9.140625" style="288"/>
    <col min="2568" max="2568" width="7.140625" style="288" customWidth="1"/>
    <col min="2569" max="2569" width="47.7109375" style="288" customWidth="1"/>
    <col min="2570" max="2570" width="19.28515625" style="288" customWidth="1"/>
    <col min="2571" max="2823" width="9.140625" style="288"/>
    <col min="2824" max="2824" width="7.140625" style="288" customWidth="1"/>
    <col min="2825" max="2825" width="47.7109375" style="288" customWidth="1"/>
    <col min="2826" max="2826" width="19.28515625" style="288" customWidth="1"/>
    <col min="2827" max="3079" width="9.140625" style="288"/>
    <col min="3080" max="3080" width="7.140625" style="288" customWidth="1"/>
    <col min="3081" max="3081" width="47.7109375" style="288" customWidth="1"/>
    <col min="3082" max="3082" width="19.28515625" style="288" customWidth="1"/>
    <col min="3083" max="3335" width="9.140625" style="288"/>
    <col min="3336" max="3336" width="7.140625" style="288" customWidth="1"/>
    <col min="3337" max="3337" width="47.7109375" style="288" customWidth="1"/>
    <col min="3338" max="3338" width="19.28515625" style="288" customWidth="1"/>
    <col min="3339" max="3591" width="9.140625" style="288"/>
    <col min="3592" max="3592" width="7.140625" style="288" customWidth="1"/>
    <col min="3593" max="3593" width="47.7109375" style="288" customWidth="1"/>
    <col min="3594" max="3594" width="19.28515625" style="288" customWidth="1"/>
    <col min="3595" max="3847" width="9.140625" style="288"/>
    <col min="3848" max="3848" width="7.140625" style="288" customWidth="1"/>
    <col min="3849" max="3849" width="47.7109375" style="288" customWidth="1"/>
    <col min="3850" max="3850" width="19.28515625" style="288" customWidth="1"/>
    <col min="3851" max="4103" width="9.140625" style="288"/>
    <col min="4104" max="4104" width="7.140625" style="288" customWidth="1"/>
    <col min="4105" max="4105" width="47.7109375" style="288" customWidth="1"/>
    <col min="4106" max="4106" width="19.28515625" style="288" customWidth="1"/>
    <col min="4107" max="4359" width="9.140625" style="288"/>
    <col min="4360" max="4360" width="7.140625" style="288" customWidth="1"/>
    <col min="4361" max="4361" width="47.7109375" style="288" customWidth="1"/>
    <col min="4362" max="4362" width="19.28515625" style="288" customWidth="1"/>
    <col min="4363" max="4615" width="9.140625" style="288"/>
    <col min="4616" max="4616" width="7.140625" style="288" customWidth="1"/>
    <col min="4617" max="4617" width="47.7109375" style="288" customWidth="1"/>
    <col min="4618" max="4618" width="19.28515625" style="288" customWidth="1"/>
    <col min="4619" max="4871" width="9.140625" style="288"/>
    <col min="4872" max="4872" width="7.140625" style="288" customWidth="1"/>
    <col min="4873" max="4873" width="47.7109375" style="288" customWidth="1"/>
    <col min="4874" max="4874" width="19.28515625" style="288" customWidth="1"/>
    <col min="4875" max="5127" width="9.140625" style="288"/>
    <col min="5128" max="5128" width="7.140625" style="288" customWidth="1"/>
    <col min="5129" max="5129" width="47.7109375" style="288" customWidth="1"/>
    <col min="5130" max="5130" width="19.28515625" style="288" customWidth="1"/>
    <col min="5131" max="5383" width="9.140625" style="288"/>
    <col min="5384" max="5384" width="7.140625" style="288" customWidth="1"/>
    <col min="5385" max="5385" width="47.7109375" style="288" customWidth="1"/>
    <col min="5386" max="5386" width="19.28515625" style="288" customWidth="1"/>
    <col min="5387" max="5639" width="9.140625" style="288"/>
    <col min="5640" max="5640" width="7.140625" style="288" customWidth="1"/>
    <col min="5641" max="5641" width="47.7109375" style="288" customWidth="1"/>
    <col min="5642" max="5642" width="19.28515625" style="288" customWidth="1"/>
    <col min="5643" max="5895" width="9.140625" style="288"/>
    <col min="5896" max="5896" width="7.140625" style="288" customWidth="1"/>
    <col min="5897" max="5897" width="47.7109375" style="288" customWidth="1"/>
    <col min="5898" max="5898" width="19.28515625" style="288" customWidth="1"/>
    <col min="5899" max="6151" width="9.140625" style="288"/>
    <col min="6152" max="6152" width="7.140625" style="288" customWidth="1"/>
    <col min="6153" max="6153" width="47.7109375" style="288" customWidth="1"/>
    <col min="6154" max="6154" width="19.28515625" style="288" customWidth="1"/>
    <col min="6155" max="6407" width="9.140625" style="288"/>
    <col min="6408" max="6408" width="7.140625" style="288" customWidth="1"/>
    <col min="6409" max="6409" width="47.7109375" style="288" customWidth="1"/>
    <col min="6410" max="6410" width="19.28515625" style="288" customWidth="1"/>
    <col min="6411" max="6663" width="9.140625" style="288"/>
    <col min="6664" max="6664" width="7.140625" style="288" customWidth="1"/>
    <col min="6665" max="6665" width="47.7109375" style="288" customWidth="1"/>
    <col min="6666" max="6666" width="19.28515625" style="288" customWidth="1"/>
    <col min="6667" max="6919" width="9.140625" style="288"/>
    <col min="6920" max="6920" width="7.140625" style="288" customWidth="1"/>
    <col min="6921" max="6921" width="47.7109375" style="288" customWidth="1"/>
    <col min="6922" max="6922" width="19.28515625" style="288" customWidth="1"/>
    <col min="6923" max="7175" width="9.140625" style="288"/>
    <col min="7176" max="7176" width="7.140625" style="288" customWidth="1"/>
    <col min="7177" max="7177" width="47.7109375" style="288" customWidth="1"/>
    <col min="7178" max="7178" width="19.28515625" style="288" customWidth="1"/>
    <col min="7179" max="7431" width="9.140625" style="288"/>
    <col min="7432" max="7432" width="7.140625" style="288" customWidth="1"/>
    <col min="7433" max="7433" width="47.7109375" style="288" customWidth="1"/>
    <col min="7434" max="7434" width="19.28515625" style="288" customWidth="1"/>
    <col min="7435" max="7687" width="9.140625" style="288"/>
    <col min="7688" max="7688" width="7.140625" style="288" customWidth="1"/>
    <col min="7689" max="7689" width="47.7109375" style="288" customWidth="1"/>
    <col min="7690" max="7690" width="19.28515625" style="288" customWidth="1"/>
    <col min="7691" max="7943" width="9.140625" style="288"/>
    <col min="7944" max="7944" width="7.140625" style="288" customWidth="1"/>
    <col min="7945" max="7945" width="47.7109375" style="288" customWidth="1"/>
    <col min="7946" max="7946" width="19.28515625" style="288" customWidth="1"/>
    <col min="7947" max="8199" width="9.140625" style="288"/>
    <col min="8200" max="8200" width="7.140625" style="288" customWidth="1"/>
    <col min="8201" max="8201" width="47.7109375" style="288" customWidth="1"/>
    <col min="8202" max="8202" width="19.28515625" style="288" customWidth="1"/>
    <col min="8203" max="8455" width="9.140625" style="288"/>
    <col min="8456" max="8456" width="7.140625" style="288" customWidth="1"/>
    <col min="8457" max="8457" width="47.7109375" style="288" customWidth="1"/>
    <col min="8458" max="8458" width="19.28515625" style="288" customWidth="1"/>
    <col min="8459" max="8711" width="9.140625" style="288"/>
    <col min="8712" max="8712" width="7.140625" style="288" customWidth="1"/>
    <col min="8713" max="8713" width="47.7109375" style="288" customWidth="1"/>
    <col min="8714" max="8714" width="19.28515625" style="288" customWidth="1"/>
    <col min="8715" max="8967" width="9.140625" style="288"/>
    <col min="8968" max="8968" width="7.140625" style="288" customWidth="1"/>
    <col min="8969" max="8969" width="47.7109375" style="288" customWidth="1"/>
    <col min="8970" max="8970" width="19.28515625" style="288" customWidth="1"/>
    <col min="8971" max="9223" width="9.140625" style="288"/>
    <col min="9224" max="9224" width="7.140625" style="288" customWidth="1"/>
    <col min="9225" max="9225" width="47.7109375" style="288" customWidth="1"/>
    <col min="9226" max="9226" width="19.28515625" style="288" customWidth="1"/>
    <col min="9227" max="9479" width="9.140625" style="288"/>
    <col min="9480" max="9480" width="7.140625" style="288" customWidth="1"/>
    <col min="9481" max="9481" width="47.7109375" style="288" customWidth="1"/>
    <col min="9482" max="9482" width="19.28515625" style="288" customWidth="1"/>
    <col min="9483" max="9735" width="9.140625" style="288"/>
    <col min="9736" max="9736" width="7.140625" style="288" customWidth="1"/>
    <col min="9737" max="9737" width="47.7109375" style="288" customWidth="1"/>
    <col min="9738" max="9738" width="19.28515625" style="288" customWidth="1"/>
    <col min="9739" max="9991" width="9.140625" style="288"/>
    <col min="9992" max="9992" width="7.140625" style="288" customWidth="1"/>
    <col min="9993" max="9993" width="47.7109375" style="288" customWidth="1"/>
    <col min="9994" max="9994" width="19.28515625" style="288" customWidth="1"/>
    <col min="9995" max="10247" width="9.140625" style="288"/>
    <col min="10248" max="10248" width="7.140625" style="288" customWidth="1"/>
    <col min="10249" max="10249" width="47.7109375" style="288" customWidth="1"/>
    <col min="10250" max="10250" width="19.28515625" style="288" customWidth="1"/>
    <col min="10251" max="10503" width="9.140625" style="288"/>
    <col min="10504" max="10504" width="7.140625" style="288" customWidth="1"/>
    <col min="10505" max="10505" width="47.7109375" style="288" customWidth="1"/>
    <col min="10506" max="10506" width="19.28515625" style="288" customWidth="1"/>
    <col min="10507" max="10759" width="9.140625" style="288"/>
    <col min="10760" max="10760" width="7.140625" style="288" customWidth="1"/>
    <col min="10761" max="10761" width="47.7109375" style="288" customWidth="1"/>
    <col min="10762" max="10762" width="19.28515625" style="288" customWidth="1"/>
    <col min="10763" max="11015" width="9.140625" style="288"/>
    <col min="11016" max="11016" width="7.140625" style="288" customWidth="1"/>
    <col min="11017" max="11017" width="47.7109375" style="288" customWidth="1"/>
    <col min="11018" max="11018" width="19.28515625" style="288" customWidth="1"/>
    <col min="11019" max="11271" width="9.140625" style="288"/>
    <col min="11272" max="11272" width="7.140625" style="288" customWidth="1"/>
    <col min="11273" max="11273" width="47.7109375" style="288" customWidth="1"/>
    <col min="11274" max="11274" width="19.28515625" style="288" customWidth="1"/>
    <col min="11275" max="11527" width="9.140625" style="288"/>
    <col min="11528" max="11528" width="7.140625" style="288" customWidth="1"/>
    <col min="11529" max="11529" width="47.7109375" style="288" customWidth="1"/>
    <col min="11530" max="11530" width="19.28515625" style="288" customWidth="1"/>
    <col min="11531" max="11783" width="9.140625" style="288"/>
    <col min="11784" max="11784" width="7.140625" style="288" customWidth="1"/>
    <col min="11785" max="11785" width="47.7109375" style="288" customWidth="1"/>
    <col min="11786" max="11786" width="19.28515625" style="288" customWidth="1"/>
    <col min="11787" max="12039" width="9.140625" style="288"/>
    <col min="12040" max="12040" width="7.140625" style="288" customWidth="1"/>
    <col min="12041" max="12041" width="47.7109375" style="288" customWidth="1"/>
    <col min="12042" max="12042" width="19.28515625" style="288" customWidth="1"/>
    <col min="12043" max="12295" width="9.140625" style="288"/>
    <col min="12296" max="12296" width="7.140625" style="288" customWidth="1"/>
    <col min="12297" max="12297" width="47.7109375" style="288" customWidth="1"/>
    <col min="12298" max="12298" width="19.28515625" style="288" customWidth="1"/>
    <col min="12299" max="12551" width="9.140625" style="288"/>
    <col min="12552" max="12552" width="7.140625" style="288" customWidth="1"/>
    <col min="12553" max="12553" width="47.7109375" style="288" customWidth="1"/>
    <col min="12554" max="12554" width="19.28515625" style="288" customWidth="1"/>
    <col min="12555" max="12807" width="9.140625" style="288"/>
    <col min="12808" max="12808" width="7.140625" style="288" customWidth="1"/>
    <col min="12809" max="12809" width="47.7109375" style="288" customWidth="1"/>
    <col min="12810" max="12810" width="19.28515625" style="288" customWidth="1"/>
    <col min="12811" max="13063" width="9.140625" style="288"/>
    <col min="13064" max="13064" width="7.140625" style="288" customWidth="1"/>
    <col min="13065" max="13065" width="47.7109375" style="288" customWidth="1"/>
    <col min="13066" max="13066" width="19.28515625" style="288" customWidth="1"/>
    <col min="13067" max="13319" width="9.140625" style="288"/>
    <col min="13320" max="13320" width="7.140625" style="288" customWidth="1"/>
    <col min="13321" max="13321" width="47.7109375" style="288" customWidth="1"/>
    <col min="13322" max="13322" width="19.28515625" style="288" customWidth="1"/>
    <col min="13323" max="13575" width="9.140625" style="288"/>
    <col min="13576" max="13576" width="7.140625" style="288" customWidth="1"/>
    <col min="13577" max="13577" width="47.7109375" style="288" customWidth="1"/>
    <col min="13578" max="13578" width="19.28515625" style="288" customWidth="1"/>
    <col min="13579" max="13831" width="9.140625" style="288"/>
    <col min="13832" max="13832" width="7.140625" style="288" customWidth="1"/>
    <col min="13833" max="13833" width="47.7109375" style="288" customWidth="1"/>
    <col min="13834" max="13834" width="19.28515625" style="288" customWidth="1"/>
    <col min="13835" max="14087" width="9.140625" style="288"/>
    <col min="14088" max="14088" width="7.140625" style="288" customWidth="1"/>
    <col min="14089" max="14089" width="47.7109375" style="288" customWidth="1"/>
    <col min="14090" max="14090" width="19.28515625" style="288" customWidth="1"/>
    <col min="14091" max="14343" width="9.140625" style="288"/>
    <col min="14344" max="14344" width="7.140625" style="288" customWidth="1"/>
    <col min="14345" max="14345" width="47.7109375" style="288" customWidth="1"/>
    <col min="14346" max="14346" width="19.28515625" style="288" customWidth="1"/>
    <col min="14347" max="14599" width="9.140625" style="288"/>
    <col min="14600" max="14600" width="7.140625" style="288" customWidth="1"/>
    <col min="14601" max="14601" width="47.7109375" style="288" customWidth="1"/>
    <col min="14602" max="14602" width="19.28515625" style="288" customWidth="1"/>
    <col min="14603" max="14855" width="9.140625" style="288"/>
    <col min="14856" max="14856" width="7.140625" style="288" customWidth="1"/>
    <col min="14857" max="14857" width="47.7109375" style="288" customWidth="1"/>
    <col min="14858" max="14858" width="19.28515625" style="288" customWidth="1"/>
    <col min="14859" max="15111" width="9.140625" style="288"/>
    <col min="15112" max="15112" width="7.140625" style="288" customWidth="1"/>
    <col min="15113" max="15113" width="47.7109375" style="288" customWidth="1"/>
    <col min="15114" max="15114" width="19.28515625" style="288" customWidth="1"/>
    <col min="15115" max="15367" width="9.140625" style="288"/>
    <col min="15368" max="15368" width="7.140625" style="288" customWidth="1"/>
    <col min="15369" max="15369" width="47.7109375" style="288" customWidth="1"/>
    <col min="15370" max="15370" width="19.28515625" style="288" customWidth="1"/>
    <col min="15371" max="15623" width="9.140625" style="288"/>
    <col min="15624" max="15624" width="7.140625" style="288" customWidth="1"/>
    <col min="15625" max="15625" width="47.7109375" style="288" customWidth="1"/>
    <col min="15626" max="15626" width="19.28515625" style="288" customWidth="1"/>
    <col min="15627" max="15879" width="9.140625" style="288"/>
    <col min="15880" max="15880" width="7.140625" style="288" customWidth="1"/>
    <col min="15881" max="15881" width="47.7109375" style="288" customWidth="1"/>
    <col min="15882" max="15882" width="19.28515625" style="288" customWidth="1"/>
    <col min="15883" max="16135" width="9.140625" style="288"/>
    <col min="16136" max="16136" width="7.140625" style="288" customWidth="1"/>
    <col min="16137" max="16137" width="47.7109375" style="288" customWidth="1"/>
    <col min="16138" max="16138" width="19.28515625" style="288" customWidth="1"/>
    <col min="16139" max="16384" width="9.140625" style="288"/>
  </cols>
  <sheetData>
    <row r="1" spans="1:11" ht="18.75" customHeight="1">
      <c r="A1" s="1801" t="s">
        <v>642</v>
      </c>
      <c r="B1" s="1801"/>
      <c r="C1" s="1380"/>
      <c r="D1" s="1380"/>
      <c r="E1" s="1380"/>
      <c r="J1" s="1334"/>
    </row>
    <row r="2" spans="1:11">
      <c r="A2" s="1802" t="s">
        <v>2012</v>
      </c>
      <c r="B2" s="1802"/>
      <c r="C2" s="1382"/>
      <c r="D2" s="1382"/>
      <c r="E2" s="1382"/>
      <c r="F2" s="1335"/>
      <c r="G2" s="1335"/>
      <c r="H2" s="1335"/>
      <c r="I2" s="1335"/>
    </row>
    <row r="3" spans="1:11">
      <c r="A3" s="1458"/>
      <c r="B3" s="1458"/>
      <c r="C3" s="1382"/>
      <c r="D3" s="1382"/>
      <c r="E3" s="1382"/>
      <c r="F3" s="1335"/>
      <c r="G3" s="1335"/>
      <c r="H3" s="1335"/>
      <c r="I3" s="1335"/>
    </row>
    <row r="4" spans="1:11">
      <c r="A4" s="1336"/>
      <c r="B4" s="1842" t="s">
        <v>2063</v>
      </c>
      <c r="C4" s="1842"/>
      <c r="D4" s="1842"/>
      <c r="E4" s="1842"/>
      <c r="F4" s="1842"/>
      <c r="G4" s="1842"/>
      <c r="H4" s="1842"/>
      <c r="I4" s="1842"/>
      <c r="J4" s="1842"/>
    </row>
    <row r="5" spans="1:11" hidden="1">
      <c r="A5" s="1802" t="str">
        <f>'TTDVNN V '!A4:G4</f>
        <v>DỰ TOÁN THU, CHI NGÂN SÁCH NHÀ NƯỚC NĂM 2025</v>
      </c>
      <c r="B5" s="1802"/>
      <c r="C5" s="1802"/>
      <c r="D5" s="1802"/>
      <c r="E5" s="1802"/>
      <c r="F5" s="1802"/>
      <c r="G5" s="1802"/>
      <c r="H5" s="1802"/>
      <c r="I5" s="1802"/>
      <c r="J5" s="1802"/>
    </row>
    <row r="6" spans="1:11">
      <c r="A6" s="1802" t="s">
        <v>644</v>
      </c>
      <c r="B6" s="1802"/>
      <c r="C6" s="1802"/>
      <c r="D6" s="1802"/>
      <c r="E6" s="1802"/>
      <c r="F6" s="1802"/>
      <c r="G6" s="1802"/>
      <c r="H6" s="1802"/>
      <c r="I6" s="1802"/>
      <c r="J6" s="1802"/>
    </row>
    <row r="7" spans="1:11">
      <c r="A7" s="1802" t="s">
        <v>643</v>
      </c>
      <c r="B7" s="1802"/>
      <c r="C7" s="1802"/>
      <c r="D7" s="1802"/>
      <c r="E7" s="1802"/>
      <c r="F7" s="1802"/>
      <c r="G7" s="1802"/>
      <c r="H7" s="1802"/>
      <c r="I7" s="1802"/>
      <c r="J7" s="1802"/>
    </row>
    <row r="8" spans="1:11">
      <c r="A8" s="1802" t="s">
        <v>17</v>
      </c>
      <c r="B8" s="1802"/>
      <c r="C8" s="1802"/>
      <c r="D8" s="1802"/>
      <c r="E8" s="1802"/>
      <c r="F8" s="1802"/>
      <c r="G8" s="1802"/>
      <c r="H8" s="1802"/>
      <c r="I8" s="1802"/>
      <c r="J8" s="1802"/>
    </row>
    <row r="9" spans="1:11">
      <c r="A9" s="1800"/>
      <c r="B9" s="1800"/>
      <c r="C9" s="1800"/>
      <c r="D9" s="1800"/>
      <c r="E9" s="1800"/>
      <c r="F9" s="1800"/>
      <c r="G9" s="1800"/>
      <c r="H9" s="1800"/>
      <c r="I9" s="1800"/>
      <c r="J9" s="1800"/>
    </row>
    <row r="10" spans="1:11">
      <c r="A10" s="1457"/>
      <c r="B10" s="1457"/>
      <c r="C10" s="1457"/>
      <c r="D10" s="1457"/>
      <c r="E10" s="1457"/>
      <c r="F10" s="1457"/>
      <c r="G10" s="1457"/>
      <c r="H10" s="1457"/>
      <c r="I10" s="1457"/>
      <c r="J10" s="1457"/>
    </row>
    <row r="11" spans="1:11">
      <c r="J11" s="289" t="s">
        <v>43</v>
      </c>
    </row>
    <row r="12" spans="1:11" ht="117" customHeight="1">
      <c r="A12" s="290" t="s">
        <v>0</v>
      </c>
      <c r="B12" s="290" t="s">
        <v>1</v>
      </c>
      <c r="C12" s="290" t="str">
        <f>'TTDVNN V '!C11</f>
        <v>Dự toán 
năm 2025</v>
      </c>
      <c r="D12" s="290" t="s">
        <v>18</v>
      </c>
      <c r="E12" s="290" t="str">
        <f>'TTDVNN V '!E11</f>
        <v>Thực hiện cải cách tiền lương từ nguồn tiết kiệm chi 10% của đơn vị</v>
      </c>
      <c r="F12" s="290" t="s">
        <v>117</v>
      </c>
      <c r="G12" s="290" t="s">
        <v>2056</v>
      </c>
      <c r="H12" s="290" t="s">
        <v>2055</v>
      </c>
      <c r="I12" s="290" t="s">
        <v>2057</v>
      </c>
      <c r="J12" s="290" t="s">
        <v>19</v>
      </c>
    </row>
    <row r="13" spans="1:11">
      <c r="A13" s="291" t="s">
        <v>20</v>
      </c>
      <c r="B13" s="291" t="s">
        <v>21</v>
      </c>
      <c r="C13" s="291" t="s">
        <v>22</v>
      </c>
      <c r="D13" s="291" t="s">
        <v>23</v>
      </c>
      <c r="E13" s="291" t="str">
        <f>'TTDVNN V '!E12</f>
        <v>(5)</v>
      </c>
      <c r="F13" s="291" t="str">
        <f>'TTDVNN V '!F12</f>
        <v>(6)=(3)-(4)+(5)</v>
      </c>
      <c r="G13" s="291"/>
      <c r="H13" s="291"/>
      <c r="I13" s="291"/>
      <c r="J13" s="291" t="s">
        <v>25</v>
      </c>
    </row>
    <row r="14" spans="1:11" ht="37.5">
      <c r="A14" s="290" t="s">
        <v>2</v>
      </c>
      <c r="B14" s="292" t="s">
        <v>3</v>
      </c>
      <c r="C14" s="293">
        <f>C15+C16</f>
        <v>60000000</v>
      </c>
      <c r="D14" s="293"/>
      <c r="E14" s="293"/>
      <c r="F14" s="293"/>
      <c r="G14" s="293"/>
      <c r="H14" s="293"/>
      <c r="I14" s="293"/>
      <c r="J14" s="294"/>
    </row>
    <row r="15" spans="1:11">
      <c r="A15" s="295">
        <v>1</v>
      </c>
      <c r="B15" s="296" t="s">
        <v>639</v>
      </c>
      <c r="C15" s="297">
        <v>60000000</v>
      </c>
      <c r="D15" s="297"/>
      <c r="E15" s="297"/>
      <c r="F15" s="297"/>
      <c r="G15" s="297"/>
      <c r="H15" s="297"/>
      <c r="I15" s="297"/>
      <c r="J15" s="294"/>
      <c r="K15" s="298">
        <f>F17-G17</f>
        <v>5981795348</v>
      </c>
    </row>
    <row r="16" spans="1:11">
      <c r="A16" s="295">
        <v>2</v>
      </c>
      <c r="B16" s="296" t="s">
        <v>7</v>
      </c>
      <c r="C16" s="297"/>
      <c r="D16" s="297"/>
      <c r="E16" s="297"/>
      <c r="F16" s="297"/>
      <c r="G16" s="297"/>
      <c r="H16" s="297"/>
      <c r="I16" s="297"/>
      <c r="J16" s="294"/>
    </row>
    <row r="17" spans="1:12" ht="37.5">
      <c r="A17" s="290" t="s">
        <v>12</v>
      </c>
      <c r="B17" s="292" t="s">
        <v>84</v>
      </c>
      <c r="C17" s="293">
        <f>C18+C33</f>
        <v>6426808000</v>
      </c>
      <c r="D17" s="293">
        <f>D18+D33</f>
        <v>228800000</v>
      </c>
      <c r="E17" s="293">
        <f>E18+E33</f>
        <v>228800000</v>
      </c>
      <c r="F17" s="293">
        <f>F18+F33</f>
        <v>6426808000</v>
      </c>
      <c r="G17" s="293">
        <f>G18+G33</f>
        <v>445012652</v>
      </c>
      <c r="H17" s="293">
        <f t="shared" ref="H17" si="0">H18+H33</f>
        <v>5716441920</v>
      </c>
      <c r="I17" s="293">
        <f t="shared" ref="I17" si="1">I18+I33</f>
        <v>265353428</v>
      </c>
      <c r="J17" s="294"/>
      <c r="K17" s="298">
        <f>C17+E17-D17</f>
        <v>6426808000</v>
      </c>
      <c r="L17" s="298">
        <f>K17-F17</f>
        <v>0</v>
      </c>
    </row>
    <row r="18" spans="1:12">
      <c r="A18" s="290">
        <v>1</v>
      </c>
      <c r="B18" s="292" t="s">
        <v>121</v>
      </c>
      <c r="C18" s="293">
        <f>C19+C23</f>
        <v>1770808000</v>
      </c>
      <c r="D18" s="293">
        <f>D19+D23</f>
        <v>33800000</v>
      </c>
      <c r="E18" s="293">
        <f>E19+E23</f>
        <v>228800000</v>
      </c>
      <c r="F18" s="293">
        <f>F19+F23</f>
        <v>1965808000</v>
      </c>
      <c r="G18" s="293">
        <f t="shared" ref="G18" si="2">G19+G23</f>
        <v>345012652</v>
      </c>
      <c r="H18" s="293">
        <f t="shared" ref="H18" si="3">H19+H23</f>
        <v>1355441920</v>
      </c>
      <c r="I18" s="293">
        <f t="shared" ref="I18" si="4">I19+I23</f>
        <v>265353428</v>
      </c>
      <c r="J18" s="294"/>
      <c r="K18" s="298">
        <f t="shared" ref="K18:K41" si="5">C18+E18-D18</f>
        <v>1965808000</v>
      </c>
      <c r="L18" s="298">
        <f t="shared" ref="L18:L41" si="6">K18-F18</f>
        <v>0</v>
      </c>
    </row>
    <row r="19" spans="1:12" s="1337" customFormat="1" ht="39">
      <c r="A19" s="299" t="s">
        <v>5</v>
      </c>
      <c r="B19" s="300" t="s">
        <v>9</v>
      </c>
      <c r="C19" s="301">
        <f>SUM(C20:C22)</f>
        <v>1604608000</v>
      </c>
      <c r="D19" s="301">
        <f>SUM(D20:D22)</f>
        <v>24300000</v>
      </c>
      <c r="E19" s="301">
        <f>SUM(E20:E22)</f>
        <v>228800000</v>
      </c>
      <c r="F19" s="301">
        <f>SUM(F20:F22)</f>
        <v>1809108000</v>
      </c>
      <c r="G19" s="301">
        <f>SUM(G20:G22)</f>
        <v>339012652</v>
      </c>
      <c r="H19" s="301">
        <f t="shared" ref="H19:I19" si="7">SUM(H20:H22)</f>
        <v>1265301920</v>
      </c>
      <c r="I19" s="301">
        <f t="shared" si="7"/>
        <v>204793428</v>
      </c>
      <c r="J19" s="302"/>
      <c r="K19" s="298">
        <f t="shared" si="5"/>
        <v>1809108000</v>
      </c>
      <c r="L19" s="298">
        <f t="shared" si="6"/>
        <v>0</v>
      </c>
    </row>
    <row r="20" spans="1:12" ht="37.5">
      <c r="A20" s="295" t="s">
        <v>91</v>
      </c>
      <c r="B20" s="296" t="s">
        <v>26</v>
      </c>
      <c r="C20" s="297">
        <f>'Dự toán Chi tiết 2025'!L700</f>
        <v>1012692000</v>
      </c>
      <c r="D20" s="297"/>
      <c r="E20" s="297"/>
      <c r="F20" s="297">
        <f>C20-D20+E20</f>
        <v>1012692000</v>
      </c>
      <c r="G20" s="297">
        <v>82215190</v>
      </c>
      <c r="H20" s="1408">
        <f>F20-G20-204532016</f>
        <v>725944794</v>
      </c>
      <c r="I20" s="297">
        <f>F20-G20-H20</f>
        <v>204532016</v>
      </c>
      <c r="J20" s="294"/>
      <c r="K20" s="298">
        <f t="shared" si="5"/>
        <v>1012692000</v>
      </c>
      <c r="L20" s="298">
        <f t="shared" si="6"/>
        <v>0</v>
      </c>
    </row>
    <row r="21" spans="1:12" ht="37.5">
      <c r="A21" s="295" t="s">
        <v>91</v>
      </c>
      <c r="B21" s="296" t="str">
        <f>'Tài nguyên Môi trường V'!B19</f>
        <v>Kinh phí thực hiện cải cách tiền lương</v>
      </c>
      <c r="C21" s="297">
        <f>'Dự toán Chi tiết 2025'!L702</f>
        <v>348916000</v>
      </c>
      <c r="D21" s="297"/>
      <c r="E21" s="297">
        <f>D17</f>
        <v>228800000</v>
      </c>
      <c r="F21" s="297">
        <f>C21-D21+E21</f>
        <v>577716000</v>
      </c>
      <c r="G21" s="297">
        <v>177421758</v>
      </c>
      <c r="H21" s="1408">
        <f>F21-G21-261412</f>
        <v>400032830</v>
      </c>
      <c r="I21" s="297">
        <f t="shared" ref="I21:I32" si="8">F21-G21-H21</f>
        <v>261412</v>
      </c>
      <c r="J21" s="294"/>
      <c r="K21" s="298">
        <f t="shared" si="5"/>
        <v>577716000</v>
      </c>
      <c r="L21" s="298">
        <f t="shared" si="6"/>
        <v>0</v>
      </c>
    </row>
    <row r="22" spans="1:12" ht="37.5">
      <c r="A22" s="295" t="s">
        <v>91</v>
      </c>
      <c r="B22" s="296" t="s">
        <v>27</v>
      </c>
      <c r="C22" s="297">
        <f>'Dự toán Chi tiết 2025'!L703</f>
        <v>243000000</v>
      </c>
      <c r="D22" s="297">
        <f>C22*10%</f>
        <v>24300000</v>
      </c>
      <c r="E22" s="297"/>
      <c r="F22" s="297">
        <f>C22-D22+E22</f>
        <v>218700000</v>
      </c>
      <c r="G22" s="1496">
        <f>18767000+608704+60000000</f>
        <v>79375704</v>
      </c>
      <c r="H22" s="1408">
        <f t="shared" ref="H22" si="9">F22-G22</f>
        <v>139324296</v>
      </c>
      <c r="I22" s="297">
        <f t="shared" si="8"/>
        <v>0</v>
      </c>
      <c r="J22" s="294"/>
      <c r="K22" s="298">
        <f t="shared" si="5"/>
        <v>218700000</v>
      </c>
      <c r="L22" s="298">
        <f t="shared" si="6"/>
        <v>0</v>
      </c>
    </row>
    <row r="23" spans="1:12" s="1337" customFormat="1" ht="39">
      <c r="A23" s="299" t="s">
        <v>6</v>
      </c>
      <c r="B23" s="300" t="s">
        <v>10</v>
      </c>
      <c r="C23" s="301">
        <f>SUM(C24:C32)</f>
        <v>166200000</v>
      </c>
      <c r="D23" s="301">
        <f>SUM(D24:D32)</f>
        <v>9500000</v>
      </c>
      <c r="E23" s="301">
        <f>SUM(E24:E32)</f>
        <v>0</v>
      </c>
      <c r="F23" s="301">
        <f>SUM(F24:F32)</f>
        <v>156700000</v>
      </c>
      <c r="G23" s="301">
        <f t="shared" ref="G23" si="10">SUM(G24:G32)</f>
        <v>6000000</v>
      </c>
      <c r="H23" s="301">
        <f t="shared" ref="H23" si="11">SUM(H24:H32)</f>
        <v>90140000</v>
      </c>
      <c r="I23" s="301">
        <f t="shared" ref="I23" si="12">SUM(I24:I32)</f>
        <v>60560000</v>
      </c>
      <c r="J23" s="302"/>
      <c r="K23" s="298">
        <f t="shared" si="5"/>
        <v>156700000</v>
      </c>
      <c r="L23" s="298">
        <f t="shared" si="6"/>
        <v>0</v>
      </c>
    </row>
    <row r="24" spans="1:12">
      <c r="A24" s="295" t="s">
        <v>91</v>
      </c>
      <c r="B24" s="303" t="s">
        <v>399</v>
      </c>
      <c r="C24" s="297">
        <f>'Dự toán Chi tiết 2025'!L707</f>
        <v>36000000</v>
      </c>
      <c r="D24" s="297"/>
      <c r="E24" s="297"/>
      <c r="F24" s="297">
        <f>C24-D24</f>
        <v>36000000</v>
      </c>
      <c r="G24" s="297">
        <v>6000000</v>
      </c>
      <c r="H24" s="297">
        <v>0</v>
      </c>
      <c r="I24" s="297">
        <f t="shared" si="8"/>
        <v>30000000</v>
      </c>
      <c r="J24" s="294"/>
      <c r="K24" s="298">
        <f t="shared" si="5"/>
        <v>36000000</v>
      </c>
      <c r="L24" s="298">
        <f t="shared" si="6"/>
        <v>0</v>
      </c>
    </row>
    <row r="25" spans="1:12">
      <c r="A25" s="295" t="s">
        <v>91</v>
      </c>
      <c r="B25" s="303" t="s">
        <v>400</v>
      </c>
      <c r="C25" s="297">
        <f>'Dự toán Chi tiết 2025'!L708</f>
        <v>21700000</v>
      </c>
      <c r="D25" s="297"/>
      <c r="E25" s="297"/>
      <c r="F25" s="297">
        <f t="shared" ref="F25:F32" si="13">C25-D25</f>
        <v>21700000</v>
      </c>
      <c r="G25" s="297"/>
      <c r="H25" s="297">
        <v>0</v>
      </c>
      <c r="I25" s="297">
        <f t="shared" si="8"/>
        <v>21700000</v>
      </c>
      <c r="J25" s="294"/>
      <c r="K25" s="298">
        <f t="shared" si="5"/>
        <v>21700000</v>
      </c>
      <c r="L25" s="298">
        <f t="shared" si="6"/>
        <v>0</v>
      </c>
    </row>
    <row r="26" spans="1:12">
      <c r="A26" s="295"/>
      <c r="B26" s="303" t="str">
        <f>'Dự toán Chi tiết 2025'!B709</f>
        <v>Kinh phí tổ chức Đại hội Chi bộ</v>
      </c>
      <c r="C26" s="297">
        <f>'Dự toán Chi tiết 2025'!L709</f>
        <v>13500000</v>
      </c>
      <c r="D26" s="297"/>
      <c r="E26" s="297"/>
      <c r="F26" s="297">
        <f t="shared" si="13"/>
        <v>13500000</v>
      </c>
      <c r="G26" s="297"/>
      <c r="H26" s="297">
        <f>1560000+2300000+780000</f>
        <v>4640000</v>
      </c>
      <c r="I26" s="297">
        <f t="shared" si="8"/>
        <v>8860000</v>
      </c>
      <c r="J26" s="294"/>
      <c r="K26" s="298"/>
      <c r="L26" s="298"/>
    </row>
    <row r="27" spans="1:12" ht="37.5" hidden="1">
      <c r="A27" s="295" t="s">
        <v>91</v>
      </c>
      <c r="B27" s="303" t="s">
        <v>1112</v>
      </c>
      <c r="C27" s="297">
        <f>'Dự toán Chi tiết 2025'!L710</f>
        <v>0</v>
      </c>
      <c r="D27" s="297">
        <f t="shared" ref="D27:D32" si="14">C27*10%</f>
        <v>0</v>
      </c>
      <c r="E27" s="297"/>
      <c r="F27" s="297">
        <f t="shared" si="13"/>
        <v>0</v>
      </c>
      <c r="G27" s="297"/>
      <c r="H27" s="297">
        <f t="shared" ref="H27:H32" si="15">F27-G27</f>
        <v>0</v>
      </c>
      <c r="I27" s="297">
        <f t="shared" si="8"/>
        <v>0</v>
      </c>
      <c r="J27" s="294"/>
      <c r="K27" s="298">
        <f t="shared" si="5"/>
        <v>0</v>
      </c>
      <c r="L27" s="298">
        <f t="shared" si="6"/>
        <v>0</v>
      </c>
    </row>
    <row r="28" spans="1:12">
      <c r="A28" s="295" t="s">
        <v>91</v>
      </c>
      <c r="B28" s="303" t="s">
        <v>1708</v>
      </c>
      <c r="C28" s="297">
        <f>'Dự toán Chi tiết 2025'!L711</f>
        <v>10000000</v>
      </c>
      <c r="D28" s="297">
        <f t="shared" si="14"/>
        <v>1000000</v>
      </c>
      <c r="E28" s="297"/>
      <c r="F28" s="297">
        <f t="shared" si="13"/>
        <v>9000000</v>
      </c>
      <c r="G28" s="297"/>
      <c r="H28" s="297">
        <f t="shared" si="15"/>
        <v>9000000</v>
      </c>
      <c r="I28" s="297">
        <f t="shared" si="8"/>
        <v>0</v>
      </c>
      <c r="J28" s="304"/>
      <c r="K28" s="298">
        <f t="shared" si="5"/>
        <v>9000000</v>
      </c>
      <c r="L28" s="298">
        <f t="shared" si="6"/>
        <v>0</v>
      </c>
    </row>
    <row r="29" spans="1:12" hidden="1">
      <c r="A29" s="295" t="s">
        <v>91</v>
      </c>
      <c r="B29" s="303" t="s">
        <v>1085</v>
      </c>
      <c r="C29" s="297">
        <f>'Dự toán Chi tiết 2025'!L712</f>
        <v>0</v>
      </c>
      <c r="D29" s="297">
        <f t="shared" si="14"/>
        <v>0</v>
      </c>
      <c r="E29" s="297"/>
      <c r="F29" s="297">
        <f t="shared" si="13"/>
        <v>0</v>
      </c>
      <c r="G29" s="297"/>
      <c r="H29" s="297">
        <f t="shared" si="15"/>
        <v>0</v>
      </c>
      <c r="I29" s="297">
        <f t="shared" si="8"/>
        <v>0</v>
      </c>
      <c r="J29" s="294"/>
      <c r="K29" s="298">
        <f t="shared" si="5"/>
        <v>0</v>
      </c>
      <c r="L29" s="298">
        <f t="shared" si="6"/>
        <v>0</v>
      </c>
    </row>
    <row r="30" spans="1:12" ht="58.5" customHeight="1">
      <c r="A30" s="295" t="s">
        <v>91</v>
      </c>
      <c r="B30" s="303" t="str">
        <f>'Dự toán Chi tiết 2025'!B716</f>
        <v>Chi kiểm soát giết mổ; cấp phép kinh doanh Rượu, ga, thuốc lá; An toàn thực phẩm,…</v>
      </c>
      <c r="C30" s="297">
        <f>'Dự toán Chi tiết 2025'!L716</f>
        <v>60000000</v>
      </c>
      <c r="D30" s="297">
        <f t="shared" si="14"/>
        <v>6000000</v>
      </c>
      <c r="E30" s="297"/>
      <c r="F30" s="297">
        <f t="shared" si="13"/>
        <v>54000000</v>
      </c>
      <c r="G30" s="297"/>
      <c r="H30" s="297">
        <f t="shared" si="15"/>
        <v>54000000</v>
      </c>
      <c r="I30" s="297">
        <f t="shared" si="8"/>
        <v>0</v>
      </c>
      <c r="J30" s="294"/>
      <c r="K30" s="298">
        <f t="shared" si="5"/>
        <v>54000000</v>
      </c>
      <c r="L30" s="298">
        <f t="shared" si="6"/>
        <v>0</v>
      </c>
    </row>
    <row r="31" spans="1:12" ht="56.25" hidden="1">
      <c r="A31" s="295" t="s">
        <v>91</v>
      </c>
      <c r="B31" s="303" t="s">
        <v>1114</v>
      </c>
      <c r="C31" s="297">
        <f>'Dự toán Chi tiết 2025'!L717</f>
        <v>0</v>
      </c>
      <c r="D31" s="297">
        <f t="shared" si="14"/>
        <v>0</v>
      </c>
      <c r="E31" s="297"/>
      <c r="F31" s="297">
        <f t="shared" si="13"/>
        <v>0</v>
      </c>
      <c r="G31" s="297"/>
      <c r="H31" s="297">
        <f t="shared" si="15"/>
        <v>0</v>
      </c>
      <c r="I31" s="297">
        <f t="shared" si="8"/>
        <v>0</v>
      </c>
      <c r="J31" s="294"/>
      <c r="K31" s="298">
        <f t="shared" si="5"/>
        <v>0</v>
      </c>
      <c r="L31" s="298">
        <f t="shared" si="6"/>
        <v>0</v>
      </c>
    </row>
    <row r="32" spans="1:12">
      <c r="A32" s="295" t="s">
        <v>91</v>
      </c>
      <c r="B32" s="303" t="s">
        <v>1115</v>
      </c>
      <c r="C32" s="297">
        <f>'Dự toán Chi tiết 2025'!L719</f>
        <v>25000000</v>
      </c>
      <c r="D32" s="297">
        <f t="shared" si="14"/>
        <v>2500000</v>
      </c>
      <c r="E32" s="297"/>
      <c r="F32" s="297">
        <f t="shared" si="13"/>
        <v>22500000</v>
      </c>
      <c r="G32" s="297"/>
      <c r="H32" s="297">
        <f t="shared" si="15"/>
        <v>22500000</v>
      </c>
      <c r="I32" s="297">
        <f t="shared" si="8"/>
        <v>0</v>
      </c>
      <c r="J32" s="294"/>
      <c r="K32" s="298">
        <f t="shared" si="5"/>
        <v>22500000</v>
      </c>
      <c r="L32" s="298">
        <f t="shared" si="6"/>
        <v>0</v>
      </c>
    </row>
    <row r="33" spans="1:12" s="1342" customFormat="1" ht="37.5">
      <c r="A33" s="290">
        <v>2</v>
      </c>
      <c r="B33" s="1386" t="s">
        <v>647</v>
      </c>
      <c r="C33" s="293">
        <f>C34</f>
        <v>4656000000</v>
      </c>
      <c r="D33" s="293">
        <f>D34</f>
        <v>195000000</v>
      </c>
      <c r="E33" s="293">
        <f>E34</f>
        <v>0</v>
      </c>
      <c r="F33" s="293">
        <f>F34</f>
        <v>4461000000</v>
      </c>
      <c r="G33" s="293">
        <f t="shared" ref="G33:I33" si="16">G34</f>
        <v>100000000</v>
      </c>
      <c r="H33" s="293">
        <f t="shared" si="16"/>
        <v>4361000000</v>
      </c>
      <c r="I33" s="293">
        <f t="shared" si="16"/>
        <v>0</v>
      </c>
      <c r="J33" s="293"/>
      <c r="K33" s="298">
        <f t="shared" si="5"/>
        <v>4461000000</v>
      </c>
      <c r="L33" s="298">
        <f t="shared" si="6"/>
        <v>0</v>
      </c>
    </row>
    <row r="34" spans="1:12" s="1342" customFormat="1" ht="37.5">
      <c r="A34" s="290"/>
      <c r="B34" s="1386" t="s">
        <v>10</v>
      </c>
      <c r="C34" s="293">
        <f>C35+C40+C41</f>
        <v>4656000000</v>
      </c>
      <c r="D34" s="293">
        <f>D35+D40+D41</f>
        <v>195000000</v>
      </c>
      <c r="E34" s="293"/>
      <c r="F34" s="293">
        <f>F35+F40+F41</f>
        <v>4461000000</v>
      </c>
      <c r="G34" s="293">
        <f>G35+G40+G41</f>
        <v>100000000</v>
      </c>
      <c r="H34" s="293">
        <f t="shared" ref="H34:I34" si="17">H35+H40+H41</f>
        <v>4361000000</v>
      </c>
      <c r="I34" s="293">
        <f t="shared" si="17"/>
        <v>0</v>
      </c>
      <c r="J34" s="1360"/>
      <c r="K34" s="298">
        <f t="shared" si="5"/>
        <v>4461000000</v>
      </c>
      <c r="L34" s="298">
        <f t="shared" si="6"/>
        <v>0</v>
      </c>
    </row>
    <row r="35" spans="1:12">
      <c r="A35" s="295" t="s">
        <v>8</v>
      </c>
      <c r="B35" s="1340" t="s">
        <v>14</v>
      </c>
      <c r="C35" s="297">
        <f>SUM(C36:C39)</f>
        <v>1950000000</v>
      </c>
      <c r="D35" s="297">
        <f>SUM(D36:D39)</f>
        <v>195000000</v>
      </c>
      <c r="E35" s="297">
        <f>SUM(E36:E39)</f>
        <v>0</v>
      </c>
      <c r="F35" s="297">
        <f>SUM(F36:F39)</f>
        <v>1755000000</v>
      </c>
      <c r="G35" s="297">
        <f t="shared" ref="G35:I35" si="18">SUM(G36:G39)</f>
        <v>100000000</v>
      </c>
      <c r="H35" s="297">
        <f t="shared" si="18"/>
        <v>1655000000</v>
      </c>
      <c r="I35" s="297">
        <f t="shared" si="18"/>
        <v>0</v>
      </c>
      <c r="J35" s="317"/>
      <c r="K35" s="298">
        <f t="shared" si="5"/>
        <v>1755000000</v>
      </c>
      <c r="L35" s="298">
        <f t="shared" si="6"/>
        <v>0</v>
      </c>
    </row>
    <row r="36" spans="1:12">
      <c r="A36" s="295" t="s">
        <v>91</v>
      </c>
      <c r="B36" s="1340" t="s">
        <v>2014</v>
      </c>
      <c r="C36" s="1340">
        <v>355000000</v>
      </c>
      <c r="D36" s="297">
        <f>C36*10%</f>
        <v>35500000</v>
      </c>
      <c r="E36" s="297"/>
      <c r="F36" s="297">
        <f t="shared" ref="F36:F41" si="19">C36-D36</f>
        <v>319500000</v>
      </c>
      <c r="G36" s="297">
        <v>50000000</v>
      </c>
      <c r="H36" s="297">
        <f t="shared" ref="H36:H41" si="20">F36-G36</f>
        <v>269500000</v>
      </c>
      <c r="I36" s="297">
        <f t="shared" ref="I36:I41" si="21">F36-G36-H36</f>
        <v>0</v>
      </c>
      <c r="J36" s="1345">
        <v>309</v>
      </c>
      <c r="K36" s="298">
        <f t="shared" si="5"/>
        <v>319500000</v>
      </c>
      <c r="L36" s="298">
        <f t="shared" si="6"/>
        <v>0</v>
      </c>
    </row>
    <row r="37" spans="1:12">
      <c r="A37" s="295" t="s">
        <v>91</v>
      </c>
      <c r="B37" s="1340" t="s">
        <v>2015</v>
      </c>
      <c r="C37" s="1340">
        <v>535000000</v>
      </c>
      <c r="D37" s="297">
        <f>C37*10%</f>
        <v>53500000</v>
      </c>
      <c r="E37" s="297"/>
      <c r="F37" s="297">
        <f t="shared" si="19"/>
        <v>481500000</v>
      </c>
      <c r="G37" s="297">
        <v>50000000</v>
      </c>
      <c r="H37" s="297">
        <f t="shared" si="20"/>
        <v>431500000</v>
      </c>
      <c r="I37" s="297">
        <f t="shared" si="21"/>
        <v>0</v>
      </c>
      <c r="J37" s="1345">
        <v>281</v>
      </c>
      <c r="K37" s="298">
        <f t="shared" si="5"/>
        <v>481500000</v>
      </c>
      <c r="L37" s="298">
        <f t="shared" si="6"/>
        <v>0</v>
      </c>
    </row>
    <row r="38" spans="1:12">
      <c r="A38" s="295" t="s">
        <v>91</v>
      </c>
      <c r="B38" s="1340" t="s">
        <v>2016</v>
      </c>
      <c r="C38" s="1340">
        <v>60000000</v>
      </c>
      <c r="D38" s="297">
        <f>C38*10%</f>
        <v>6000000</v>
      </c>
      <c r="E38" s="297"/>
      <c r="F38" s="297">
        <f t="shared" si="19"/>
        <v>54000000</v>
      </c>
      <c r="G38" s="297"/>
      <c r="H38" s="297">
        <f t="shared" si="20"/>
        <v>54000000</v>
      </c>
      <c r="I38" s="297">
        <f t="shared" si="21"/>
        <v>0</v>
      </c>
      <c r="J38" s="1345">
        <v>338</v>
      </c>
      <c r="K38" s="298">
        <f t="shared" si="5"/>
        <v>54000000</v>
      </c>
      <c r="L38" s="298">
        <f t="shared" si="6"/>
        <v>0</v>
      </c>
    </row>
    <row r="39" spans="1:12" ht="37.5">
      <c r="A39" s="295" t="s">
        <v>91</v>
      </c>
      <c r="B39" s="1340" t="s">
        <v>2017</v>
      </c>
      <c r="C39" s="1340">
        <v>1000000000</v>
      </c>
      <c r="D39" s="297">
        <f>C39*10%</f>
        <v>100000000</v>
      </c>
      <c r="E39" s="297"/>
      <c r="F39" s="297">
        <f t="shared" si="19"/>
        <v>900000000</v>
      </c>
      <c r="G39" s="297"/>
      <c r="H39" s="297">
        <f t="shared" si="20"/>
        <v>900000000</v>
      </c>
      <c r="I39" s="297">
        <f t="shared" si="21"/>
        <v>0</v>
      </c>
      <c r="J39" s="1345">
        <v>338</v>
      </c>
      <c r="K39" s="298">
        <f t="shared" si="5"/>
        <v>900000000</v>
      </c>
      <c r="L39" s="298">
        <f t="shared" si="6"/>
        <v>0</v>
      </c>
    </row>
    <row r="40" spans="1:12" ht="37.5" hidden="1">
      <c r="A40" s="295" t="s">
        <v>11</v>
      </c>
      <c r="B40" s="303" t="s">
        <v>646</v>
      </c>
      <c r="C40" s="297">
        <v>0</v>
      </c>
      <c r="D40" s="297"/>
      <c r="E40" s="297"/>
      <c r="F40" s="297">
        <f t="shared" si="19"/>
        <v>0</v>
      </c>
      <c r="G40" s="297"/>
      <c r="H40" s="297">
        <f t="shared" si="20"/>
        <v>0</v>
      </c>
      <c r="I40" s="297">
        <f t="shared" si="21"/>
        <v>0</v>
      </c>
      <c r="J40" s="297"/>
      <c r="K40" s="298">
        <f t="shared" si="5"/>
        <v>0</v>
      </c>
      <c r="L40" s="298">
        <f t="shared" si="6"/>
        <v>0</v>
      </c>
    </row>
    <row r="41" spans="1:12" ht="93.75">
      <c r="A41" s="295" t="s">
        <v>11</v>
      </c>
      <c r="B41" s="303" t="s">
        <v>2011</v>
      </c>
      <c r="C41" s="297">
        <v>2706000000</v>
      </c>
      <c r="D41" s="297"/>
      <c r="E41" s="297"/>
      <c r="F41" s="297">
        <f t="shared" si="19"/>
        <v>2706000000</v>
      </c>
      <c r="G41" s="297"/>
      <c r="H41" s="297">
        <f t="shared" si="20"/>
        <v>2706000000</v>
      </c>
      <c r="I41" s="297">
        <f t="shared" si="21"/>
        <v>0</v>
      </c>
      <c r="J41" s="304" t="s">
        <v>2013</v>
      </c>
      <c r="K41" s="298">
        <f t="shared" si="5"/>
        <v>2706000000</v>
      </c>
      <c r="L41" s="298">
        <f t="shared" si="6"/>
        <v>0</v>
      </c>
    </row>
  </sheetData>
  <mergeCells count="8">
    <mergeCell ref="A9:J9"/>
    <mergeCell ref="A1:B1"/>
    <mergeCell ref="A2:B2"/>
    <mergeCell ref="A5:J5"/>
    <mergeCell ref="A6:J6"/>
    <mergeCell ref="A7:J7"/>
    <mergeCell ref="A8:J8"/>
    <mergeCell ref="B4:J4"/>
  </mergeCells>
  <pageMargins left="0.51181102362204722" right="0.47244094488188981" top="0.59055118110236227" bottom="0.74803149606299213" header="0.31496062992125984" footer="0.31496062992125984"/>
  <pageSetup paperSize="9" scale="55" fitToHeight="0" orientation="portrait" verticalDpi="0" r:id="rId1"/>
  <headerFoot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41"/>
  <sheetViews>
    <sheetView topLeftCell="A13" zoomScale="85" zoomScaleNormal="85" workbookViewId="0">
      <selection activeCell="T21" sqref="T21"/>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18" style="2" bestFit="1" customWidth="1"/>
    <col min="9"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7" ht="18.75" customHeight="1">
      <c r="A1" s="1838" t="s">
        <v>642</v>
      </c>
      <c r="B1" s="1838"/>
      <c r="C1" s="224"/>
      <c r="D1" s="224"/>
      <c r="E1" s="224"/>
      <c r="G1" s="3"/>
    </row>
    <row r="2" spans="1:7">
      <c r="A2" s="1798" t="s">
        <v>2012</v>
      </c>
      <c r="B2" s="1798"/>
      <c r="C2" s="1"/>
      <c r="D2" s="1"/>
      <c r="E2" s="1"/>
      <c r="F2" s="4"/>
    </row>
    <row r="3" spans="1:7">
      <c r="A3" s="237"/>
      <c r="B3" s="237"/>
      <c r="C3" s="1"/>
      <c r="D3" s="1"/>
      <c r="E3" s="1"/>
      <c r="F3" s="4"/>
    </row>
    <row r="4" spans="1:7">
      <c r="A4" s="5"/>
    </row>
    <row r="5" spans="1:7">
      <c r="A5" s="1798" t="str">
        <f>'TTDVNN V '!A4:G4</f>
        <v>DỰ TOÁN THU, CHI NGÂN SÁCH NHÀ NƯỚC NĂM 2025</v>
      </c>
      <c r="B5" s="1798"/>
      <c r="C5" s="1798"/>
      <c r="D5" s="1798"/>
      <c r="E5" s="1798"/>
      <c r="F5" s="1798"/>
      <c r="G5" s="1798"/>
    </row>
    <row r="6" spans="1:7">
      <c r="A6" s="1798" t="s">
        <v>644</v>
      </c>
      <c r="B6" s="1798"/>
      <c r="C6" s="1798"/>
      <c r="D6" s="1798"/>
      <c r="E6" s="1798"/>
      <c r="F6" s="1798"/>
      <c r="G6" s="1798"/>
    </row>
    <row r="7" spans="1:7">
      <c r="A7" s="1798" t="s">
        <v>643</v>
      </c>
      <c r="B7" s="1798"/>
      <c r="C7" s="1798"/>
      <c r="D7" s="1798"/>
      <c r="E7" s="1798"/>
      <c r="F7" s="1798"/>
      <c r="G7" s="1798"/>
    </row>
    <row r="8" spans="1:7">
      <c r="A8" s="1798" t="s">
        <v>17</v>
      </c>
      <c r="B8" s="1798"/>
      <c r="C8" s="1798"/>
      <c r="D8" s="1798"/>
      <c r="E8" s="1798"/>
      <c r="F8" s="1798"/>
      <c r="G8" s="1798"/>
    </row>
    <row r="9" spans="1:7">
      <c r="A9" s="1799">
        <f>'TTDVNN V '!A8:G8</f>
        <v>0</v>
      </c>
      <c r="B9" s="1799"/>
      <c r="C9" s="1799"/>
      <c r="D9" s="1799"/>
      <c r="E9" s="1799"/>
      <c r="F9" s="1799"/>
      <c r="G9" s="1799"/>
    </row>
    <row r="10" spans="1:7">
      <c r="A10" s="238"/>
      <c r="B10" s="238"/>
      <c r="C10" s="238"/>
      <c r="D10" s="238"/>
      <c r="E10" s="238"/>
      <c r="F10" s="238"/>
      <c r="G10" s="238"/>
    </row>
    <row r="11" spans="1:7">
      <c r="G11" s="6" t="s">
        <v>43</v>
      </c>
    </row>
    <row r="12" spans="1:7" ht="117" customHeight="1">
      <c r="A12" s="7" t="s">
        <v>0</v>
      </c>
      <c r="B12" s="7" t="s">
        <v>1</v>
      </c>
      <c r="C12" s="7" t="str">
        <f>'TTDVNN V '!C11</f>
        <v>Dự toán 
năm 2025</v>
      </c>
      <c r="D12" s="7" t="s">
        <v>18</v>
      </c>
      <c r="E12" s="7" t="str">
        <f>'TTDVNN V '!E11</f>
        <v>Thực hiện cải cách tiền lương từ nguồn tiết kiệm chi 10% của đơn vị</v>
      </c>
      <c r="F12" s="7" t="s">
        <v>117</v>
      </c>
      <c r="G12" s="7" t="s">
        <v>19</v>
      </c>
    </row>
    <row r="13" spans="1:7">
      <c r="A13" s="8" t="s">
        <v>20</v>
      </c>
      <c r="B13" s="8" t="s">
        <v>21</v>
      </c>
      <c r="C13" s="8" t="s">
        <v>22</v>
      </c>
      <c r="D13" s="8" t="s">
        <v>23</v>
      </c>
      <c r="E13" s="8" t="str">
        <f>'TTDVNN V '!E12</f>
        <v>(5)</v>
      </c>
      <c r="F13" s="8" t="str">
        <f>'TTDVNN V '!F12</f>
        <v>(6)=(3)-(4)+(5)</v>
      </c>
      <c r="G13" s="8" t="s">
        <v>25</v>
      </c>
    </row>
    <row r="14" spans="1:7" ht="37.5">
      <c r="A14" s="7" t="s">
        <v>2</v>
      </c>
      <c r="B14" s="9" t="s">
        <v>3</v>
      </c>
      <c r="C14" s="10">
        <f>C15+C16</f>
        <v>60000000</v>
      </c>
      <c r="D14" s="10"/>
      <c r="E14" s="10"/>
      <c r="F14" s="10"/>
      <c r="G14" s="11"/>
    </row>
    <row r="15" spans="1:7">
      <c r="A15" s="17">
        <v>1</v>
      </c>
      <c r="B15" s="18" t="s">
        <v>639</v>
      </c>
      <c r="C15" s="19">
        <v>60000000</v>
      </c>
      <c r="D15" s="19"/>
      <c r="E15" s="19"/>
      <c r="F15" s="19"/>
      <c r="G15" s="11"/>
    </row>
    <row r="16" spans="1:7">
      <c r="A16" s="17">
        <v>2</v>
      </c>
      <c r="B16" s="18" t="s">
        <v>7</v>
      </c>
      <c r="C16" s="19"/>
      <c r="D16" s="19"/>
      <c r="E16" s="19"/>
      <c r="F16" s="19"/>
      <c r="G16" s="11"/>
    </row>
    <row r="17" spans="1:9" ht="37.5">
      <c r="A17" s="7" t="s">
        <v>12</v>
      </c>
      <c r="B17" s="9" t="s">
        <v>84</v>
      </c>
      <c r="C17" s="10">
        <f>C18+C33</f>
        <v>6426808000</v>
      </c>
      <c r="D17" s="10">
        <f>D18+D33</f>
        <v>228800000</v>
      </c>
      <c r="E17" s="10">
        <f>E18+E33</f>
        <v>228800000</v>
      </c>
      <c r="F17" s="10">
        <f>F18+F33</f>
        <v>6426808000</v>
      </c>
      <c r="G17" s="11"/>
      <c r="H17" s="240">
        <f>C17+E17-D17</f>
        <v>6426808000</v>
      </c>
      <c r="I17" s="240">
        <f>H17-F17</f>
        <v>0</v>
      </c>
    </row>
    <row r="18" spans="1:9">
      <c r="A18" s="7">
        <v>1</v>
      </c>
      <c r="B18" s="9" t="s">
        <v>121</v>
      </c>
      <c r="C18" s="10">
        <f>C19+C23</f>
        <v>1770808000</v>
      </c>
      <c r="D18" s="10">
        <f>D19+D23</f>
        <v>33800000</v>
      </c>
      <c r="E18" s="10">
        <f>E19+E23</f>
        <v>228800000</v>
      </c>
      <c r="F18" s="10">
        <f>F19+F23</f>
        <v>1965808000</v>
      </c>
      <c r="G18" s="11"/>
      <c r="H18" s="240">
        <f t="shared" ref="H18:H41" si="0">C18+E18-D18</f>
        <v>1965808000</v>
      </c>
      <c r="I18" s="240">
        <f t="shared" ref="I18:I41" si="1">H18-F18</f>
        <v>0</v>
      </c>
    </row>
    <row r="19" spans="1:9" s="16" customFormat="1" ht="39">
      <c r="A19" s="12" t="s">
        <v>5</v>
      </c>
      <c r="B19" s="13" t="s">
        <v>9</v>
      </c>
      <c r="C19" s="14">
        <f>SUM(C20:C22)</f>
        <v>1604608000</v>
      </c>
      <c r="D19" s="14">
        <f>SUM(D20:D22)</f>
        <v>24300000</v>
      </c>
      <c r="E19" s="14">
        <f>SUM(E20:E22)</f>
        <v>228800000</v>
      </c>
      <c r="F19" s="14">
        <f>SUM(F20:F22)</f>
        <v>1809108000</v>
      </c>
      <c r="G19" s="15"/>
      <c r="H19" s="240">
        <f t="shared" si="0"/>
        <v>1809108000</v>
      </c>
      <c r="I19" s="240">
        <f t="shared" si="1"/>
        <v>0</v>
      </c>
    </row>
    <row r="20" spans="1:9" ht="37.5">
      <c r="A20" s="17" t="s">
        <v>91</v>
      </c>
      <c r="B20" s="18" t="s">
        <v>26</v>
      </c>
      <c r="C20" s="19">
        <f>'Dự toán Chi tiết 2025'!L700</f>
        <v>1012692000</v>
      </c>
      <c r="D20" s="19"/>
      <c r="E20" s="19"/>
      <c r="F20" s="19">
        <f>C20-D20+E20</f>
        <v>1012692000</v>
      </c>
      <c r="G20" s="11"/>
      <c r="H20" s="240">
        <f t="shared" si="0"/>
        <v>1012692000</v>
      </c>
      <c r="I20" s="240">
        <f t="shared" si="1"/>
        <v>0</v>
      </c>
    </row>
    <row r="21" spans="1:9" ht="37.5">
      <c r="A21" s="17" t="s">
        <v>91</v>
      </c>
      <c r="B21" s="18" t="str">
        <f>'Tài nguyên Môi trường V'!B19</f>
        <v>Kinh phí thực hiện cải cách tiền lương</v>
      </c>
      <c r="C21" s="19">
        <f>'Dự toán Chi tiết 2025'!L702</f>
        <v>348916000</v>
      </c>
      <c r="D21" s="19"/>
      <c r="E21" s="19">
        <f>D17</f>
        <v>228800000</v>
      </c>
      <c r="F21" s="19">
        <f>C21-D21+E21</f>
        <v>577716000</v>
      </c>
      <c r="G21" s="11"/>
      <c r="H21" s="240">
        <f t="shared" si="0"/>
        <v>577716000</v>
      </c>
      <c r="I21" s="240">
        <f t="shared" si="1"/>
        <v>0</v>
      </c>
    </row>
    <row r="22" spans="1:9" ht="37.5">
      <c r="A22" s="17" t="s">
        <v>91</v>
      </c>
      <c r="B22" s="18" t="s">
        <v>27</v>
      </c>
      <c r="C22" s="19">
        <f>'Dự toán Chi tiết 2025'!L703</f>
        <v>243000000</v>
      </c>
      <c r="D22" s="19">
        <f>C22*10%</f>
        <v>24300000</v>
      </c>
      <c r="E22" s="19"/>
      <c r="F22" s="19">
        <f>C22-D22+E22</f>
        <v>218700000</v>
      </c>
      <c r="G22" s="11"/>
      <c r="H22" s="240">
        <f t="shared" si="0"/>
        <v>218700000</v>
      </c>
      <c r="I22" s="240">
        <f t="shared" si="1"/>
        <v>0</v>
      </c>
    </row>
    <row r="23" spans="1:9" s="16" customFormat="1" ht="39">
      <c r="A23" s="12" t="s">
        <v>6</v>
      </c>
      <c r="B23" s="13" t="s">
        <v>10</v>
      </c>
      <c r="C23" s="14">
        <f>SUM(C24:C32)</f>
        <v>166200000</v>
      </c>
      <c r="D23" s="14">
        <f>SUM(D24:D32)</f>
        <v>9500000</v>
      </c>
      <c r="E23" s="14">
        <f>SUM(E24:E32)</f>
        <v>0</v>
      </c>
      <c r="F23" s="14">
        <f>SUM(F24:F32)</f>
        <v>156700000</v>
      </c>
      <c r="G23" s="15"/>
      <c r="H23" s="240">
        <f t="shared" si="0"/>
        <v>156700000</v>
      </c>
      <c r="I23" s="240">
        <f t="shared" si="1"/>
        <v>0</v>
      </c>
    </row>
    <row r="24" spans="1:9">
      <c r="A24" s="17" t="s">
        <v>91</v>
      </c>
      <c r="B24" s="22" t="s">
        <v>399</v>
      </c>
      <c r="C24" s="19">
        <f>'Dự toán Chi tiết 2025'!L707</f>
        <v>36000000</v>
      </c>
      <c r="D24" s="19"/>
      <c r="E24" s="19"/>
      <c r="F24" s="19">
        <f>C24-D24</f>
        <v>36000000</v>
      </c>
      <c r="G24" s="11"/>
      <c r="H24" s="240">
        <f t="shared" si="0"/>
        <v>36000000</v>
      </c>
      <c r="I24" s="240">
        <f t="shared" si="1"/>
        <v>0</v>
      </c>
    </row>
    <row r="25" spans="1:9">
      <c r="A25" s="17" t="s">
        <v>91</v>
      </c>
      <c r="B25" s="22" t="s">
        <v>400</v>
      </c>
      <c r="C25" s="19">
        <f>'Dự toán Chi tiết 2025'!L708</f>
        <v>21700000</v>
      </c>
      <c r="D25" s="19"/>
      <c r="E25" s="19"/>
      <c r="F25" s="19">
        <f t="shared" ref="F25:F32" si="2">C25-D25</f>
        <v>21700000</v>
      </c>
      <c r="G25" s="11"/>
      <c r="H25" s="240">
        <f t="shared" si="0"/>
        <v>21700000</v>
      </c>
      <c r="I25" s="240">
        <f t="shared" si="1"/>
        <v>0</v>
      </c>
    </row>
    <row r="26" spans="1:9">
      <c r="A26" s="17"/>
      <c r="B26" s="22" t="str">
        <f>'Dự toán Chi tiết 2025'!B709</f>
        <v>Kinh phí tổ chức Đại hội Chi bộ</v>
      </c>
      <c r="C26" s="19">
        <f>'Dự toán Chi tiết 2025'!L709</f>
        <v>13500000</v>
      </c>
      <c r="D26" s="19"/>
      <c r="E26" s="19"/>
      <c r="F26" s="19">
        <f t="shared" si="2"/>
        <v>13500000</v>
      </c>
      <c r="G26" s="11"/>
      <c r="H26" s="240"/>
      <c r="I26" s="240"/>
    </row>
    <row r="27" spans="1:9" ht="37.5" hidden="1">
      <c r="A27" s="17" t="s">
        <v>91</v>
      </c>
      <c r="B27" s="22" t="s">
        <v>1112</v>
      </c>
      <c r="C27" s="19">
        <f>'Dự toán Chi tiết 2025'!L710</f>
        <v>0</v>
      </c>
      <c r="D27" s="19">
        <f t="shared" ref="D27:D32" si="3">C27*10%</f>
        <v>0</v>
      </c>
      <c r="E27" s="19"/>
      <c r="F27" s="19">
        <f t="shared" si="2"/>
        <v>0</v>
      </c>
      <c r="G27" s="11"/>
      <c r="H27" s="240">
        <f t="shared" si="0"/>
        <v>0</v>
      </c>
      <c r="I27" s="240">
        <f t="shared" si="1"/>
        <v>0</v>
      </c>
    </row>
    <row r="28" spans="1:9">
      <c r="A28" s="17" t="s">
        <v>91</v>
      </c>
      <c r="B28" s="22" t="s">
        <v>1708</v>
      </c>
      <c r="C28" s="19">
        <f>'Dự toán Chi tiết 2025'!L711</f>
        <v>10000000</v>
      </c>
      <c r="D28" s="19">
        <f t="shared" si="3"/>
        <v>1000000</v>
      </c>
      <c r="E28" s="19"/>
      <c r="F28" s="19">
        <f t="shared" si="2"/>
        <v>9000000</v>
      </c>
      <c r="G28" s="20"/>
      <c r="H28" s="240">
        <f t="shared" si="0"/>
        <v>9000000</v>
      </c>
      <c r="I28" s="240">
        <f t="shared" si="1"/>
        <v>0</v>
      </c>
    </row>
    <row r="29" spans="1:9" hidden="1">
      <c r="A29" s="17" t="s">
        <v>91</v>
      </c>
      <c r="B29" s="22" t="s">
        <v>1085</v>
      </c>
      <c r="C29" s="19">
        <f>'Dự toán Chi tiết 2025'!L712</f>
        <v>0</v>
      </c>
      <c r="D29" s="19">
        <f t="shared" si="3"/>
        <v>0</v>
      </c>
      <c r="E29" s="19"/>
      <c r="F29" s="19">
        <f t="shared" si="2"/>
        <v>0</v>
      </c>
      <c r="G29" s="11"/>
      <c r="H29" s="240">
        <f t="shared" si="0"/>
        <v>0</v>
      </c>
      <c r="I29" s="240">
        <f t="shared" si="1"/>
        <v>0</v>
      </c>
    </row>
    <row r="30" spans="1:9" ht="58.5" customHeight="1">
      <c r="A30" s="17" t="s">
        <v>91</v>
      </c>
      <c r="B30" s="22" t="str">
        <f>'Dự toán Chi tiết 2025'!B716</f>
        <v>Chi kiểm soát giết mổ; cấp phép kinh doanh Rượu, ga, thuốc lá; An toàn thực phẩm,…</v>
      </c>
      <c r="C30" s="19">
        <f>'Dự toán Chi tiết 2025'!L716</f>
        <v>60000000</v>
      </c>
      <c r="D30" s="19">
        <f t="shared" si="3"/>
        <v>6000000</v>
      </c>
      <c r="E30" s="19"/>
      <c r="F30" s="19">
        <f t="shared" si="2"/>
        <v>54000000</v>
      </c>
      <c r="G30" s="11"/>
      <c r="H30" s="240">
        <f t="shared" si="0"/>
        <v>54000000</v>
      </c>
      <c r="I30" s="240">
        <f t="shared" si="1"/>
        <v>0</v>
      </c>
    </row>
    <row r="31" spans="1:9" ht="56.25" hidden="1">
      <c r="A31" s="17" t="s">
        <v>91</v>
      </c>
      <c r="B31" s="22" t="s">
        <v>1114</v>
      </c>
      <c r="C31" s="19">
        <f>'Dự toán Chi tiết 2025'!L717</f>
        <v>0</v>
      </c>
      <c r="D31" s="19">
        <f t="shared" si="3"/>
        <v>0</v>
      </c>
      <c r="E31" s="19"/>
      <c r="F31" s="19">
        <f t="shared" si="2"/>
        <v>0</v>
      </c>
      <c r="G31" s="11"/>
      <c r="H31" s="240">
        <f t="shared" si="0"/>
        <v>0</v>
      </c>
      <c r="I31" s="240">
        <f t="shared" si="1"/>
        <v>0</v>
      </c>
    </row>
    <row r="32" spans="1:9">
      <c r="A32" s="17" t="s">
        <v>91</v>
      </c>
      <c r="B32" s="22" t="s">
        <v>1115</v>
      </c>
      <c r="C32" s="19">
        <f>'Dự toán Chi tiết 2025'!L719</f>
        <v>25000000</v>
      </c>
      <c r="D32" s="19">
        <f t="shared" si="3"/>
        <v>2500000</v>
      </c>
      <c r="E32" s="19"/>
      <c r="F32" s="19">
        <f t="shared" si="2"/>
        <v>22500000</v>
      </c>
      <c r="G32" s="11"/>
      <c r="H32" s="240">
        <f t="shared" si="0"/>
        <v>22500000</v>
      </c>
      <c r="I32" s="240">
        <f t="shared" si="1"/>
        <v>0</v>
      </c>
    </row>
    <row r="33" spans="1:9" s="25" customFormat="1" ht="37.5">
      <c r="A33" s="7">
        <v>2</v>
      </c>
      <c r="B33" s="225" t="s">
        <v>647</v>
      </c>
      <c r="C33" s="10">
        <f>C34</f>
        <v>4656000000</v>
      </c>
      <c r="D33" s="10">
        <f>D34</f>
        <v>195000000</v>
      </c>
      <c r="E33" s="10">
        <f>E34</f>
        <v>0</v>
      </c>
      <c r="F33" s="10">
        <f>F34</f>
        <v>4461000000</v>
      </c>
      <c r="G33" s="10"/>
      <c r="H33" s="240">
        <f t="shared" si="0"/>
        <v>4461000000</v>
      </c>
      <c r="I33" s="240">
        <f t="shared" si="1"/>
        <v>0</v>
      </c>
    </row>
    <row r="34" spans="1:9" s="25" customFormat="1" ht="37.5">
      <c r="A34" s="7"/>
      <c r="B34" s="225" t="s">
        <v>10</v>
      </c>
      <c r="C34" s="10">
        <f>C35+C40+C41</f>
        <v>4656000000</v>
      </c>
      <c r="D34" s="10">
        <f>D35+D40+D41</f>
        <v>195000000</v>
      </c>
      <c r="E34" s="10"/>
      <c r="F34" s="10">
        <f>F35+F40+F41</f>
        <v>4461000000</v>
      </c>
      <c r="G34" s="314"/>
      <c r="H34" s="240">
        <f t="shared" si="0"/>
        <v>4461000000</v>
      </c>
      <c r="I34" s="240">
        <f t="shared" si="1"/>
        <v>0</v>
      </c>
    </row>
    <row r="35" spans="1:9">
      <c r="A35" s="17" t="s">
        <v>8</v>
      </c>
      <c r="B35" s="23" t="s">
        <v>14</v>
      </c>
      <c r="C35" s="19">
        <f>SUM(C36:C39)</f>
        <v>1950000000</v>
      </c>
      <c r="D35" s="19">
        <f>SUM(D36:D39)</f>
        <v>195000000</v>
      </c>
      <c r="E35" s="19">
        <f>SUM(E36:E39)</f>
        <v>0</v>
      </c>
      <c r="F35" s="19">
        <f>SUM(F36:F39)</f>
        <v>1755000000</v>
      </c>
      <c r="G35" s="312"/>
      <c r="H35" s="240">
        <f t="shared" si="0"/>
        <v>1755000000</v>
      </c>
      <c r="I35" s="240">
        <f t="shared" si="1"/>
        <v>0</v>
      </c>
    </row>
    <row r="36" spans="1:9">
      <c r="A36" s="17" t="s">
        <v>91</v>
      </c>
      <c r="B36" s="23" t="s">
        <v>2014</v>
      </c>
      <c r="C36" s="23">
        <v>355000000</v>
      </c>
      <c r="D36" s="19">
        <f>C36*10%</f>
        <v>35500000</v>
      </c>
      <c r="E36" s="19"/>
      <c r="F36" s="19">
        <f t="shared" ref="F36:F41" si="4">C36-D36</f>
        <v>319500000</v>
      </c>
      <c r="G36" s="1345">
        <v>309</v>
      </c>
      <c r="H36" s="240">
        <f t="shared" si="0"/>
        <v>319500000</v>
      </c>
      <c r="I36" s="240">
        <f t="shared" si="1"/>
        <v>0</v>
      </c>
    </row>
    <row r="37" spans="1:9">
      <c r="A37" s="17" t="s">
        <v>91</v>
      </c>
      <c r="B37" s="23" t="s">
        <v>2015</v>
      </c>
      <c r="C37" s="23">
        <v>535000000</v>
      </c>
      <c r="D37" s="19">
        <f>C37*10%</f>
        <v>53500000</v>
      </c>
      <c r="E37" s="19"/>
      <c r="F37" s="19">
        <f t="shared" si="4"/>
        <v>481500000</v>
      </c>
      <c r="G37" s="1345">
        <v>281</v>
      </c>
      <c r="H37" s="240">
        <f t="shared" si="0"/>
        <v>481500000</v>
      </c>
      <c r="I37" s="240">
        <f t="shared" si="1"/>
        <v>0</v>
      </c>
    </row>
    <row r="38" spans="1:9">
      <c r="A38" s="17" t="s">
        <v>91</v>
      </c>
      <c r="B38" s="23" t="s">
        <v>2016</v>
      </c>
      <c r="C38" s="23">
        <v>60000000</v>
      </c>
      <c r="D38" s="19">
        <f>C38*10%</f>
        <v>6000000</v>
      </c>
      <c r="E38" s="19"/>
      <c r="F38" s="19">
        <f t="shared" si="4"/>
        <v>54000000</v>
      </c>
      <c r="G38" s="1345">
        <v>338</v>
      </c>
      <c r="H38" s="240">
        <f t="shared" si="0"/>
        <v>54000000</v>
      </c>
      <c r="I38" s="240">
        <f t="shared" si="1"/>
        <v>0</v>
      </c>
    </row>
    <row r="39" spans="1:9" ht="37.5">
      <c r="A39" s="17" t="s">
        <v>91</v>
      </c>
      <c r="B39" s="23" t="s">
        <v>2017</v>
      </c>
      <c r="C39" s="23">
        <v>1000000000</v>
      </c>
      <c r="D39" s="19">
        <f>C39*10%</f>
        <v>100000000</v>
      </c>
      <c r="E39" s="19"/>
      <c r="F39" s="19">
        <f t="shared" si="4"/>
        <v>900000000</v>
      </c>
      <c r="G39" s="1345">
        <v>338</v>
      </c>
      <c r="H39" s="240">
        <f t="shared" si="0"/>
        <v>900000000</v>
      </c>
      <c r="I39" s="240">
        <f t="shared" si="1"/>
        <v>0</v>
      </c>
    </row>
    <row r="40" spans="1:9" ht="37.5" hidden="1">
      <c r="A40" s="17" t="s">
        <v>11</v>
      </c>
      <c r="B40" s="22" t="s">
        <v>646</v>
      </c>
      <c r="C40" s="19">
        <v>0</v>
      </c>
      <c r="D40" s="19"/>
      <c r="E40" s="19"/>
      <c r="F40" s="19">
        <f t="shared" si="4"/>
        <v>0</v>
      </c>
      <c r="G40" s="19"/>
      <c r="H40" s="240">
        <f t="shared" si="0"/>
        <v>0</v>
      </c>
      <c r="I40" s="240">
        <f t="shared" si="1"/>
        <v>0</v>
      </c>
    </row>
    <row r="41" spans="1:9" ht="93.75">
      <c r="A41" s="17" t="s">
        <v>11</v>
      </c>
      <c r="B41" s="22" t="s">
        <v>2011</v>
      </c>
      <c r="C41" s="19">
        <v>2706000000</v>
      </c>
      <c r="D41" s="19"/>
      <c r="E41" s="19"/>
      <c r="F41" s="19">
        <f t="shared" si="4"/>
        <v>2706000000</v>
      </c>
      <c r="G41" s="20" t="s">
        <v>2013</v>
      </c>
      <c r="H41" s="240">
        <f t="shared" si="0"/>
        <v>2706000000</v>
      </c>
      <c r="I41" s="240">
        <f t="shared" si="1"/>
        <v>0</v>
      </c>
    </row>
  </sheetData>
  <mergeCells count="7">
    <mergeCell ref="A9:G9"/>
    <mergeCell ref="A1:B1"/>
    <mergeCell ref="A2:B2"/>
    <mergeCell ref="A5:G5"/>
    <mergeCell ref="A6:G6"/>
    <mergeCell ref="A7:G7"/>
    <mergeCell ref="A8:G8"/>
  </mergeCells>
  <pageMargins left="0.51181102362204722" right="0.47244094488188981" top="0.59055118110236227" bottom="0.74803149606299213" header="0.31496062992125984" footer="0.31496062992125984"/>
  <pageSetup paperSize="9" scale="63" fitToHeight="0" orientation="portrait" verticalDpi="0" r:id="rId1"/>
  <headerFoot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sqref="A1:XFD1048576"/>
    </sheetView>
  </sheetViews>
  <sheetFormatPr defaultColWidth="19.7109375" defaultRowHeight="15.75"/>
  <cols>
    <col min="1" max="1" width="3.85546875" style="325" customWidth="1"/>
    <col min="2" max="2" width="23.140625" style="325" customWidth="1"/>
    <col min="3" max="3" width="15.42578125" style="322" customWidth="1"/>
    <col min="4" max="4" width="16.7109375" style="322" customWidth="1"/>
    <col min="5" max="7" width="16.7109375" style="323" customWidth="1"/>
    <col min="8" max="11" width="15.140625" style="322" customWidth="1"/>
    <col min="12" max="13" width="0" style="325" hidden="1" customWidth="1"/>
    <col min="14" max="14" width="19.7109375" style="325"/>
    <col min="15" max="15" width="19.7109375" style="323"/>
    <col min="16" max="256" width="19.7109375" style="325"/>
    <col min="257" max="257" width="3.85546875" style="325" customWidth="1"/>
    <col min="258" max="258" width="23.140625" style="325" customWidth="1"/>
    <col min="259" max="259" width="15.42578125" style="325" customWidth="1"/>
    <col min="260" max="263" width="16.7109375" style="325" customWidth="1"/>
    <col min="264" max="267" width="15.140625" style="325" customWidth="1"/>
    <col min="268" max="269" width="0" style="325" hidden="1" customWidth="1"/>
    <col min="270" max="512" width="19.7109375" style="325"/>
    <col min="513" max="513" width="3.85546875" style="325" customWidth="1"/>
    <col min="514" max="514" width="23.140625" style="325" customWidth="1"/>
    <col min="515" max="515" width="15.42578125" style="325" customWidth="1"/>
    <col min="516" max="519" width="16.7109375" style="325" customWidth="1"/>
    <col min="520" max="523" width="15.140625" style="325" customWidth="1"/>
    <col min="524" max="525" width="0" style="325" hidden="1" customWidth="1"/>
    <col min="526" max="768" width="19.7109375" style="325"/>
    <col min="769" max="769" width="3.85546875" style="325" customWidth="1"/>
    <col min="770" max="770" width="23.140625" style="325" customWidth="1"/>
    <col min="771" max="771" width="15.42578125" style="325" customWidth="1"/>
    <col min="772" max="775" width="16.7109375" style="325" customWidth="1"/>
    <col min="776" max="779" width="15.140625" style="325" customWidth="1"/>
    <col min="780" max="781" width="0" style="325" hidden="1" customWidth="1"/>
    <col min="782" max="1024" width="19.7109375" style="325"/>
    <col min="1025" max="1025" width="3.85546875" style="325" customWidth="1"/>
    <col min="1026" max="1026" width="23.140625" style="325" customWidth="1"/>
    <col min="1027" max="1027" width="15.42578125" style="325" customWidth="1"/>
    <col min="1028" max="1031" width="16.7109375" style="325" customWidth="1"/>
    <col min="1032" max="1035" width="15.140625" style="325" customWidth="1"/>
    <col min="1036" max="1037" width="0" style="325" hidden="1" customWidth="1"/>
    <col min="1038" max="1280" width="19.7109375" style="325"/>
    <col min="1281" max="1281" width="3.85546875" style="325" customWidth="1"/>
    <col min="1282" max="1282" width="23.140625" style="325" customWidth="1"/>
    <col min="1283" max="1283" width="15.42578125" style="325" customWidth="1"/>
    <col min="1284" max="1287" width="16.7109375" style="325" customWidth="1"/>
    <col min="1288" max="1291" width="15.140625" style="325" customWidth="1"/>
    <col min="1292" max="1293" width="0" style="325" hidden="1" customWidth="1"/>
    <col min="1294" max="1536" width="19.7109375" style="325"/>
    <col min="1537" max="1537" width="3.85546875" style="325" customWidth="1"/>
    <col min="1538" max="1538" width="23.140625" style="325" customWidth="1"/>
    <col min="1539" max="1539" width="15.42578125" style="325" customWidth="1"/>
    <col min="1540" max="1543" width="16.7109375" style="325" customWidth="1"/>
    <col min="1544" max="1547" width="15.140625" style="325" customWidth="1"/>
    <col min="1548" max="1549" width="0" style="325" hidden="1" customWidth="1"/>
    <col min="1550" max="1792" width="19.7109375" style="325"/>
    <col min="1793" max="1793" width="3.85546875" style="325" customWidth="1"/>
    <col min="1794" max="1794" width="23.140625" style="325" customWidth="1"/>
    <col min="1795" max="1795" width="15.42578125" style="325" customWidth="1"/>
    <col min="1796" max="1799" width="16.7109375" style="325" customWidth="1"/>
    <col min="1800" max="1803" width="15.140625" style="325" customWidth="1"/>
    <col min="1804" max="1805" width="0" style="325" hidden="1" customWidth="1"/>
    <col min="1806" max="2048" width="19.7109375" style="325"/>
    <col min="2049" max="2049" width="3.85546875" style="325" customWidth="1"/>
    <col min="2050" max="2050" width="23.140625" style="325" customWidth="1"/>
    <col min="2051" max="2051" width="15.42578125" style="325" customWidth="1"/>
    <col min="2052" max="2055" width="16.7109375" style="325" customWidth="1"/>
    <col min="2056" max="2059" width="15.140625" style="325" customWidth="1"/>
    <col min="2060" max="2061" width="0" style="325" hidden="1" customWidth="1"/>
    <col min="2062" max="2304" width="19.7109375" style="325"/>
    <col min="2305" max="2305" width="3.85546875" style="325" customWidth="1"/>
    <col min="2306" max="2306" width="23.140625" style="325" customWidth="1"/>
    <col min="2307" max="2307" width="15.42578125" style="325" customWidth="1"/>
    <col min="2308" max="2311" width="16.7109375" style="325" customWidth="1"/>
    <col min="2312" max="2315" width="15.140625" style="325" customWidth="1"/>
    <col min="2316" max="2317" width="0" style="325" hidden="1" customWidth="1"/>
    <col min="2318" max="2560" width="19.7109375" style="325"/>
    <col min="2561" max="2561" width="3.85546875" style="325" customWidth="1"/>
    <col min="2562" max="2562" width="23.140625" style="325" customWidth="1"/>
    <col min="2563" max="2563" width="15.42578125" style="325" customWidth="1"/>
    <col min="2564" max="2567" width="16.7109375" style="325" customWidth="1"/>
    <col min="2568" max="2571" width="15.140625" style="325" customWidth="1"/>
    <col min="2572" max="2573" width="0" style="325" hidden="1" customWidth="1"/>
    <col min="2574" max="2816" width="19.7109375" style="325"/>
    <col min="2817" max="2817" width="3.85546875" style="325" customWidth="1"/>
    <col min="2818" max="2818" width="23.140625" style="325" customWidth="1"/>
    <col min="2819" max="2819" width="15.42578125" style="325" customWidth="1"/>
    <col min="2820" max="2823" width="16.7109375" style="325" customWidth="1"/>
    <col min="2824" max="2827" width="15.140625" style="325" customWidth="1"/>
    <col min="2828" max="2829" width="0" style="325" hidden="1" customWidth="1"/>
    <col min="2830" max="3072" width="19.7109375" style="325"/>
    <col min="3073" max="3073" width="3.85546875" style="325" customWidth="1"/>
    <col min="3074" max="3074" width="23.140625" style="325" customWidth="1"/>
    <col min="3075" max="3075" width="15.42578125" style="325" customWidth="1"/>
    <col min="3076" max="3079" width="16.7109375" style="325" customWidth="1"/>
    <col min="3080" max="3083" width="15.140625" style="325" customWidth="1"/>
    <col min="3084" max="3085" width="0" style="325" hidden="1" customWidth="1"/>
    <col min="3086" max="3328" width="19.7109375" style="325"/>
    <col min="3329" max="3329" width="3.85546875" style="325" customWidth="1"/>
    <col min="3330" max="3330" width="23.140625" style="325" customWidth="1"/>
    <col min="3331" max="3331" width="15.42578125" style="325" customWidth="1"/>
    <col min="3332" max="3335" width="16.7109375" style="325" customWidth="1"/>
    <col min="3336" max="3339" width="15.140625" style="325" customWidth="1"/>
    <col min="3340" max="3341" width="0" style="325" hidden="1" customWidth="1"/>
    <col min="3342" max="3584" width="19.7109375" style="325"/>
    <col min="3585" max="3585" width="3.85546875" style="325" customWidth="1"/>
    <col min="3586" max="3586" width="23.140625" style="325" customWidth="1"/>
    <col min="3587" max="3587" width="15.42578125" style="325" customWidth="1"/>
    <col min="3588" max="3591" width="16.7109375" style="325" customWidth="1"/>
    <col min="3592" max="3595" width="15.140625" style="325" customWidth="1"/>
    <col min="3596" max="3597" width="0" style="325" hidden="1" customWidth="1"/>
    <col min="3598" max="3840" width="19.7109375" style="325"/>
    <col min="3841" max="3841" width="3.85546875" style="325" customWidth="1"/>
    <col min="3842" max="3842" width="23.140625" style="325" customWidth="1"/>
    <col min="3843" max="3843" width="15.42578125" style="325" customWidth="1"/>
    <col min="3844" max="3847" width="16.7109375" style="325" customWidth="1"/>
    <col min="3848" max="3851" width="15.140625" style="325" customWidth="1"/>
    <col min="3852" max="3853" width="0" style="325" hidden="1" customWidth="1"/>
    <col min="3854" max="4096" width="19.7109375" style="325"/>
    <col min="4097" max="4097" width="3.85546875" style="325" customWidth="1"/>
    <col min="4098" max="4098" width="23.140625" style="325" customWidth="1"/>
    <col min="4099" max="4099" width="15.42578125" style="325" customWidth="1"/>
    <col min="4100" max="4103" width="16.7109375" style="325" customWidth="1"/>
    <col min="4104" max="4107" width="15.140625" style="325" customWidth="1"/>
    <col min="4108" max="4109" width="0" style="325" hidden="1" customWidth="1"/>
    <col min="4110" max="4352" width="19.7109375" style="325"/>
    <col min="4353" max="4353" width="3.85546875" style="325" customWidth="1"/>
    <col min="4354" max="4354" width="23.140625" style="325" customWidth="1"/>
    <col min="4355" max="4355" width="15.42578125" style="325" customWidth="1"/>
    <col min="4356" max="4359" width="16.7109375" style="325" customWidth="1"/>
    <col min="4360" max="4363" width="15.140625" style="325" customWidth="1"/>
    <col min="4364" max="4365" width="0" style="325" hidden="1" customWidth="1"/>
    <col min="4366" max="4608" width="19.7109375" style="325"/>
    <col min="4609" max="4609" width="3.85546875" style="325" customWidth="1"/>
    <col min="4610" max="4610" width="23.140625" style="325" customWidth="1"/>
    <col min="4611" max="4611" width="15.42578125" style="325" customWidth="1"/>
    <col min="4612" max="4615" width="16.7109375" style="325" customWidth="1"/>
    <col min="4616" max="4619" width="15.140625" style="325" customWidth="1"/>
    <col min="4620" max="4621" width="0" style="325" hidden="1" customWidth="1"/>
    <col min="4622" max="4864" width="19.7109375" style="325"/>
    <col min="4865" max="4865" width="3.85546875" style="325" customWidth="1"/>
    <col min="4866" max="4866" width="23.140625" style="325" customWidth="1"/>
    <col min="4867" max="4867" width="15.42578125" style="325" customWidth="1"/>
    <col min="4868" max="4871" width="16.7109375" style="325" customWidth="1"/>
    <col min="4872" max="4875" width="15.140625" style="325" customWidth="1"/>
    <col min="4876" max="4877" width="0" style="325" hidden="1" customWidth="1"/>
    <col min="4878" max="5120" width="19.7109375" style="325"/>
    <col min="5121" max="5121" width="3.85546875" style="325" customWidth="1"/>
    <col min="5122" max="5122" width="23.140625" style="325" customWidth="1"/>
    <col min="5123" max="5123" width="15.42578125" style="325" customWidth="1"/>
    <col min="5124" max="5127" width="16.7109375" style="325" customWidth="1"/>
    <col min="5128" max="5131" width="15.140625" style="325" customWidth="1"/>
    <col min="5132" max="5133" width="0" style="325" hidden="1" customWidth="1"/>
    <col min="5134" max="5376" width="19.7109375" style="325"/>
    <col min="5377" max="5377" width="3.85546875" style="325" customWidth="1"/>
    <col min="5378" max="5378" width="23.140625" style="325" customWidth="1"/>
    <col min="5379" max="5379" width="15.42578125" style="325" customWidth="1"/>
    <col min="5380" max="5383" width="16.7109375" style="325" customWidth="1"/>
    <col min="5384" max="5387" width="15.140625" style="325" customWidth="1"/>
    <col min="5388" max="5389" width="0" style="325" hidden="1" customWidth="1"/>
    <col min="5390" max="5632" width="19.7109375" style="325"/>
    <col min="5633" max="5633" width="3.85546875" style="325" customWidth="1"/>
    <col min="5634" max="5634" width="23.140625" style="325" customWidth="1"/>
    <col min="5635" max="5635" width="15.42578125" style="325" customWidth="1"/>
    <col min="5636" max="5639" width="16.7109375" style="325" customWidth="1"/>
    <col min="5640" max="5643" width="15.140625" style="325" customWidth="1"/>
    <col min="5644" max="5645" width="0" style="325" hidden="1" customWidth="1"/>
    <col min="5646" max="5888" width="19.7109375" style="325"/>
    <col min="5889" max="5889" width="3.85546875" style="325" customWidth="1"/>
    <col min="5890" max="5890" width="23.140625" style="325" customWidth="1"/>
    <col min="5891" max="5891" width="15.42578125" style="325" customWidth="1"/>
    <col min="5892" max="5895" width="16.7109375" style="325" customWidth="1"/>
    <col min="5896" max="5899" width="15.140625" style="325" customWidth="1"/>
    <col min="5900" max="5901" width="0" style="325" hidden="1" customWidth="1"/>
    <col min="5902" max="6144" width="19.7109375" style="325"/>
    <col min="6145" max="6145" width="3.85546875" style="325" customWidth="1"/>
    <col min="6146" max="6146" width="23.140625" style="325" customWidth="1"/>
    <col min="6147" max="6147" width="15.42578125" style="325" customWidth="1"/>
    <col min="6148" max="6151" width="16.7109375" style="325" customWidth="1"/>
    <col min="6152" max="6155" width="15.140625" style="325" customWidth="1"/>
    <col min="6156" max="6157" width="0" style="325" hidden="1" customWidth="1"/>
    <col min="6158" max="6400" width="19.7109375" style="325"/>
    <col min="6401" max="6401" width="3.85546875" style="325" customWidth="1"/>
    <col min="6402" max="6402" width="23.140625" style="325" customWidth="1"/>
    <col min="6403" max="6403" width="15.42578125" style="325" customWidth="1"/>
    <col min="6404" max="6407" width="16.7109375" style="325" customWidth="1"/>
    <col min="6408" max="6411" width="15.140625" style="325" customWidth="1"/>
    <col min="6412" max="6413" width="0" style="325" hidden="1" customWidth="1"/>
    <col min="6414" max="6656" width="19.7109375" style="325"/>
    <col min="6657" max="6657" width="3.85546875" style="325" customWidth="1"/>
    <col min="6658" max="6658" width="23.140625" style="325" customWidth="1"/>
    <col min="6659" max="6659" width="15.42578125" style="325" customWidth="1"/>
    <col min="6660" max="6663" width="16.7109375" style="325" customWidth="1"/>
    <col min="6664" max="6667" width="15.140625" style="325" customWidth="1"/>
    <col min="6668" max="6669" width="0" style="325" hidden="1" customWidth="1"/>
    <col min="6670" max="6912" width="19.7109375" style="325"/>
    <col min="6913" max="6913" width="3.85546875" style="325" customWidth="1"/>
    <col min="6914" max="6914" width="23.140625" style="325" customWidth="1"/>
    <col min="6915" max="6915" width="15.42578125" style="325" customWidth="1"/>
    <col min="6916" max="6919" width="16.7109375" style="325" customWidth="1"/>
    <col min="6920" max="6923" width="15.140625" style="325" customWidth="1"/>
    <col min="6924" max="6925" width="0" style="325" hidden="1" customWidth="1"/>
    <col min="6926" max="7168" width="19.7109375" style="325"/>
    <col min="7169" max="7169" width="3.85546875" style="325" customWidth="1"/>
    <col min="7170" max="7170" width="23.140625" style="325" customWidth="1"/>
    <col min="7171" max="7171" width="15.42578125" style="325" customWidth="1"/>
    <col min="7172" max="7175" width="16.7109375" style="325" customWidth="1"/>
    <col min="7176" max="7179" width="15.140625" style="325" customWidth="1"/>
    <col min="7180" max="7181" width="0" style="325" hidden="1" customWidth="1"/>
    <col min="7182" max="7424" width="19.7109375" style="325"/>
    <col min="7425" max="7425" width="3.85546875" style="325" customWidth="1"/>
    <col min="7426" max="7426" width="23.140625" style="325" customWidth="1"/>
    <col min="7427" max="7427" width="15.42578125" style="325" customWidth="1"/>
    <col min="7428" max="7431" width="16.7109375" style="325" customWidth="1"/>
    <col min="7432" max="7435" width="15.140625" style="325" customWidth="1"/>
    <col min="7436" max="7437" width="0" style="325" hidden="1" customWidth="1"/>
    <col min="7438" max="7680" width="19.7109375" style="325"/>
    <col min="7681" max="7681" width="3.85546875" style="325" customWidth="1"/>
    <col min="7682" max="7682" width="23.140625" style="325" customWidth="1"/>
    <col min="7683" max="7683" width="15.42578125" style="325" customWidth="1"/>
    <col min="7684" max="7687" width="16.7109375" style="325" customWidth="1"/>
    <col min="7688" max="7691" width="15.140625" style="325" customWidth="1"/>
    <col min="7692" max="7693" width="0" style="325" hidden="1" customWidth="1"/>
    <col min="7694" max="7936" width="19.7109375" style="325"/>
    <col min="7937" max="7937" width="3.85546875" style="325" customWidth="1"/>
    <col min="7938" max="7938" width="23.140625" style="325" customWidth="1"/>
    <col min="7939" max="7939" width="15.42578125" style="325" customWidth="1"/>
    <col min="7940" max="7943" width="16.7109375" style="325" customWidth="1"/>
    <col min="7944" max="7947" width="15.140625" style="325" customWidth="1"/>
    <col min="7948" max="7949" width="0" style="325" hidden="1" customWidth="1"/>
    <col min="7950" max="8192" width="19.7109375" style="325"/>
    <col min="8193" max="8193" width="3.85546875" style="325" customWidth="1"/>
    <col min="8194" max="8194" width="23.140625" style="325" customWidth="1"/>
    <col min="8195" max="8195" width="15.42578125" style="325" customWidth="1"/>
    <col min="8196" max="8199" width="16.7109375" style="325" customWidth="1"/>
    <col min="8200" max="8203" width="15.140625" style="325" customWidth="1"/>
    <col min="8204" max="8205" width="0" style="325" hidden="1" customWidth="1"/>
    <col min="8206" max="8448" width="19.7109375" style="325"/>
    <col min="8449" max="8449" width="3.85546875" style="325" customWidth="1"/>
    <col min="8450" max="8450" width="23.140625" style="325" customWidth="1"/>
    <col min="8451" max="8451" width="15.42578125" style="325" customWidth="1"/>
    <col min="8452" max="8455" width="16.7109375" style="325" customWidth="1"/>
    <col min="8456" max="8459" width="15.140625" style="325" customWidth="1"/>
    <col min="8460" max="8461" width="0" style="325" hidden="1" customWidth="1"/>
    <col min="8462" max="8704" width="19.7109375" style="325"/>
    <col min="8705" max="8705" width="3.85546875" style="325" customWidth="1"/>
    <col min="8706" max="8706" width="23.140625" style="325" customWidth="1"/>
    <col min="8707" max="8707" width="15.42578125" style="325" customWidth="1"/>
    <col min="8708" max="8711" width="16.7109375" style="325" customWidth="1"/>
    <col min="8712" max="8715" width="15.140625" style="325" customWidth="1"/>
    <col min="8716" max="8717" width="0" style="325" hidden="1" customWidth="1"/>
    <col min="8718" max="8960" width="19.7109375" style="325"/>
    <col min="8961" max="8961" width="3.85546875" style="325" customWidth="1"/>
    <col min="8962" max="8962" width="23.140625" style="325" customWidth="1"/>
    <col min="8963" max="8963" width="15.42578125" style="325" customWidth="1"/>
    <col min="8964" max="8967" width="16.7109375" style="325" customWidth="1"/>
    <col min="8968" max="8971" width="15.140625" style="325" customWidth="1"/>
    <col min="8972" max="8973" width="0" style="325" hidden="1" customWidth="1"/>
    <col min="8974" max="9216" width="19.7109375" style="325"/>
    <col min="9217" max="9217" width="3.85546875" style="325" customWidth="1"/>
    <col min="9218" max="9218" width="23.140625" style="325" customWidth="1"/>
    <col min="9219" max="9219" width="15.42578125" style="325" customWidth="1"/>
    <col min="9220" max="9223" width="16.7109375" style="325" customWidth="1"/>
    <col min="9224" max="9227" width="15.140625" style="325" customWidth="1"/>
    <col min="9228" max="9229" width="0" style="325" hidden="1" customWidth="1"/>
    <col min="9230" max="9472" width="19.7109375" style="325"/>
    <col min="9473" max="9473" width="3.85546875" style="325" customWidth="1"/>
    <col min="9474" max="9474" width="23.140625" style="325" customWidth="1"/>
    <col min="9475" max="9475" width="15.42578125" style="325" customWidth="1"/>
    <col min="9476" max="9479" width="16.7109375" style="325" customWidth="1"/>
    <col min="9480" max="9483" width="15.140625" style="325" customWidth="1"/>
    <col min="9484" max="9485" width="0" style="325" hidden="1" customWidth="1"/>
    <col min="9486" max="9728" width="19.7109375" style="325"/>
    <col min="9729" max="9729" width="3.85546875" style="325" customWidth="1"/>
    <col min="9730" max="9730" width="23.140625" style="325" customWidth="1"/>
    <col min="9731" max="9731" width="15.42578125" style="325" customWidth="1"/>
    <col min="9732" max="9735" width="16.7109375" style="325" customWidth="1"/>
    <col min="9736" max="9739" width="15.140625" style="325" customWidth="1"/>
    <col min="9740" max="9741" width="0" style="325" hidden="1" customWidth="1"/>
    <col min="9742" max="9984" width="19.7109375" style="325"/>
    <col min="9985" max="9985" width="3.85546875" style="325" customWidth="1"/>
    <col min="9986" max="9986" width="23.140625" style="325" customWidth="1"/>
    <col min="9987" max="9987" width="15.42578125" style="325" customWidth="1"/>
    <col min="9988" max="9991" width="16.7109375" style="325" customWidth="1"/>
    <col min="9992" max="9995" width="15.140625" style="325" customWidth="1"/>
    <col min="9996" max="9997" width="0" style="325" hidden="1" customWidth="1"/>
    <col min="9998" max="10240" width="19.7109375" style="325"/>
    <col min="10241" max="10241" width="3.85546875" style="325" customWidth="1"/>
    <col min="10242" max="10242" width="23.140625" style="325" customWidth="1"/>
    <col min="10243" max="10243" width="15.42578125" style="325" customWidth="1"/>
    <col min="10244" max="10247" width="16.7109375" style="325" customWidth="1"/>
    <col min="10248" max="10251" width="15.140625" style="325" customWidth="1"/>
    <col min="10252" max="10253" width="0" style="325" hidden="1" customWidth="1"/>
    <col min="10254" max="10496" width="19.7109375" style="325"/>
    <col min="10497" max="10497" width="3.85546875" style="325" customWidth="1"/>
    <col min="10498" max="10498" width="23.140625" style="325" customWidth="1"/>
    <col min="10499" max="10499" width="15.42578125" style="325" customWidth="1"/>
    <col min="10500" max="10503" width="16.7109375" style="325" customWidth="1"/>
    <col min="10504" max="10507" width="15.140625" style="325" customWidth="1"/>
    <col min="10508" max="10509" width="0" style="325" hidden="1" customWidth="1"/>
    <col min="10510" max="10752" width="19.7109375" style="325"/>
    <col min="10753" max="10753" width="3.85546875" style="325" customWidth="1"/>
    <col min="10754" max="10754" width="23.140625" style="325" customWidth="1"/>
    <col min="10755" max="10755" width="15.42578125" style="325" customWidth="1"/>
    <col min="10756" max="10759" width="16.7109375" style="325" customWidth="1"/>
    <col min="10760" max="10763" width="15.140625" style="325" customWidth="1"/>
    <col min="10764" max="10765" width="0" style="325" hidden="1" customWidth="1"/>
    <col min="10766" max="11008" width="19.7109375" style="325"/>
    <col min="11009" max="11009" width="3.85546875" style="325" customWidth="1"/>
    <col min="11010" max="11010" width="23.140625" style="325" customWidth="1"/>
    <col min="11011" max="11011" width="15.42578125" style="325" customWidth="1"/>
    <col min="11012" max="11015" width="16.7109375" style="325" customWidth="1"/>
    <col min="11016" max="11019" width="15.140625" style="325" customWidth="1"/>
    <col min="11020" max="11021" width="0" style="325" hidden="1" customWidth="1"/>
    <col min="11022" max="11264" width="19.7109375" style="325"/>
    <col min="11265" max="11265" width="3.85546875" style="325" customWidth="1"/>
    <col min="11266" max="11266" width="23.140625" style="325" customWidth="1"/>
    <col min="11267" max="11267" width="15.42578125" style="325" customWidth="1"/>
    <col min="11268" max="11271" width="16.7109375" style="325" customWidth="1"/>
    <col min="11272" max="11275" width="15.140625" style="325" customWidth="1"/>
    <col min="11276" max="11277" width="0" style="325" hidden="1" customWidth="1"/>
    <col min="11278" max="11520" width="19.7109375" style="325"/>
    <col min="11521" max="11521" width="3.85546875" style="325" customWidth="1"/>
    <col min="11522" max="11522" width="23.140625" style="325" customWidth="1"/>
    <col min="11523" max="11523" width="15.42578125" style="325" customWidth="1"/>
    <col min="11524" max="11527" width="16.7109375" style="325" customWidth="1"/>
    <col min="11528" max="11531" width="15.140625" style="325" customWidth="1"/>
    <col min="11532" max="11533" width="0" style="325" hidden="1" customWidth="1"/>
    <col min="11534" max="11776" width="19.7109375" style="325"/>
    <col min="11777" max="11777" width="3.85546875" style="325" customWidth="1"/>
    <col min="11778" max="11778" width="23.140625" style="325" customWidth="1"/>
    <col min="11779" max="11779" width="15.42578125" style="325" customWidth="1"/>
    <col min="11780" max="11783" width="16.7109375" style="325" customWidth="1"/>
    <col min="11784" max="11787" width="15.140625" style="325" customWidth="1"/>
    <col min="11788" max="11789" width="0" style="325" hidden="1" customWidth="1"/>
    <col min="11790" max="12032" width="19.7109375" style="325"/>
    <col min="12033" max="12033" width="3.85546875" style="325" customWidth="1"/>
    <col min="12034" max="12034" width="23.140625" style="325" customWidth="1"/>
    <col min="12035" max="12035" width="15.42578125" style="325" customWidth="1"/>
    <col min="12036" max="12039" width="16.7109375" style="325" customWidth="1"/>
    <col min="12040" max="12043" width="15.140625" style="325" customWidth="1"/>
    <col min="12044" max="12045" width="0" style="325" hidden="1" customWidth="1"/>
    <col min="12046" max="12288" width="19.7109375" style="325"/>
    <col min="12289" max="12289" width="3.85546875" style="325" customWidth="1"/>
    <col min="12290" max="12290" width="23.140625" style="325" customWidth="1"/>
    <col min="12291" max="12291" width="15.42578125" style="325" customWidth="1"/>
    <col min="12292" max="12295" width="16.7109375" style="325" customWidth="1"/>
    <col min="12296" max="12299" width="15.140625" style="325" customWidth="1"/>
    <col min="12300" max="12301" width="0" style="325" hidden="1" customWidth="1"/>
    <col min="12302" max="12544" width="19.7109375" style="325"/>
    <col min="12545" max="12545" width="3.85546875" style="325" customWidth="1"/>
    <col min="12546" max="12546" width="23.140625" style="325" customWidth="1"/>
    <col min="12547" max="12547" width="15.42578125" style="325" customWidth="1"/>
    <col min="12548" max="12551" width="16.7109375" style="325" customWidth="1"/>
    <col min="12552" max="12555" width="15.140625" style="325" customWidth="1"/>
    <col min="12556" max="12557" width="0" style="325" hidden="1" customWidth="1"/>
    <col min="12558" max="12800" width="19.7109375" style="325"/>
    <col min="12801" max="12801" width="3.85546875" style="325" customWidth="1"/>
    <col min="12802" max="12802" width="23.140625" style="325" customWidth="1"/>
    <col min="12803" max="12803" width="15.42578125" style="325" customWidth="1"/>
    <col min="12804" max="12807" width="16.7109375" style="325" customWidth="1"/>
    <col min="12808" max="12811" width="15.140625" style="325" customWidth="1"/>
    <col min="12812" max="12813" width="0" style="325" hidden="1" customWidth="1"/>
    <col min="12814" max="13056" width="19.7109375" style="325"/>
    <col min="13057" max="13057" width="3.85546875" style="325" customWidth="1"/>
    <col min="13058" max="13058" width="23.140625" style="325" customWidth="1"/>
    <col min="13059" max="13059" width="15.42578125" style="325" customWidth="1"/>
    <col min="13060" max="13063" width="16.7109375" style="325" customWidth="1"/>
    <col min="13064" max="13067" width="15.140625" style="325" customWidth="1"/>
    <col min="13068" max="13069" width="0" style="325" hidden="1" customWidth="1"/>
    <col min="13070" max="13312" width="19.7109375" style="325"/>
    <col min="13313" max="13313" width="3.85546875" style="325" customWidth="1"/>
    <col min="13314" max="13314" width="23.140625" style="325" customWidth="1"/>
    <col min="13315" max="13315" width="15.42578125" style="325" customWidth="1"/>
    <col min="13316" max="13319" width="16.7109375" style="325" customWidth="1"/>
    <col min="13320" max="13323" width="15.140625" style="325" customWidth="1"/>
    <col min="13324" max="13325" width="0" style="325" hidden="1" customWidth="1"/>
    <col min="13326" max="13568" width="19.7109375" style="325"/>
    <col min="13569" max="13569" width="3.85546875" style="325" customWidth="1"/>
    <col min="13570" max="13570" width="23.140625" style="325" customWidth="1"/>
    <col min="13571" max="13571" width="15.42578125" style="325" customWidth="1"/>
    <col min="13572" max="13575" width="16.7109375" style="325" customWidth="1"/>
    <col min="13576" max="13579" width="15.140625" style="325" customWidth="1"/>
    <col min="13580" max="13581" width="0" style="325" hidden="1" customWidth="1"/>
    <col min="13582" max="13824" width="19.7109375" style="325"/>
    <col min="13825" max="13825" width="3.85546875" style="325" customWidth="1"/>
    <col min="13826" max="13826" width="23.140625" style="325" customWidth="1"/>
    <col min="13827" max="13827" width="15.42578125" style="325" customWidth="1"/>
    <col min="13828" max="13831" width="16.7109375" style="325" customWidth="1"/>
    <col min="13832" max="13835" width="15.140625" style="325" customWidth="1"/>
    <col min="13836" max="13837" width="0" style="325" hidden="1" customWidth="1"/>
    <col min="13838" max="14080" width="19.7109375" style="325"/>
    <col min="14081" max="14081" width="3.85546875" style="325" customWidth="1"/>
    <col min="14082" max="14082" width="23.140625" style="325" customWidth="1"/>
    <col min="14083" max="14083" width="15.42578125" style="325" customWidth="1"/>
    <col min="14084" max="14087" width="16.7109375" style="325" customWidth="1"/>
    <col min="14088" max="14091" width="15.140625" style="325" customWidth="1"/>
    <col min="14092" max="14093" width="0" style="325" hidden="1" customWidth="1"/>
    <col min="14094" max="14336" width="19.7109375" style="325"/>
    <col min="14337" max="14337" width="3.85546875" style="325" customWidth="1"/>
    <col min="14338" max="14338" width="23.140625" style="325" customWidth="1"/>
    <col min="14339" max="14339" width="15.42578125" style="325" customWidth="1"/>
    <col min="14340" max="14343" width="16.7109375" style="325" customWidth="1"/>
    <col min="14344" max="14347" width="15.140625" style="325" customWidth="1"/>
    <col min="14348" max="14349" width="0" style="325" hidden="1" customWidth="1"/>
    <col min="14350" max="14592" width="19.7109375" style="325"/>
    <col min="14593" max="14593" width="3.85546875" style="325" customWidth="1"/>
    <col min="14594" max="14594" width="23.140625" style="325" customWidth="1"/>
    <col min="14595" max="14595" width="15.42578125" style="325" customWidth="1"/>
    <col min="14596" max="14599" width="16.7109375" style="325" customWidth="1"/>
    <col min="14600" max="14603" width="15.140625" style="325" customWidth="1"/>
    <col min="14604" max="14605" width="0" style="325" hidden="1" customWidth="1"/>
    <col min="14606" max="14848" width="19.7109375" style="325"/>
    <col min="14849" max="14849" width="3.85546875" style="325" customWidth="1"/>
    <col min="14850" max="14850" width="23.140625" style="325" customWidth="1"/>
    <col min="14851" max="14851" width="15.42578125" style="325" customWidth="1"/>
    <col min="14852" max="14855" width="16.7109375" style="325" customWidth="1"/>
    <col min="14856" max="14859" width="15.140625" style="325" customWidth="1"/>
    <col min="14860" max="14861" width="0" style="325" hidden="1" customWidth="1"/>
    <col min="14862" max="15104" width="19.7109375" style="325"/>
    <col min="15105" max="15105" width="3.85546875" style="325" customWidth="1"/>
    <col min="15106" max="15106" width="23.140625" style="325" customWidth="1"/>
    <col min="15107" max="15107" width="15.42578125" style="325" customWidth="1"/>
    <col min="15108" max="15111" width="16.7109375" style="325" customWidth="1"/>
    <col min="15112" max="15115" width="15.140625" style="325" customWidth="1"/>
    <col min="15116" max="15117" width="0" style="325" hidden="1" customWidth="1"/>
    <col min="15118" max="15360" width="19.7109375" style="325"/>
    <col min="15361" max="15361" width="3.85546875" style="325" customWidth="1"/>
    <col min="15362" max="15362" width="23.140625" style="325" customWidth="1"/>
    <col min="15363" max="15363" width="15.42578125" style="325" customWidth="1"/>
    <col min="15364" max="15367" width="16.7109375" style="325" customWidth="1"/>
    <col min="15368" max="15371" width="15.140625" style="325" customWidth="1"/>
    <col min="15372" max="15373" width="0" style="325" hidden="1" customWidth="1"/>
    <col min="15374" max="15616" width="19.7109375" style="325"/>
    <col min="15617" max="15617" width="3.85546875" style="325" customWidth="1"/>
    <col min="15618" max="15618" width="23.140625" style="325" customWidth="1"/>
    <col min="15619" max="15619" width="15.42578125" style="325" customWidth="1"/>
    <col min="15620" max="15623" width="16.7109375" style="325" customWidth="1"/>
    <col min="15624" max="15627" width="15.140625" style="325" customWidth="1"/>
    <col min="15628" max="15629" width="0" style="325" hidden="1" customWidth="1"/>
    <col min="15630" max="15872" width="19.7109375" style="325"/>
    <col min="15873" max="15873" width="3.85546875" style="325" customWidth="1"/>
    <col min="15874" max="15874" width="23.140625" style="325" customWidth="1"/>
    <col min="15875" max="15875" width="15.42578125" style="325" customWidth="1"/>
    <col min="15876" max="15879" width="16.7109375" style="325" customWidth="1"/>
    <col min="15880" max="15883" width="15.140625" style="325" customWidth="1"/>
    <col min="15884" max="15885" width="0" style="325" hidden="1" customWidth="1"/>
    <col min="15886" max="16128" width="19.7109375" style="325"/>
    <col min="16129" max="16129" width="3.85546875" style="325" customWidth="1"/>
    <col min="16130" max="16130" width="23.140625" style="325" customWidth="1"/>
    <col min="16131" max="16131" width="15.42578125" style="325" customWidth="1"/>
    <col min="16132" max="16135" width="16.7109375" style="325" customWidth="1"/>
    <col min="16136" max="16139" width="15.140625" style="325" customWidth="1"/>
    <col min="16140" max="16141" width="0" style="325" hidden="1" customWidth="1"/>
    <col min="16142" max="16384" width="19.7109375" style="325"/>
  </cols>
  <sheetData>
    <row r="1" spans="1:15">
      <c r="A1" s="1734"/>
      <c r="B1" s="1734"/>
      <c r="C1" s="1734"/>
      <c r="K1" s="324" t="s">
        <v>1613</v>
      </c>
    </row>
    <row r="2" spans="1:15">
      <c r="A2" s="1734" t="s">
        <v>1614</v>
      </c>
      <c r="B2" s="1734"/>
      <c r="C2" s="1734"/>
      <c r="D2" s="1734"/>
      <c r="E2" s="1734"/>
      <c r="F2" s="1734"/>
      <c r="G2" s="1734"/>
      <c r="H2" s="1734"/>
      <c r="I2" s="1734"/>
      <c r="J2" s="1734"/>
      <c r="K2" s="1734"/>
    </row>
    <row r="3" spans="1:15">
      <c r="A3" s="1729" t="s">
        <v>1615</v>
      </c>
      <c r="B3" s="1729"/>
      <c r="C3" s="1729"/>
      <c r="D3" s="1729"/>
      <c r="E3" s="1729"/>
      <c r="F3" s="1729"/>
      <c r="G3" s="1729"/>
      <c r="H3" s="1729"/>
      <c r="I3" s="1729"/>
      <c r="J3" s="1729"/>
      <c r="K3" s="1729"/>
    </row>
    <row r="4" spans="1:15">
      <c r="K4" s="326" t="s">
        <v>1616</v>
      </c>
    </row>
    <row r="5" spans="1:15" s="327" customFormat="1" ht="12.75">
      <c r="A5" s="1735" t="s">
        <v>0</v>
      </c>
      <c r="B5" s="1735" t="s">
        <v>1617</v>
      </c>
      <c r="C5" s="1736" t="s">
        <v>1618</v>
      </c>
      <c r="D5" s="1737" t="s">
        <v>1619</v>
      </c>
      <c r="E5" s="1740" t="s">
        <v>1620</v>
      </c>
      <c r="F5" s="1740"/>
      <c r="G5" s="1740"/>
      <c r="H5" s="1736" t="s">
        <v>1621</v>
      </c>
      <c r="I5" s="1736" t="s">
        <v>1622</v>
      </c>
      <c r="J5" s="1736" t="s">
        <v>1623</v>
      </c>
      <c r="K5" s="1736" t="s">
        <v>1624</v>
      </c>
      <c r="O5" s="328"/>
    </row>
    <row r="6" spans="1:15" s="327" customFormat="1" ht="12.75">
      <c r="A6" s="1735"/>
      <c r="B6" s="1735"/>
      <c r="C6" s="1736"/>
      <c r="D6" s="1738"/>
      <c r="E6" s="1741" t="s">
        <v>1625</v>
      </c>
      <c r="F6" s="1743" t="s">
        <v>1626</v>
      </c>
      <c r="G6" s="1744"/>
      <c r="H6" s="1740"/>
      <c r="I6" s="1740"/>
      <c r="J6" s="1740"/>
      <c r="K6" s="1740"/>
      <c r="O6" s="328"/>
    </row>
    <row r="7" spans="1:15" s="327" customFormat="1" ht="51">
      <c r="A7" s="1735"/>
      <c r="B7" s="1735"/>
      <c r="C7" s="1736"/>
      <c r="D7" s="1739"/>
      <c r="E7" s="1742"/>
      <c r="F7" s="329" t="s">
        <v>1627</v>
      </c>
      <c r="G7" s="329" t="s">
        <v>1628</v>
      </c>
      <c r="H7" s="1740"/>
      <c r="I7" s="1740"/>
      <c r="J7" s="1740"/>
      <c r="K7" s="1740"/>
      <c r="O7" s="328"/>
    </row>
    <row r="8" spans="1:15" s="327" customFormat="1" ht="12.75">
      <c r="A8" s="330" t="s">
        <v>167</v>
      </c>
      <c r="B8" s="330" t="s">
        <v>1268</v>
      </c>
      <c r="C8" s="331">
        <v>1</v>
      </c>
      <c r="D8" s="332" t="s">
        <v>1629</v>
      </c>
      <c r="E8" s="333">
        <v>3</v>
      </c>
      <c r="F8" s="333">
        <v>4</v>
      </c>
      <c r="G8" s="333">
        <v>5</v>
      </c>
      <c r="H8" s="332">
        <v>6</v>
      </c>
      <c r="I8" s="332">
        <v>7</v>
      </c>
      <c r="J8" s="332">
        <v>8</v>
      </c>
      <c r="K8" s="332" t="s">
        <v>1630</v>
      </c>
      <c r="O8" s="328"/>
    </row>
    <row r="9" spans="1:15" s="336" customFormat="1" ht="12.75">
      <c r="A9" s="1735" t="s">
        <v>762</v>
      </c>
      <c r="B9" s="1735"/>
      <c r="C9" s="334">
        <f>SUM(C10:C33)</f>
        <v>67736500</v>
      </c>
      <c r="D9" s="334">
        <f t="shared" ref="D9:J9" si="0">SUM(D10:D33)</f>
        <v>42450400</v>
      </c>
      <c r="E9" s="334">
        <f t="shared" si="0"/>
        <v>31912500</v>
      </c>
      <c r="F9" s="334">
        <f t="shared" si="0"/>
        <v>49312000</v>
      </c>
      <c r="G9" s="334">
        <f t="shared" si="0"/>
        <v>10537900</v>
      </c>
      <c r="H9" s="335">
        <f t="shared" si="0"/>
        <v>139902552.9145</v>
      </c>
      <c r="I9" s="335">
        <f t="shared" si="0"/>
        <v>0</v>
      </c>
      <c r="J9" s="335">
        <f t="shared" si="0"/>
        <v>53470339.649000004</v>
      </c>
      <c r="K9" s="335">
        <f>SUM(K10:K33)</f>
        <v>235823292.56349996</v>
      </c>
      <c r="O9" s="337">
        <v>124748000</v>
      </c>
    </row>
    <row r="10" spans="1:15" s="344" customFormat="1" ht="15">
      <c r="A10" s="338">
        <v>1</v>
      </c>
      <c r="B10" s="339" t="s">
        <v>1631</v>
      </c>
      <c r="C10" s="340">
        <f>('[3]Biểu số 11'!C15)</f>
        <v>9516000</v>
      </c>
      <c r="D10" s="340">
        <f>E10+G10</f>
        <v>2861950</v>
      </c>
      <c r="E10" s="340">
        <f>('[3]Biểu 12'!I14+'[3]Biểu 12'!J14+'[3]Biểu 12'!K14+'[3]Biểu 12'!L14+'[3]Biểu 12'!M14)</f>
        <v>1243000</v>
      </c>
      <c r="F10" s="340">
        <f>('[3]Biểu số 10 (nhập)'!C12)</f>
        <v>8988000</v>
      </c>
      <c r="G10" s="340">
        <f>('[3]Biểu 12'!D14+'[3]Biểu 12'!E14+'[3]Biểu 12'!F14+'[3]Biểu 12'!G14)</f>
        <v>1618950</v>
      </c>
      <c r="H10" s="341">
        <f>('[3]Biểu số 11'!M15)</f>
        <v>3604865.9715</v>
      </c>
      <c r="I10" s="341"/>
      <c r="J10" s="341">
        <f>('[3]Biểu số 11'!O15)</f>
        <v>2186116</v>
      </c>
      <c r="K10" s="342">
        <f>D10+H10+I10+J10</f>
        <v>8652931.9715</v>
      </c>
      <c r="L10" s="343">
        <v>1000</v>
      </c>
      <c r="O10" s="345">
        <f>+H9-O9</f>
        <v>15154552.914499998</v>
      </c>
    </row>
    <row r="11" spans="1:15" s="344" customFormat="1" ht="15">
      <c r="A11" s="346">
        <v>2</v>
      </c>
      <c r="B11" s="347" t="s">
        <v>1632</v>
      </c>
      <c r="C11" s="348">
        <f>('[3]Biểu số 11'!C16)</f>
        <v>6420000</v>
      </c>
      <c r="D11" s="348">
        <f>E11+G11</f>
        <v>3986750</v>
      </c>
      <c r="E11" s="348">
        <f>('[3]Biểu 12'!I15+'[3]Biểu 12'!J15+'[3]Biểu 12'!K15+'[3]Biểu 12'!L15+'[3]Biểu 12'!M15)</f>
        <v>2675000</v>
      </c>
      <c r="F11" s="348">
        <f>('[3]Biểu số 10 (nhập)'!D12)</f>
        <v>4745000</v>
      </c>
      <c r="G11" s="348">
        <f>('[3]Biểu 12'!D15+'[3]Biểu 12'!E15+'[3]Biểu 12'!F15+'[3]Biểu 12'!G15)</f>
        <v>1311750</v>
      </c>
      <c r="H11" s="349">
        <f>('[3]Biểu số 11'!M16)</f>
        <v>3260055.0690000011</v>
      </c>
      <c r="I11" s="349"/>
      <c r="J11" s="349">
        <f>('[3]Biểu số 11'!O16)</f>
        <v>2361003.9000000004</v>
      </c>
      <c r="K11" s="350">
        <f t="shared" ref="K11:K33" si="1">D11+H11+I11+J11</f>
        <v>9607808.9690000005</v>
      </c>
      <c r="O11" s="345"/>
    </row>
    <row r="12" spans="1:15" s="344" customFormat="1" ht="15">
      <c r="A12" s="346">
        <v>3</v>
      </c>
      <c r="B12" s="347" t="s">
        <v>1633</v>
      </c>
      <c r="C12" s="351">
        <f>('[3]Biểu số 11'!C17)</f>
        <v>3457000</v>
      </c>
      <c r="D12" s="351">
        <f t="shared" ref="D12:D32" si="2">E12+G12</f>
        <v>2925050</v>
      </c>
      <c r="E12" s="351">
        <f>('[3]Biểu 12'!I16+'[3]Biểu 12'!J16+'[3]Biểu 12'!K16+'[3]Biểu 12'!L16+'[3]Biểu 12'!M16)</f>
        <v>2615000</v>
      </c>
      <c r="F12" s="351">
        <f>('[3]Biểu số 10 (nhập)'!E12)</f>
        <v>1892000</v>
      </c>
      <c r="G12" s="351">
        <f>('[3]Biểu 12'!D16+'[3]Biểu 12'!E16+'[3]Biểu 12'!F16+'[3]Biểu 12'!G16)</f>
        <v>310050</v>
      </c>
      <c r="H12" s="352">
        <f>('[3]Biểu số 11'!M17)</f>
        <v>6831992.5474999994</v>
      </c>
      <c r="I12" s="352"/>
      <c r="J12" s="352">
        <f>('[3]Biểu số 11'!O17)</f>
        <v>3210005.2</v>
      </c>
      <c r="K12" s="353">
        <f t="shared" si="1"/>
        <v>12967047.747499999</v>
      </c>
      <c r="O12" s="345"/>
    </row>
    <row r="13" spans="1:15" s="344" customFormat="1" ht="15">
      <c r="A13" s="346">
        <v>4</v>
      </c>
      <c r="B13" s="347" t="s">
        <v>1634</v>
      </c>
      <c r="C13" s="348">
        <f>('[3]Biểu số 11'!C18)</f>
        <v>6621000</v>
      </c>
      <c r="D13" s="348">
        <f t="shared" si="2"/>
        <v>4233400</v>
      </c>
      <c r="E13" s="348">
        <f>('[3]Biểu 12'!I17+'[3]Biểu 12'!J17+'[3]Biểu 12'!K17+'[3]Biểu 12'!L17+'[3]Biểu 12'!M17)</f>
        <v>3565000</v>
      </c>
      <c r="F13" s="348">
        <f>('[3]Biểu số 10 (nhập)'!F12)</f>
        <v>4456000</v>
      </c>
      <c r="G13" s="348">
        <f>('[3]Biểu 12'!D17+'[3]Biểu 12'!E17+'[3]Biểu 12'!F17+'[3]Biểu 12'!G17)</f>
        <v>668400</v>
      </c>
      <c r="H13" s="349">
        <f>('[3]Biểu số 11'!M18)</f>
        <v>4989676.5194999985</v>
      </c>
      <c r="I13" s="349"/>
      <c r="J13" s="349">
        <f>('[3]Biểu số 11'!O18)</f>
        <v>2960328.5</v>
      </c>
      <c r="K13" s="350">
        <f t="shared" si="1"/>
        <v>12183405.019499999</v>
      </c>
      <c r="O13" s="345"/>
    </row>
    <row r="14" spans="1:15" s="344" customFormat="1" ht="15">
      <c r="A14" s="346">
        <v>5</v>
      </c>
      <c r="B14" s="347" t="s">
        <v>1635</v>
      </c>
      <c r="C14" s="348">
        <f>('[3]Biểu số 11'!C19)</f>
        <v>5383000</v>
      </c>
      <c r="D14" s="348">
        <f t="shared" si="2"/>
        <v>1990450</v>
      </c>
      <c r="E14" s="348">
        <f>('[3]Biểu 12'!I18+'[3]Biểu 12'!J18+'[3]Biểu 12'!K18+'[3]Biểu 12'!L18+'[3]Biểu 12'!M18)</f>
        <v>1330000</v>
      </c>
      <c r="F14" s="348">
        <f>('[3]Biểu số 10 (nhập)'!G12)</f>
        <v>4403000</v>
      </c>
      <c r="G14" s="348">
        <f>('[3]Biểu 12'!D18+'[3]Biểu 12'!E18+'[3]Biểu 12'!F18+'[3]Biểu 12'!G18)</f>
        <v>660450</v>
      </c>
      <c r="H14" s="349">
        <f>('[3]Biểu số 11'!M19)</f>
        <v>5886389.2499999991</v>
      </c>
      <c r="I14" s="349"/>
      <c r="J14" s="349">
        <f>('[3]Biểu số 11'!O19)</f>
        <v>2280255.2999999998</v>
      </c>
      <c r="K14" s="350">
        <f t="shared" si="1"/>
        <v>10157094.549999999</v>
      </c>
      <c r="O14" s="345"/>
    </row>
    <row r="15" spans="1:15" s="344" customFormat="1" ht="15">
      <c r="A15" s="346">
        <v>6</v>
      </c>
      <c r="B15" s="347" t="s">
        <v>1636</v>
      </c>
      <c r="C15" s="348">
        <f>('[3]Biểu số 11'!C20)</f>
        <v>6817000</v>
      </c>
      <c r="D15" s="348">
        <f t="shared" si="2"/>
        <v>4175000</v>
      </c>
      <c r="E15" s="348">
        <f>('[3]Biểu 12'!I19+'[3]Biểu 12'!J19+'[3]Biểu 12'!K19+'[3]Biểu 12'!L19+'[3]Biểu 12'!M19)</f>
        <v>3475000</v>
      </c>
      <c r="F15" s="348">
        <f>('[3]Biểu số 10 (nhập)'!H12)</f>
        <v>4662000</v>
      </c>
      <c r="G15" s="348">
        <f>('[3]Biểu 12'!D19+'[3]Biểu 12'!E19+'[3]Biểu 12'!F19+'[3]Biểu 12'!G19)</f>
        <v>700000</v>
      </c>
      <c r="H15" s="349">
        <f>('[3]Biểu số 11'!M20)</f>
        <v>4264124.5429999996</v>
      </c>
      <c r="I15" s="349"/>
      <c r="J15" s="349">
        <f>('[3]Biểu số 11'!O20)</f>
        <v>2774816</v>
      </c>
      <c r="K15" s="350">
        <f t="shared" si="1"/>
        <v>11213940.543</v>
      </c>
      <c r="O15" s="345"/>
    </row>
    <row r="16" spans="1:15" s="344" customFormat="1" ht="15">
      <c r="A16" s="346">
        <v>7</v>
      </c>
      <c r="B16" s="347" t="s">
        <v>1637</v>
      </c>
      <c r="C16" s="348">
        <f>('[3]Biểu số 11'!C21)</f>
        <v>7518000</v>
      </c>
      <c r="D16" s="348">
        <f t="shared" si="2"/>
        <v>4888800</v>
      </c>
      <c r="E16" s="348">
        <f>('[3]Biểu 12'!I20+'[3]Biểu 12'!J20+'[3]Biểu 12'!K20+'[3]Biểu 12'!L20+'[3]Biểu 12'!M20)</f>
        <v>4098000</v>
      </c>
      <c r="F16" s="348">
        <f>('[3]Biểu số 10 (nhập)'!I12)</f>
        <v>5258000</v>
      </c>
      <c r="G16" s="348">
        <f>('[3]Biểu 12'!D20+'[3]Biểu 12'!E20+'[3]Biểu 12'!F20+'[3]Biểu 12'!G20)</f>
        <v>790800</v>
      </c>
      <c r="H16" s="349">
        <f>('[3]Biểu số 11'!M21)</f>
        <v>4331243.8870000001</v>
      </c>
      <c r="I16" s="349"/>
      <c r="J16" s="349">
        <f>('[3]Biểu số 11'!O21)</f>
        <v>2759193.1</v>
      </c>
      <c r="K16" s="350">
        <f t="shared" si="1"/>
        <v>11979236.987</v>
      </c>
      <c r="O16" s="345"/>
    </row>
    <row r="17" spans="1:15" s="344" customFormat="1" ht="15">
      <c r="A17" s="346">
        <v>8</v>
      </c>
      <c r="B17" s="347" t="s">
        <v>1638</v>
      </c>
      <c r="C17" s="348">
        <f>('[3]Biểu số 11'!C22)</f>
        <v>6869000</v>
      </c>
      <c r="D17" s="348">
        <f t="shared" si="2"/>
        <v>3518450</v>
      </c>
      <c r="E17" s="348">
        <f>('[3]Biểu 12'!I21+'[3]Biểu 12'!J21+'[3]Biểu 12'!K21+'[3]Biểu 12'!L21+'[3]Biểu 12'!M21)</f>
        <v>2816000</v>
      </c>
      <c r="F17" s="348">
        <f>('[3]Biểu số 10 (nhập)'!J12)</f>
        <v>4583000</v>
      </c>
      <c r="G17" s="348">
        <f>('[3]Biểu 12'!D21+'[3]Biểu 12'!E21+'[3]Biểu 12'!F21+'[3]Biểu 12'!G21)</f>
        <v>702450</v>
      </c>
      <c r="H17" s="349">
        <f>('[3]Biểu số 11'!M22)</f>
        <v>6267215.4674999993</v>
      </c>
      <c r="I17" s="349"/>
      <c r="J17" s="349">
        <f>('[3]Biểu số 11'!O22)</f>
        <v>3299373.5</v>
      </c>
      <c r="K17" s="350">
        <f t="shared" si="1"/>
        <v>13085038.967499999</v>
      </c>
      <c r="O17" s="345"/>
    </row>
    <row r="18" spans="1:15" s="344" customFormat="1" ht="15">
      <c r="A18" s="346">
        <v>9</v>
      </c>
      <c r="B18" s="347" t="s">
        <v>1639</v>
      </c>
      <c r="C18" s="348">
        <f>('[3]Biểu số 11'!C23)</f>
        <v>4738000</v>
      </c>
      <c r="D18" s="348">
        <f t="shared" si="2"/>
        <v>4056250</v>
      </c>
      <c r="E18" s="348">
        <f>('[3]Biểu 12'!I22+'[3]Biểu 12'!J22+'[3]Biểu 12'!K22+'[3]Biểu 12'!L22+'[3]Biểu 12'!M22)</f>
        <v>3520000</v>
      </c>
      <c r="F18" s="348">
        <f>('[3]Biểu số 10 (nhập)'!K12)</f>
        <v>3568000</v>
      </c>
      <c r="G18" s="348">
        <f>('[3]Biểu 12'!D22+'[3]Biểu 12'!E22+'[3]Biểu 12'!F22+'[3]Biểu 12'!G22)</f>
        <v>536250</v>
      </c>
      <c r="H18" s="349">
        <f>('[3]Biểu số 11'!M23)</f>
        <v>5535417.8490000013</v>
      </c>
      <c r="I18" s="349"/>
      <c r="J18" s="349">
        <f>('[3]Biểu số 11'!O23)</f>
        <v>3318596.8</v>
      </c>
      <c r="K18" s="350">
        <f t="shared" si="1"/>
        <v>12910264.649</v>
      </c>
      <c r="O18" s="345"/>
    </row>
    <row r="19" spans="1:15" s="344" customFormat="1" ht="15">
      <c r="A19" s="346">
        <v>10</v>
      </c>
      <c r="B19" s="347" t="s">
        <v>1640</v>
      </c>
      <c r="C19" s="348">
        <f>('[3]Biểu số 11'!C24)</f>
        <v>1041000</v>
      </c>
      <c r="D19" s="348">
        <f t="shared" si="2"/>
        <v>967400</v>
      </c>
      <c r="E19" s="348">
        <f>('[3]Biểu 12'!I23+'[3]Biểu 12'!J23+'[3]Biểu 12'!K23+'[3]Biểu 12'!L23+'[3]Biểu 12'!M23)</f>
        <v>891000</v>
      </c>
      <c r="F19" s="348">
        <f>('[3]Biểu số 10 (nhập)'!L12)</f>
        <v>500000</v>
      </c>
      <c r="G19" s="348">
        <f>('[3]Biểu 12'!D23+'[3]Biểu 12'!E23+'[3]Biểu 12'!F23+'[3]Biểu 12'!G23)</f>
        <v>76400</v>
      </c>
      <c r="H19" s="349">
        <f>('[3]Biểu số 11'!M24)</f>
        <v>5628907.7544999998</v>
      </c>
      <c r="I19" s="349"/>
      <c r="J19" s="349">
        <f>('[3]Biểu số 11'!O24)</f>
        <v>1981578.7</v>
      </c>
      <c r="K19" s="350">
        <f t="shared" si="1"/>
        <v>8577886.4544999991</v>
      </c>
      <c r="O19" s="345"/>
    </row>
    <row r="20" spans="1:15" s="344" customFormat="1" ht="15">
      <c r="A20" s="346">
        <v>11</v>
      </c>
      <c r="B20" s="347" t="s">
        <v>1641</v>
      </c>
      <c r="C20" s="348">
        <f>('[3]Biểu số 11'!C25)</f>
        <v>976000</v>
      </c>
      <c r="D20" s="348">
        <f t="shared" si="2"/>
        <v>2117050</v>
      </c>
      <c r="E20" s="348">
        <f>('[3]Biểu 12'!I24+'[3]Biểu 12'!J24+'[3]Biểu 12'!K24+'[3]Biểu 12'!L24+'[3]Biểu 12'!M24)</f>
        <v>798000</v>
      </c>
      <c r="F20" s="348">
        <f>('[3]Biểu số 10 (nhập)'!M12)</f>
        <v>458000</v>
      </c>
      <c r="G20" s="348">
        <f>('[3]Biểu 12'!D24+'[3]Biểu 12'!E24+'[3]Biểu 12'!F24+'[3]Biểu 12'!G24)</f>
        <v>1319050</v>
      </c>
      <c r="H20" s="349">
        <f>('[3]Biểu số 11'!M25)</f>
        <v>4956382.09</v>
      </c>
      <c r="I20" s="349"/>
      <c r="J20" s="349">
        <f>('[3]Biểu số 11'!O25)</f>
        <v>2040815.5</v>
      </c>
      <c r="K20" s="350">
        <f t="shared" si="1"/>
        <v>9114247.5899999999</v>
      </c>
      <c r="O20" s="345"/>
    </row>
    <row r="21" spans="1:15" s="344" customFormat="1" ht="15">
      <c r="A21" s="346">
        <v>12</v>
      </c>
      <c r="B21" s="347" t="s">
        <v>1642</v>
      </c>
      <c r="C21" s="348">
        <f>('[3]Biểu số 11'!C26)</f>
        <v>1357000</v>
      </c>
      <c r="D21" s="348">
        <f t="shared" si="2"/>
        <v>773850</v>
      </c>
      <c r="E21" s="348">
        <f>('[3]Biểu 12'!I25+'[3]Biểu 12'!J25+'[3]Biểu 12'!K25+'[3]Biểu 12'!L25+'[3]Biểu 12'!M25)</f>
        <v>618000</v>
      </c>
      <c r="F21" s="348">
        <f>('[3]Biểu số 10 (nhập)'!N12)</f>
        <v>1039000</v>
      </c>
      <c r="G21" s="348">
        <f>('[3]Biểu 12'!D25+'[3]Biểu 12'!E25+'[3]Biểu 12'!F25+'[3]Biểu 12'!G25)</f>
        <v>155850</v>
      </c>
      <c r="H21" s="349">
        <f>('[3]Biểu số 11'!M26)</f>
        <v>6327630.4385000002</v>
      </c>
      <c r="I21" s="349"/>
      <c r="J21" s="349">
        <f>('[3]Biểu số 11'!O26)</f>
        <v>2003467.1</v>
      </c>
      <c r="K21" s="350">
        <f t="shared" si="1"/>
        <v>9104947.5384999998</v>
      </c>
      <c r="O21" s="345"/>
    </row>
    <row r="22" spans="1:15" s="344" customFormat="1" ht="15">
      <c r="A22" s="346">
        <v>13</v>
      </c>
      <c r="B22" s="347" t="s">
        <v>1643</v>
      </c>
      <c r="C22" s="348">
        <f>('[3]Biểu số 11'!C27)</f>
        <v>257000</v>
      </c>
      <c r="D22" s="348">
        <f t="shared" si="2"/>
        <v>752300</v>
      </c>
      <c r="E22" s="348">
        <f>('[3]Biểu 12'!I26+'[3]Biểu 12'!J26+'[3]Biểu 12'!K26+'[3]Biểu 12'!L26+'[3]Biểu 12'!M26)</f>
        <v>475000</v>
      </c>
      <c r="F22" s="348">
        <f>('[3]Biểu số 10 (nhập)'!O12)</f>
        <v>182000</v>
      </c>
      <c r="G22" s="348">
        <f>('[3]Biểu 12'!D26+'[3]Biểu 12'!E26+'[3]Biểu 12'!F26+'[3]Biểu 12'!G26)</f>
        <v>277300</v>
      </c>
      <c r="H22" s="349">
        <f>('[3]Biểu số 11'!M27)</f>
        <v>6257808.3154999996</v>
      </c>
      <c r="I22" s="349"/>
      <c r="J22" s="349">
        <f>('[3]Biểu số 11'!O27)</f>
        <v>1911342.52</v>
      </c>
      <c r="K22" s="350">
        <f t="shared" si="1"/>
        <v>8921450.8355</v>
      </c>
      <c r="O22" s="345"/>
    </row>
    <row r="23" spans="1:15" s="344" customFormat="1" ht="15">
      <c r="A23" s="346">
        <v>14</v>
      </c>
      <c r="B23" s="347" t="s">
        <v>1644</v>
      </c>
      <c r="C23" s="348">
        <f>('[3]Biểu số 11'!C28)</f>
        <v>949000</v>
      </c>
      <c r="D23" s="348">
        <f t="shared" si="2"/>
        <v>503350</v>
      </c>
      <c r="E23" s="348">
        <f>('[3]Biểu 12'!I27+'[3]Biểu 12'!J27+'[3]Biểu 12'!K27+'[3]Biểu 12'!L27+'[3]Biểu 12'!M27)</f>
        <v>347000</v>
      </c>
      <c r="F23" s="348">
        <f>('[3]Biểu số 10 (nhập)'!P12)</f>
        <v>702000</v>
      </c>
      <c r="G23" s="348">
        <f>('[3]Biểu 12'!D27+'[3]Biểu 12'!E27+'[3]Biểu 12'!F27+'[3]Biểu 12'!G27)</f>
        <v>156350</v>
      </c>
      <c r="H23" s="349">
        <f>('[3]Biểu số 11'!M28)</f>
        <v>5737939.8485000003</v>
      </c>
      <c r="I23" s="349"/>
      <c r="J23" s="349">
        <f>('[3]Biểu số 11'!O28)</f>
        <v>1689169.9000000001</v>
      </c>
      <c r="K23" s="350">
        <f t="shared" si="1"/>
        <v>7930459.7485000007</v>
      </c>
      <c r="O23" s="345"/>
    </row>
    <row r="24" spans="1:15" s="344" customFormat="1" ht="15">
      <c r="A24" s="346">
        <v>15</v>
      </c>
      <c r="B24" s="347" t="s">
        <v>1645</v>
      </c>
      <c r="C24" s="348">
        <f>('[3]Biểu số 11'!C29)</f>
        <v>1013000</v>
      </c>
      <c r="D24" s="348">
        <f t="shared" si="2"/>
        <v>905050</v>
      </c>
      <c r="E24" s="348">
        <f>('[3]Biểu 12'!I28+'[3]Biểu 12'!J28+'[3]Biểu 12'!K28+'[3]Biểu 12'!L28+'[3]Biểu 12'!M28)</f>
        <v>346000</v>
      </c>
      <c r="F24" s="348">
        <f>('[3]Biểu số 10 (nhập)'!Q12)</f>
        <v>727000</v>
      </c>
      <c r="G24" s="348">
        <f>('[3]Biểu 12'!D28+'[3]Biểu 12'!E28+'[3]Biểu 12'!F28+'[3]Biểu 12'!G28)</f>
        <v>559050</v>
      </c>
      <c r="H24" s="349">
        <f>('[3]Biểu số 11'!M29)</f>
        <v>5688549.1044999994</v>
      </c>
      <c r="I24" s="349"/>
      <c r="J24" s="349">
        <f>('[3]Biểu số 11'!O29)</f>
        <v>1661875.5999999999</v>
      </c>
      <c r="K24" s="350">
        <f t="shared" si="1"/>
        <v>8255474.7044999991</v>
      </c>
      <c r="O24" s="345"/>
    </row>
    <row r="25" spans="1:15" s="344" customFormat="1" ht="15">
      <c r="A25" s="346">
        <v>16</v>
      </c>
      <c r="B25" s="347" t="s">
        <v>1646</v>
      </c>
      <c r="C25" s="348">
        <f>('[3]Biểu số 11'!C30)</f>
        <v>476000</v>
      </c>
      <c r="D25" s="348">
        <f>E25+G25</f>
        <v>377000</v>
      </c>
      <c r="E25" s="348">
        <f>('[3]Biểu 12'!I29+'[3]Biểu 12'!J29+'[3]Biểu 12'!K29+'[3]Biểu 12'!L29+'[3]Biểu 12'!M29)</f>
        <v>336000</v>
      </c>
      <c r="F25" s="348">
        <f>('[3]Biểu số 10 (nhập)'!R12)</f>
        <v>240000</v>
      </c>
      <c r="G25" s="348">
        <f>('[3]Biểu 12'!D29+'[3]Biểu 12'!E29+'[3]Biểu 12'!F29+'[3]Biểu 12'!G29)</f>
        <v>41000</v>
      </c>
      <c r="H25" s="349">
        <f>('[3]Biểu số 11'!M30)</f>
        <v>6387489.8635</v>
      </c>
      <c r="I25" s="349"/>
      <c r="J25" s="349">
        <f>('[3]Biểu số 11'!O30)</f>
        <v>1764161.4</v>
      </c>
      <c r="K25" s="350">
        <f t="shared" si="1"/>
        <v>8528651.2634999994</v>
      </c>
      <c r="O25" s="345"/>
    </row>
    <row r="26" spans="1:15" s="344" customFormat="1" ht="15">
      <c r="A26" s="346">
        <v>17</v>
      </c>
      <c r="B26" s="347" t="s">
        <v>1647</v>
      </c>
      <c r="C26" s="348">
        <f>('[3]Biểu số 11'!C31)</f>
        <v>394000</v>
      </c>
      <c r="D26" s="348">
        <f t="shared" si="2"/>
        <v>311500</v>
      </c>
      <c r="E26" s="348">
        <f>('[3]Biểu 12'!I30+'[3]Biểu 12'!J30+'[3]Biểu 12'!K30+'[3]Biểu 12'!L30+'[3]Biểu 12'!M30)</f>
        <v>274000</v>
      </c>
      <c r="F26" s="348">
        <f>('[3]Biểu số 10 (nhập)'!S12)</f>
        <v>150000</v>
      </c>
      <c r="G26" s="348">
        <f>('[3]Biểu 12'!D30+'[3]Biểu 12'!E30+'[3]Biểu 12'!F30+'[3]Biểu 12'!G30)</f>
        <v>37500</v>
      </c>
      <c r="H26" s="349">
        <f>('[3]Biểu số 11'!M31)</f>
        <v>6648247.8684999999</v>
      </c>
      <c r="I26" s="349"/>
      <c r="J26" s="349">
        <f>('[3]Biểu số 11'!O31)</f>
        <v>2054808.6069999998</v>
      </c>
      <c r="K26" s="350">
        <f t="shared" si="1"/>
        <v>9014556.4754999988</v>
      </c>
      <c r="O26" s="345"/>
    </row>
    <row r="27" spans="1:15" s="344" customFormat="1" ht="15">
      <c r="A27" s="346">
        <v>18</v>
      </c>
      <c r="B27" s="347" t="s">
        <v>1648</v>
      </c>
      <c r="C27" s="348">
        <f>('[3]Biểu số 11'!C32)</f>
        <v>1472000</v>
      </c>
      <c r="D27" s="348">
        <f t="shared" si="2"/>
        <v>978500</v>
      </c>
      <c r="E27" s="348">
        <f>('[3]Biểu 12'!I31+'[3]Biểu 12'!J31+'[3]Biểu 12'!K31+'[3]Biểu 12'!L31+'[3]Biểu 12'!M31)</f>
        <v>712000</v>
      </c>
      <c r="F27" s="348">
        <f>('[3]Biểu số 10 (nhập)'!T12)</f>
        <v>1120000</v>
      </c>
      <c r="G27" s="348">
        <f>('[3]Biểu 12'!D31+'[3]Biểu 12'!E31+'[3]Biểu 12'!F31+'[3]Biểu 12'!G31)</f>
        <v>266500</v>
      </c>
      <c r="H27" s="349">
        <f>('[3]Biểu số 11'!M32)</f>
        <v>8341967.959499998</v>
      </c>
      <c r="I27" s="349"/>
      <c r="J27" s="349">
        <f>('[3]Biểu số 11'!O32)</f>
        <v>2426607.6720000003</v>
      </c>
      <c r="K27" s="350">
        <f t="shared" si="1"/>
        <v>11747075.631499998</v>
      </c>
      <c r="O27" s="345"/>
    </row>
    <row r="28" spans="1:15" s="344" customFormat="1" ht="15">
      <c r="A28" s="346">
        <v>19</v>
      </c>
      <c r="B28" s="347" t="s">
        <v>1649</v>
      </c>
      <c r="C28" s="348">
        <f>('[3]Biểu số 11'!C33)</f>
        <v>329000</v>
      </c>
      <c r="D28" s="348">
        <f t="shared" si="2"/>
        <v>232000</v>
      </c>
      <c r="E28" s="348">
        <f>('[3]Biểu 12'!I32+'[3]Biểu 12'!J32+'[3]Biểu 12'!K32+'[3]Biểu 12'!L32+'[3]Biểu 12'!M32)</f>
        <v>133000</v>
      </c>
      <c r="F28" s="348">
        <f>('[3]Biểu số 10 (nhập)'!U12)</f>
        <v>261000</v>
      </c>
      <c r="G28" s="348">
        <f>('[3]Biểu 12'!D32+'[3]Biểu 12'!E32+'[3]Biểu 12'!F32+'[3]Biểu 12'!G32)</f>
        <v>99000</v>
      </c>
      <c r="H28" s="349">
        <f>('[3]Biểu số 11'!M33)</f>
        <v>7969896.3375000004</v>
      </c>
      <c r="I28" s="349"/>
      <c r="J28" s="349">
        <f>('[3]Biểu số 11'!O33)</f>
        <v>2405963.4500000002</v>
      </c>
      <c r="K28" s="350">
        <f t="shared" si="1"/>
        <v>10607859.787500001</v>
      </c>
      <c r="O28" s="345"/>
    </row>
    <row r="29" spans="1:15" s="344" customFormat="1" ht="15">
      <c r="A29" s="346">
        <v>20</v>
      </c>
      <c r="B29" s="347" t="s">
        <v>1650</v>
      </c>
      <c r="C29" s="348">
        <f>('[3]Biểu số 11'!C34)</f>
        <v>637000</v>
      </c>
      <c r="D29" s="348">
        <f t="shared" si="2"/>
        <v>301000</v>
      </c>
      <c r="E29" s="348">
        <f>('[3]Biểu 12'!I33+'[3]Biểu 12'!J33+'[3]Biểu 12'!K33+'[3]Biểu 12'!L33+'[3]Biểu 12'!M33)</f>
        <v>182000</v>
      </c>
      <c r="F29" s="348">
        <f>('[3]Biểu số 10 (nhập)'!V12)</f>
        <v>525000</v>
      </c>
      <c r="G29" s="348">
        <f>('[3]Biểu 12'!D33+'[3]Biểu 12'!E33+'[3]Biểu 12'!F33+'[3]Biểu 12'!G33)</f>
        <v>119000</v>
      </c>
      <c r="H29" s="349">
        <f>('[3]Biểu số 11'!M34)</f>
        <v>6931197.949000001</v>
      </c>
      <c r="I29" s="349"/>
      <c r="J29" s="349">
        <f>('[3]Biểu số 11'!O34)</f>
        <v>1642630.2</v>
      </c>
      <c r="K29" s="350">
        <f t="shared" si="1"/>
        <v>8874828.1490000002</v>
      </c>
      <c r="O29" s="345"/>
    </row>
    <row r="30" spans="1:15" s="344" customFormat="1" ht="15">
      <c r="A30" s="346">
        <v>21</v>
      </c>
      <c r="B30" s="347" t="s">
        <v>1651</v>
      </c>
      <c r="C30" s="348">
        <f>('[3]Biểu số 11'!C35)</f>
        <v>390000</v>
      </c>
      <c r="D30" s="348">
        <f t="shared" si="2"/>
        <v>581250</v>
      </c>
      <c r="E30" s="348">
        <f>('[3]Biểu 12'!I34+'[3]Biểu 12'!J34+'[3]Biểu 12'!K34+'[3]Biểu 12'!L34+'[3]Biểu 12'!M34)</f>
        <v>538000</v>
      </c>
      <c r="F30" s="348">
        <f>('[3]Biểu số 10 (nhập)'!W12)</f>
        <v>272000</v>
      </c>
      <c r="G30" s="348">
        <f>('[3]Biểu 12'!D34+'[3]Biểu 12'!E34+'[3]Biểu 12'!F34+'[3]Biểu 12'!G34)</f>
        <v>43250</v>
      </c>
      <c r="H30" s="349">
        <f>('[3]Biểu số 11'!M35)</f>
        <v>7196049.6404999997</v>
      </c>
      <c r="I30" s="349"/>
      <c r="J30" s="349">
        <f>('[3]Biểu số 11'!O35)</f>
        <v>1621750.3</v>
      </c>
      <c r="K30" s="350">
        <f t="shared" si="1"/>
        <v>9399049.9405000005</v>
      </c>
      <c r="O30" s="345"/>
    </row>
    <row r="31" spans="1:15" s="344" customFormat="1" ht="15">
      <c r="A31" s="346">
        <v>22</v>
      </c>
      <c r="B31" s="347" t="s">
        <v>1652</v>
      </c>
      <c r="C31" s="348">
        <f>('[3]Biểu số 11'!C36)</f>
        <v>798000</v>
      </c>
      <c r="D31" s="348">
        <f t="shared" si="2"/>
        <v>734450</v>
      </c>
      <c r="E31" s="348">
        <f>('[3]Biểu 12'!I35+'[3]Biểu 12'!J35+'[3]Biểu 12'!K35+'[3]Biểu 12'!L35+'[3]Biểu 12'!M35)</f>
        <v>673000</v>
      </c>
      <c r="F31" s="348">
        <f>('[3]Biểu số 10 (nhập)'!X12)</f>
        <v>405000</v>
      </c>
      <c r="G31" s="348">
        <f>('[3]Biểu 12'!D35+'[3]Biểu 12'!E35+'[3]Biểu 12'!F35+'[3]Biểu 12'!G35)</f>
        <v>61450</v>
      </c>
      <c r="H31" s="349">
        <f>('[3]Biểu số 11'!M36)</f>
        <v>8112060.9930000007</v>
      </c>
      <c r="I31" s="349"/>
      <c r="J31" s="349">
        <f>('[3]Biểu số 11'!O36)</f>
        <v>2846622</v>
      </c>
      <c r="K31" s="350">
        <f t="shared" si="1"/>
        <v>11693132.993000001</v>
      </c>
      <c r="O31" s="345"/>
    </row>
    <row r="32" spans="1:15" s="344" customFormat="1" ht="15">
      <c r="A32" s="354">
        <v>23</v>
      </c>
      <c r="B32" s="355" t="s">
        <v>1653</v>
      </c>
      <c r="C32" s="356">
        <f>('[3]Biểu số 11'!C37)</f>
        <v>308500</v>
      </c>
      <c r="D32" s="356">
        <f t="shared" si="2"/>
        <v>279600</v>
      </c>
      <c r="E32" s="356">
        <f>('[3]Biểu 12'!I36+'[3]Biểu 12'!J36+'[3]Biểu 12'!K36+'[3]Biểu 12'!L36+'[3]Biểu 12'!M36)</f>
        <v>252500</v>
      </c>
      <c r="F32" s="356">
        <f>('[3]Biểu số 10 (nhập)'!Y12)</f>
        <v>176000</v>
      </c>
      <c r="G32" s="356">
        <f>('[3]Biểu 12'!D36+'[3]Biểu 12'!E36+'[3]Biểu 12'!F36+'[3]Biểu 12'!G36)</f>
        <v>27100</v>
      </c>
      <c r="H32" s="357">
        <f>('[3]Biểu số 11'!M37)</f>
        <v>8747443.6475000009</v>
      </c>
      <c r="I32" s="357"/>
      <c r="J32" s="357">
        <f>('[3]Biểu số 11'!O37)</f>
        <v>2269858.4</v>
      </c>
      <c r="K32" s="358">
        <f t="shared" si="1"/>
        <v>11296902.047500001</v>
      </c>
      <c r="O32" s="345"/>
    </row>
    <row r="33" spans="1:15" customFormat="1" ht="15" hidden="1">
      <c r="A33" s="359"/>
      <c r="B33" s="360"/>
      <c r="C33" s="361"/>
      <c r="D33" s="362"/>
      <c r="E33" s="362"/>
      <c r="F33" s="362"/>
      <c r="G33" s="362"/>
      <c r="H33" s="361"/>
      <c r="I33" s="361"/>
      <c r="J33" s="361"/>
      <c r="K33" s="363">
        <f t="shared" si="1"/>
        <v>0</v>
      </c>
      <c r="O33" s="364"/>
    </row>
    <row r="34" spans="1:15" customFormat="1" ht="15" hidden="1">
      <c r="A34" s="1733" t="s">
        <v>762</v>
      </c>
      <c r="B34" s="1733"/>
      <c r="C34" s="365">
        <f t="shared" ref="C34:I34" si="3">SUM(C10:C32)</f>
        <v>67736500</v>
      </c>
      <c r="D34" s="365">
        <f t="shared" si="3"/>
        <v>42450400</v>
      </c>
      <c r="E34" s="366">
        <f t="shared" si="3"/>
        <v>31912500</v>
      </c>
      <c r="F34" s="366">
        <f t="shared" si="3"/>
        <v>49312000</v>
      </c>
      <c r="G34" s="366">
        <f t="shared" si="3"/>
        <v>10537900</v>
      </c>
      <c r="H34" s="365">
        <f t="shared" si="3"/>
        <v>139902552.9145</v>
      </c>
      <c r="I34" s="365">
        <f t="shared" si="3"/>
        <v>0</v>
      </c>
      <c r="J34" s="365">
        <f>SUM(J10:J33)</f>
        <v>53470339.649000004</v>
      </c>
      <c r="K34" s="365">
        <f>SUM(K10:K33)</f>
        <v>235823292.56349996</v>
      </c>
      <c r="L34">
        <f>162-157</f>
        <v>5</v>
      </c>
      <c r="O34" s="364"/>
    </row>
    <row r="35" spans="1:15" customFormat="1" ht="15">
      <c r="C35" s="367"/>
      <c r="D35" s="367"/>
      <c r="E35" s="364"/>
      <c r="F35" s="364"/>
      <c r="G35" s="364"/>
      <c r="H35" s="367"/>
      <c r="I35" s="367"/>
      <c r="J35" s="367"/>
      <c r="K35" s="367"/>
      <c r="O35" s="364"/>
    </row>
    <row r="36" spans="1:15" customFormat="1" ht="15">
      <c r="C36" s="367"/>
      <c r="D36" s="367"/>
      <c r="E36" s="364"/>
      <c r="F36" s="364"/>
      <c r="G36" s="364"/>
      <c r="H36" s="367"/>
      <c r="I36" s="367"/>
      <c r="J36" s="367"/>
      <c r="K36" s="367"/>
      <c r="O36" s="364"/>
    </row>
    <row r="37" spans="1:15" customFormat="1" ht="15">
      <c r="C37" s="367"/>
      <c r="D37" s="367"/>
      <c r="E37" s="364"/>
      <c r="F37" s="364"/>
      <c r="G37" s="364"/>
      <c r="H37" s="367"/>
      <c r="I37" s="367"/>
      <c r="J37" s="367"/>
      <c r="K37" s="367"/>
      <c r="O37" s="364"/>
    </row>
    <row r="38" spans="1:15" customFormat="1" ht="15">
      <c r="C38" s="367"/>
      <c r="D38" s="367"/>
      <c r="E38" s="364"/>
      <c r="F38" s="364"/>
      <c r="G38" s="364"/>
      <c r="H38" s="367"/>
      <c r="I38" s="367"/>
      <c r="J38" s="367"/>
      <c r="K38" s="367"/>
      <c r="O38" s="364"/>
    </row>
    <row r="39" spans="1:15" customFormat="1" ht="15">
      <c r="C39" s="367"/>
      <c r="D39" s="367"/>
      <c r="E39" s="364"/>
      <c r="F39" s="364"/>
      <c r="G39" s="364"/>
      <c r="H39" s="367"/>
      <c r="I39" s="367"/>
      <c r="J39" s="367"/>
      <c r="K39" s="367"/>
      <c r="O39" s="364"/>
    </row>
  </sheetData>
  <mergeCells count="16">
    <mergeCell ref="A34:B34"/>
    <mergeCell ref="A1:C1"/>
    <mergeCell ref="A2:K2"/>
    <mergeCell ref="A3:K3"/>
    <mergeCell ref="A5:A7"/>
    <mergeCell ref="B5:B7"/>
    <mergeCell ref="C5:C7"/>
    <mergeCell ref="D5:D7"/>
    <mergeCell ref="E5:G5"/>
    <mergeCell ref="H5:H7"/>
    <mergeCell ref="I5:I7"/>
    <mergeCell ref="J5:J7"/>
    <mergeCell ref="K5:K7"/>
    <mergeCell ref="E6:E7"/>
    <mergeCell ref="F6:G6"/>
    <mergeCell ref="A9:B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topLeftCell="A2" zoomScale="85" zoomScaleNormal="85" workbookViewId="0">
      <selection activeCell="K16" sqref="K16"/>
    </sheetView>
  </sheetViews>
  <sheetFormatPr defaultRowHeight="18.75"/>
  <cols>
    <col min="1" max="1" width="7.140625" style="288" customWidth="1"/>
    <col min="2" max="2" width="38.5703125" style="288" customWidth="1"/>
    <col min="3" max="3" width="19.28515625" style="288" customWidth="1"/>
    <col min="4" max="5" width="21.140625" style="288" customWidth="1"/>
    <col min="6" max="7" width="19.42578125" style="288" customWidth="1"/>
    <col min="8" max="9" width="19.42578125" style="288" hidden="1" customWidth="1"/>
    <col min="10" max="10" width="20" style="288" customWidth="1"/>
    <col min="11" max="11" width="20.85546875" style="288" bestFit="1" customWidth="1"/>
    <col min="12" max="12" width="16.5703125" style="288" bestFit="1" customWidth="1"/>
    <col min="13" max="263" width="9.140625" style="288"/>
    <col min="264" max="264" width="7.140625" style="288" customWidth="1"/>
    <col min="265" max="265" width="47.7109375" style="288" customWidth="1"/>
    <col min="266" max="266" width="19.28515625" style="288" customWidth="1"/>
    <col min="267" max="519" width="9.140625" style="288"/>
    <col min="520" max="520" width="7.140625" style="288" customWidth="1"/>
    <col min="521" max="521" width="47.7109375" style="288" customWidth="1"/>
    <col min="522" max="522" width="19.28515625" style="288" customWidth="1"/>
    <col min="523" max="775" width="9.140625" style="288"/>
    <col min="776" max="776" width="7.140625" style="288" customWidth="1"/>
    <col min="777" max="777" width="47.7109375" style="288" customWidth="1"/>
    <col min="778" max="778" width="19.28515625" style="288" customWidth="1"/>
    <col min="779" max="1031" width="9.140625" style="288"/>
    <col min="1032" max="1032" width="7.140625" style="288" customWidth="1"/>
    <col min="1033" max="1033" width="47.7109375" style="288" customWidth="1"/>
    <col min="1034" max="1034" width="19.28515625" style="288" customWidth="1"/>
    <col min="1035" max="1287" width="9.140625" style="288"/>
    <col min="1288" max="1288" width="7.140625" style="288" customWidth="1"/>
    <col min="1289" max="1289" width="47.7109375" style="288" customWidth="1"/>
    <col min="1290" max="1290" width="19.28515625" style="288" customWidth="1"/>
    <col min="1291" max="1543" width="9.140625" style="288"/>
    <col min="1544" max="1544" width="7.140625" style="288" customWidth="1"/>
    <col min="1545" max="1545" width="47.7109375" style="288" customWidth="1"/>
    <col min="1546" max="1546" width="19.28515625" style="288" customWidth="1"/>
    <col min="1547" max="1799" width="9.140625" style="288"/>
    <col min="1800" max="1800" width="7.140625" style="288" customWidth="1"/>
    <col min="1801" max="1801" width="47.7109375" style="288" customWidth="1"/>
    <col min="1802" max="1802" width="19.28515625" style="288" customWidth="1"/>
    <col min="1803" max="2055" width="9.140625" style="288"/>
    <col min="2056" max="2056" width="7.140625" style="288" customWidth="1"/>
    <col min="2057" max="2057" width="47.7109375" style="288" customWidth="1"/>
    <col min="2058" max="2058" width="19.28515625" style="288" customWidth="1"/>
    <col min="2059" max="2311" width="9.140625" style="288"/>
    <col min="2312" max="2312" width="7.140625" style="288" customWidth="1"/>
    <col min="2313" max="2313" width="47.7109375" style="288" customWidth="1"/>
    <col min="2314" max="2314" width="19.28515625" style="288" customWidth="1"/>
    <col min="2315" max="2567" width="9.140625" style="288"/>
    <col min="2568" max="2568" width="7.140625" style="288" customWidth="1"/>
    <col min="2569" max="2569" width="47.7109375" style="288" customWidth="1"/>
    <col min="2570" max="2570" width="19.28515625" style="288" customWidth="1"/>
    <col min="2571" max="2823" width="9.140625" style="288"/>
    <col min="2824" max="2824" width="7.140625" style="288" customWidth="1"/>
    <col min="2825" max="2825" width="47.7109375" style="288" customWidth="1"/>
    <col min="2826" max="2826" width="19.28515625" style="288" customWidth="1"/>
    <col min="2827" max="3079" width="9.140625" style="288"/>
    <col min="3080" max="3080" width="7.140625" style="288" customWidth="1"/>
    <col min="3081" max="3081" width="47.7109375" style="288" customWidth="1"/>
    <col min="3082" max="3082" width="19.28515625" style="288" customWidth="1"/>
    <col min="3083" max="3335" width="9.140625" style="288"/>
    <col min="3336" max="3336" width="7.140625" style="288" customWidth="1"/>
    <col min="3337" max="3337" width="47.7109375" style="288" customWidth="1"/>
    <col min="3338" max="3338" width="19.28515625" style="288" customWidth="1"/>
    <col min="3339" max="3591" width="9.140625" style="288"/>
    <col min="3592" max="3592" width="7.140625" style="288" customWidth="1"/>
    <col min="3593" max="3593" width="47.7109375" style="288" customWidth="1"/>
    <col min="3594" max="3594" width="19.28515625" style="288" customWidth="1"/>
    <col min="3595" max="3847" width="9.140625" style="288"/>
    <col min="3848" max="3848" width="7.140625" style="288" customWidth="1"/>
    <col min="3849" max="3849" width="47.7109375" style="288" customWidth="1"/>
    <col min="3850" max="3850" width="19.28515625" style="288" customWidth="1"/>
    <col min="3851" max="4103" width="9.140625" style="288"/>
    <col min="4104" max="4104" width="7.140625" style="288" customWidth="1"/>
    <col min="4105" max="4105" width="47.7109375" style="288" customWidth="1"/>
    <col min="4106" max="4106" width="19.28515625" style="288" customWidth="1"/>
    <col min="4107" max="4359" width="9.140625" style="288"/>
    <col min="4360" max="4360" width="7.140625" style="288" customWidth="1"/>
    <col min="4361" max="4361" width="47.7109375" style="288" customWidth="1"/>
    <col min="4362" max="4362" width="19.28515625" style="288" customWidth="1"/>
    <col min="4363" max="4615" width="9.140625" style="288"/>
    <col min="4616" max="4616" width="7.140625" style="288" customWidth="1"/>
    <col min="4617" max="4617" width="47.7109375" style="288" customWidth="1"/>
    <col min="4618" max="4618" width="19.28515625" style="288" customWidth="1"/>
    <col min="4619" max="4871" width="9.140625" style="288"/>
    <col min="4872" max="4872" width="7.140625" style="288" customWidth="1"/>
    <col min="4873" max="4873" width="47.7109375" style="288" customWidth="1"/>
    <col min="4874" max="4874" width="19.28515625" style="288" customWidth="1"/>
    <col min="4875" max="5127" width="9.140625" style="288"/>
    <col min="5128" max="5128" width="7.140625" style="288" customWidth="1"/>
    <col min="5129" max="5129" width="47.7109375" style="288" customWidth="1"/>
    <col min="5130" max="5130" width="19.28515625" style="288" customWidth="1"/>
    <col min="5131" max="5383" width="9.140625" style="288"/>
    <col min="5384" max="5384" width="7.140625" style="288" customWidth="1"/>
    <col min="5385" max="5385" width="47.7109375" style="288" customWidth="1"/>
    <col min="5386" max="5386" width="19.28515625" style="288" customWidth="1"/>
    <col min="5387" max="5639" width="9.140625" style="288"/>
    <col min="5640" max="5640" width="7.140625" style="288" customWidth="1"/>
    <col min="5641" max="5641" width="47.7109375" style="288" customWidth="1"/>
    <col min="5642" max="5642" width="19.28515625" style="288" customWidth="1"/>
    <col min="5643" max="5895" width="9.140625" style="288"/>
    <col min="5896" max="5896" width="7.140625" style="288" customWidth="1"/>
    <col min="5897" max="5897" width="47.7109375" style="288" customWidth="1"/>
    <col min="5898" max="5898" width="19.28515625" style="288" customWidth="1"/>
    <col min="5899" max="6151" width="9.140625" style="288"/>
    <col min="6152" max="6152" width="7.140625" style="288" customWidth="1"/>
    <col min="6153" max="6153" width="47.7109375" style="288" customWidth="1"/>
    <col min="6154" max="6154" width="19.28515625" style="288" customWidth="1"/>
    <col min="6155" max="6407" width="9.140625" style="288"/>
    <col min="6408" max="6408" width="7.140625" style="288" customWidth="1"/>
    <col min="6409" max="6409" width="47.7109375" style="288" customWidth="1"/>
    <col min="6410" max="6410" width="19.28515625" style="288" customWidth="1"/>
    <col min="6411" max="6663" width="9.140625" style="288"/>
    <col min="6664" max="6664" width="7.140625" style="288" customWidth="1"/>
    <col min="6665" max="6665" width="47.7109375" style="288" customWidth="1"/>
    <col min="6666" max="6666" width="19.28515625" style="288" customWidth="1"/>
    <col min="6667" max="6919" width="9.140625" style="288"/>
    <col min="6920" max="6920" width="7.140625" style="288" customWidth="1"/>
    <col min="6921" max="6921" width="47.7109375" style="288" customWidth="1"/>
    <col min="6922" max="6922" width="19.28515625" style="288" customWidth="1"/>
    <col min="6923" max="7175" width="9.140625" style="288"/>
    <col min="7176" max="7176" width="7.140625" style="288" customWidth="1"/>
    <col min="7177" max="7177" width="47.7109375" style="288" customWidth="1"/>
    <col min="7178" max="7178" width="19.28515625" style="288" customWidth="1"/>
    <col min="7179" max="7431" width="9.140625" style="288"/>
    <col min="7432" max="7432" width="7.140625" style="288" customWidth="1"/>
    <col min="7433" max="7433" width="47.7109375" style="288" customWidth="1"/>
    <col min="7434" max="7434" width="19.28515625" style="288" customWidth="1"/>
    <col min="7435" max="7687" width="9.140625" style="288"/>
    <col min="7688" max="7688" width="7.140625" style="288" customWidth="1"/>
    <col min="7689" max="7689" width="47.7109375" style="288" customWidth="1"/>
    <col min="7690" max="7690" width="19.28515625" style="288" customWidth="1"/>
    <col min="7691" max="7943" width="9.140625" style="288"/>
    <col min="7944" max="7944" width="7.140625" style="288" customWidth="1"/>
    <col min="7945" max="7945" width="47.7109375" style="288" customWidth="1"/>
    <col min="7946" max="7946" width="19.28515625" style="288" customWidth="1"/>
    <col min="7947" max="8199" width="9.140625" style="288"/>
    <col min="8200" max="8200" width="7.140625" style="288" customWidth="1"/>
    <col min="8201" max="8201" width="47.7109375" style="288" customWidth="1"/>
    <col min="8202" max="8202" width="19.28515625" style="288" customWidth="1"/>
    <col min="8203" max="8455" width="9.140625" style="288"/>
    <col min="8456" max="8456" width="7.140625" style="288" customWidth="1"/>
    <col min="8457" max="8457" width="47.7109375" style="288" customWidth="1"/>
    <col min="8458" max="8458" width="19.28515625" style="288" customWidth="1"/>
    <col min="8459" max="8711" width="9.140625" style="288"/>
    <col min="8712" max="8712" width="7.140625" style="288" customWidth="1"/>
    <col min="8713" max="8713" width="47.7109375" style="288" customWidth="1"/>
    <col min="8714" max="8714" width="19.28515625" style="288" customWidth="1"/>
    <col min="8715" max="8967" width="9.140625" style="288"/>
    <col min="8968" max="8968" width="7.140625" style="288" customWidth="1"/>
    <col min="8969" max="8969" width="47.7109375" style="288" customWidth="1"/>
    <col min="8970" max="8970" width="19.28515625" style="288" customWidth="1"/>
    <col min="8971" max="9223" width="9.140625" style="288"/>
    <col min="9224" max="9224" width="7.140625" style="288" customWidth="1"/>
    <col min="9225" max="9225" width="47.7109375" style="288" customWidth="1"/>
    <col min="9226" max="9226" width="19.28515625" style="288" customWidth="1"/>
    <col min="9227" max="9479" width="9.140625" style="288"/>
    <col min="9480" max="9480" width="7.140625" style="288" customWidth="1"/>
    <col min="9481" max="9481" width="47.7109375" style="288" customWidth="1"/>
    <col min="9482" max="9482" width="19.28515625" style="288" customWidth="1"/>
    <col min="9483" max="9735" width="9.140625" style="288"/>
    <col min="9736" max="9736" width="7.140625" style="288" customWidth="1"/>
    <col min="9737" max="9737" width="47.7109375" style="288" customWidth="1"/>
    <col min="9738" max="9738" width="19.28515625" style="288" customWidth="1"/>
    <col min="9739" max="9991" width="9.140625" style="288"/>
    <col min="9992" max="9992" width="7.140625" style="288" customWidth="1"/>
    <col min="9993" max="9993" width="47.7109375" style="288" customWidth="1"/>
    <col min="9994" max="9994" width="19.28515625" style="288" customWidth="1"/>
    <col min="9995" max="10247" width="9.140625" style="288"/>
    <col min="10248" max="10248" width="7.140625" style="288" customWidth="1"/>
    <col min="10249" max="10249" width="47.7109375" style="288" customWidth="1"/>
    <col min="10250" max="10250" width="19.28515625" style="288" customWidth="1"/>
    <col min="10251" max="10503" width="9.140625" style="288"/>
    <col min="10504" max="10504" width="7.140625" style="288" customWidth="1"/>
    <col min="10505" max="10505" width="47.7109375" style="288" customWidth="1"/>
    <col min="10506" max="10506" width="19.28515625" style="288" customWidth="1"/>
    <col min="10507" max="10759" width="9.140625" style="288"/>
    <col min="10760" max="10760" width="7.140625" style="288" customWidth="1"/>
    <col min="10761" max="10761" width="47.7109375" style="288" customWidth="1"/>
    <col min="10762" max="10762" width="19.28515625" style="288" customWidth="1"/>
    <col min="10763" max="11015" width="9.140625" style="288"/>
    <col min="11016" max="11016" width="7.140625" style="288" customWidth="1"/>
    <col min="11017" max="11017" width="47.7109375" style="288" customWidth="1"/>
    <col min="11018" max="11018" width="19.28515625" style="288" customWidth="1"/>
    <col min="11019" max="11271" width="9.140625" style="288"/>
    <col min="11272" max="11272" width="7.140625" style="288" customWidth="1"/>
    <col min="11273" max="11273" width="47.7109375" style="288" customWidth="1"/>
    <col min="11274" max="11274" width="19.28515625" style="288" customWidth="1"/>
    <col min="11275" max="11527" width="9.140625" style="288"/>
    <col min="11528" max="11528" width="7.140625" style="288" customWidth="1"/>
    <col min="11529" max="11529" width="47.7109375" style="288" customWidth="1"/>
    <col min="11530" max="11530" width="19.28515625" style="288" customWidth="1"/>
    <col min="11531" max="11783" width="9.140625" style="288"/>
    <col min="11784" max="11784" width="7.140625" style="288" customWidth="1"/>
    <col min="11785" max="11785" width="47.7109375" style="288" customWidth="1"/>
    <col min="11786" max="11786" width="19.28515625" style="288" customWidth="1"/>
    <col min="11787" max="12039" width="9.140625" style="288"/>
    <col min="12040" max="12040" width="7.140625" style="288" customWidth="1"/>
    <col min="12041" max="12041" width="47.7109375" style="288" customWidth="1"/>
    <col min="12042" max="12042" width="19.28515625" style="288" customWidth="1"/>
    <col min="12043" max="12295" width="9.140625" style="288"/>
    <col min="12296" max="12296" width="7.140625" style="288" customWidth="1"/>
    <col min="12297" max="12297" width="47.7109375" style="288" customWidth="1"/>
    <col min="12298" max="12298" width="19.28515625" style="288" customWidth="1"/>
    <col min="12299" max="12551" width="9.140625" style="288"/>
    <col min="12552" max="12552" width="7.140625" style="288" customWidth="1"/>
    <col min="12553" max="12553" width="47.7109375" style="288" customWidth="1"/>
    <col min="12554" max="12554" width="19.28515625" style="288" customWidth="1"/>
    <col min="12555" max="12807" width="9.140625" style="288"/>
    <col min="12808" max="12808" width="7.140625" style="288" customWidth="1"/>
    <col min="12809" max="12809" width="47.7109375" style="288" customWidth="1"/>
    <col min="12810" max="12810" width="19.28515625" style="288" customWidth="1"/>
    <col min="12811" max="13063" width="9.140625" style="288"/>
    <col min="13064" max="13064" width="7.140625" style="288" customWidth="1"/>
    <col min="13065" max="13065" width="47.7109375" style="288" customWidth="1"/>
    <col min="13066" max="13066" width="19.28515625" style="288" customWidth="1"/>
    <col min="13067" max="13319" width="9.140625" style="288"/>
    <col min="13320" max="13320" width="7.140625" style="288" customWidth="1"/>
    <col min="13321" max="13321" width="47.7109375" style="288" customWidth="1"/>
    <col min="13322" max="13322" width="19.28515625" style="288" customWidth="1"/>
    <col min="13323" max="13575" width="9.140625" style="288"/>
    <col min="13576" max="13576" width="7.140625" style="288" customWidth="1"/>
    <col min="13577" max="13577" width="47.7109375" style="288" customWidth="1"/>
    <col min="13578" max="13578" width="19.28515625" style="288" customWidth="1"/>
    <col min="13579" max="13831" width="9.140625" style="288"/>
    <col min="13832" max="13832" width="7.140625" style="288" customWidth="1"/>
    <col min="13833" max="13833" width="47.7109375" style="288" customWidth="1"/>
    <col min="13834" max="13834" width="19.28515625" style="288" customWidth="1"/>
    <col min="13835" max="14087" width="9.140625" style="288"/>
    <col min="14088" max="14088" width="7.140625" style="288" customWidth="1"/>
    <col min="14089" max="14089" width="47.7109375" style="288" customWidth="1"/>
    <col min="14090" max="14090" width="19.28515625" style="288" customWidth="1"/>
    <col min="14091" max="14343" width="9.140625" style="288"/>
    <col min="14344" max="14344" width="7.140625" style="288" customWidth="1"/>
    <col min="14345" max="14345" width="47.7109375" style="288" customWidth="1"/>
    <col min="14346" max="14346" width="19.28515625" style="288" customWidth="1"/>
    <col min="14347" max="14599" width="9.140625" style="288"/>
    <col min="14600" max="14600" width="7.140625" style="288" customWidth="1"/>
    <col min="14601" max="14601" width="47.7109375" style="288" customWidth="1"/>
    <col min="14602" max="14602" width="19.28515625" style="288" customWidth="1"/>
    <col min="14603" max="14855" width="9.140625" style="288"/>
    <col min="14856" max="14856" width="7.140625" style="288" customWidth="1"/>
    <col min="14857" max="14857" width="47.7109375" style="288" customWidth="1"/>
    <col min="14858" max="14858" width="19.28515625" style="288" customWidth="1"/>
    <col min="14859" max="15111" width="9.140625" style="288"/>
    <col min="15112" max="15112" width="7.140625" style="288" customWidth="1"/>
    <col min="15113" max="15113" width="47.7109375" style="288" customWidth="1"/>
    <col min="15114" max="15114" width="19.28515625" style="288" customWidth="1"/>
    <col min="15115" max="15367" width="9.140625" style="288"/>
    <col min="15368" max="15368" width="7.140625" style="288" customWidth="1"/>
    <col min="15369" max="15369" width="47.7109375" style="288" customWidth="1"/>
    <col min="15370" max="15370" width="19.28515625" style="288" customWidth="1"/>
    <col min="15371" max="15623" width="9.140625" style="288"/>
    <col min="15624" max="15624" width="7.140625" style="288" customWidth="1"/>
    <col min="15625" max="15625" width="47.7109375" style="288" customWidth="1"/>
    <col min="15626" max="15626" width="19.28515625" style="288" customWidth="1"/>
    <col min="15627" max="15879" width="9.140625" style="288"/>
    <col min="15880" max="15880" width="7.140625" style="288" customWidth="1"/>
    <col min="15881" max="15881" width="47.7109375" style="288" customWidth="1"/>
    <col min="15882" max="15882" width="19.28515625" style="288" customWidth="1"/>
    <col min="15883" max="16135" width="9.140625" style="288"/>
    <col min="16136" max="16136" width="7.140625" style="288" customWidth="1"/>
    <col min="16137" max="16137" width="47.7109375" style="288" customWidth="1"/>
    <col min="16138" max="16138" width="19.28515625" style="288" customWidth="1"/>
    <col min="16139" max="16384" width="9.140625" style="288"/>
  </cols>
  <sheetData>
    <row r="1" spans="1:12">
      <c r="A1" s="1801" t="s">
        <v>648</v>
      </c>
      <c r="B1" s="1801"/>
      <c r="C1" s="1801"/>
      <c r="J1" s="1334"/>
    </row>
    <row r="2" spans="1:12">
      <c r="A2" s="1802" t="s">
        <v>652</v>
      </c>
      <c r="B2" s="1802"/>
      <c r="C2" s="1802"/>
      <c r="D2" s="1335"/>
      <c r="E2" s="1335"/>
      <c r="F2" s="1335"/>
      <c r="G2" s="1335"/>
      <c r="H2" s="1335"/>
      <c r="I2" s="1335"/>
    </row>
    <row r="3" spans="1:12">
      <c r="A3" s="1842" t="s">
        <v>2063</v>
      </c>
      <c r="B3" s="1842"/>
      <c r="C3" s="1842"/>
      <c r="D3" s="1842"/>
      <c r="E3" s="1842"/>
      <c r="F3" s="1842"/>
      <c r="G3" s="1842"/>
      <c r="H3" s="1842"/>
      <c r="I3" s="1842"/>
      <c r="J3" s="1842"/>
    </row>
    <row r="4" spans="1:12" hidden="1">
      <c r="A4" s="1802" t="str">
        <f>'TTDVNN V '!A4:G4</f>
        <v>DỰ TOÁN THU, CHI NGÂN SÁCH NHÀ NƯỚC NĂM 2025</v>
      </c>
      <c r="B4" s="1802"/>
      <c r="C4" s="1802"/>
      <c r="D4" s="1802"/>
      <c r="E4" s="1802"/>
      <c r="F4" s="1802"/>
      <c r="G4" s="1802"/>
      <c r="H4" s="1802"/>
      <c r="I4" s="1802"/>
      <c r="J4" s="1802"/>
    </row>
    <row r="5" spans="1:12">
      <c r="A5" s="1802" t="s">
        <v>650</v>
      </c>
      <c r="B5" s="1802"/>
      <c r="C5" s="1802"/>
      <c r="D5" s="1802"/>
      <c r="E5" s="1802"/>
      <c r="F5" s="1802"/>
      <c r="G5" s="1802"/>
      <c r="H5" s="1802"/>
      <c r="I5" s="1802"/>
      <c r="J5" s="1802"/>
    </row>
    <row r="6" spans="1:12">
      <c r="A6" s="1802" t="s">
        <v>649</v>
      </c>
      <c r="B6" s="1802"/>
      <c r="C6" s="1802"/>
      <c r="D6" s="1802"/>
      <c r="E6" s="1802"/>
      <c r="F6" s="1802"/>
      <c r="G6" s="1802"/>
      <c r="H6" s="1802"/>
      <c r="I6" s="1802"/>
      <c r="J6" s="1802"/>
    </row>
    <row r="7" spans="1:12">
      <c r="A7" s="1802" t="s">
        <v>17</v>
      </c>
      <c r="B7" s="1802"/>
      <c r="C7" s="1802"/>
      <c r="D7" s="1802"/>
      <c r="E7" s="1802"/>
      <c r="F7" s="1802"/>
      <c r="G7" s="1802"/>
      <c r="H7" s="1802"/>
      <c r="I7" s="1802"/>
      <c r="J7" s="1802"/>
    </row>
    <row r="8" spans="1:12">
      <c r="A8" s="1800"/>
      <c r="B8" s="1800"/>
      <c r="C8" s="1800"/>
      <c r="D8" s="1800"/>
      <c r="E8" s="1800"/>
      <c r="F8" s="1800"/>
      <c r="G8" s="1800"/>
      <c r="H8" s="1800"/>
      <c r="I8" s="1800"/>
      <c r="J8" s="1800"/>
    </row>
    <row r="9" spans="1:12">
      <c r="J9" s="289" t="s">
        <v>43</v>
      </c>
    </row>
    <row r="10" spans="1:12" ht="117" customHeight="1">
      <c r="A10" s="290" t="s">
        <v>0</v>
      </c>
      <c r="B10" s="290" t="s">
        <v>1</v>
      </c>
      <c r="C10" s="290" t="str">
        <f>'TTDVNN V '!C11</f>
        <v>Dự toán 
năm 2025</v>
      </c>
      <c r="D10" s="290" t="s">
        <v>18</v>
      </c>
      <c r="E10" s="290" t="str">
        <f>'TTDVNN V '!E11</f>
        <v>Thực hiện cải cách tiền lương từ nguồn tiết kiệm chi 10% của đơn vị</v>
      </c>
      <c r="F10" s="290" t="s">
        <v>117</v>
      </c>
      <c r="G10" s="290" t="s">
        <v>2056</v>
      </c>
      <c r="H10" s="290" t="s">
        <v>2055</v>
      </c>
      <c r="I10" s="290" t="s">
        <v>2057</v>
      </c>
      <c r="J10" s="290" t="s">
        <v>19</v>
      </c>
    </row>
    <row r="11" spans="1:12">
      <c r="A11" s="291" t="s">
        <v>20</v>
      </c>
      <c r="B11" s="291" t="s">
        <v>21</v>
      </c>
      <c r="C11" s="291" t="s">
        <v>22</v>
      </c>
      <c r="D11" s="291" t="s">
        <v>23</v>
      </c>
      <c r="E11" s="291" t="str">
        <f>'TTDVNN V '!E12</f>
        <v>(5)</v>
      </c>
      <c r="F11" s="291" t="str">
        <f>'TTDVNN V '!F12</f>
        <v>(6)=(3)-(4)+(5)</v>
      </c>
      <c r="G11" s="291" t="s">
        <v>25</v>
      </c>
      <c r="H11" s="291"/>
      <c r="I11" s="291"/>
      <c r="J11" s="291" t="s">
        <v>1287</v>
      </c>
    </row>
    <row r="12" spans="1:12" ht="37.5">
      <c r="A12" s="290" t="s">
        <v>2</v>
      </c>
      <c r="B12" s="292" t="s">
        <v>3</v>
      </c>
      <c r="C12" s="293"/>
      <c r="D12" s="293"/>
      <c r="E12" s="293"/>
      <c r="F12" s="293"/>
      <c r="G12" s="293"/>
      <c r="H12" s="293"/>
      <c r="I12" s="293"/>
      <c r="J12" s="294"/>
    </row>
    <row r="13" spans="1:12">
      <c r="A13" s="295">
        <v>1</v>
      </c>
      <c r="B13" s="296" t="s">
        <v>4</v>
      </c>
      <c r="C13" s="297"/>
      <c r="D13" s="297"/>
      <c r="E13" s="297"/>
      <c r="F13" s="297"/>
      <c r="G13" s="297"/>
      <c r="H13" s="297"/>
      <c r="I13" s="297"/>
      <c r="J13" s="294"/>
    </row>
    <row r="14" spans="1:12">
      <c r="A14" s="295">
        <v>2</v>
      </c>
      <c r="B14" s="296" t="s">
        <v>7</v>
      </c>
      <c r="C14" s="297"/>
      <c r="D14" s="297"/>
      <c r="E14" s="297"/>
      <c r="F14" s="297"/>
      <c r="G14" s="297"/>
      <c r="H14" s="297"/>
      <c r="I14" s="297"/>
      <c r="J14" s="294"/>
    </row>
    <row r="15" spans="1:12" ht="37.5">
      <c r="A15" s="290" t="s">
        <v>12</v>
      </c>
      <c r="B15" s="292" t="s">
        <v>84</v>
      </c>
      <c r="C15" s="293">
        <f>C16+C29+C50</f>
        <v>137037400000</v>
      </c>
      <c r="D15" s="293">
        <f>D16+D29+D50</f>
        <v>46300000</v>
      </c>
      <c r="E15" s="293">
        <f>E16+E29+E50</f>
        <v>46300000</v>
      </c>
      <c r="F15" s="293">
        <f>F16+F29+F50</f>
        <v>137037400000</v>
      </c>
      <c r="G15" s="293">
        <f>G16+G29+G50</f>
        <v>34594767131</v>
      </c>
      <c r="H15" s="293">
        <f t="shared" ref="H15:I15" si="0">H16+H29+H50</f>
        <v>102398292869</v>
      </c>
      <c r="I15" s="293">
        <f t="shared" si="0"/>
        <v>44340000</v>
      </c>
      <c r="J15" s="294"/>
      <c r="K15" s="298">
        <f>C15-D15+E15</f>
        <v>137037400000</v>
      </c>
      <c r="L15" s="298">
        <f>F15-K15</f>
        <v>0</v>
      </c>
    </row>
    <row r="16" spans="1:12" ht="37.5">
      <c r="A16" s="290">
        <v>1</v>
      </c>
      <c r="B16" s="292" t="s">
        <v>653</v>
      </c>
      <c r="C16" s="293">
        <f>C17+C21</f>
        <v>2281400000</v>
      </c>
      <c r="D16" s="293">
        <f>D17+D21</f>
        <v>46300000</v>
      </c>
      <c r="E16" s="293">
        <f>E17+E21</f>
        <v>46300000</v>
      </c>
      <c r="F16" s="293">
        <f>F17+F21</f>
        <v>2281400000</v>
      </c>
      <c r="G16" s="293">
        <f t="shared" ref="G16:I16" si="1">G17+G21</f>
        <v>405675926</v>
      </c>
      <c r="H16" s="293">
        <f t="shared" si="1"/>
        <v>1831384074</v>
      </c>
      <c r="I16" s="293">
        <f t="shared" si="1"/>
        <v>44340000</v>
      </c>
      <c r="J16" s="294"/>
      <c r="K16" s="298">
        <f>F15-G15</f>
        <v>102442632869</v>
      </c>
    </row>
    <row r="17" spans="1:11" s="1337" customFormat="1" ht="39">
      <c r="A17" s="299" t="s">
        <v>5</v>
      </c>
      <c r="B17" s="300" t="s">
        <v>9</v>
      </c>
      <c r="C17" s="301">
        <f>SUM(C18:C20)</f>
        <v>1759400000</v>
      </c>
      <c r="D17" s="301">
        <f>SUM(D18:D20)</f>
        <v>24300000</v>
      </c>
      <c r="E17" s="301">
        <f>SUM(E18:E20)</f>
        <v>46300000</v>
      </c>
      <c r="F17" s="301">
        <f>SUM(F18:F20)</f>
        <v>1781400000</v>
      </c>
      <c r="G17" s="301">
        <f t="shared" ref="G17:I17" si="2">SUM(G18:G20)</f>
        <v>326959726</v>
      </c>
      <c r="H17" s="301">
        <f t="shared" si="2"/>
        <v>1454440274</v>
      </c>
      <c r="I17" s="301">
        <f t="shared" si="2"/>
        <v>0</v>
      </c>
      <c r="J17" s="302"/>
    </row>
    <row r="18" spans="1:11" ht="37.5">
      <c r="A18" s="295" t="s">
        <v>91</v>
      </c>
      <c r="B18" s="296" t="s">
        <v>26</v>
      </c>
      <c r="C18" s="297">
        <f>'Dự toán Chi tiết 2025'!L733</f>
        <v>995052000</v>
      </c>
      <c r="D18" s="297"/>
      <c r="E18" s="297"/>
      <c r="F18" s="297">
        <f>C18-D18+E18</f>
        <v>995052000</v>
      </c>
      <c r="G18" s="297">
        <f>'[7]Sheet1 (2)'!$G$17+'[7]Sheet1 (2)'!$H$17</f>
        <v>203965687</v>
      </c>
      <c r="H18" s="297">
        <f>'[13]Sheet1 (2)'!$J$17+'[13]Sheet1 (2)'!$K$17+'[13]Sheet1 (2)'!$L$17</f>
        <v>791086313</v>
      </c>
      <c r="I18" s="297">
        <f>F18-G18-H18</f>
        <v>0</v>
      </c>
      <c r="J18" s="294"/>
    </row>
    <row r="19" spans="1:11" ht="37.5">
      <c r="A19" s="295" t="s">
        <v>91</v>
      </c>
      <c r="B19" s="296" t="str">
        <f>'TTDVNN V '!B18</f>
        <v>Kinh phí thực hiện cải cách tiền lương</v>
      </c>
      <c r="C19" s="297">
        <f>'Dự toán Chi tiết 2025'!L735</f>
        <v>521348000</v>
      </c>
      <c r="D19" s="297"/>
      <c r="E19" s="297">
        <f>D15</f>
        <v>46300000</v>
      </c>
      <c r="F19" s="297">
        <f>C19-D19+E19</f>
        <v>567648000</v>
      </c>
      <c r="G19" s="297">
        <f>'[13]Sheet1 (2)'!$G$18+'[13]Sheet1 (2)'!$H$18</f>
        <v>87787575</v>
      </c>
      <c r="H19" s="297">
        <f>'[13]Sheet1 (2)'!$J$18+'[13]Sheet1 (2)'!$K$18+'[13]Sheet1 (2)'!$L$18</f>
        <v>479860425</v>
      </c>
      <c r="I19" s="297">
        <f t="shared" ref="I19:I28" si="3">F19-G19-H19</f>
        <v>0</v>
      </c>
      <c r="J19" s="294"/>
    </row>
    <row r="20" spans="1:11" ht="37.5">
      <c r="A20" s="295" t="s">
        <v>91</v>
      </c>
      <c r="B20" s="296" t="s">
        <v>27</v>
      </c>
      <c r="C20" s="297">
        <f>'Dự toán Chi tiết 2025'!L736</f>
        <v>243000000</v>
      </c>
      <c r="D20" s="297">
        <f>C20*10%</f>
        <v>24300000</v>
      </c>
      <c r="E20" s="297"/>
      <c r="F20" s="297">
        <f>C20-D20+E20</f>
        <v>218700000</v>
      </c>
      <c r="G20" s="297">
        <f>'[13]Sheet1 (2)'!$G$19+'[13]Sheet1 (2)'!$H$19</f>
        <v>35206464</v>
      </c>
      <c r="H20" s="297">
        <f>'[13]Sheet1 (2)'!$J$19+'[13]Sheet1 (2)'!$K$19+'[13]Sheet1 (2)'!$L$19</f>
        <v>183493536</v>
      </c>
      <c r="I20" s="297">
        <f t="shared" si="3"/>
        <v>0</v>
      </c>
      <c r="J20" s="294"/>
    </row>
    <row r="21" spans="1:11" s="1337" customFormat="1" ht="49.5" customHeight="1">
      <c r="A21" s="299" t="s">
        <v>6</v>
      </c>
      <c r="B21" s="300" t="str">
        <f>'Kinh tế V'!B23</f>
        <v>Kinh phí nhiệm vụ không thường xuyên</v>
      </c>
      <c r="C21" s="301">
        <f>SUM(C22:C28)</f>
        <v>522000000</v>
      </c>
      <c r="D21" s="301">
        <f>SUM(D22:D28)</f>
        <v>22000000</v>
      </c>
      <c r="E21" s="301">
        <f>SUM(E22:E28)</f>
        <v>0</v>
      </c>
      <c r="F21" s="301">
        <f>SUM(F22:F28)</f>
        <v>500000000</v>
      </c>
      <c r="G21" s="301">
        <f t="shared" ref="G21:I21" si="4">SUM(G22:G28)</f>
        <v>78716200</v>
      </c>
      <c r="H21" s="301">
        <f t="shared" si="4"/>
        <v>376943800</v>
      </c>
      <c r="I21" s="301">
        <f t="shared" si="4"/>
        <v>44340000</v>
      </c>
      <c r="J21" s="302"/>
    </row>
    <row r="22" spans="1:11">
      <c r="A22" s="295" t="s">
        <v>91</v>
      </c>
      <c r="B22" s="303" t="s">
        <v>424</v>
      </c>
      <c r="C22" s="297">
        <f>'Dự toán Chi tiết 2025'!L738</f>
        <v>36000000</v>
      </c>
      <c r="D22" s="297"/>
      <c r="E22" s="297"/>
      <c r="F22" s="297">
        <f t="shared" ref="F22:F28" si="5">C22-D22</f>
        <v>36000000</v>
      </c>
      <c r="G22" s="297">
        <f>'[13]Sheet1 (2)'!$G$21+'[13]Sheet1 (2)'!$H$21</f>
        <v>9000000</v>
      </c>
      <c r="H22" s="297">
        <v>0</v>
      </c>
      <c r="I22" s="297">
        <f t="shared" si="3"/>
        <v>27000000</v>
      </c>
      <c r="J22" s="294"/>
    </row>
    <row r="23" spans="1:11" ht="37.5">
      <c r="A23" s="299" t="s">
        <v>91</v>
      </c>
      <c r="B23" s="303" t="s">
        <v>409</v>
      </c>
      <c r="C23" s="297">
        <f>'Dự toán Chi tiết 2025'!L739</f>
        <v>20200000</v>
      </c>
      <c r="D23" s="297"/>
      <c r="E23" s="297"/>
      <c r="F23" s="297">
        <f t="shared" si="5"/>
        <v>20200000</v>
      </c>
      <c r="G23" s="297"/>
      <c r="H23" s="297">
        <f>'[13]Sheet1 (2)'!$J$22+'[13]Sheet1 (2)'!$K$22+'[13]Sheet1 (2)'!$L$22</f>
        <v>4500000</v>
      </c>
      <c r="I23" s="297">
        <f t="shared" si="3"/>
        <v>15700000</v>
      </c>
      <c r="J23" s="294"/>
      <c r="K23" s="1497">
        <v>12927700</v>
      </c>
    </row>
    <row r="24" spans="1:11" ht="19.5">
      <c r="A24" s="299" t="s">
        <v>91</v>
      </c>
      <c r="B24" s="303" t="str">
        <f>'Dự toán Chi tiết 2025'!B743</f>
        <v>Kinh phí tổ chức Đại hội Chi bộ</v>
      </c>
      <c r="C24" s="297">
        <f>'Dự toán Chi tiết 2025'!L743</f>
        <v>15800000</v>
      </c>
      <c r="D24" s="297"/>
      <c r="E24" s="297"/>
      <c r="F24" s="297">
        <f t="shared" si="5"/>
        <v>15800000</v>
      </c>
      <c r="G24" s="297"/>
      <c r="H24" s="297">
        <f>'[13]Sheet1 (2)'!$J$23+'[13]Sheet1 (2)'!$K$23+'[13]Sheet1 (2)'!$L$23</f>
        <v>7020000</v>
      </c>
      <c r="I24" s="297">
        <f t="shared" si="3"/>
        <v>8780000</v>
      </c>
      <c r="J24" s="294"/>
      <c r="K24" s="288">
        <v>14400000</v>
      </c>
    </row>
    <row r="25" spans="1:11" ht="37.5" hidden="1">
      <c r="A25" s="295" t="s">
        <v>91</v>
      </c>
      <c r="B25" s="303" t="s">
        <v>1121</v>
      </c>
      <c r="C25" s="297">
        <f>'Dự toán Chi tiết 2025'!L740</f>
        <v>0</v>
      </c>
      <c r="D25" s="297">
        <f>C25*10%</f>
        <v>0</v>
      </c>
      <c r="E25" s="297"/>
      <c r="F25" s="297">
        <f t="shared" si="5"/>
        <v>0</v>
      </c>
      <c r="G25" s="297"/>
      <c r="H25" s="297"/>
      <c r="I25" s="297">
        <f t="shared" si="3"/>
        <v>0</v>
      </c>
      <c r="J25" s="304"/>
    </row>
    <row r="26" spans="1:11" ht="56.25">
      <c r="A26" s="299" t="s">
        <v>91</v>
      </c>
      <c r="B26" s="303" t="str">
        <f>'Dự toán Chi tiết 2025'!B741</f>
        <v>Chi cho công tác rà soát, thẩm định hồ sơ,.. chính sách bảo trợ hàng năm</v>
      </c>
      <c r="C26" s="297">
        <f>'Dự toán Chi tiết 2025'!L741</f>
        <v>230000000</v>
      </c>
      <c r="D26" s="297"/>
      <c r="E26" s="297"/>
      <c r="F26" s="297">
        <f t="shared" si="5"/>
        <v>230000000</v>
      </c>
      <c r="G26" s="297">
        <f>'[7]Sheet1 (2)'!$G$25</f>
        <v>7140000</v>
      </c>
      <c r="H26" s="297">
        <f>F26</f>
        <v>230000000</v>
      </c>
      <c r="I26" s="297">
        <f t="shared" si="3"/>
        <v>-7140000</v>
      </c>
      <c r="J26" s="304"/>
      <c r="K26" s="1471">
        <f>K24-K23</f>
        <v>1472300</v>
      </c>
    </row>
    <row r="27" spans="1:11" ht="56.25">
      <c r="A27" s="299"/>
      <c r="B27" s="303" t="str">
        <f>'Dự toán Chi tiết 2025'!B742</f>
        <v>Chi tập huấn, tuyên tuyền,... chính sách bảo trợ hàng năm và chi thù lao hoà giải viên lao động</v>
      </c>
      <c r="C27" s="297">
        <f>'Dự toán Chi tiết 2025'!L742</f>
        <v>20000000</v>
      </c>
      <c r="D27" s="297">
        <f>C27*10%</f>
        <v>2000000</v>
      </c>
      <c r="E27" s="297"/>
      <c r="F27" s="297">
        <f t="shared" si="5"/>
        <v>18000000</v>
      </c>
      <c r="G27" s="297"/>
      <c r="H27" s="297">
        <f>F27</f>
        <v>18000000</v>
      </c>
      <c r="I27" s="297">
        <f t="shared" si="3"/>
        <v>0</v>
      </c>
      <c r="J27" s="304"/>
      <c r="K27" s="288">
        <v>10848900</v>
      </c>
    </row>
    <row r="28" spans="1:11" ht="112.5">
      <c r="A28" s="295" t="s">
        <v>91</v>
      </c>
      <c r="B28" s="303" t="s">
        <v>1123</v>
      </c>
      <c r="C28" s="297">
        <f>'Dự toán Chi tiết 2025'!L746</f>
        <v>200000000</v>
      </c>
      <c r="D28" s="297">
        <f>C28*10%</f>
        <v>20000000</v>
      </c>
      <c r="E28" s="297"/>
      <c r="F28" s="297">
        <f t="shared" si="5"/>
        <v>180000000</v>
      </c>
      <c r="G28" s="297">
        <f>'[7]Sheet1 (2)'!$G$27</f>
        <v>62576200</v>
      </c>
      <c r="H28" s="297">
        <f>F28-G28</f>
        <v>117423800</v>
      </c>
      <c r="I28" s="297">
        <f t="shared" si="3"/>
        <v>0</v>
      </c>
      <c r="J28" s="304"/>
      <c r="K28" s="288">
        <f>K24-K27</f>
        <v>3551100</v>
      </c>
    </row>
    <row r="29" spans="1:11">
      <c r="A29" s="290">
        <v>2</v>
      </c>
      <c r="B29" s="292" t="s">
        <v>651</v>
      </c>
      <c r="C29" s="293">
        <f>C30</f>
        <v>134383000000</v>
      </c>
      <c r="D29" s="293"/>
      <c r="E29" s="293"/>
      <c r="F29" s="293">
        <f>F30</f>
        <v>134383000000</v>
      </c>
      <c r="G29" s="293">
        <f t="shared" ref="G29:I29" si="6">G30</f>
        <v>34189091205</v>
      </c>
      <c r="H29" s="293">
        <f t="shared" si="6"/>
        <v>100193908795</v>
      </c>
      <c r="I29" s="293">
        <f t="shared" si="6"/>
        <v>0</v>
      </c>
      <c r="J29" s="294"/>
    </row>
    <row r="30" spans="1:11" s="1342" customFormat="1" ht="37.5">
      <c r="A30" s="290"/>
      <c r="B30" s="292" t="s">
        <v>10</v>
      </c>
      <c r="C30" s="293">
        <f>C31+C42</f>
        <v>134383000000</v>
      </c>
      <c r="D30" s="293"/>
      <c r="E30" s="293"/>
      <c r="F30" s="293">
        <f>F31+F42</f>
        <v>134383000000</v>
      </c>
      <c r="G30" s="293">
        <f t="shared" ref="G30:I30" si="7">G31+G42</f>
        <v>34189091205</v>
      </c>
      <c r="H30" s="293">
        <f t="shared" si="7"/>
        <v>100193908795</v>
      </c>
      <c r="I30" s="293">
        <f t="shared" si="7"/>
        <v>0</v>
      </c>
      <c r="J30" s="1341"/>
    </row>
    <row r="31" spans="1:11" s="1342" customFormat="1" ht="75">
      <c r="A31" s="1498" t="s">
        <v>8</v>
      </c>
      <c r="B31" s="1499" t="s">
        <v>655</v>
      </c>
      <c r="C31" s="1500">
        <f>SUM(C32:C41)</f>
        <v>125734000000</v>
      </c>
      <c r="D31" s="1500"/>
      <c r="E31" s="1500"/>
      <c r="F31" s="1500">
        <f>SUM(F32:F41)</f>
        <v>125734000000</v>
      </c>
      <c r="G31" s="1500">
        <f t="shared" ref="G31:I31" si="8">SUM(G32:G41)</f>
        <v>28659915055</v>
      </c>
      <c r="H31" s="1500">
        <f t="shared" si="8"/>
        <v>97074084945</v>
      </c>
      <c r="I31" s="1500">
        <f t="shared" si="8"/>
        <v>0</v>
      </c>
      <c r="J31" s="1501"/>
    </row>
    <row r="32" spans="1:11" ht="56.25">
      <c r="A32" s="1502" t="s">
        <v>91</v>
      </c>
      <c r="B32" s="1492" t="s">
        <v>352</v>
      </c>
      <c r="C32" s="1503">
        <f>'Dự toán Chi tiết 2025'!L471</f>
        <v>118264000000</v>
      </c>
      <c r="D32" s="1351"/>
      <c r="E32" s="1351"/>
      <c r="F32" s="1503">
        <f>C32-D32</f>
        <v>118264000000</v>
      </c>
      <c r="G32" s="1503">
        <f>'[7]Sheet1 (2)'!$G$31</f>
        <v>26589550000</v>
      </c>
      <c r="H32" s="1503">
        <f>F32-G32</f>
        <v>91674450000</v>
      </c>
      <c r="I32" s="297">
        <f t="shared" ref="I32:I49" si="9">F32-G32-H32</f>
        <v>0</v>
      </c>
      <c r="J32" s="1351"/>
    </row>
    <row r="33" spans="1:10" ht="56.25">
      <c r="A33" s="1502" t="s">
        <v>91</v>
      </c>
      <c r="B33" s="1492" t="s">
        <v>1031</v>
      </c>
      <c r="C33" s="1503">
        <f>'Dự toán Chi tiết 2025'!L472</f>
        <v>544000000</v>
      </c>
      <c r="D33" s="1351"/>
      <c r="E33" s="1351"/>
      <c r="F33" s="1503">
        <f t="shared" ref="F33:F41" si="10">C33-D33</f>
        <v>544000000</v>
      </c>
      <c r="G33" s="1503">
        <f>'[13]Sheet1 (2)'!$G$32+'[13]Sheet1 (2)'!$H$32</f>
        <v>99547000</v>
      </c>
      <c r="H33" s="1503">
        <f>F33-G33</f>
        <v>444453000</v>
      </c>
      <c r="I33" s="297">
        <f t="shared" si="9"/>
        <v>0</v>
      </c>
      <c r="J33" s="1351"/>
    </row>
    <row r="34" spans="1:10" ht="37.5">
      <c r="A34" s="1502" t="s">
        <v>91</v>
      </c>
      <c r="B34" s="1492" t="s">
        <v>353</v>
      </c>
      <c r="C34" s="1503">
        <f>'Dự toán Chi tiết 2025'!L473</f>
        <v>35000000</v>
      </c>
      <c r="D34" s="1351"/>
      <c r="E34" s="1351"/>
      <c r="F34" s="1503">
        <f t="shared" si="10"/>
        <v>35000000</v>
      </c>
      <c r="G34" s="1503">
        <f>'[13]Sheet1 (2)'!$G$33+'[13]Sheet1 (2)'!$H$33</f>
        <v>4500000</v>
      </c>
      <c r="H34" s="1503">
        <f>F34-G34</f>
        <v>30500000</v>
      </c>
      <c r="I34" s="297">
        <f t="shared" si="9"/>
        <v>0</v>
      </c>
      <c r="J34" s="1351"/>
    </row>
    <row r="35" spans="1:10" ht="42.75" customHeight="1">
      <c r="A35" s="1502" t="s">
        <v>91</v>
      </c>
      <c r="B35" s="1492" t="str">
        <f>'Dự toán Chi tiết 2025'!B474</f>
        <v>Chi gạo đỏ lửa giáp hạt năm 2025,2026</v>
      </c>
      <c r="C35" s="1503">
        <f>'Dự toán Chi tiết 2025'!L474</f>
        <v>2000000000</v>
      </c>
      <c r="D35" s="1351"/>
      <c r="E35" s="1351"/>
      <c r="F35" s="1503">
        <f t="shared" si="10"/>
        <v>2000000000</v>
      </c>
      <c r="G35" s="1503">
        <f>'[13]Sheet1 (2)'!$G$34+'[13]Sheet1 (2)'!$H$34</f>
        <v>1761818055</v>
      </c>
      <c r="H35" s="1503">
        <f t="shared" ref="H35:H41" si="11">F35-G35</f>
        <v>238181945</v>
      </c>
      <c r="I35" s="297">
        <f t="shared" si="9"/>
        <v>0</v>
      </c>
      <c r="J35" s="1351"/>
    </row>
    <row r="36" spans="1:10" ht="37.5">
      <c r="A36" s="1502" t="s">
        <v>91</v>
      </c>
      <c r="B36" s="1492" t="s">
        <v>355</v>
      </c>
      <c r="C36" s="1503">
        <f>'Dự toán Chi tiết 2025'!L475</f>
        <v>600000000</v>
      </c>
      <c r="D36" s="1351"/>
      <c r="E36" s="1351"/>
      <c r="F36" s="1503">
        <f t="shared" si="10"/>
        <v>600000000</v>
      </c>
      <c r="G36" s="1503">
        <f>'[13]Sheet1 (2)'!$G$35+'[13]Sheet1 (2)'!$H$35</f>
        <v>93000000</v>
      </c>
      <c r="H36" s="1503">
        <f t="shared" si="11"/>
        <v>507000000</v>
      </c>
      <c r="I36" s="297">
        <f t="shared" si="9"/>
        <v>0</v>
      </c>
      <c r="J36" s="1351"/>
    </row>
    <row r="37" spans="1:10" ht="112.5">
      <c r="A37" s="1502" t="s">
        <v>91</v>
      </c>
      <c r="B37" s="1492" t="s">
        <v>356</v>
      </c>
      <c r="C37" s="1503">
        <f>'Dự toán Chi tiết 2025'!L476</f>
        <v>240000000</v>
      </c>
      <c r="D37" s="1351"/>
      <c r="E37" s="1351"/>
      <c r="F37" s="1503">
        <f t="shared" si="10"/>
        <v>240000000</v>
      </c>
      <c r="G37" s="1503">
        <f>'[13]Sheet1 (2)'!$G$36+'[13]Sheet1 (2)'!$H$36</f>
        <v>48500000</v>
      </c>
      <c r="H37" s="1503">
        <f t="shared" si="11"/>
        <v>191500000</v>
      </c>
      <c r="I37" s="297">
        <f t="shared" si="9"/>
        <v>0</v>
      </c>
      <c r="J37" s="1351"/>
    </row>
    <row r="38" spans="1:10" ht="37.5">
      <c r="A38" s="1502" t="s">
        <v>91</v>
      </c>
      <c r="B38" s="1492" t="s">
        <v>357</v>
      </c>
      <c r="C38" s="1503">
        <f>'Dự toán Chi tiết 2025'!L477</f>
        <v>23000000</v>
      </c>
      <c r="D38" s="1351"/>
      <c r="E38" s="1351"/>
      <c r="F38" s="1503">
        <f t="shared" si="10"/>
        <v>23000000</v>
      </c>
      <c r="G38" s="1503">
        <f>'[13]Sheet1 (2)'!$G$37+'[13]Sheet1 (2)'!$H$37</f>
        <v>23000000</v>
      </c>
      <c r="H38" s="1503">
        <f t="shared" si="11"/>
        <v>0</v>
      </c>
      <c r="I38" s="297">
        <f t="shared" si="9"/>
        <v>0</v>
      </c>
      <c r="J38" s="1351"/>
    </row>
    <row r="39" spans="1:10" ht="75">
      <c r="A39" s="1502" t="s">
        <v>91</v>
      </c>
      <c r="B39" s="1492" t="s">
        <v>1034</v>
      </c>
      <c r="C39" s="1503">
        <f>'Dự toán Chi tiết 2025'!L479</f>
        <v>60000000</v>
      </c>
      <c r="D39" s="1351"/>
      <c r="E39" s="1351"/>
      <c r="F39" s="1503">
        <f t="shared" si="10"/>
        <v>60000000</v>
      </c>
      <c r="G39" s="1503"/>
      <c r="H39" s="1503">
        <f t="shared" si="11"/>
        <v>60000000</v>
      </c>
      <c r="I39" s="297">
        <f t="shared" si="9"/>
        <v>0</v>
      </c>
      <c r="J39" s="1351"/>
    </row>
    <row r="40" spans="1:10" ht="75">
      <c r="A40" s="1502"/>
      <c r="B40" s="1492" t="str">
        <f>'Dự toán Chi tiết 2025'!B478</f>
        <v>Kinh phí thực hiện chính sách khuyến khích sử dụng hình thúc hoả táng theo NQ số 29/2024/NQ-HĐND tỉnh</v>
      </c>
      <c r="C40" s="1503">
        <f>'Dự toán Chi tiết 2025'!L478</f>
        <v>3075000000</v>
      </c>
      <c r="D40" s="1351"/>
      <c r="E40" s="1351"/>
      <c r="F40" s="1503">
        <f t="shared" si="10"/>
        <v>3075000000</v>
      </c>
      <c r="G40" s="1503">
        <f>'[13]Sheet1 (2)'!$G$39+'[13]Sheet1 (2)'!$H$39</f>
        <v>40000000</v>
      </c>
      <c r="H40" s="1503">
        <f t="shared" si="11"/>
        <v>3035000000</v>
      </c>
      <c r="I40" s="297">
        <f t="shared" si="9"/>
        <v>0</v>
      </c>
      <c r="J40" s="1351"/>
    </row>
    <row r="41" spans="1:10" s="319" customFormat="1" ht="93.75">
      <c r="A41" s="1504" t="s">
        <v>91</v>
      </c>
      <c r="B41" s="1493" t="s">
        <v>361</v>
      </c>
      <c r="C41" s="1505">
        <f>'Dự toán Chi tiết 2025'!L480</f>
        <v>893000000</v>
      </c>
      <c r="D41" s="1436"/>
      <c r="E41" s="1436"/>
      <c r="F41" s="1505">
        <f t="shared" si="10"/>
        <v>893000000</v>
      </c>
      <c r="G41" s="1505"/>
      <c r="H41" s="1503">
        <f t="shared" si="11"/>
        <v>893000000</v>
      </c>
      <c r="I41" s="297">
        <f t="shared" si="9"/>
        <v>0</v>
      </c>
      <c r="J41" s="1506" t="s">
        <v>2062</v>
      </c>
    </row>
    <row r="42" spans="1:10" s="1342" customFormat="1" ht="56.25">
      <c r="A42" s="1498" t="s">
        <v>11</v>
      </c>
      <c r="B42" s="1499" t="s">
        <v>654</v>
      </c>
      <c r="C42" s="1507">
        <f>SUM(C43:C49)</f>
        <v>8649000000</v>
      </c>
      <c r="D42" s="1507"/>
      <c r="E42" s="1507"/>
      <c r="F42" s="1507">
        <f>SUM(F43:F49)</f>
        <v>8649000000</v>
      </c>
      <c r="G42" s="1507">
        <f t="shared" ref="G42:I42" si="12">SUM(G43:G49)</f>
        <v>5529176150</v>
      </c>
      <c r="H42" s="1507">
        <f t="shared" si="12"/>
        <v>3119823850</v>
      </c>
      <c r="I42" s="1507">
        <f t="shared" si="12"/>
        <v>0</v>
      </c>
      <c r="J42" s="1501"/>
    </row>
    <row r="43" spans="1:10" ht="93.75">
      <c r="A43" s="1508" t="s">
        <v>91</v>
      </c>
      <c r="B43" s="303" t="s">
        <v>363</v>
      </c>
      <c r="C43" s="1509">
        <f>'Dự toán Chi tiết 2025'!L483</f>
        <v>150000000</v>
      </c>
      <c r="D43" s="1510"/>
      <c r="E43" s="1510"/>
      <c r="F43" s="1503">
        <f t="shared" ref="F43:F52" si="13">C43-D43</f>
        <v>150000000</v>
      </c>
      <c r="G43" s="1503">
        <f>'[13]Sheet1 (2)'!$G$42+'[13]Sheet1 (2)'!$H$42</f>
        <v>96201950</v>
      </c>
      <c r="H43" s="1503">
        <f>F43-G43</f>
        <v>53798050</v>
      </c>
      <c r="I43" s="297">
        <f t="shared" si="9"/>
        <v>0</v>
      </c>
      <c r="J43" s="1351"/>
    </row>
    <row r="44" spans="1:10" ht="37.5">
      <c r="A44" s="1508" t="s">
        <v>91</v>
      </c>
      <c r="B44" s="303" t="s">
        <v>1286</v>
      </c>
      <c r="C44" s="1509">
        <f>'Dự toán Chi tiết 2025'!L484</f>
        <v>7710000000</v>
      </c>
      <c r="D44" s="1510"/>
      <c r="E44" s="1510"/>
      <c r="F44" s="1503">
        <f t="shared" si="13"/>
        <v>7710000000</v>
      </c>
      <c r="G44" s="1503">
        <f>'[13]Sheet1 (2)'!$G$43+'[13]Sheet1 (2)'!$H$43</f>
        <v>5164800000</v>
      </c>
      <c r="H44" s="1503">
        <f t="shared" ref="H44:H49" si="14">F44-G44</f>
        <v>2545200000</v>
      </c>
      <c r="I44" s="297">
        <f t="shared" si="9"/>
        <v>0</v>
      </c>
      <c r="J44" s="1351"/>
    </row>
    <row r="45" spans="1:10" ht="93.75">
      <c r="A45" s="1508" t="s">
        <v>91</v>
      </c>
      <c r="B45" s="303" t="str">
        <f>'Dự toán Chi tiết 2025'!B485</f>
        <v>Lãnh đạo thành phố đi thằm và tặng quà cho các giá đình chính sách có công khó khăn trong cuộc sống và bà mẹ VNAH còn sống nhân dịp 27/7 và dịp tết</v>
      </c>
      <c r="C45" s="1509">
        <f>'Dự toán Chi tiết 2025'!L485</f>
        <v>450000000</v>
      </c>
      <c r="D45" s="1510"/>
      <c r="E45" s="1510"/>
      <c r="F45" s="1503">
        <f t="shared" si="13"/>
        <v>450000000</v>
      </c>
      <c r="G45" s="1503">
        <f>'[13]Sheet1 (2)'!$G$44+'[13]Sheet1 (2)'!$H$44</f>
        <v>242500000</v>
      </c>
      <c r="H45" s="1503">
        <f t="shared" si="14"/>
        <v>207500000</v>
      </c>
      <c r="I45" s="297">
        <f t="shared" si="9"/>
        <v>0</v>
      </c>
      <c r="J45" s="1351"/>
    </row>
    <row r="46" spans="1:10" ht="37.5">
      <c r="A46" s="1508" t="s">
        <v>91</v>
      </c>
      <c r="B46" s="303" t="s">
        <v>366</v>
      </c>
      <c r="C46" s="1509">
        <f>'Dự toán Chi tiết 2025'!L486</f>
        <v>14000000</v>
      </c>
      <c r="D46" s="1510"/>
      <c r="E46" s="1510"/>
      <c r="F46" s="1503">
        <f t="shared" si="13"/>
        <v>14000000</v>
      </c>
      <c r="G46" s="1503">
        <f>'[13]Sheet1 (2)'!$G$45+'[13]Sheet1 (2)'!$H$45</f>
        <v>3339000</v>
      </c>
      <c r="H46" s="1503">
        <f t="shared" si="14"/>
        <v>10661000</v>
      </c>
      <c r="I46" s="297">
        <f t="shared" si="9"/>
        <v>0</v>
      </c>
      <c r="J46" s="1351"/>
    </row>
    <row r="47" spans="1:10" ht="37.5">
      <c r="A47" s="1508" t="s">
        <v>91</v>
      </c>
      <c r="B47" s="303" t="s">
        <v>367</v>
      </c>
      <c r="C47" s="1509">
        <f>'Dự toán Chi tiết 2025'!L487</f>
        <v>30000000</v>
      </c>
      <c r="D47" s="1510"/>
      <c r="E47" s="1510"/>
      <c r="F47" s="1503">
        <f t="shared" si="13"/>
        <v>30000000</v>
      </c>
      <c r="G47" s="1503"/>
      <c r="H47" s="1503">
        <f t="shared" si="14"/>
        <v>30000000</v>
      </c>
      <c r="I47" s="297">
        <f t="shared" si="9"/>
        <v>0</v>
      </c>
      <c r="J47" s="1351"/>
    </row>
    <row r="48" spans="1:10" ht="37.5">
      <c r="A48" s="1508" t="s">
        <v>91</v>
      </c>
      <c r="B48" s="303" t="s">
        <v>368</v>
      </c>
      <c r="C48" s="1509">
        <f>'Dự toán Chi tiết 2025'!L488</f>
        <v>35000000</v>
      </c>
      <c r="D48" s="1510"/>
      <c r="E48" s="1510"/>
      <c r="F48" s="1503">
        <f t="shared" si="13"/>
        <v>35000000</v>
      </c>
      <c r="G48" s="1503"/>
      <c r="H48" s="1503">
        <f t="shared" si="14"/>
        <v>35000000</v>
      </c>
      <c r="I48" s="297">
        <f t="shared" si="9"/>
        <v>0</v>
      </c>
      <c r="J48" s="1351"/>
    </row>
    <row r="49" spans="1:10" ht="37.5">
      <c r="A49" s="1508"/>
      <c r="B49" s="303" t="s">
        <v>369</v>
      </c>
      <c r="C49" s="1509">
        <f>'Dự toán Chi tiết 2025'!L489</f>
        <v>260000000</v>
      </c>
      <c r="D49" s="1510"/>
      <c r="E49" s="1510"/>
      <c r="F49" s="1503">
        <f t="shared" si="13"/>
        <v>260000000</v>
      </c>
      <c r="G49" s="1503">
        <f>'[7]Sheet1 (2)'!$G$48</f>
        <v>22335200</v>
      </c>
      <c r="H49" s="1503">
        <f t="shared" si="14"/>
        <v>237664800</v>
      </c>
      <c r="I49" s="297">
        <f t="shared" si="9"/>
        <v>0</v>
      </c>
      <c r="J49" s="1351"/>
    </row>
    <row r="50" spans="1:10" s="1342" customFormat="1">
      <c r="A50" s="1501">
        <v>3</v>
      </c>
      <c r="B50" s="1511" t="s">
        <v>656</v>
      </c>
      <c r="C50" s="1512">
        <f>C51</f>
        <v>373000000</v>
      </c>
      <c r="D50" s="1501"/>
      <c r="E50" s="1501"/>
      <c r="F50" s="1500">
        <f t="shared" si="13"/>
        <v>373000000</v>
      </c>
      <c r="G50" s="1500">
        <f>G51</f>
        <v>0</v>
      </c>
      <c r="H50" s="1500">
        <f t="shared" ref="H50:I50" si="15">H51</f>
        <v>373000000</v>
      </c>
      <c r="I50" s="1500">
        <f t="shared" si="15"/>
        <v>0</v>
      </c>
      <c r="J50" s="1501"/>
    </row>
    <row r="51" spans="1:10" s="1342" customFormat="1" ht="56.25">
      <c r="A51" s="290"/>
      <c r="B51" s="292" t="s">
        <v>658</v>
      </c>
      <c r="C51" s="293">
        <f>C52+C63</f>
        <v>373000000</v>
      </c>
      <c r="D51" s="293"/>
      <c r="E51" s="293"/>
      <c r="F51" s="293">
        <f>F52+F63</f>
        <v>373000000</v>
      </c>
      <c r="G51" s="293">
        <f t="shared" ref="G51:I51" si="16">G52+G63</f>
        <v>0</v>
      </c>
      <c r="H51" s="293">
        <f t="shared" si="16"/>
        <v>373000000</v>
      </c>
      <c r="I51" s="293">
        <f t="shared" si="16"/>
        <v>0</v>
      </c>
      <c r="J51" s="1341"/>
    </row>
    <row r="52" spans="1:10" ht="75">
      <c r="A52" s="1351"/>
      <c r="B52" s="1352" t="s">
        <v>657</v>
      </c>
      <c r="C52" s="1340">
        <v>373000000</v>
      </c>
      <c r="D52" s="1340"/>
      <c r="E52" s="1340"/>
      <c r="F52" s="1340">
        <f t="shared" si="13"/>
        <v>373000000</v>
      </c>
      <c r="G52" s="1340"/>
      <c r="H52" s="1340">
        <f>F52-G52</f>
        <v>373000000</v>
      </c>
      <c r="I52" s="297">
        <f t="shared" ref="I52" si="17">F52-G52-H52</f>
        <v>0</v>
      </c>
      <c r="J52" s="1340"/>
    </row>
  </sheetData>
  <mergeCells count="8">
    <mergeCell ref="A8:J8"/>
    <mergeCell ref="A3:J3"/>
    <mergeCell ref="A1:C1"/>
    <mergeCell ref="A2:C2"/>
    <mergeCell ref="A4:J4"/>
    <mergeCell ref="A5:J5"/>
    <mergeCell ref="A6:J6"/>
    <mergeCell ref="A7:J7"/>
  </mergeCells>
  <pageMargins left="0.51181102362204722" right="0.31496062992125984" top="0.44" bottom="0.46" header="0.31496062992125984" footer="0.24"/>
  <pageSetup paperSize="9" scale="57" fitToHeight="0" orientation="portrait" verticalDpi="0" r:id="rId1"/>
  <headerFoot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52"/>
  <sheetViews>
    <sheetView topLeftCell="A5" zoomScale="85" zoomScaleNormal="85" workbookViewId="0">
      <selection activeCell="B45" sqref="B45"/>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20.85546875" style="2" bestFit="1" customWidth="1"/>
    <col min="9" max="9" width="16.5703125" style="2" bestFit="1" customWidth="1"/>
    <col min="10"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9">
      <c r="A1" s="1838" t="s">
        <v>648</v>
      </c>
      <c r="B1" s="1838"/>
      <c r="C1" s="1838"/>
      <c r="G1" s="3"/>
    </row>
    <row r="2" spans="1:9">
      <c r="A2" s="1798" t="s">
        <v>652</v>
      </c>
      <c r="B2" s="1798"/>
      <c r="C2" s="1798"/>
      <c r="D2" s="4"/>
      <c r="E2" s="4"/>
      <c r="F2" s="4"/>
    </row>
    <row r="3" spans="1:9">
      <c r="A3" s="5"/>
    </row>
    <row r="4" spans="1:9">
      <c r="A4" s="1798" t="str">
        <f>'TTDVNN V '!A4:G4</f>
        <v>DỰ TOÁN THU, CHI NGÂN SÁCH NHÀ NƯỚC NĂM 2025</v>
      </c>
      <c r="B4" s="1798"/>
      <c r="C4" s="1798"/>
      <c r="D4" s="1798"/>
      <c r="E4" s="1798"/>
      <c r="F4" s="1798"/>
      <c r="G4" s="1798"/>
    </row>
    <row r="5" spans="1:9">
      <c r="A5" s="1798" t="s">
        <v>650</v>
      </c>
      <c r="B5" s="1798"/>
      <c r="C5" s="1798"/>
      <c r="D5" s="1798"/>
      <c r="E5" s="1798"/>
      <c r="F5" s="1798"/>
      <c r="G5" s="1798"/>
    </row>
    <row r="6" spans="1:9">
      <c r="A6" s="1798" t="s">
        <v>649</v>
      </c>
      <c r="B6" s="1798"/>
      <c r="C6" s="1798"/>
      <c r="D6" s="1798"/>
      <c r="E6" s="1798"/>
      <c r="F6" s="1798"/>
      <c r="G6" s="1798"/>
    </row>
    <row r="7" spans="1:9">
      <c r="A7" s="1798" t="s">
        <v>17</v>
      </c>
      <c r="B7" s="1798"/>
      <c r="C7" s="1798"/>
      <c r="D7" s="1798"/>
      <c r="E7" s="1798"/>
      <c r="F7" s="1798"/>
      <c r="G7" s="1798"/>
    </row>
    <row r="8" spans="1:9">
      <c r="A8" s="1799">
        <f>'TTDVNN V '!A8:G8</f>
        <v>0</v>
      </c>
      <c r="B8" s="1799"/>
      <c r="C8" s="1799"/>
      <c r="D8" s="1799"/>
      <c r="E8" s="1799"/>
      <c r="F8" s="1799"/>
      <c r="G8" s="1799"/>
    </row>
    <row r="9" spans="1:9">
      <c r="G9" s="6" t="s">
        <v>43</v>
      </c>
    </row>
    <row r="10" spans="1:9"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9">
      <c r="A11" s="8" t="s">
        <v>20</v>
      </c>
      <c r="B11" s="8" t="s">
        <v>21</v>
      </c>
      <c r="C11" s="8" t="s">
        <v>22</v>
      </c>
      <c r="D11" s="8" t="s">
        <v>23</v>
      </c>
      <c r="E11" s="8" t="str">
        <f>'TTDVNN V '!E12</f>
        <v>(5)</v>
      </c>
      <c r="F11" s="8" t="str">
        <f>'TTDVNN V '!F12</f>
        <v>(6)=(3)-(4)+(5)</v>
      </c>
      <c r="G11" s="8" t="s">
        <v>1287</v>
      </c>
    </row>
    <row r="12" spans="1:9" ht="37.5">
      <c r="A12" s="7" t="s">
        <v>2</v>
      </c>
      <c r="B12" s="9" t="s">
        <v>3</v>
      </c>
      <c r="C12" s="10"/>
      <c r="D12" s="10"/>
      <c r="E12" s="10"/>
      <c r="F12" s="10"/>
      <c r="G12" s="11"/>
    </row>
    <row r="13" spans="1:9">
      <c r="A13" s="17">
        <v>1</v>
      </c>
      <c r="B13" s="18" t="s">
        <v>4</v>
      </c>
      <c r="C13" s="19"/>
      <c r="D13" s="19"/>
      <c r="E13" s="19"/>
      <c r="F13" s="19"/>
      <c r="G13" s="11"/>
    </row>
    <row r="14" spans="1:9">
      <c r="A14" s="17">
        <v>2</v>
      </c>
      <c r="B14" s="18" t="s">
        <v>7</v>
      </c>
      <c r="C14" s="19"/>
      <c r="D14" s="19"/>
      <c r="E14" s="19"/>
      <c r="F14" s="19"/>
      <c r="G14" s="11"/>
    </row>
    <row r="15" spans="1:9" ht="37.5">
      <c r="A15" s="7" t="s">
        <v>12</v>
      </c>
      <c r="B15" s="9" t="s">
        <v>84</v>
      </c>
      <c r="C15" s="10">
        <f>C16+C29+C50</f>
        <v>137037400000</v>
      </c>
      <c r="D15" s="10">
        <f>D16+D29+D50</f>
        <v>46300000</v>
      </c>
      <c r="E15" s="10">
        <f>E16+E29+E50</f>
        <v>46300000</v>
      </c>
      <c r="F15" s="10">
        <f>F16+F29+F50</f>
        <v>137037400000</v>
      </c>
      <c r="G15" s="11"/>
      <c r="H15" s="240">
        <f>C15-D15+E15</f>
        <v>137037400000</v>
      </c>
      <c r="I15" s="240">
        <f>F15-H15</f>
        <v>0</v>
      </c>
    </row>
    <row r="16" spans="1:9" ht="37.5">
      <c r="A16" s="7">
        <v>1</v>
      </c>
      <c r="B16" s="9" t="s">
        <v>653</v>
      </c>
      <c r="C16" s="10">
        <f>C17+C21</f>
        <v>2281400000</v>
      </c>
      <c r="D16" s="10">
        <f>D17+D21</f>
        <v>46300000</v>
      </c>
      <c r="E16" s="10">
        <f>E17+E21</f>
        <v>46300000</v>
      </c>
      <c r="F16" s="10">
        <f>F17+F21</f>
        <v>2281400000</v>
      </c>
      <c r="G16" s="11"/>
    </row>
    <row r="17" spans="1:8" s="16" customFormat="1" ht="39">
      <c r="A17" s="12" t="s">
        <v>5</v>
      </c>
      <c r="B17" s="13" t="s">
        <v>9</v>
      </c>
      <c r="C17" s="14">
        <f>SUM(C18:C20)</f>
        <v>1759400000</v>
      </c>
      <c r="D17" s="14">
        <f>SUM(D18:D20)</f>
        <v>24300000</v>
      </c>
      <c r="E17" s="14">
        <f>SUM(E18:E20)</f>
        <v>46300000</v>
      </c>
      <c r="F17" s="14">
        <f>SUM(F18:F20)</f>
        <v>1781400000</v>
      </c>
      <c r="G17" s="15"/>
    </row>
    <row r="18" spans="1:8" ht="37.5">
      <c r="A18" s="17" t="s">
        <v>91</v>
      </c>
      <c r="B18" s="18" t="s">
        <v>26</v>
      </c>
      <c r="C18" s="19">
        <f>'Dự toán Chi tiết 2025'!L733</f>
        <v>995052000</v>
      </c>
      <c r="D18" s="19"/>
      <c r="E18" s="19"/>
      <c r="F18" s="19">
        <f>C18-D18+E18</f>
        <v>995052000</v>
      </c>
      <c r="G18" s="11"/>
    </row>
    <row r="19" spans="1:8" ht="37.5">
      <c r="A19" s="17" t="s">
        <v>91</v>
      </c>
      <c r="B19" s="18" t="str">
        <f>'TTDVNN V '!B18</f>
        <v>Kinh phí thực hiện cải cách tiền lương</v>
      </c>
      <c r="C19" s="19">
        <f>'Dự toán Chi tiết 2025'!L735</f>
        <v>521348000</v>
      </c>
      <c r="D19" s="19"/>
      <c r="E19" s="19">
        <f>D15</f>
        <v>46300000</v>
      </c>
      <c r="F19" s="19">
        <f>C19-D19+E19</f>
        <v>567648000</v>
      </c>
      <c r="G19" s="11"/>
    </row>
    <row r="20" spans="1:8" ht="37.5">
      <c r="A20" s="17" t="s">
        <v>91</v>
      </c>
      <c r="B20" s="18" t="s">
        <v>27</v>
      </c>
      <c r="C20" s="19">
        <f>'Dự toán Chi tiết 2025'!L736</f>
        <v>243000000</v>
      </c>
      <c r="D20" s="19">
        <f>C20*10%</f>
        <v>24300000</v>
      </c>
      <c r="E20" s="19"/>
      <c r="F20" s="19">
        <f>C20-D20+E20</f>
        <v>218700000</v>
      </c>
      <c r="G20" s="11"/>
    </row>
    <row r="21" spans="1:8" s="16" customFormat="1" ht="49.5" customHeight="1">
      <c r="A21" s="12" t="s">
        <v>6</v>
      </c>
      <c r="B21" s="13" t="str">
        <f>'Kinh tế V'!B23</f>
        <v>Kinh phí nhiệm vụ không thường xuyên</v>
      </c>
      <c r="C21" s="14">
        <f>SUM(C22:C28)</f>
        <v>522000000</v>
      </c>
      <c r="D21" s="14">
        <f>SUM(D22:D28)</f>
        <v>22000000</v>
      </c>
      <c r="E21" s="14">
        <f>SUM(E22:E28)</f>
        <v>0</v>
      </c>
      <c r="F21" s="14">
        <f>SUM(F22:F28)</f>
        <v>500000000</v>
      </c>
      <c r="G21" s="15"/>
    </row>
    <row r="22" spans="1:8">
      <c r="A22" s="17" t="s">
        <v>91</v>
      </c>
      <c r="B22" s="22" t="s">
        <v>424</v>
      </c>
      <c r="C22" s="19">
        <f>'Dự toán Chi tiết 2025'!L738</f>
        <v>36000000</v>
      </c>
      <c r="D22" s="19"/>
      <c r="E22" s="19"/>
      <c r="F22" s="19">
        <f t="shared" ref="F22:F28" si="0">C22-D22</f>
        <v>36000000</v>
      </c>
      <c r="G22" s="11"/>
    </row>
    <row r="23" spans="1:8" ht="37.5">
      <c r="A23" s="12" t="s">
        <v>91</v>
      </c>
      <c r="B23" s="22" t="s">
        <v>409</v>
      </c>
      <c r="C23" s="19">
        <f>'Dự toán Chi tiết 2025'!L739</f>
        <v>20200000</v>
      </c>
      <c r="D23" s="19"/>
      <c r="E23" s="19"/>
      <c r="F23" s="19">
        <f t="shared" si="0"/>
        <v>20200000</v>
      </c>
      <c r="G23" s="11"/>
      <c r="H23" s="1400">
        <v>12927700</v>
      </c>
    </row>
    <row r="24" spans="1:8" ht="19.5">
      <c r="A24" s="12" t="s">
        <v>91</v>
      </c>
      <c r="B24" s="22" t="str">
        <f>'Dự toán Chi tiết 2025'!B743</f>
        <v>Kinh phí tổ chức Đại hội Chi bộ</v>
      </c>
      <c r="C24" s="19">
        <f>'Dự toán Chi tiết 2025'!L743</f>
        <v>15800000</v>
      </c>
      <c r="D24" s="19"/>
      <c r="E24" s="19"/>
      <c r="F24" s="19">
        <f t="shared" si="0"/>
        <v>15800000</v>
      </c>
      <c r="G24" s="11"/>
      <c r="H24" s="2">
        <v>14400000</v>
      </c>
    </row>
    <row r="25" spans="1:8" ht="37.5" hidden="1">
      <c r="A25" s="17" t="s">
        <v>91</v>
      </c>
      <c r="B25" s="22" t="s">
        <v>1121</v>
      </c>
      <c r="C25" s="19">
        <f>'Dự toán Chi tiết 2025'!L740</f>
        <v>0</v>
      </c>
      <c r="D25" s="19">
        <f>C25*10%</f>
        <v>0</v>
      </c>
      <c r="E25" s="19"/>
      <c r="F25" s="19">
        <f t="shared" si="0"/>
        <v>0</v>
      </c>
      <c r="G25" s="20"/>
    </row>
    <row r="26" spans="1:8" ht="56.25">
      <c r="A26" s="12" t="s">
        <v>91</v>
      </c>
      <c r="B26" s="22" t="str">
        <f>'Dự toán Chi tiết 2025'!B741</f>
        <v>Chi cho công tác rà soát, thẩm định hồ sơ,.. chính sách bảo trợ hàng năm</v>
      </c>
      <c r="C26" s="19">
        <f>'Dự toán Chi tiết 2025'!L741</f>
        <v>230000000</v>
      </c>
      <c r="D26" s="19"/>
      <c r="E26" s="19"/>
      <c r="F26" s="19">
        <f t="shared" si="0"/>
        <v>230000000</v>
      </c>
      <c r="G26" s="20"/>
      <c r="H26" s="1401">
        <f>H24-H23</f>
        <v>1472300</v>
      </c>
    </row>
    <row r="27" spans="1:8" ht="56.25">
      <c r="A27" s="12"/>
      <c r="B27" s="22" t="str">
        <f>'Dự toán Chi tiết 2025'!B742</f>
        <v>Chi tập huấn, tuyên tuyền,... chính sách bảo trợ hàng năm và chi thù lao hoà giải viên lao động</v>
      </c>
      <c r="C27" s="19">
        <f>'Dự toán Chi tiết 2025'!L742</f>
        <v>20000000</v>
      </c>
      <c r="D27" s="19">
        <f>C27*10%</f>
        <v>2000000</v>
      </c>
      <c r="E27" s="19"/>
      <c r="F27" s="19">
        <f t="shared" si="0"/>
        <v>18000000</v>
      </c>
      <c r="G27" s="20"/>
      <c r="H27" s="2">
        <v>10848900</v>
      </c>
    </row>
    <row r="28" spans="1:8" ht="112.5">
      <c r="A28" s="17" t="s">
        <v>91</v>
      </c>
      <c r="B28" s="22" t="s">
        <v>1123</v>
      </c>
      <c r="C28" s="19">
        <f>'Dự toán Chi tiết 2025'!L746</f>
        <v>200000000</v>
      </c>
      <c r="D28" s="19">
        <f>C28*10%</f>
        <v>20000000</v>
      </c>
      <c r="E28" s="19"/>
      <c r="F28" s="19">
        <f t="shared" si="0"/>
        <v>180000000</v>
      </c>
      <c r="G28" s="20"/>
      <c r="H28" s="2">
        <f>H24-H27</f>
        <v>3551100</v>
      </c>
    </row>
    <row r="29" spans="1:8">
      <c r="A29" s="7">
        <v>2</v>
      </c>
      <c r="B29" s="9" t="s">
        <v>651</v>
      </c>
      <c r="C29" s="10">
        <f>C30</f>
        <v>134383000000</v>
      </c>
      <c r="D29" s="10"/>
      <c r="E29" s="10"/>
      <c r="F29" s="10">
        <f>F30</f>
        <v>134383000000</v>
      </c>
      <c r="G29" s="11"/>
    </row>
    <row r="30" spans="1:8" s="25" customFormat="1" ht="37.5">
      <c r="A30" s="7"/>
      <c r="B30" s="9" t="s">
        <v>10</v>
      </c>
      <c r="C30" s="10">
        <f>C31+C42</f>
        <v>134383000000</v>
      </c>
      <c r="D30" s="10"/>
      <c r="E30" s="10"/>
      <c r="F30" s="10">
        <f>F31+F42</f>
        <v>134383000000</v>
      </c>
      <c r="G30" s="24"/>
    </row>
    <row r="31" spans="1:8" s="25" customFormat="1" ht="75">
      <c r="A31" s="31" t="s">
        <v>8</v>
      </c>
      <c r="B31" s="56" t="s">
        <v>655</v>
      </c>
      <c r="C31" s="69">
        <f>SUM(C32:C41)</f>
        <v>125734000000</v>
      </c>
      <c r="D31" s="69"/>
      <c r="E31" s="69"/>
      <c r="F31" s="69">
        <f>SUM(F32:F41)</f>
        <v>125734000000</v>
      </c>
      <c r="G31" s="134"/>
    </row>
    <row r="32" spans="1:8" ht="56.25">
      <c r="A32" s="72" t="s">
        <v>91</v>
      </c>
      <c r="B32" s="50" t="s">
        <v>352</v>
      </c>
      <c r="C32" s="74">
        <f>'Dự toán Chi tiết 2025'!L471</f>
        <v>118264000000</v>
      </c>
      <c r="D32" s="226"/>
      <c r="E32" s="226"/>
      <c r="F32" s="74">
        <f>C32-D32</f>
        <v>118264000000</v>
      </c>
      <c r="G32" s="226"/>
    </row>
    <row r="33" spans="1:7" ht="56.25">
      <c r="A33" s="72" t="s">
        <v>91</v>
      </c>
      <c r="B33" s="50" t="s">
        <v>1031</v>
      </c>
      <c r="C33" s="74">
        <f>'Dự toán Chi tiết 2025'!L472</f>
        <v>544000000</v>
      </c>
      <c r="D33" s="226"/>
      <c r="E33" s="226"/>
      <c r="F33" s="74">
        <f t="shared" ref="F33:F41" si="1">C33-D33</f>
        <v>544000000</v>
      </c>
      <c r="G33" s="226"/>
    </row>
    <row r="34" spans="1:7" ht="37.5">
      <c r="A34" s="72" t="s">
        <v>91</v>
      </c>
      <c r="B34" s="50" t="s">
        <v>353</v>
      </c>
      <c r="C34" s="74">
        <f>'Dự toán Chi tiết 2025'!L473</f>
        <v>35000000</v>
      </c>
      <c r="D34" s="226"/>
      <c r="E34" s="226"/>
      <c r="F34" s="74">
        <f t="shared" si="1"/>
        <v>35000000</v>
      </c>
      <c r="G34" s="226"/>
    </row>
    <row r="35" spans="1:7" ht="42.75" customHeight="1">
      <c r="A35" s="72" t="s">
        <v>91</v>
      </c>
      <c r="B35" s="50" t="str">
        <f>'Dự toán Chi tiết 2025'!B474</f>
        <v>Chi gạo đỏ lửa giáp hạt năm 2025,2026</v>
      </c>
      <c r="C35" s="74">
        <f>'Dự toán Chi tiết 2025'!L474</f>
        <v>2000000000</v>
      </c>
      <c r="D35" s="226"/>
      <c r="E35" s="226"/>
      <c r="F35" s="74">
        <f t="shared" si="1"/>
        <v>2000000000</v>
      </c>
      <c r="G35" s="226"/>
    </row>
    <row r="36" spans="1:7" ht="37.5">
      <c r="A36" s="72" t="s">
        <v>91</v>
      </c>
      <c r="B36" s="50" t="s">
        <v>355</v>
      </c>
      <c r="C36" s="74">
        <f>'Dự toán Chi tiết 2025'!L475</f>
        <v>600000000</v>
      </c>
      <c r="D36" s="226"/>
      <c r="E36" s="226"/>
      <c r="F36" s="74">
        <f t="shared" si="1"/>
        <v>600000000</v>
      </c>
      <c r="G36" s="226"/>
    </row>
    <row r="37" spans="1:7" ht="112.5">
      <c r="A37" s="72" t="s">
        <v>91</v>
      </c>
      <c r="B37" s="50" t="s">
        <v>356</v>
      </c>
      <c r="C37" s="74">
        <f>'Dự toán Chi tiết 2025'!L476</f>
        <v>240000000</v>
      </c>
      <c r="D37" s="226"/>
      <c r="E37" s="226"/>
      <c r="F37" s="74">
        <f t="shared" si="1"/>
        <v>240000000</v>
      </c>
      <c r="G37" s="226"/>
    </row>
    <row r="38" spans="1:7" ht="37.5">
      <c r="A38" s="72" t="s">
        <v>91</v>
      </c>
      <c r="B38" s="50" t="s">
        <v>357</v>
      </c>
      <c r="C38" s="74">
        <f>'Dự toán Chi tiết 2025'!L477</f>
        <v>23000000</v>
      </c>
      <c r="D38" s="226"/>
      <c r="E38" s="226"/>
      <c r="F38" s="74">
        <f t="shared" si="1"/>
        <v>23000000</v>
      </c>
      <c r="G38" s="226"/>
    </row>
    <row r="39" spans="1:7" ht="75">
      <c r="A39" s="72" t="s">
        <v>91</v>
      </c>
      <c r="B39" s="50" t="s">
        <v>1034</v>
      </c>
      <c r="C39" s="74">
        <f>'Dự toán Chi tiết 2025'!L479</f>
        <v>60000000</v>
      </c>
      <c r="D39" s="226"/>
      <c r="E39" s="226"/>
      <c r="F39" s="74">
        <f t="shared" si="1"/>
        <v>60000000</v>
      </c>
      <c r="G39" s="226"/>
    </row>
    <row r="40" spans="1:7" ht="75">
      <c r="A40" s="72"/>
      <c r="B40" s="50" t="str">
        <f>'Dự toán Chi tiết 2025'!B478</f>
        <v>Kinh phí thực hiện chính sách khuyến khích sử dụng hình thúc hoả táng theo NQ số 29/2024/NQ-HĐND tỉnh</v>
      </c>
      <c r="C40" s="74">
        <f>'Dự toán Chi tiết 2025'!L478</f>
        <v>3075000000</v>
      </c>
      <c r="D40" s="226"/>
      <c r="E40" s="226"/>
      <c r="F40" s="74">
        <f t="shared" si="1"/>
        <v>3075000000</v>
      </c>
      <c r="G40" s="226"/>
    </row>
    <row r="41" spans="1:7" s="313" customFormat="1" ht="168.75">
      <c r="A41" s="1346" t="s">
        <v>91</v>
      </c>
      <c r="B41" s="1347" t="s">
        <v>361</v>
      </c>
      <c r="C41" s="1348">
        <f>'Dự toán Chi tiết 2025'!L480</f>
        <v>893000000</v>
      </c>
      <c r="D41" s="1349"/>
      <c r="E41" s="1349"/>
      <c r="F41" s="1348">
        <f t="shared" si="1"/>
        <v>893000000</v>
      </c>
      <c r="G41" s="1350" t="s">
        <v>1296</v>
      </c>
    </row>
    <row r="42" spans="1:7" s="25" customFormat="1" ht="56.25">
      <c r="A42" s="31" t="s">
        <v>11</v>
      </c>
      <c r="B42" s="56" t="s">
        <v>654</v>
      </c>
      <c r="C42" s="42">
        <f>SUM(C43:C49)</f>
        <v>8649000000</v>
      </c>
      <c r="D42" s="42"/>
      <c r="E42" s="42"/>
      <c r="F42" s="42">
        <f>SUM(F43:F49)</f>
        <v>8649000000</v>
      </c>
      <c r="G42" s="134"/>
    </row>
    <row r="43" spans="1:7" ht="93.75">
      <c r="A43" s="89" t="s">
        <v>91</v>
      </c>
      <c r="B43" s="22" t="s">
        <v>363</v>
      </c>
      <c r="C43" s="65">
        <f>'Dự toán Chi tiết 2025'!L483</f>
        <v>150000000</v>
      </c>
      <c r="D43" s="227"/>
      <c r="E43" s="227"/>
      <c r="F43" s="74">
        <f t="shared" ref="F43:F52" si="2">C43-D43</f>
        <v>150000000</v>
      </c>
      <c r="G43" s="226"/>
    </row>
    <row r="44" spans="1:7" ht="37.5">
      <c r="A44" s="89" t="s">
        <v>91</v>
      </c>
      <c r="B44" s="22" t="s">
        <v>1286</v>
      </c>
      <c r="C44" s="65">
        <f>'Dự toán Chi tiết 2025'!L484</f>
        <v>7710000000</v>
      </c>
      <c r="D44" s="227"/>
      <c r="E44" s="227"/>
      <c r="F44" s="74">
        <f t="shared" si="2"/>
        <v>7710000000</v>
      </c>
      <c r="G44" s="226"/>
    </row>
    <row r="45" spans="1:7" ht="93.75">
      <c r="A45" s="89" t="s">
        <v>91</v>
      </c>
      <c r="B45" s="22" t="str">
        <f>'Dự toán Chi tiết 2025'!B485</f>
        <v>Lãnh đạo thành phố đi thằm và tặng quà cho các giá đình chính sách có công khó khăn trong cuộc sống và bà mẹ VNAH còn sống nhân dịp 27/7 và dịp tết</v>
      </c>
      <c r="C45" s="65">
        <f>'Dự toán Chi tiết 2025'!L485</f>
        <v>450000000</v>
      </c>
      <c r="D45" s="227"/>
      <c r="E45" s="227"/>
      <c r="F45" s="74">
        <f t="shared" si="2"/>
        <v>450000000</v>
      </c>
      <c r="G45" s="226"/>
    </row>
    <row r="46" spans="1:7" ht="37.5">
      <c r="A46" s="89" t="s">
        <v>91</v>
      </c>
      <c r="B46" s="22" t="s">
        <v>366</v>
      </c>
      <c r="C46" s="65">
        <f>'Dự toán Chi tiết 2025'!L486</f>
        <v>14000000</v>
      </c>
      <c r="D46" s="227"/>
      <c r="E46" s="227"/>
      <c r="F46" s="74">
        <f t="shared" si="2"/>
        <v>14000000</v>
      </c>
      <c r="G46" s="226"/>
    </row>
    <row r="47" spans="1:7" ht="37.5">
      <c r="A47" s="89" t="s">
        <v>91</v>
      </c>
      <c r="B47" s="22" t="s">
        <v>367</v>
      </c>
      <c r="C47" s="65">
        <f>'Dự toán Chi tiết 2025'!L487</f>
        <v>30000000</v>
      </c>
      <c r="D47" s="227"/>
      <c r="E47" s="227"/>
      <c r="F47" s="74">
        <f t="shared" si="2"/>
        <v>30000000</v>
      </c>
      <c r="G47" s="226"/>
    </row>
    <row r="48" spans="1:7" ht="37.5">
      <c r="A48" s="89" t="s">
        <v>91</v>
      </c>
      <c r="B48" s="22" t="s">
        <v>368</v>
      </c>
      <c r="C48" s="65">
        <f>'Dự toán Chi tiết 2025'!L488</f>
        <v>35000000</v>
      </c>
      <c r="D48" s="227"/>
      <c r="E48" s="227"/>
      <c r="F48" s="74">
        <f t="shared" si="2"/>
        <v>35000000</v>
      </c>
      <c r="G48" s="226"/>
    </row>
    <row r="49" spans="1:7" ht="37.5">
      <c r="A49" s="89"/>
      <c r="B49" s="22" t="s">
        <v>369</v>
      </c>
      <c r="C49" s="65">
        <f>'Dự toán Chi tiết 2025'!L489</f>
        <v>260000000</v>
      </c>
      <c r="D49" s="227"/>
      <c r="E49" s="227"/>
      <c r="F49" s="74">
        <f t="shared" si="2"/>
        <v>260000000</v>
      </c>
      <c r="G49" s="226"/>
    </row>
    <row r="50" spans="1:7" s="25" customFormat="1">
      <c r="A50" s="134">
        <v>3</v>
      </c>
      <c r="B50" s="230" t="s">
        <v>656</v>
      </c>
      <c r="C50" s="207">
        <f>C51</f>
        <v>373000000</v>
      </c>
      <c r="D50" s="134"/>
      <c r="E50" s="134"/>
      <c r="F50" s="69">
        <f t="shared" si="2"/>
        <v>373000000</v>
      </c>
      <c r="G50" s="134"/>
    </row>
    <row r="51" spans="1:7" s="1342" customFormat="1" ht="56.25">
      <c r="A51" s="290"/>
      <c r="B51" s="292" t="s">
        <v>658</v>
      </c>
      <c r="C51" s="293">
        <f>C52+C63</f>
        <v>373000000</v>
      </c>
      <c r="D51" s="293"/>
      <c r="E51" s="293"/>
      <c r="F51" s="293">
        <f>F52+F63</f>
        <v>373000000</v>
      </c>
      <c r="G51" s="1341"/>
    </row>
    <row r="52" spans="1:7" s="288" customFormat="1" ht="75">
      <c r="A52" s="1351"/>
      <c r="B52" s="1352" t="s">
        <v>657</v>
      </c>
      <c r="C52" s="1340">
        <v>373000000</v>
      </c>
      <c r="D52" s="1340"/>
      <c r="E52" s="1340"/>
      <c r="F52" s="1340">
        <f t="shared" si="2"/>
        <v>373000000</v>
      </c>
      <c r="G52" s="1340"/>
    </row>
  </sheetData>
  <mergeCells count="7">
    <mergeCell ref="A8:G8"/>
    <mergeCell ref="A1:C1"/>
    <mergeCell ref="A2:C2"/>
    <mergeCell ref="A4:G4"/>
    <mergeCell ref="A5:G5"/>
    <mergeCell ref="A6:G6"/>
    <mergeCell ref="A7:G7"/>
  </mergeCells>
  <pageMargins left="0.51181102362204722" right="0.31496062992125984" top="0.44" bottom="0.46" header="0.31496062992125984" footer="0.24"/>
  <pageSetup paperSize="9" scale="64" fitToHeight="0" orientation="portrait" verticalDpi="0" r:id="rId1"/>
  <headerFooter>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44"/>
  <sheetViews>
    <sheetView topLeftCell="A7" zoomScale="85" zoomScaleNormal="85" workbookViewId="0">
      <selection activeCell="C16" sqref="C16"/>
    </sheetView>
  </sheetViews>
  <sheetFormatPr defaultRowHeight="18.75"/>
  <cols>
    <col min="1" max="1" width="7.140625" style="313" customWidth="1"/>
    <col min="2" max="2" width="38.5703125" style="313" customWidth="1"/>
    <col min="3" max="3" width="19.28515625" style="313" customWidth="1"/>
    <col min="4" max="5" width="21.140625" style="313" customWidth="1"/>
    <col min="6" max="6" width="19.42578125" style="313" customWidth="1"/>
    <col min="7" max="7" width="20" style="313" customWidth="1"/>
    <col min="8" max="8" width="18" style="313" hidden="1" customWidth="1"/>
    <col min="9" max="10" width="0" style="313" hidden="1" customWidth="1"/>
    <col min="11" max="11" width="19.42578125" style="313" customWidth="1"/>
    <col min="12" max="260" width="9.140625" style="313"/>
    <col min="261" max="261" width="7.140625" style="313" customWidth="1"/>
    <col min="262" max="262" width="47.7109375" style="313" customWidth="1"/>
    <col min="263" max="263" width="19.28515625" style="313" customWidth="1"/>
    <col min="264" max="516" width="9.140625" style="313"/>
    <col min="517" max="517" width="7.140625" style="313" customWidth="1"/>
    <col min="518" max="518" width="47.7109375" style="313" customWidth="1"/>
    <col min="519" max="519" width="19.28515625" style="313" customWidth="1"/>
    <col min="520" max="772" width="9.140625" style="313"/>
    <col min="773" max="773" width="7.140625" style="313" customWidth="1"/>
    <col min="774" max="774" width="47.7109375" style="313" customWidth="1"/>
    <col min="775" max="775" width="19.28515625" style="313" customWidth="1"/>
    <col min="776" max="1028" width="9.140625" style="313"/>
    <col min="1029" max="1029" width="7.140625" style="313" customWidth="1"/>
    <col min="1030" max="1030" width="47.7109375" style="313" customWidth="1"/>
    <col min="1031" max="1031" width="19.28515625" style="313" customWidth="1"/>
    <col min="1032" max="1284" width="9.140625" style="313"/>
    <col min="1285" max="1285" width="7.140625" style="313" customWidth="1"/>
    <col min="1286" max="1286" width="47.7109375" style="313" customWidth="1"/>
    <col min="1287" max="1287" width="19.28515625" style="313" customWidth="1"/>
    <col min="1288" max="1540" width="9.140625" style="313"/>
    <col min="1541" max="1541" width="7.140625" style="313" customWidth="1"/>
    <col min="1542" max="1542" width="47.7109375" style="313" customWidth="1"/>
    <col min="1543" max="1543" width="19.28515625" style="313" customWidth="1"/>
    <col min="1544" max="1796" width="9.140625" style="313"/>
    <col min="1797" max="1797" width="7.140625" style="313" customWidth="1"/>
    <col min="1798" max="1798" width="47.7109375" style="313" customWidth="1"/>
    <col min="1799" max="1799" width="19.28515625" style="313" customWidth="1"/>
    <col min="1800" max="2052" width="9.140625" style="313"/>
    <col min="2053" max="2053" width="7.140625" style="313" customWidth="1"/>
    <col min="2054" max="2054" width="47.7109375" style="313" customWidth="1"/>
    <col min="2055" max="2055" width="19.28515625" style="313" customWidth="1"/>
    <col min="2056" max="2308" width="9.140625" style="313"/>
    <col min="2309" max="2309" width="7.140625" style="313" customWidth="1"/>
    <col min="2310" max="2310" width="47.7109375" style="313" customWidth="1"/>
    <col min="2311" max="2311" width="19.28515625" style="313" customWidth="1"/>
    <col min="2312" max="2564" width="9.140625" style="313"/>
    <col min="2565" max="2565" width="7.140625" style="313" customWidth="1"/>
    <col min="2566" max="2566" width="47.7109375" style="313" customWidth="1"/>
    <col min="2567" max="2567" width="19.28515625" style="313" customWidth="1"/>
    <col min="2568" max="2820" width="9.140625" style="313"/>
    <col min="2821" max="2821" width="7.140625" style="313" customWidth="1"/>
    <col min="2822" max="2822" width="47.7109375" style="313" customWidth="1"/>
    <col min="2823" max="2823" width="19.28515625" style="313" customWidth="1"/>
    <col min="2824" max="3076" width="9.140625" style="313"/>
    <col min="3077" max="3077" width="7.140625" style="313" customWidth="1"/>
    <col min="3078" max="3078" width="47.7109375" style="313" customWidth="1"/>
    <col min="3079" max="3079" width="19.28515625" style="313" customWidth="1"/>
    <col min="3080" max="3332" width="9.140625" style="313"/>
    <col min="3333" max="3333" width="7.140625" style="313" customWidth="1"/>
    <col min="3334" max="3334" width="47.7109375" style="313" customWidth="1"/>
    <col min="3335" max="3335" width="19.28515625" style="313" customWidth="1"/>
    <col min="3336" max="3588" width="9.140625" style="313"/>
    <col min="3589" max="3589" width="7.140625" style="313" customWidth="1"/>
    <col min="3590" max="3590" width="47.7109375" style="313" customWidth="1"/>
    <col min="3591" max="3591" width="19.28515625" style="313" customWidth="1"/>
    <col min="3592" max="3844" width="9.140625" style="313"/>
    <col min="3845" max="3845" width="7.140625" style="313" customWidth="1"/>
    <col min="3846" max="3846" width="47.7109375" style="313" customWidth="1"/>
    <col min="3847" max="3847" width="19.28515625" style="313" customWidth="1"/>
    <col min="3848" max="4100" width="9.140625" style="313"/>
    <col min="4101" max="4101" width="7.140625" style="313" customWidth="1"/>
    <col min="4102" max="4102" width="47.7109375" style="313" customWidth="1"/>
    <col min="4103" max="4103" width="19.28515625" style="313" customWidth="1"/>
    <col min="4104" max="4356" width="9.140625" style="313"/>
    <col min="4357" max="4357" width="7.140625" style="313" customWidth="1"/>
    <col min="4358" max="4358" width="47.7109375" style="313" customWidth="1"/>
    <col min="4359" max="4359" width="19.28515625" style="313" customWidth="1"/>
    <col min="4360" max="4612" width="9.140625" style="313"/>
    <col min="4613" max="4613" width="7.140625" style="313" customWidth="1"/>
    <col min="4614" max="4614" width="47.7109375" style="313" customWidth="1"/>
    <col min="4615" max="4615" width="19.28515625" style="313" customWidth="1"/>
    <col min="4616" max="4868" width="9.140625" style="313"/>
    <col min="4869" max="4869" width="7.140625" style="313" customWidth="1"/>
    <col min="4870" max="4870" width="47.7109375" style="313" customWidth="1"/>
    <col min="4871" max="4871" width="19.28515625" style="313" customWidth="1"/>
    <col min="4872" max="5124" width="9.140625" style="313"/>
    <col min="5125" max="5125" width="7.140625" style="313" customWidth="1"/>
    <col min="5126" max="5126" width="47.7109375" style="313" customWidth="1"/>
    <col min="5127" max="5127" width="19.28515625" style="313" customWidth="1"/>
    <col min="5128" max="5380" width="9.140625" style="313"/>
    <col min="5381" max="5381" width="7.140625" style="313" customWidth="1"/>
    <col min="5382" max="5382" width="47.7109375" style="313" customWidth="1"/>
    <col min="5383" max="5383" width="19.28515625" style="313" customWidth="1"/>
    <col min="5384" max="5636" width="9.140625" style="313"/>
    <col min="5637" max="5637" width="7.140625" style="313" customWidth="1"/>
    <col min="5638" max="5638" width="47.7109375" style="313" customWidth="1"/>
    <col min="5639" max="5639" width="19.28515625" style="313" customWidth="1"/>
    <col min="5640" max="5892" width="9.140625" style="313"/>
    <col min="5893" max="5893" width="7.140625" style="313" customWidth="1"/>
    <col min="5894" max="5894" width="47.7109375" style="313" customWidth="1"/>
    <col min="5895" max="5895" width="19.28515625" style="313" customWidth="1"/>
    <col min="5896" max="6148" width="9.140625" style="313"/>
    <col min="6149" max="6149" width="7.140625" style="313" customWidth="1"/>
    <col min="6150" max="6150" width="47.7109375" style="313" customWidth="1"/>
    <col min="6151" max="6151" width="19.28515625" style="313" customWidth="1"/>
    <col min="6152" max="6404" width="9.140625" style="313"/>
    <col min="6405" max="6405" width="7.140625" style="313" customWidth="1"/>
    <col min="6406" max="6406" width="47.7109375" style="313" customWidth="1"/>
    <col min="6407" max="6407" width="19.28515625" style="313" customWidth="1"/>
    <col min="6408" max="6660" width="9.140625" style="313"/>
    <col min="6661" max="6661" width="7.140625" style="313" customWidth="1"/>
    <col min="6662" max="6662" width="47.7109375" style="313" customWidth="1"/>
    <col min="6663" max="6663" width="19.28515625" style="313" customWidth="1"/>
    <col min="6664" max="6916" width="9.140625" style="313"/>
    <col min="6917" max="6917" width="7.140625" style="313" customWidth="1"/>
    <col min="6918" max="6918" width="47.7109375" style="313" customWidth="1"/>
    <col min="6919" max="6919" width="19.28515625" style="313" customWidth="1"/>
    <col min="6920" max="7172" width="9.140625" style="313"/>
    <col min="7173" max="7173" width="7.140625" style="313" customWidth="1"/>
    <col min="7174" max="7174" width="47.7109375" style="313" customWidth="1"/>
    <col min="7175" max="7175" width="19.28515625" style="313" customWidth="1"/>
    <col min="7176" max="7428" width="9.140625" style="313"/>
    <col min="7429" max="7429" width="7.140625" style="313" customWidth="1"/>
    <col min="7430" max="7430" width="47.7109375" style="313" customWidth="1"/>
    <col min="7431" max="7431" width="19.28515625" style="313" customWidth="1"/>
    <col min="7432" max="7684" width="9.140625" style="313"/>
    <col min="7685" max="7685" width="7.140625" style="313" customWidth="1"/>
    <col min="7686" max="7686" width="47.7109375" style="313" customWidth="1"/>
    <col min="7687" max="7687" width="19.28515625" style="313" customWidth="1"/>
    <col min="7688" max="7940" width="9.140625" style="313"/>
    <col min="7941" max="7941" width="7.140625" style="313" customWidth="1"/>
    <col min="7942" max="7942" width="47.7109375" style="313" customWidth="1"/>
    <col min="7943" max="7943" width="19.28515625" style="313" customWidth="1"/>
    <col min="7944" max="8196" width="9.140625" style="313"/>
    <col min="8197" max="8197" width="7.140625" style="313" customWidth="1"/>
    <col min="8198" max="8198" width="47.7109375" style="313" customWidth="1"/>
    <col min="8199" max="8199" width="19.28515625" style="313" customWidth="1"/>
    <col min="8200" max="8452" width="9.140625" style="313"/>
    <col min="8453" max="8453" width="7.140625" style="313" customWidth="1"/>
    <col min="8454" max="8454" width="47.7109375" style="313" customWidth="1"/>
    <col min="8455" max="8455" width="19.28515625" style="313" customWidth="1"/>
    <col min="8456" max="8708" width="9.140625" style="313"/>
    <col min="8709" max="8709" width="7.140625" style="313" customWidth="1"/>
    <col min="8710" max="8710" width="47.7109375" style="313" customWidth="1"/>
    <col min="8711" max="8711" width="19.28515625" style="313" customWidth="1"/>
    <col min="8712" max="8964" width="9.140625" style="313"/>
    <col min="8965" max="8965" width="7.140625" style="313" customWidth="1"/>
    <col min="8966" max="8966" width="47.7109375" style="313" customWidth="1"/>
    <col min="8967" max="8967" width="19.28515625" style="313" customWidth="1"/>
    <col min="8968" max="9220" width="9.140625" style="313"/>
    <col min="9221" max="9221" width="7.140625" style="313" customWidth="1"/>
    <col min="9222" max="9222" width="47.7109375" style="313" customWidth="1"/>
    <col min="9223" max="9223" width="19.28515625" style="313" customWidth="1"/>
    <col min="9224" max="9476" width="9.140625" style="313"/>
    <col min="9477" max="9477" width="7.140625" style="313" customWidth="1"/>
    <col min="9478" max="9478" width="47.7109375" style="313" customWidth="1"/>
    <col min="9479" max="9479" width="19.28515625" style="313" customWidth="1"/>
    <col min="9480" max="9732" width="9.140625" style="313"/>
    <col min="9733" max="9733" width="7.140625" style="313" customWidth="1"/>
    <col min="9734" max="9734" width="47.7109375" style="313" customWidth="1"/>
    <col min="9735" max="9735" width="19.28515625" style="313" customWidth="1"/>
    <col min="9736" max="9988" width="9.140625" style="313"/>
    <col min="9989" max="9989" width="7.140625" style="313" customWidth="1"/>
    <col min="9990" max="9990" width="47.7109375" style="313" customWidth="1"/>
    <col min="9991" max="9991" width="19.28515625" style="313" customWidth="1"/>
    <col min="9992" max="10244" width="9.140625" style="313"/>
    <col min="10245" max="10245" width="7.140625" style="313" customWidth="1"/>
    <col min="10246" max="10246" width="47.7109375" style="313" customWidth="1"/>
    <col min="10247" max="10247" width="19.28515625" style="313" customWidth="1"/>
    <col min="10248" max="10500" width="9.140625" style="313"/>
    <col min="10501" max="10501" width="7.140625" style="313" customWidth="1"/>
    <col min="10502" max="10502" width="47.7109375" style="313" customWidth="1"/>
    <col min="10503" max="10503" width="19.28515625" style="313" customWidth="1"/>
    <col min="10504" max="10756" width="9.140625" style="313"/>
    <col min="10757" max="10757" width="7.140625" style="313" customWidth="1"/>
    <col min="10758" max="10758" width="47.7109375" style="313" customWidth="1"/>
    <col min="10759" max="10759" width="19.28515625" style="313" customWidth="1"/>
    <col min="10760" max="11012" width="9.140625" style="313"/>
    <col min="11013" max="11013" width="7.140625" style="313" customWidth="1"/>
    <col min="11014" max="11014" width="47.7109375" style="313" customWidth="1"/>
    <col min="11015" max="11015" width="19.28515625" style="313" customWidth="1"/>
    <col min="11016" max="11268" width="9.140625" style="313"/>
    <col min="11269" max="11269" width="7.140625" style="313" customWidth="1"/>
    <col min="11270" max="11270" width="47.7109375" style="313" customWidth="1"/>
    <col min="11271" max="11271" width="19.28515625" style="313" customWidth="1"/>
    <col min="11272" max="11524" width="9.140625" style="313"/>
    <col min="11525" max="11525" width="7.140625" style="313" customWidth="1"/>
    <col min="11526" max="11526" width="47.7109375" style="313" customWidth="1"/>
    <col min="11527" max="11527" width="19.28515625" style="313" customWidth="1"/>
    <col min="11528" max="11780" width="9.140625" style="313"/>
    <col min="11781" max="11781" width="7.140625" style="313" customWidth="1"/>
    <col min="11782" max="11782" width="47.7109375" style="313" customWidth="1"/>
    <col min="11783" max="11783" width="19.28515625" style="313" customWidth="1"/>
    <col min="11784" max="12036" width="9.140625" style="313"/>
    <col min="12037" max="12037" width="7.140625" style="313" customWidth="1"/>
    <col min="12038" max="12038" width="47.7109375" style="313" customWidth="1"/>
    <col min="12039" max="12039" width="19.28515625" style="313" customWidth="1"/>
    <col min="12040" max="12292" width="9.140625" style="313"/>
    <col min="12293" max="12293" width="7.140625" style="313" customWidth="1"/>
    <col min="12294" max="12294" width="47.7109375" style="313" customWidth="1"/>
    <col min="12295" max="12295" width="19.28515625" style="313" customWidth="1"/>
    <col min="12296" max="12548" width="9.140625" style="313"/>
    <col min="12549" max="12549" width="7.140625" style="313" customWidth="1"/>
    <col min="12550" max="12550" width="47.7109375" style="313" customWidth="1"/>
    <col min="12551" max="12551" width="19.28515625" style="313" customWidth="1"/>
    <col min="12552" max="12804" width="9.140625" style="313"/>
    <col min="12805" max="12805" width="7.140625" style="313" customWidth="1"/>
    <col min="12806" max="12806" width="47.7109375" style="313" customWidth="1"/>
    <col min="12807" max="12807" width="19.28515625" style="313" customWidth="1"/>
    <col min="12808" max="13060" width="9.140625" style="313"/>
    <col min="13061" max="13061" width="7.140625" style="313" customWidth="1"/>
    <col min="13062" max="13062" width="47.7109375" style="313" customWidth="1"/>
    <col min="13063" max="13063" width="19.28515625" style="313" customWidth="1"/>
    <col min="13064" max="13316" width="9.140625" style="313"/>
    <col min="13317" max="13317" width="7.140625" style="313" customWidth="1"/>
    <col min="13318" max="13318" width="47.7109375" style="313" customWidth="1"/>
    <col min="13319" max="13319" width="19.28515625" style="313" customWidth="1"/>
    <col min="13320" max="13572" width="9.140625" style="313"/>
    <col min="13573" max="13573" width="7.140625" style="313" customWidth="1"/>
    <col min="13574" max="13574" width="47.7109375" style="313" customWidth="1"/>
    <col min="13575" max="13575" width="19.28515625" style="313" customWidth="1"/>
    <col min="13576" max="13828" width="9.140625" style="313"/>
    <col min="13829" max="13829" width="7.140625" style="313" customWidth="1"/>
    <col min="13830" max="13830" width="47.7109375" style="313" customWidth="1"/>
    <col min="13831" max="13831" width="19.28515625" style="313" customWidth="1"/>
    <col min="13832" max="14084" width="9.140625" style="313"/>
    <col min="14085" max="14085" width="7.140625" style="313" customWidth="1"/>
    <col min="14086" max="14086" width="47.7109375" style="313" customWidth="1"/>
    <col min="14087" max="14087" width="19.28515625" style="313" customWidth="1"/>
    <col min="14088" max="14340" width="9.140625" style="313"/>
    <col min="14341" max="14341" width="7.140625" style="313" customWidth="1"/>
    <col min="14342" max="14342" width="47.7109375" style="313" customWidth="1"/>
    <col min="14343" max="14343" width="19.28515625" style="313" customWidth="1"/>
    <col min="14344" max="14596" width="9.140625" style="313"/>
    <col min="14597" max="14597" width="7.140625" style="313" customWidth="1"/>
    <col min="14598" max="14598" width="47.7109375" style="313" customWidth="1"/>
    <col min="14599" max="14599" width="19.28515625" style="313" customWidth="1"/>
    <col min="14600" max="14852" width="9.140625" style="313"/>
    <col min="14853" max="14853" width="7.140625" style="313" customWidth="1"/>
    <col min="14854" max="14854" width="47.7109375" style="313" customWidth="1"/>
    <col min="14855" max="14855" width="19.28515625" style="313" customWidth="1"/>
    <col min="14856" max="15108" width="9.140625" style="313"/>
    <col min="15109" max="15109" width="7.140625" style="313" customWidth="1"/>
    <col min="15110" max="15110" width="47.7109375" style="313" customWidth="1"/>
    <col min="15111" max="15111" width="19.28515625" style="313" customWidth="1"/>
    <col min="15112" max="15364" width="9.140625" style="313"/>
    <col min="15365" max="15365" width="7.140625" style="313" customWidth="1"/>
    <col min="15366" max="15366" width="47.7109375" style="313" customWidth="1"/>
    <col min="15367" max="15367" width="19.28515625" style="313" customWidth="1"/>
    <col min="15368" max="15620" width="9.140625" style="313"/>
    <col min="15621" max="15621" width="7.140625" style="313" customWidth="1"/>
    <col min="15622" max="15622" width="47.7109375" style="313" customWidth="1"/>
    <col min="15623" max="15623" width="19.28515625" style="313" customWidth="1"/>
    <col min="15624" max="15876" width="9.140625" style="313"/>
    <col min="15877" max="15877" width="7.140625" style="313" customWidth="1"/>
    <col min="15878" max="15878" width="47.7109375" style="313" customWidth="1"/>
    <col min="15879" max="15879" width="19.28515625" style="313" customWidth="1"/>
    <col min="15880" max="16132" width="9.140625" style="313"/>
    <col min="16133" max="16133" width="7.140625" style="313" customWidth="1"/>
    <col min="16134" max="16134" width="47.7109375" style="313" customWidth="1"/>
    <col min="16135" max="16135" width="19.28515625" style="313" customWidth="1"/>
    <col min="16136" max="16384" width="9.140625" style="313"/>
  </cols>
  <sheetData>
    <row r="1" spans="1:11" ht="18.75" customHeight="1">
      <c r="A1" s="1840" t="s">
        <v>2061</v>
      </c>
      <c r="B1" s="1840"/>
      <c r="C1" s="1840"/>
      <c r="D1" s="1840"/>
      <c r="G1" s="1472"/>
    </row>
    <row r="2" spans="1:11">
      <c r="A2" s="1841" t="s">
        <v>662</v>
      </c>
      <c r="B2" s="1841"/>
      <c r="C2" s="1841"/>
      <c r="D2" s="1841"/>
      <c r="E2" s="1473"/>
      <c r="F2" s="1473"/>
    </row>
    <row r="3" spans="1:11">
      <c r="A3" s="1474"/>
    </row>
    <row r="4" spans="1:11">
      <c r="A4" s="1841" t="str">
        <f>'TTDVNN V '!A4:G4</f>
        <v>DỰ TOÁN THU, CHI NGÂN SÁCH NHÀ NƯỚC NĂM 2025</v>
      </c>
      <c r="B4" s="1841"/>
      <c r="C4" s="1841"/>
      <c r="D4" s="1841"/>
      <c r="E4" s="1841"/>
      <c r="F4" s="1841"/>
      <c r="G4" s="1841"/>
    </row>
    <row r="5" spans="1:11">
      <c r="A5" s="1841" t="s">
        <v>2058</v>
      </c>
      <c r="B5" s="1841"/>
      <c r="C5" s="1841"/>
      <c r="D5" s="1841"/>
      <c r="E5" s="1841"/>
      <c r="F5" s="1841"/>
      <c r="G5" s="1841"/>
    </row>
    <row r="6" spans="1:11">
      <c r="A6" s="1841" t="s">
        <v>660</v>
      </c>
      <c r="B6" s="1841"/>
      <c r="C6" s="1841"/>
      <c r="D6" s="1841"/>
      <c r="E6" s="1841"/>
      <c r="F6" s="1841"/>
      <c r="G6" s="1841"/>
    </row>
    <row r="7" spans="1:11">
      <c r="A7" s="1841" t="s">
        <v>17</v>
      </c>
      <c r="B7" s="1841"/>
      <c r="C7" s="1841"/>
      <c r="D7" s="1841"/>
      <c r="E7" s="1841"/>
      <c r="F7" s="1841"/>
      <c r="G7" s="1841"/>
    </row>
    <row r="8" spans="1:11">
      <c r="A8" s="1839"/>
      <c r="B8" s="1839"/>
      <c r="C8" s="1839"/>
      <c r="D8" s="1839"/>
      <c r="E8" s="1839"/>
      <c r="F8" s="1839"/>
      <c r="G8" s="1839"/>
    </row>
    <row r="9" spans="1:11">
      <c r="A9" s="1513"/>
      <c r="B9" s="1513"/>
      <c r="C9" s="1513"/>
      <c r="D9" s="1513"/>
      <c r="E9" s="1513"/>
      <c r="F9" s="1513"/>
      <c r="G9" s="1513"/>
    </row>
    <row r="10" spans="1:11">
      <c r="A10" s="319"/>
      <c r="B10" s="319"/>
      <c r="C10" s="319"/>
      <c r="D10" s="319"/>
      <c r="E10" s="319"/>
      <c r="F10" s="319"/>
      <c r="G10" s="1456" t="s">
        <v>43</v>
      </c>
      <c r="H10" s="319"/>
      <c r="I10" s="319"/>
    </row>
    <row r="11" spans="1:11" ht="117" customHeight="1">
      <c r="A11" s="1441" t="s">
        <v>0</v>
      </c>
      <c r="B11" s="1441" t="s">
        <v>1</v>
      </c>
      <c r="C11" s="1441" t="str">
        <f>'TTDVNN V '!C11</f>
        <v>Dự toán 
năm 2025</v>
      </c>
      <c r="D11" s="1441" t="s">
        <v>18</v>
      </c>
      <c r="E11" s="1441" t="str">
        <f>'TTDVNN V '!E11</f>
        <v>Thực hiện cải cách tiền lương từ nguồn tiết kiệm chi 10% của đơn vị</v>
      </c>
      <c r="F11" s="1441" t="s">
        <v>117</v>
      </c>
      <c r="G11" s="1441" t="s">
        <v>19</v>
      </c>
      <c r="H11" s="319"/>
      <c r="I11" s="319"/>
    </row>
    <row r="12" spans="1:11">
      <c r="A12" s="1358" t="s">
        <v>20</v>
      </c>
      <c r="B12" s="1358" t="s">
        <v>21</v>
      </c>
      <c r="C12" s="1358" t="s">
        <v>22</v>
      </c>
      <c r="D12" s="1358" t="s">
        <v>23</v>
      </c>
      <c r="E12" s="1358" t="str">
        <f>'TTDVNN V '!E12</f>
        <v>(5)</v>
      </c>
      <c r="F12" s="1358" t="str">
        <f>'TTDVNN V '!F12</f>
        <v>(6)=(3)-(4)+(5)</v>
      </c>
      <c r="G12" s="1358" t="s">
        <v>1287</v>
      </c>
      <c r="H12" s="319"/>
      <c r="I12" s="319"/>
    </row>
    <row r="13" spans="1:11" ht="37.5">
      <c r="A13" s="1441" t="s">
        <v>2</v>
      </c>
      <c r="B13" s="1359" t="s">
        <v>3</v>
      </c>
      <c r="C13" s="1360">
        <f>C14+C15</f>
        <v>0</v>
      </c>
      <c r="D13" s="1360"/>
      <c r="E13" s="1360"/>
      <c r="F13" s="1360"/>
      <c r="G13" s="318"/>
      <c r="H13" s="319"/>
      <c r="I13" s="319"/>
    </row>
    <row r="14" spans="1:11">
      <c r="A14" s="315">
        <v>1</v>
      </c>
      <c r="B14" s="316" t="s">
        <v>4</v>
      </c>
      <c r="C14" s="317"/>
      <c r="D14" s="317"/>
      <c r="E14" s="317"/>
      <c r="F14" s="317"/>
      <c r="G14" s="318"/>
      <c r="H14" s="319"/>
      <c r="I14" s="319"/>
    </row>
    <row r="15" spans="1:11">
      <c r="A15" s="315">
        <v>2</v>
      </c>
      <c r="B15" s="316" t="s">
        <v>7</v>
      </c>
      <c r="C15" s="317"/>
      <c r="D15" s="317"/>
      <c r="E15" s="317"/>
      <c r="F15" s="317"/>
      <c r="G15" s="318"/>
      <c r="H15" s="319"/>
      <c r="I15" s="319"/>
    </row>
    <row r="16" spans="1:11" ht="37.5">
      <c r="A16" s="1441" t="s">
        <v>12</v>
      </c>
      <c r="B16" s="1359" t="s">
        <v>84</v>
      </c>
      <c r="C16" s="1360">
        <f>C17</f>
        <v>2342541751.3333335</v>
      </c>
      <c r="D16" s="1360">
        <f>D17</f>
        <v>146454080</v>
      </c>
      <c r="E16" s="1360">
        <f>E17</f>
        <v>146454080</v>
      </c>
      <c r="F16" s="1360">
        <f>F17</f>
        <v>2342541751.3333335</v>
      </c>
      <c r="G16" s="318"/>
      <c r="H16" s="320">
        <f>C16+E16-D16</f>
        <v>2342541751.3333335</v>
      </c>
      <c r="I16" s="320">
        <f>H16-F16</f>
        <v>0</v>
      </c>
      <c r="K16" s="1482">
        <f>F16-'Văn hóa và TT V'!F16</f>
        <v>-80610248.666666508</v>
      </c>
    </row>
    <row r="17" spans="1:12">
      <c r="A17" s="1441"/>
      <c r="B17" s="1359" t="s">
        <v>121</v>
      </c>
      <c r="C17" s="1360">
        <f>C18+C22</f>
        <v>2342541751.3333335</v>
      </c>
      <c r="D17" s="1360">
        <f>D18+D22</f>
        <v>146454080</v>
      </c>
      <c r="E17" s="1360">
        <f>E18+E22</f>
        <v>146454080</v>
      </c>
      <c r="F17" s="1360">
        <f>F18+F22</f>
        <v>2342541751.3333335</v>
      </c>
      <c r="G17" s="318"/>
      <c r="H17" s="320">
        <f t="shared" ref="H17:H42" si="0">C17+E17-D17</f>
        <v>2342541751.3333335</v>
      </c>
      <c r="I17" s="320">
        <f t="shared" ref="I17:I42" si="1">H17-F17</f>
        <v>0</v>
      </c>
      <c r="K17" s="1482">
        <f>[15]TH!$L$9</f>
        <v>220085377.33333334</v>
      </c>
    </row>
    <row r="18" spans="1:12" s="1487" customFormat="1" ht="39">
      <c r="A18" s="1361">
        <v>1</v>
      </c>
      <c r="B18" s="1362" t="s">
        <v>9</v>
      </c>
      <c r="C18" s="1363">
        <f>SUM(C19:C21)</f>
        <v>804820951.33333337</v>
      </c>
      <c r="D18" s="1363">
        <f>SUM(D19:D21)</f>
        <v>10800000</v>
      </c>
      <c r="E18" s="1363">
        <f>SUM(E19:E21)</f>
        <v>146454080</v>
      </c>
      <c r="F18" s="1363">
        <f>SUM(F19:F21)</f>
        <v>940475031.33333337</v>
      </c>
      <c r="G18" s="1364"/>
      <c r="H18" s="320">
        <f t="shared" si="0"/>
        <v>940475031.33333337</v>
      </c>
      <c r="I18" s="320">
        <f t="shared" si="1"/>
        <v>0</v>
      </c>
      <c r="K18" s="1514">
        <f>F16-F44</f>
        <v>2288541751.3333335</v>
      </c>
    </row>
    <row r="19" spans="1:12" ht="37.5">
      <c r="A19" s="315" t="s">
        <v>5</v>
      </c>
      <c r="B19" s="316" t="s">
        <v>26</v>
      </c>
      <c r="C19" s="317">
        <f>'Dự toán Chi tiết 2025'!L755+[15]TH!$L$12-'Văn hóa và TT V_ điều chỉnh'!G19</f>
        <v>467391510</v>
      </c>
      <c r="D19" s="317"/>
      <c r="E19" s="317"/>
      <c r="F19" s="317">
        <f>C19-D19+E19</f>
        <v>467391510</v>
      </c>
      <c r="G19" s="318"/>
      <c r="H19" s="320">
        <f t="shared" si="0"/>
        <v>467391510</v>
      </c>
      <c r="I19" s="320">
        <f t="shared" si="1"/>
        <v>0</v>
      </c>
      <c r="K19" s="1515">
        <v>220085377</v>
      </c>
    </row>
    <row r="20" spans="1:12" ht="37.5">
      <c r="A20" s="315" t="s">
        <v>6</v>
      </c>
      <c r="B20" s="316" t="str">
        <f>'TTDVNN V '!B18</f>
        <v>Kinh phí thực hiện cải cách tiền lương</v>
      </c>
      <c r="C20" s="317">
        <f>'Dự toán Chi tiết 2025'!L757+[15]TH!$L$13-'Văn hóa và TT V_ điều chỉnh'!G20</f>
        <v>217888850</v>
      </c>
      <c r="D20" s="317"/>
      <c r="E20" s="317">
        <f>D16</f>
        <v>146454080</v>
      </c>
      <c r="F20" s="317">
        <f>C20-D20+E20</f>
        <v>364342930</v>
      </c>
      <c r="G20" s="318"/>
      <c r="H20" s="320">
        <f t="shared" si="0"/>
        <v>364342930</v>
      </c>
      <c r="I20" s="320">
        <f t="shared" si="1"/>
        <v>0</v>
      </c>
      <c r="K20" s="1516">
        <f>F16-'Văn hóa và TT V'!F16</f>
        <v>-80610248.666666508</v>
      </c>
      <c r="L20" s="313" t="s">
        <v>2121</v>
      </c>
    </row>
    <row r="21" spans="1:12" ht="37.5">
      <c r="A21" s="315" t="s">
        <v>157</v>
      </c>
      <c r="B21" s="316" t="str">
        <f>'Lao động TBXH V'!B20</f>
        <v>Kinh phí hoạt động theo định mức</v>
      </c>
      <c r="C21" s="317">
        <f>'Dự toán Chi tiết 2025'!L758+[15]TH!$L$14-'Văn hóa và TT V_ điều chỉnh'!G21</f>
        <v>119540591.33333333</v>
      </c>
      <c r="D21" s="317">
        <f>108000000*10%</f>
        <v>10800000</v>
      </c>
      <c r="E21" s="317"/>
      <c r="F21" s="317">
        <f>C21-D21+E21</f>
        <v>108740591.33333333</v>
      </c>
      <c r="G21" s="318"/>
      <c r="H21" s="320">
        <f t="shared" si="0"/>
        <v>108740591.33333333</v>
      </c>
      <c r="I21" s="320">
        <f t="shared" si="1"/>
        <v>0</v>
      </c>
    </row>
    <row r="22" spans="1:12" s="1487" customFormat="1" ht="39">
      <c r="A22" s="315">
        <v>2</v>
      </c>
      <c r="B22" s="1362" t="s">
        <v>10</v>
      </c>
      <c r="C22" s="1363">
        <f>SUM(C23:C27)+SUM(C30:C44)</f>
        <v>1537720800</v>
      </c>
      <c r="D22" s="1363">
        <f t="shared" ref="D22:F22" si="2">SUM(D23:D27)+SUM(D30:D44)</f>
        <v>135654080</v>
      </c>
      <c r="E22" s="1363">
        <f t="shared" si="2"/>
        <v>0</v>
      </c>
      <c r="F22" s="1363">
        <f t="shared" si="2"/>
        <v>1402066720</v>
      </c>
      <c r="G22" s="1364"/>
      <c r="H22" s="320">
        <f t="shared" si="0"/>
        <v>1402066720</v>
      </c>
      <c r="I22" s="320">
        <f t="shared" si="1"/>
        <v>0</v>
      </c>
      <c r="K22" s="1488">
        <f>F22-'Văn hóa và TT V'!F22</f>
        <v>-75633280</v>
      </c>
    </row>
    <row r="23" spans="1:12" s="1517" customFormat="1">
      <c r="A23" s="315" t="s">
        <v>8</v>
      </c>
      <c r="B23" s="316" t="s">
        <v>432</v>
      </c>
      <c r="C23" s="317">
        <f>'Dự toán Chi tiết 2025'!L760-'Văn hóa và TT V_ điều chỉnh'!G23</f>
        <v>33000000</v>
      </c>
      <c r="D23" s="317"/>
      <c r="E23" s="317"/>
      <c r="F23" s="317">
        <f>C23-D23</f>
        <v>33000000</v>
      </c>
      <c r="G23" s="318"/>
      <c r="H23" s="320">
        <f t="shared" si="0"/>
        <v>33000000</v>
      </c>
      <c r="I23" s="320">
        <f t="shared" si="1"/>
        <v>0</v>
      </c>
    </row>
    <row r="24" spans="1:12" s="1517" customFormat="1" ht="75">
      <c r="A24" s="315" t="s">
        <v>11</v>
      </c>
      <c r="B24" s="316" t="s">
        <v>1125</v>
      </c>
      <c r="C24" s="317">
        <f>'Dự toán Chi tiết 2025'!L761-'Văn hóa và TT V_ điều chỉnh'!G24</f>
        <v>31200000</v>
      </c>
      <c r="D24" s="317"/>
      <c r="E24" s="317"/>
      <c r="F24" s="317">
        <f t="shared" ref="F24:F42" si="3">C24-D24</f>
        <v>31200000</v>
      </c>
      <c r="G24" s="318"/>
      <c r="H24" s="320">
        <f t="shared" si="0"/>
        <v>31200000</v>
      </c>
      <c r="I24" s="320">
        <f t="shared" si="1"/>
        <v>0</v>
      </c>
    </row>
    <row r="25" spans="1:12" ht="37.5">
      <c r="A25" s="315" t="s">
        <v>13</v>
      </c>
      <c r="B25" s="316" t="s">
        <v>409</v>
      </c>
      <c r="C25" s="317">
        <f>'Dự toán Chi tiết 2025'!L762</f>
        <v>15000000</v>
      </c>
      <c r="D25" s="317"/>
      <c r="E25" s="317"/>
      <c r="F25" s="317">
        <f t="shared" si="3"/>
        <v>15000000</v>
      </c>
      <c r="G25" s="1493"/>
      <c r="H25" s="320">
        <f t="shared" si="0"/>
        <v>15000000</v>
      </c>
      <c r="I25" s="320">
        <f t="shared" si="1"/>
        <v>0</v>
      </c>
    </row>
    <row r="26" spans="1:12">
      <c r="A26" s="315" t="s">
        <v>28</v>
      </c>
      <c r="B26" s="316" t="s">
        <v>1435</v>
      </c>
      <c r="C26" s="317">
        <f>'Dự toán Chi tiết 2025'!L763+[15]TH!$L$18</f>
        <v>25480000</v>
      </c>
      <c r="D26" s="317"/>
      <c r="E26" s="317"/>
      <c r="F26" s="317">
        <f t="shared" si="3"/>
        <v>25480000</v>
      </c>
      <c r="G26" s="1493"/>
      <c r="H26" s="320"/>
      <c r="I26" s="320"/>
    </row>
    <row r="27" spans="1:12" ht="206.25">
      <c r="A27" s="315" t="s">
        <v>29</v>
      </c>
      <c r="B27" s="316" t="s">
        <v>1126</v>
      </c>
      <c r="C27" s="317">
        <f>'Dự toán Chi tiết 2025'!L764</f>
        <v>300000000</v>
      </c>
      <c r="D27" s="317">
        <f>D28+D29</f>
        <v>30000000</v>
      </c>
      <c r="E27" s="317"/>
      <c r="F27" s="317">
        <f>F28+F29</f>
        <v>270000000</v>
      </c>
      <c r="G27" s="1493"/>
      <c r="H27" s="320">
        <f t="shared" si="0"/>
        <v>270000000</v>
      </c>
      <c r="I27" s="320">
        <f t="shared" si="1"/>
        <v>0</v>
      </c>
    </row>
    <row r="28" spans="1:12" s="1518" customFormat="1" ht="150">
      <c r="A28" s="1393" t="s">
        <v>91</v>
      </c>
      <c r="B28" s="1394" t="s">
        <v>1127</v>
      </c>
      <c r="C28" s="1395">
        <f>'Dự toán Chi tiết 2025'!L765</f>
        <v>20000000</v>
      </c>
      <c r="D28" s="1395">
        <f t="shared" ref="D28:D42" si="4">C28*10%</f>
        <v>2000000</v>
      </c>
      <c r="E28" s="1395"/>
      <c r="F28" s="1395">
        <f t="shared" si="3"/>
        <v>18000000</v>
      </c>
      <c r="G28" s="1396"/>
      <c r="H28" s="320">
        <f t="shared" si="0"/>
        <v>18000000</v>
      </c>
      <c r="I28" s="320">
        <f t="shared" si="1"/>
        <v>0</v>
      </c>
    </row>
    <row r="29" spans="1:12" s="1518" customFormat="1" ht="93.75">
      <c r="A29" s="1393" t="s">
        <v>91</v>
      </c>
      <c r="B29" s="1394" t="s">
        <v>1128</v>
      </c>
      <c r="C29" s="1395">
        <f>'Dự toán Chi tiết 2025'!L766</f>
        <v>280000000</v>
      </c>
      <c r="D29" s="1395">
        <f t="shared" si="4"/>
        <v>28000000</v>
      </c>
      <c r="E29" s="1395"/>
      <c r="F29" s="1395">
        <f t="shared" si="3"/>
        <v>252000000</v>
      </c>
      <c r="G29" s="1519"/>
      <c r="H29" s="320">
        <f t="shared" si="0"/>
        <v>252000000</v>
      </c>
      <c r="I29" s="320">
        <f t="shared" si="1"/>
        <v>0</v>
      </c>
    </row>
    <row r="30" spans="1:12" ht="37.5" hidden="1">
      <c r="A30" s="315" t="s">
        <v>30</v>
      </c>
      <c r="B30" s="316" t="s">
        <v>437</v>
      </c>
      <c r="C30" s="317">
        <f>'Dự toán Chi tiết 2025'!M767</f>
        <v>0</v>
      </c>
      <c r="D30" s="317">
        <f t="shared" si="4"/>
        <v>0</v>
      </c>
      <c r="E30" s="317"/>
      <c r="F30" s="317">
        <f t="shared" si="3"/>
        <v>0</v>
      </c>
      <c r="G30" s="318"/>
      <c r="H30" s="320">
        <f t="shared" si="0"/>
        <v>0</v>
      </c>
      <c r="I30" s="320">
        <f t="shared" si="1"/>
        <v>0</v>
      </c>
    </row>
    <row r="31" spans="1:12" ht="37.5">
      <c r="A31" s="315" t="s">
        <v>30</v>
      </c>
      <c r="B31" s="316" t="s">
        <v>1130</v>
      </c>
      <c r="C31" s="317">
        <f>'Dự toán Chi tiết 2025'!L771-'Văn hóa và TT V_ điều chỉnh'!G31</f>
        <v>9000000</v>
      </c>
      <c r="D31" s="317">
        <f t="shared" si="4"/>
        <v>900000</v>
      </c>
      <c r="E31" s="317"/>
      <c r="F31" s="317">
        <f>C31-D31</f>
        <v>8100000</v>
      </c>
      <c r="G31" s="318"/>
      <c r="H31" s="320">
        <f t="shared" si="0"/>
        <v>8100000</v>
      </c>
      <c r="I31" s="320">
        <f t="shared" si="1"/>
        <v>0</v>
      </c>
    </row>
    <row r="32" spans="1:12" ht="37.5">
      <c r="A32" s="315" t="s">
        <v>31</v>
      </c>
      <c r="B32" s="316" t="s">
        <v>439</v>
      </c>
      <c r="C32" s="317">
        <f>'Dự toán Chi tiết 2025'!L772</f>
        <v>70000000</v>
      </c>
      <c r="D32" s="317">
        <f t="shared" si="4"/>
        <v>7000000</v>
      </c>
      <c r="E32" s="317"/>
      <c r="F32" s="317">
        <f t="shared" si="3"/>
        <v>63000000</v>
      </c>
      <c r="G32" s="318"/>
      <c r="H32" s="320">
        <f t="shared" si="0"/>
        <v>63000000</v>
      </c>
      <c r="I32" s="320">
        <f t="shared" si="1"/>
        <v>0</v>
      </c>
    </row>
    <row r="33" spans="1:9" ht="112.5">
      <c r="A33" s="315" t="s">
        <v>32</v>
      </c>
      <c r="B33" s="316" t="s">
        <v>1131</v>
      </c>
      <c r="C33" s="317">
        <f>'Dự toán Chi tiết 2025'!L773-'Văn hóa và TT V_ điều chỉnh'!G33</f>
        <v>142516000</v>
      </c>
      <c r="D33" s="317">
        <f t="shared" si="4"/>
        <v>14251600</v>
      </c>
      <c r="E33" s="317"/>
      <c r="F33" s="317">
        <f t="shared" si="3"/>
        <v>128264400</v>
      </c>
      <c r="G33" s="317"/>
      <c r="H33" s="320">
        <f t="shared" si="0"/>
        <v>128264400</v>
      </c>
      <c r="I33" s="320">
        <f t="shared" si="1"/>
        <v>0</v>
      </c>
    </row>
    <row r="34" spans="1:9" ht="37.5">
      <c r="A34" s="315" t="s">
        <v>38</v>
      </c>
      <c r="B34" s="316" t="s">
        <v>441</v>
      </c>
      <c r="C34" s="317">
        <f>'Dự toán Chi tiết 2025'!L775-'Văn hóa và TT V_ điều chỉnh'!G34</f>
        <v>5024800</v>
      </c>
      <c r="D34" s="317">
        <f t="shared" si="4"/>
        <v>502480</v>
      </c>
      <c r="E34" s="317"/>
      <c r="F34" s="317">
        <f t="shared" si="3"/>
        <v>4522320</v>
      </c>
      <c r="G34" s="318"/>
      <c r="H34" s="320">
        <f t="shared" si="0"/>
        <v>4522320</v>
      </c>
      <c r="I34" s="320">
        <f t="shared" si="1"/>
        <v>0</v>
      </c>
    </row>
    <row r="35" spans="1:9" ht="37.5">
      <c r="A35" s="315" t="s">
        <v>39</v>
      </c>
      <c r="B35" s="316" t="str">
        <f>'Dự toán Chi tiết 2025'!B779</f>
        <v>Kinh phí thực hiện công tác du lịch</v>
      </c>
      <c r="C35" s="317">
        <f>'Dự toán Chi tiết 2025'!L779</f>
        <v>40000000</v>
      </c>
      <c r="D35" s="317">
        <f t="shared" si="4"/>
        <v>4000000</v>
      </c>
      <c r="E35" s="317"/>
      <c r="F35" s="317">
        <f t="shared" si="3"/>
        <v>36000000</v>
      </c>
      <c r="G35" s="318"/>
      <c r="H35" s="320"/>
      <c r="I35" s="320"/>
    </row>
    <row r="36" spans="1:9" ht="56.25">
      <c r="A36" s="315" t="s">
        <v>40</v>
      </c>
      <c r="B36" s="316" t="s">
        <v>443</v>
      </c>
      <c r="C36" s="317">
        <f>'Dự toán Chi tiết 2025'!L777</f>
        <v>50000000</v>
      </c>
      <c r="D36" s="317">
        <f t="shared" si="4"/>
        <v>5000000</v>
      </c>
      <c r="E36" s="317"/>
      <c r="F36" s="317">
        <f t="shared" si="3"/>
        <v>45000000</v>
      </c>
      <c r="G36" s="318"/>
      <c r="H36" s="320">
        <f t="shared" si="0"/>
        <v>45000000</v>
      </c>
      <c r="I36" s="320">
        <f t="shared" si="1"/>
        <v>0</v>
      </c>
    </row>
    <row r="37" spans="1:9" ht="37.5">
      <c r="A37" s="315" t="s">
        <v>41</v>
      </c>
      <c r="B37" s="316" t="s">
        <v>444</v>
      </c>
      <c r="C37" s="317">
        <f>'Dự toán Chi tiết 2025'!L778</f>
        <v>120000000</v>
      </c>
      <c r="D37" s="317">
        <f t="shared" si="4"/>
        <v>12000000</v>
      </c>
      <c r="E37" s="317"/>
      <c r="F37" s="317">
        <f t="shared" si="3"/>
        <v>108000000</v>
      </c>
      <c r="G37" s="318"/>
      <c r="H37" s="320">
        <f t="shared" si="0"/>
        <v>108000000</v>
      </c>
      <c r="I37" s="320">
        <f t="shared" si="1"/>
        <v>0</v>
      </c>
    </row>
    <row r="38" spans="1:9" ht="75">
      <c r="A38" s="315" t="s">
        <v>714</v>
      </c>
      <c r="B38" s="316" t="s">
        <v>1361</v>
      </c>
      <c r="C38" s="317">
        <f>'Dự toán Chi tiết 2025'!L767</f>
        <v>180000000</v>
      </c>
      <c r="D38" s="317">
        <f t="shared" si="4"/>
        <v>18000000</v>
      </c>
      <c r="E38" s="317"/>
      <c r="F38" s="317">
        <f t="shared" si="3"/>
        <v>162000000</v>
      </c>
      <c r="G38" s="318"/>
      <c r="H38" s="320">
        <f t="shared" si="0"/>
        <v>162000000</v>
      </c>
      <c r="I38" s="320">
        <f t="shared" si="1"/>
        <v>0</v>
      </c>
    </row>
    <row r="39" spans="1:9" ht="93.75">
      <c r="A39" s="315" t="s">
        <v>715</v>
      </c>
      <c r="B39" s="316" t="s">
        <v>1360</v>
      </c>
      <c r="C39" s="317">
        <f>'Dự toán Chi tiết 2025'!L782</f>
        <v>220000000</v>
      </c>
      <c r="D39" s="317">
        <f t="shared" si="4"/>
        <v>22000000</v>
      </c>
      <c r="E39" s="317"/>
      <c r="F39" s="317">
        <f t="shared" si="3"/>
        <v>198000000</v>
      </c>
      <c r="G39" s="318"/>
      <c r="H39" s="320">
        <f t="shared" si="0"/>
        <v>198000000</v>
      </c>
      <c r="I39" s="320">
        <f t="shared" si="1"/>
        <v>0</v>
      </c>
    </row>
    <row r="40" spans="1:9">
      <c r="A40" s="315" t="s">
        <v>716</v>
      </c>
      <c r="B40" s="1493" t="str">
        <f>'Kinh tế V'!B32</f>
        <v>Chi hoạt đồng đánh giá sáng kiến</v>
      </c>
      <c r="C40" s="317">
        <f>'Kinh tế V_điều chỉnh'!H32</f>
        <v>22500000</v>
      </c>
      <c r="D40" s="317"/>
      <c r="E40" s="317"/>
      <c r="F40" s="317">
        <f t="shared" si="3"/>
        <v>22500000</v>
      </c>
      <c r="G40" s="318"/>
      <c r="H40" s="320"/>
      <c r="I40" s="320"/>
    </row>
    <row r="41" spans="1:9" ht="37.5">
      <c r="A41" s="315" t="s">
        <v>717</v>
      </c>
      <c r="B41" s="316" t="s">
        <v>1354</v>
      </c>
      <c r="C41" s="317">
        <f>'Dự toán Chi tiết 2025'!L783</f>
        <v>220000000</v>
      </c>
      <c r="D41" s="317">
        <f t="shared" si="4"/>
        <v>22000000</v>
      </c>
      <c r="E41" s="317"/>
      <c r="F41" s="317">
        <f t="shared" si="3"/>
        <v>198000000</v>
      </c>
      <c r="G41" s="318"/>
      <c r="H41" s="320">
        <f t="shared" si="0"/>
        <v>198000000</v>
      </c>
      <c r="I41" s="320">
        <f t="shared" si="1"/>
        <v>0</v>
      </c>
    </row>
    <row r="42" spans="1:9" ht="37.5" hidden="1">
      <c r="A42" s="315" t="s">
        <v>1525</v>
      </c>
      <c r="B42" s="316" t="s">
        <v>1133</v>
      </c>
      <c r="C42" s="317">
        <v>0</v>
      </c>
      <c r="D42" s="317">
        <f t="shared" si="4"/>
        <v>0</v>
      </c>
      <c r="E42" s="317"/>
      <c r="F42" s="317">
        <f t="shared" si="3"/>
        <v>0</v>
      </c>
      <c r="G42" s="318"/>
      <c r="H42" s="320">
        <f t="shared" si="0"/>
        <v>0</v>
      </c>
      <c r="I42" s="320">
        <f t="shared" si="1"/>
        <v>0</v>
      </c>
    </row>
    <row r="43" spans="1:9">
      <c r="B43" s="484" t="s">
        <v>2008</v>
      </c>
    </row>
    <row r="44" spans="1:9">
      <c r="A44" s="315" t="s">
        <v>1525</v>
      </c>
      <c r="B44" s="1493" t="str">
        <f>'Kinh tế V'!B38</f>
        <v>Công nghệ (338)</v>
      </c>
      <c r="C44" s="317">
        <f>'Kinh tế V_điều chỉnh'!H38</f>
        <v>54000000</v>
      </c>
      <c r="D44" s="317"/>
      <c r="E44" s="317"/>
      <c r="F44" s="317">
        <f>C44-D44</f>
        <v>54000000</v>
      </c>
      <c r="G44" s="318"/>
      <c r="H44" s="320"/>
      <c r="I44" s="320"/>
    </row>
  </sheetData>
  <mergeCells count="7">
    <mergeCell ref="A8:G8"/>
    <mergeCell ref="A1:D1"/>
    <mergeCell ref="A2:D2"/>
    <mergeCell ref="A4:G4"/>
    <mergeCell ref="A5:G5"/>
    <mergeCell ref="A6:G6"/>
    <mergeCell ref="A7:G7"/>
  </mergeCells>
  <pageMargins left="0.55118110236220474" right="0.51181102362204722" top="0.59055118110236227" bottom="0.74803149606299213" header="0.31496062992125984" footer="0.31496062992125984"/>
  <pageSetup paperSize="9" scale="62" fitToHeight="0" orientation="portrait" verticalDpi="0" r:id="rId1"/>
  <headerFooter>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41"/>
  <sheetViews>
    <sheetView topLeftCell="A22" zoomScale="85" zoomScaleNormal="85" workbookViewId="0">
      <selection activeCell="F16" sqref="F16"/>
    </sheetView>
  </sheetViews>
  <sheetFormatPr defaultRowHeight="18.75"/>
  <cols>
    <col min="1" max="1" width="7.140625" style="2" customWidth="1"/>
    <col min="2" max="2" width="38.5703125" style="2" customWidth="1"/>
    <col min="3" max="3" width="19.28515625" style="2" customWidth="1"/>
    <col min="4" max="5" width="21.140625" style="2" customWidth="1"/>
    <col min="6" max="7" width="19.42578125" style="2" customWidth="1"/>
    <col min="8" max="8" width="20" style="2" customWidth="1"/>
    <col min="9" max="9" width="18" style="2" hidden="1" customWidth="1"/>
    <col min="10" max="11" width="0" style="2" hidden="1" customWidth="1"/>
    <col min="12" max="12" width="18" style="2" bestFit="1" customWidth="1"/>
    <col min="13" max="261" width="9.140625" style="2"/>
    <col min="262" max="262" width="7.140625" style="2" customWidth="1"/>
    <col min="263" max="263" width="47.7109375" style="2" customWidth="1"/>
    <col min="264" max="264" width="19.28515625" style="2" customWidth="1"/>
    <col min="265" max="517" width="9.140625" style="2"/>
    <col min="518" max="518" width="7.140625" style="2" customWidth="1"/>
    <col min="519" max="519" width="47.7109375" style="2" customWidth="1"/>
    <col min="520" max="520" width="19.28515625" style="2" customWidth="1"/>
    <col min="521" max="773" width="9.140625" style="2"/>
    <col min="774" max="774" width="7.140625" style="2" customWidth="1"/>
    <col min="775" max="775" width="47.7109375" style="2" customWidth="1"/>
    <col min="776" max="776" width="19.28515625" style="2" customWidth="1"/>
    <col min="777" max="1029" width="9.140625" style="2"/>
    <col min="1030" max="1030" width="7.140625" style="2" customWidth="1"/>
    <col min="1031" max="1031" width="47.7109375" style="2" customWidth="1"/>
    <col min="1032" max="1032" width="19.28515625" style="2" customWidth="1"/>
    <col min="1033" max="1285" width="9.140625" style="2"/>
    <col min="1286" max="1286" width="7.140625" style="2" customWidth="1"/>
    <col min="1287" max="1287" width="47.7109375" style="2" customWidth="1"/>
    <col min="1288" max="1288" width="19.28515625" style="2" customWidth="1"/>
    <col min="1289" max="1541" width="9.140625" style="2"/>
    <col min="1542" max="1542" width="7.140625" style="2" customWidth="1"/>
    <col min="1543" max="1543" width="47.7109375" style="2" customWidth="1"/>
    <col min="1544" max="1544" width="19.28515625" style="2" customWidth="1"/>
    <col min="1545" max="1797" width="9.140625" style="2"/>
    <col min="1798" max="1798" width="7.140625" style="2" customWidth="1"/>
    <col min="1799" max="1799" width="47.7109375" style="2" customWidth="1"/>
    <col min="1800" max="1800" width="19.28515625" style="2" customWidth="1"/>
    <col min="1801" max="2053" width="9.140625" style="2"/>
    <col min="2054" max="2054" width="7.140625" style="2" customWidth="1"/>
    <col min="2055" max="2055" width="47.7109375" style="2" customWidth="1"/>
    <col min="2056" max="2056" width="19.28515625" style="2" customWidth="1"/>
    <col min="2057" max="2309" width="9.140625" style="2"/>
    <col min="2310" max="2310" width="7.140625" style="2" customWidth="1"/>
    <col min="2311" max="2311" width="47.7109375" style="2" customWidth="1"/>
    <col min="2312" max="2312" width="19.28515625" style="2" customWidth="1"/>
    <col min="2313" max="2565" width="9.140625" style="2"/>
    <col min="2566" max="2566" width="7.140625" style="2" customWidth="1"/>
    <col min="2567" max="2567" width="47.7109375" style="2" customWidth="1"/>
    <col min="2568" max="2568" width="19.28515625" style="2" customWidth="1"/>
    <col min="2569" max="2821" width="9.140625" style="2"/>
    <col min="2822" max="2822" width="7.140625" style="2" customWidth="1"/>
    <col min="2823" max="2823" width="47.7109375" style="2" customWidth="1"/>
    <col min="2824" max="2824" width="19.28515625" style="2" customWidth="1"/>
    <col min="2825" max="3077" width="9.140625" style="2"/>
    <col min="3078" max="3078" width="7.140625" style="2" customWidth="1"/>
    <col min="3079" max="3079" width="47.7109375" style="2" customWidth="1"/>
    <col min="3080" max="3080" width="19.28515625" style="2" customWidth="1"/>
    <col min="3081" max="3333" width="9.140625" style="2"/>
    <col min="3334" max="3334" width="7.140625" style="2" customWidth="1"/>
    <col min="3335" max="3335" width="47.7109375" style="2" customWidth="1"/>
    <col min="3336" max="3336" width="19.28515625" style="2" customWidth="1"/>
    <col min="3337" max="3589" width="9.140625" style="2"/>
    <col min="3590" max="3590" width="7.140625" style="2" customWidth="1"/>
    <col min="3591" max="3591" width="47.7109375" style="2" customWidth="1"/>
    <col min="3592" max="3592" width="19.28515625" style="2" customWidth="1"/>
    <col min="3593" max="3845" width="9.140625" style="2"/>
    <col min="3846" max="3846" width="7.140625" style="2" customWidth="1"/>
    <col min="3847" max="3847" width="47.7109375" style="2" customWidth="1"/>
    <col min="3848" max="3848" width="19.28515625" style="2" customWidth="1"/>
    <col min="3849" max="4101" width="9.140625" style="2"/>
    <col min="4102" max="4102" width="7.140625" style="2" customWidth="1"/>
    <col min="4103" max="4103" width="47.7109375" style="2" customWidth="1"/>
    <col min="4104" max="4104" width="19.28515625" style="2" customWidth="1"/>
    <col min="4105" max="4357" width="9.140625" style="2"/>
    <col min="4358" max="4358" width="7.140625" style="2" customWidth="1"/>
    <col min="4359" max="4359" width="47.7109375" style="2" customWidth="1"/>
    <col min="4360" max="4360" width="19.28515625" style="2" customWidth="1"/>
    <col min="4361" max="4613" width="9.140625" style="2"/>
    <col min="4614" max="4614" width="7.140625" style="2" customWidth="1"/>
    <col min="4615" max="4615" width="47.7109375" style="2" customWidth="1"/>
    <col min="4616" max="4616" width="19.28515625" style="2" customWidth="1"/>
    <col min="4617" max="4869" width="9.140625" style="2"/>
    <col min="4870" max="4870" width="7.140625" style="2" customWidth="1"/>
    <col min="4871" max="4871" width="47.7109375" style="2" customWidth="1"/>
    <col min="4872" max="4872" width="19.28515625" style="2" customWidth="1"/>
    <col min="4873" max="5125" width="9.140625" style="2"/>
    <col min="5126" max="5126" width="7.140625" style="2" customWidth="1"/>
    <col min="5127" max="5127" width="47.7109375" style="2" customWidth="1"/>
    <col min="5128" max="5128" width="19.28515625" style="2" customWidth="1"/>
    <col min="5129" max="5381" width="9.140625" style="2"/>
    <col min="5382" max="5382" width="7.140625" style="2" customWidth="1"/>
    <col min="5383" max="5383" width="47.7109375" style="2" customWidth="1"/>
    <col min="5384" max="5384" width="19.28515625" style="2" customWidth="1"/>
    <col min="5385" max="5637" width="9.140625" style="2"/>
    <col min="5638" max="5638" width="7.140625" style="2" customWidth="1"/>
    <col min="5639" max="5639" width="47.7109375" style="2" customWidth="1"/>
    <col min="5640" max="5640" width="19.28515625" style="2" customWidth="1"/>
    <col min="5641" max="5893" width="9.140625" style="2"/>
    <col min="5894" max="5894" width="7.140625" style="2" customWidth="1"/>
    <col min="5895" max="5895" width="47.7109375" style="2" customWidth="1"/>
    <col min="5896" max="5896" width="19.28515625" style="2" customWidth="1"/>
    <col min="5897" max="6149" width="9.140625" style="2"/>
    <col min="6150" max="6150" width="7.140625" style="2" customWidth="1"/>
    <col min="6151" max="6151" width="47.7109375" style="2" customWidth="1"/>
    <col min="6152" max="6152" width="19.28515625" style="2" customWidth="1"/>
    <col min="6153" max="6405" width="9.140625" style="2"/>
    <col min="6406" max="6406" width="7.140625" style="2" customWidth="1"/>
    <col min="6407" max="6407" width="47.7109375" style="2" customWidth="1"/>
    <col min="6408" max="6408" width="19.28515625" style="2" customWidth="1"/>
    <col min="6409" max="6661" width="9.140625" style="2"/>
    <col min="6662" max="6662" width="7.140625" style="2" customWidth="1"/>
    <col min="6663" max="6663" width="47.7109375" style="2" customWidth="1"/>
    <col min="6664" max="6664" width="19.28515625" style="2" customWidth="1"/>
    <col min="6665" max="6917" width="9.140625" style="2"/>
    <col min="6918" max="6918" width="7.140625" style="2" customWidth="1"/>
    <col min="6919" max="6919" width="47.7109375" style="2" customWidth="1"/>
    <col min="6920" max="6920" width="19.28515625" style="2" customWidth="1"/>
    <col min="6921" max="7173" width="9.140625" style="2"/>
    <col min="7174" max="7174" width="7.140625" style="2" customWidth="1"/>
    <col min="7175" max="7175" width="47.7109375" style="2" customWidth="1"/>
    <col min="7176" max="7176" width="19.28515625" style="2" customWidth="1"/>
    <col min="7177" max="7429" width="9.140625" style="2"/>
    <col min="7430" max="7430" width="7.140625" style="2" customWidth="1"/>
    <col min="7431" max="7431" width="47.7109375" style="2" customWidth="1"/>
    <col min="7432" max="7432" width="19.28515625" style="2" customWidth="1"/>
    <col min="7433" max="7685" width="9.140625" style="2"/>
    <col min="7686" max="7686" width="7.140625" style="2" customWidth="1"/>
    <col min="7687" max="7687" width="47.7109375" style="2" customWidth="1"/>
    <col min="7688" max="7688" width="19.28515625" style="2" customWidth="1"/>
    <col min="7689" max="7941" width="9.140625" style="2"/>
    <col min="7942" max="7942" width="7.140625" style="2" customWidth="1"/>
    <col min="7943" max="7943" width="47.7109375" style="2" customWidth="1"/>
    <col min="7944" max="7944" width="19.28515625" style="2" customWidth="1"/>
    <col min="7945" max="8197" width="9.140625" style="2"/>
    <col min="8198" max="8198" width="7.140625" style="2" customWidth="1"/>
    <col min="8199" max="8199" width="47.7109375" style="2" customWidth="1"/>
    <col min="8200" max="8200" width="19.28515625" style="2" customWidth="1"/>
    <col min="8201" max="8453" width="9.140625" style="2"/>
    <col min="8454" max="8454" width="7.140625" style="2" customWidth="1"/>
    <col min="8455" max="8455" width="47.7109375" style="2" customWidth="1"/>
    <col min="8456" max="8456" width="19.28515625" style="2" customWidth="1"/>
    <col min="8457" max="8709" width="9.140625" style="2"/>
    <col min="8710" max="8710" width="7.140625" style="2" customWidth="1"/>
    <col min="8711" max="8711" width="47.7109375" style="2" customWidth="1"/>
    <col min="8712" max="8712" width="19.28515625" style="2" customWidth="1"/>
    <col min="8713" max="8965" width="9.140625" style="2"/>
    <col min="8966" max="8966" width="7.140625" style="2" customWidth="1"/>
    <col min="8967" max="8967" width="47.7109375" style="2" customWidth="1"/>
    <col min="8968" max="8968" width="19.28515625" style="2" customWidth="1"/>
    <col min="8969" max="9221" width="9.140625" style="2"/>
    <col min="9222" max="9222" width="7.140625" style="2" customWidth="1"/>
    <col min="9223" max="9223" width="47.7109375" style="2" customWidth="1"/>
    <col min="9224" max="9224" width="19.28515625" style="2" customWidth="1"/>
    <col min="9225" max="9477" width="9.140625" style="2"/>
    <col min="9478" max="9478" width="7.140625" style="2" customWidth="1"/>
    <col min="9479" max="9479" width="47.7109375" style="2" customWidth="1"/>
    <col min="9480" max="9480" width="19.28515625" style="2" customWidth="1"/>
    <col min="9481" max="9733" width="9.140625" style="2"/>
    <col min="9734" max="9734" width="7.140625" style="2" customWidth="1"/>
    <col min="9735" max="9735" width="47.7109375" style="2" customWidth="1"/>
    <col min="9736" max="9736" width="19.28515625" style="2" customWidth="1"/>
    <col min="9737" max="9989" width="9.140625" style="2"/>
    <col min="9990" max="9990" width="7.140625" style="2" customWidth="1"/>
    <col min="9991" max="9991" width="47.7109375" style="2" customWidth="1"/>
    <col min="9992" max="9992" width="19.28515625" style="2" customWidth="1"/>
    <col min="9993" max="10245" width="9.140625" style="2"/>
    <col min="10246" max="10246" width="7.140625" style="2" customWidth="1"/>
    <col min="10247" max="10247" width="47.7109375" style="2" customWidth="1"/>
    <col min="10248" max="10248" width="19.28515625" style="2" customWidth="1"/>
    <col min="10249" max="10501" width="9.140625" style="2"/>
    <col min="10502" max="10502" width="7.140625" style="2" customWidth="1"/>
    <col min="10503" max="10503" width="47.7109375" style="2" customWidth="1"/>
    <col min="10504" max="10504" width="19.28515625" style="2" customWidth="1"/>
    <col min="10505" max="10757" width="9.140625" style="2"/>
    <col min="10758" max="10758" width="7.140625" style="2" customWidth="1"/>
    <col min="10759" max="10759" width="47.7109375" style="2" customWidth="1"/>
    <col min="10760" max="10760" width="19.28515625" style="2" customWidth="1"/>
    <col min="10761" max="11013" width="9.140625" style="2"/>
    <col min="11014" max="11014" width="7.140625" style="2" customWidth="1"/>
    <col min="11015" max="11015" width="47.7109375" style="2" customWidth="1"/>
    <col min="11016" max="11016" width="19.28515625" style="2" customWidth="1"/>
    <col min="11017" max="11269" width="9.140625" style="2"/>
    <col min="11270" max="11270" width="7.140625" style="2" customWidth="1"/>
    <col min="11271" max="11271" width="47.7109375" style="2" customWidth="1"/>
    <col min="11272" max="11272" width="19.28515625" style="2" customWidth="1"/>
    <col min="11273" max="11525" width="9.140625" style="2"/>
    <col min="11526" max="11526" width="7.140625" style="2" customWidth="1"/>
    <col min="11527" max="11527" width="47.7109375" style="2" customWidth="1"/>
    <col min="11528" max="11528" width="19.28515625" style="2" customWidth="1"/>
    <col min="11529" max="11781" width="9.140625" style="2"/>
    <col min="11782" max="11782" width="7.140625" style="2" customWidth="1"/>
    <col min="11783" max="11783" width="47.7109375" style="2" customWidth="1"/>
    <col min="11784" max="11784" width="19.28515625" style="2" customWidth="1"/>
    <col min="11785" max="12037" width="9.140625" style="2"/>
    <col min="12038" max="12038" width="7.140625" style="2" customWidth="1"/>
    <col min="12039" max="12039" width="47.7109375" style="2" customWidth="1"/>
    <col min="12040" max="12040" width="19.28515625" style="2" customWidth="1"/>
    <col min="12041" max="12293" width="9.140625" style="2"/>
    <col min="12294" max="12294" width="7.140625" style="2" customWidth="1"/>
    <col min="12295" max="12295" width="47.7109375" style="2" customWidth="1"/>
    <col min="12296" max="12296" width="19.28515625" style="2" customWidth="1"/>
    <col min="12297" max="12549" width="9.140625" style="2"/>
    <col min="12550" max="12550" width="7.140625" style="2" customWidth="1"/>
    <col min="12551" max="12551" width="47.7109375" style="2" customWidth="1"/>
    <col min="12552" max="12552" width="19.28515625" style="2" customWidth="1"/>
    <col min="12553" max="12805" width="9.140625" style="2"/>
    <col min="12806" max="12806" width="7.140625" style="2" customWidth="1"/>
    <col min="12807" max="12807" width="47.7109375" style="2" customWidth="1"/>
    <col min="12808" max="12808" width="19.28515625" style="2" customWidth="1"/>
    <col min="12809" max="13061" width="9.140625" style="2"/>
    <col min="13062" max="13062" width="7.140625" style="2" customWidth="1"/>
    <col min="13063" max="13063" width="47.7109375" style="2" customWidth="1"/>
    <col min="13064" max="13064" width="19.28515625" style="2" customWidth="1"/>
    <col min="13065" max="13317" width="9.140625" style="2"/>
    <col min="13318" max="13318" width="7.140625" style="2" customWidth="1"/>
    <col min="13319" max="13319" width="47.7109375" style="2" customWidth="1"/>
    <col min="13320" max="13320" width="19.28515625" style="2" customWidth="1"/>
    <col min="13321" max="13573" width="9.140625" style="2"/>
    <col min="13574" max="13574" width="7.140625" style="2" customWidth="1"/>
    <col min="13575" max="13575" width="47.7109375" style="2" customWidth="1"/>
    <col min="13576" max="13576" width="19.28515625" style="2" customWidth="1"/>
    <col min="13577" max="13829" width="9.140625" style="2"/>
    <col min="13830" max="13830" width="7.140625" style="2" customWidth="1"/>
    <col min="13831" max="13831" width="47.7109375" style="2" customWidth="1"/>
    <col min="13832" max="13832" width="19.28515625" style="2" customWidth="1"/>
    <col min="13833" max="14085" width="9.140625" style="2"/>
    <col min="14086" max="14086" width="7.140625" style="2" customWidth="1"/>
    <col min="14087" max="14087" width="47.7109375" style="2" customWidth="1"/>
    <col min="14088" max="14088" width="19.28515625" style="2" customWidth="1"/>
    <col min="14089" max="14341" width="9.140625" style="2"/>
    <col min="14342" max="14342" width="7.140625" style="2" customWidth="1"/>
    <col min="14343" max="14343" width="47.7109375" style="2" customWidth="1"/>
    <col min="14344" max="14344" width="19.28515625" style="2" customWidth="1"/>
    <col min="14345" max="14597" width="9.140625" style="2"/>
    <col min="14598" max="14598" width="7.140625" style="2" customWidth="1"/>
    <col min="14599" max="14599" width="47.7109375" style="2" customWidth="1"/>
    <col min="14600" max="14600" width="19.28515625" style="2" customWidth="1"/>
    <col min="14601" max="14853" width="9.140625" style="2"/>
    <col min="14854" max="14854" width="7.140625" style="2" customWidth="1"/>
    <col min="14855" max="14855" width="47.7109375" style="2" customWidth="1"/>
    <col min="14856" max="14856" width="19.28515625" style="2" customWidth="1"/>
    <col min="14857" max="15109" width="9.140625" style="2"/>
    <col min="15110" max="15110" width="7.140625" style="2" customWidth="1"/>
    <col min="15111" max="15111" width="47.7109375" style="2" customWidth="1"/>
    <col min="15112" max="15112" width="19.28515625" style="2" customWidth="1"/>
    <col min="15113" max="15365" width="9.140625" style="2"/>
    <col min="15366" max="15366" width="7.140625" style="2" customWidth="1"/>
    <col min="15367" max="15367" width="47.7109375" style="2" customWidth="1"/>
    <col min="15368" max="15368" width="19.28515625" style="2" customWidth="1"/>
    <col min="15369" max="15621" width="9.140625" style="2"/>
    <col min="15622" max="15622" width="7.140625" style="2" customWidth="1"/>
    <col min="15623" max="15623" width="47.7109375" style="2" customWidth="1"/>
    <col min="15624" max="15624" width="19.28515625" style="2" customWidth="1"/>
    <col min="15625" max="15877" width="9.140625" style="2"/>
    <col min="15878" max="15878" width="7.140625" style="2" customWidth="1"/>
    <col min="15879" max="15879" width="47.7109375" style="2" customWidth="1"/>
    <col min="15880" max="15880" width="19.28515625" style="2" customWidth="1"/>
    <col min="15881" max="16133" width="9.140625" style="2"/>
    <col min="16134" max="16134" width="7.140625" style="2" customWidth="1"/>
    <col min="16135" max="16135" width="47.7109375" style="2" customWidth="1"/>
    <col min="16136" max="16136" width="19.28515625" style="2" customWidth="1"/>
    <col min="16137" max="16384" width="9.140625" style="2"/>
  </cols>
  <sheetData>
    <row r="1" spans="1:12">
      <c r="A1" s="1838" t="s">
        <v>659</v>
      </c>
      <c r="B1" s="1838"/>
      <c r="C1" s="1838"/>
      <c r="H1" s="3"/>
    </row>
    <row r="2" spans="1:12">
      <c r="A2" s="1798" t="s">
        <v>662</v>
      </c>
      <c r="B2" s="1798"/>
      <c r="C2" s="1798"/>
      <c r="D2" s="4"/>
      <c r="E2" s="4"/>
      <c r="F2" s="4"/>
      <c r="G2" s="4"/>
    </row>
    <row r="3" spans="1:12">
      <c r="A3" s="1842" t="s">
        <v>2063</v>
      </c>
      <c r="B3" s="1842"/>
      <c r="C3" s="1842"/>
      <c r="D3" s="1842"/>
      <c r="E3" s="1842"/>
      <c r="F3" s="1842"/>
      <c r="G3" s="1842"/>
      <c r="H3" s="1842"/>
    </row>
    <row r="4" spans="1:12" hidden="1">
      <c r="A4" s="1798" t="str">
        <f>'TTDVNN V '!A4:G4</f>
        <v>DỰ TOÁN THU, CHI NGÂN SÁCH NHÀ NƯỚC NĂM 2025</v>
      </c>
      <c r="B4" s="1798"/>
      <c r="C4" s="1798"/>
      <c r="D4" s="1798"/>
      <c r="E4" s="1798"/>
      <c r="F4" s="1798"/>
      <c r="G4" s="1798"/>
      <c r="H4" s="1798"/>
    </row>
    <row r="5" spans="1:12">
      <c r="A5" s="1798" t="s">
        <v>661</v>
      </c>
      <c r="B5" s="1798"/>
      <c r="C5" s="1798"/>
      <c r="D5" s="1798"/>
      <c r="E5" s="1798"/>
      <c r="F5" s="1798"/>
      <c r="G5" s="1798"/>
      <c r="H5" s="1798"/>
    </row>
    <row r="6" spans="1:12">
      <c r="A6" s="1798" t="s">
        <v>660</v>
      </c>
      <c r="B6" s="1798"/>
      <c r="C6" s="1798"/>
      <c r="D6" s="1798"/>
      <c r="E6" s="1798"/>
      <c r="F6" s="1798"/>
      <c r="G6" s="1798"/>
      <c r="H6" s="1798"/>
    </row>
    <row r="7" spans="1:12">
      <c r="A7" s="1798" t="s">
        <v>17</v>
      </c>
      <c r="B7" s="1798"/>
      <c r="C7" s="1798"/>
      <c r="D7" s="1798"/>
      <c r="E7" s="1798"/>
      <c r="F7" s="1798"/>
      <c r="G7" s="1798"/>
      <c r="H7" s="1798"/>
    </row>
    <row r="8" spans="1:12">
      <c r="A8" s="1799"/>
      <c r="B8" s="1799"/>
      <c r="C8" s="1799"/>
      <c r="D8" s="1799"/>
      <c r="E8" s="1799"/>
      <c r="F8" s="1799"/>
      <c r="G8" s="1799"/>
      <c r="H8" s="1799"/>
    </row>
    <row r="9" spans="1:12">
      <c r="A9" s="1638"/>
      <c r="B9" s="1638"/>
      <c r="C9" s="1638"/>
      <c r="D9" s="1638"/>
      <c r="E9" s="1638"/>
      <c r="F9" s="1638"/>
      <c r="G9" s="1638"/>
      <c r="H9" s="1638"/>
    </row>
    <row r="10" spans="1:12">
      <c r="A10" s="288"/>
      <c r="B10" s="288"/>
      <c r="C10" s="288"/>
      <c r="D10" s="288"/>
      <c r="E10" s="288"/>
      <c r="F10" s="288"/>
      <c r="G10" s="288"/>
      <c r="H10" s="289" t="s">
        <v>43</v>
      </c>
      <c r="I10" s="288"/>
      <c r="J10" s="288"/>
    </row>
    <row r="11" spans="1:12" ht="117" customHeight="1">
      <c r="A11" s="290" t="s">
        <v>0</v>
      </c>
      <c r="B11" s="290" t="s">
        <v>1</v>
      </c>
      <c r="C11" s="290" t="str">
        <f>'TTDVNN V '!C11</f>
        <v>Dự toán 
năm 2025</v>
      </c>
      <c r="D11" s="290" t="s">
        <v>18</v>
      </c>
      <c r="E11" s="290" t="str">
        <f>'TTDVNN V '!E11</f>
        <v>Thực hiện cải cách tiền lương từ nguồn tiết kiệm chi 10% của đơn vị</v>
      </c>
      <c r="F11" s="290" t="s">
        <v>117</v>
      </c>
      <c r="G11" s="290" t="s">
        <v>2056</v>
      </c>
      <c r="H11" s="290" t="s">
        <v>19</v>
      </c>
      <c r="I11" s="288"/>
      <c r="J11" s="288"/>
    </row>
    <row r="12" spans="1:12">
      <c r="A12" s="291" t="s">
        <v>20</v>
      </c>
      <c r="B12" s="291" t="s">
        <v>21</v>
      </c>
      <c r="C12" s="291" t="s">
        <v>22</v>
      </c>
      <c r="D12" s="291" t="s">
        <v>23</v>
      </c>
      <c r="E12" s="291" t="str">
        <f>'TTDVNN V '!E12</f>
        <v>(5)</v>
      </c>
      <c r="F12" s="291" t="str">
        <f>'TTDVNN V '!F12</f>
        <v>(6)=(3)-(4)+(5)</v>
      </c>
      <c r="G12" s="291" t="s">
        <v>25</v>
      </c>
      <c r="H12" s="291" t="s">
        <v>1287</v>
      </c>
      <c r="I12" s="288"/>
      <c r="J12" s="288"/>
    </row>
    <row r="13" spans="1:12" ht="37.5">
      <c r="A13" s="290" t="s">
        <v>2</v>
      </c>
      <c r="B13" s="292" t="s">
        <v>3</v>
      </c>
      <c r="C13" s="293">
        <f>C14+C15</f>
        <v>0</v>
      </c>
      <c r="D13" s="293"/>
      <c r="E13" s="293"/>
      <c r="F13" s="293"/>
      <c r="G13" s="293"/>
      <c r="H13" s="294"/>
      <c r="I13" s="288"/>
      <c r="J13" s="288"/>
    </row>
    <row r="14" spans="1:12">
      <c r="A14" s="295">
        <v>1</v>
      </c>
      <c r="B14" s="296" t="s">
        <v>4</v>
      </c>
      <c r="C14" s="297"/>
      <c r="D14" s="297"/>
      <c r="E14" s="297"/>
      <c r="F14" s="297"/>
      <c r="G14" s="297"/>
      <c r="H14" s="294"/>
      <c r="I14" s="288"/>
      <c r="J14" s="288"/>
    </row>
    <row r="15" spans="1:12">
      <c r="A15" s="295">
        <v>2</v>
      </c>
      <c r="B15" s="296" t="s">
        <v>7</v>
      </c>
      <c r="C15" s="297"/>
      <c r="D15" s="297"/>
      <c r="E15" s="297"/>
      <c r="F15" s="297"/>
      <c r="G15" s="297"/>
      <c r="H15" s="294"/>
      <c r="I15" s="288"/>
      <c r="J15" s="288"/>
    </row>
    <row r="16" spans="1:12" ht="37.5">
      <c r="A16" s="290" t="s">
        <v>12</v>
      </c>
      <c r="B16" s="292" t="s">
        <v>84</v>
      </c>
      <c r="C16" s="293">
        <f>C17</f>
        <v>2423152000</v>
      </c>
      <c r="D16" s="293">
        <f>D17</f>
        <v>162800000</v>
      </c>
      <c r="E16" s="293">
        <f>E17</f>
        <v>162800000</v>
      </c>
      <c r="F16" s="293">
        <f>F17</f>
        <v>2423152000</v>
      </c>
      <c r="G16" s="293">
        <f>G17</f>
        <v>300695626</v>
      </c>
      <c r="H16" s="294"/>
      <c r="I16" s="298">
        <f>C16+E16-D16</f>
        <v>2423152000</v>
      </c>
      <c r="J16" s="298">
        <f>I16-F16</f>
        <v>0</v>
      </c>
      <c r="L16" s="240">
        <f>F16-G16</f>
        <v>2122456374</v>
      </c>
    </row>
    <row r="17" spans="1:10">
      <c r="A17" s="290"/>
      <c r="B17" s="292" t="s">
        <v>121</v>
      </c>
      <c r="C17" s="293">
        <f>C18+C22</f>
        <v>2423152000</v>
      </c>
      <c r="D17" s="293">
        <f>D18+D22</f>
        <v>162800000</v>
      </c>
      <c r="E17" s="293">
        <f>E18+E22</f>
        <v>162800000</v>
      </c>
      <c r="F17" s="293">
        <f>F18+F22</f>
        <v>2423152000</v>
      </c>
      <c r="G17" s="293">
        <f>G18+G22</f>
        <v>300695626</v>
      </c>
      <c r="H17" s="294"/>
      <c r="I17" s="298">
        <f t="shared" ref="I17:I41" si="0">C17+E17-D17</f>
        <v>2423152000</v>
      </c>
      <c r="J17" s="298">
        <f t="shared" ref="J17:J41" si="1">I17-F17</f>
        <v>0</v>
      </c>
    </row>
    <row r="18" spans="1:10" s="16" customFormat="1" ht="39">
      <c r="A18" s="299">
        <v>1</v>
      </c>
      <c r="B18" s="300" t="s">
        <v>9</v>
      </c>
      <c r="C18" s="301">
        <f>SUM(C19:C21)</f>
        <v>793452000</v>
      </c>
      <c r="D18" s="301">
        <f>SUM(D19:D21)</f>
        <v>10800000</v>
      </c>
      <c r="E18" s="301">
        <f>SUM(E19:E21)</f>
        <v>162800000</v>
      </c>
      <c r="F18" s="301">
        <f>SUM(F19:F21)</f>
        <v>945452000</v>
      </c>
      <c r="G18" s="301">
        <f>SUM(G19:G21)</f>
        <v>131436426</v>
      </c>
      <c r="H18" s="302"/>
      <c r="I18" s="298">
        <f t="shared" si="0"/>
        <v>945452000</v>
      </c>
      <c r="J18" s="298">
        <f t="shared" si="1"/>
        <v>0</v>
      </c>
    </row>
    <row r="19" spans="1:10" ht="37.5">
      <c r="A19" s="295" t="s">
        <v>5</v>
      </c>
      <c r="B19" s="296" t="s">
        <v>26</v>
      </c>
      <c r="C19" s="297">
        <f>'Dự toán Chi tiết 2025'!L755</f>
        <v>476092000</v>
      </c>
      <c r="D19" s="297"/>
      <c r="E19" s="297"/>
      <c r="F19" s="297">
        <f>C19-D19+E19</f>
        <v>476092000</v>
      </c>
      <c r="G19" s="297">
        <f>'[17]Phong VHTT'!$G$17</f>
        <v>90138140</v>
      </c>
      <c r="H19" s="294"/>
      <c r="I19" s="298">
        <f t="shared" si="0"/>
        <v>476092000</v>
      </c>
      <c r="J19" s="298">
        <f t="shared" si="1"/>
        <v>0</v>
      </c>
    </row>
    <row r="20" spans="1:10" ht="37.5">
      <c r="A20" s="295" t="s">
        <v>6</v>
      </c>
      <c r="B20" s="296" t="str">
        <f>'TTDVNN V '!B18</f>
        <v>Kinh phí thực hiện cải cách tiền lương</v>
      </c>
      <c r="C20" s="297">
        <f>'Dự toán Chi tiết 2025'!L757</f>
        <v>209360000</v>
      </c>
      <c r="D20" s="297"/>
      <c r="E20" s="297">
        <f>D16</f>
        <v>162800000</v>
      </c>
      <c r="F20" s="297">
        <f>C20-D20+E20</f>
        <v>372160000</v>
      </c>
      <c r="G20" s="297">
        <f>'[17]Phong VHTT'!$G$18</f>
        <v>37358400</v>
      </c>
      <c r="H20" s="294"/>
      <c r="I20" s="298">
        <f t="shared" si="0"/>
        <v>372160000</v>
      </c>
      <c r="J20" s="298">
        <f t="shared" si="1"/>
        <v>0</v>
      </c>
    </row>
    <row r="21" spans="1:10" ht="37.5">
      <c r="A21" s="295" t="s">
        <v>157</v>
      </c>
      <c r="B21" s="296" t="str">
        <f>'Lao động TBXH V'!B20</f>
        <v>Kinh phí hoạt động theo định mức</v>
      </c>
      <c r="C21" s="297">
        <f>'Dự toán Chi tiết 2025'!L758</f>
        <v>108000000</v>
      </c>
      <c r="D21" s="297">
        <f>C21*10%</f>
        <v>10800000</v>
      </c>
      <c r="E21" s="297"/>
      <c r="F21" s="297">
        <f>C21-D21+E21</f>
        <v>97200000</v>
      </c>
      <c r="G21" s="297">
        <f>'[17]Phong VHTT'!$G$19</f>
        <v>3939886</v>
      </c>
      <c r="H21" s="294"/>
      <c r="I21" s="298">
        <f t="shared" si="0"/>
        <v>97200000</v>
      </c>
      <c r="J21" s="298">
        <f t="shared" si="1"/>
        <v>0</v>
      </c>
    </row>
    <row r="22" spans="1:10" s="16" customFormat="1" ht="39">
      <c r="A22" s="295">
        <v>2</v>
      </c>
      <c r="B22" s="300" t="s">
        <v>10</v>
      </c>
      <c r="C22" s="301">
        <f>SUM(C23:C27)+SUM(C30:C41)</f>
        <v>1629700000</v>
      </c>
      <c r="D22" s="301">
        <f>SUM(D23:D27)+SUM(D30:D41)</f>
        <v>152000000</v>
      </c>
      <c r="E22" s="301"/>
      <c r="F22" s="301">
        <f>SUM(F23:F27)+SUM(F30:F41)</f>
        <v>1477700000</v>
      </c>
      <c r="G22" s="301">
        <f>SUM(G23:G27)+SUM(G30:G41)</f>
        <v>169259200</v>
      </c>
      <c r="H22" s="302"/>
      <c r="I22" s="298">
        <f t="shared" si="0"/>
        <v>1477700000</v>
      </c>
      <c r="J22" s="298">
        <f t="shared" si="1"/>
        <v>0</v>
      </c>
    </row>
    <row r="23" spans="1:10" s="287" customFormat="1">
      <c r="A23" s="295" t="s">
        <v>8</v>
      </c>
      <c r="B23" s="303" t="s">
        <v>432</v>
      </c>
      <c r="C23" s="297">
        <f>'Dự toán Chi tiết 2025'!L760</f>
        <v>36000000</v>
      </c>
      <c r="D23" s="297"/>
      <c r="E23" s="297"/>
      <c r="F23" s="297">
        <f>C23-D23</f>
        <v>36000000</v>
      </c>
      <c r="G23" s="297">
        <f>'[17]Phong VHTT'!$G$21</f>
        <v>3000000</v>
      </c>
      <c r="H23" s="294"/>
      <c r="I23" s="298">
        <f t="shared" si="0"/>
        <v>36000000</v>
      </c>
      <c r="J23" s="298">
        <f t="shared" si="1"/>
        <v>0</v>
      </c>
    </row>
    <row r="24" spans="1:10" s="287" customFormat="1" ht="75">
      <c r="A24" s="295" t="s">
        <v>11</v>
      </c>
      <c r="B24" s="303" t="s">
        <v>1125</v>
      </c>
      <c r="C24" s="297">
        <f>'Dự toán Chi tiết 2025'!L761</f>
        <v>34000000</v>
      </c>
      <c r="D24" s="297"/>
      <c r="E24" s="297"/>
      <c r="F24" s="297">
        <f t="shared" ref="F24:F41" si="2">C24-D24</f>
        <v>34000000</v>
      </c>
      <c r="G24" s="297">
        <f>'[17]Phong VHTT'!$G$22</f>
        <v>2800000</v>
      </c>
      <c r="H24" s="294"/>
      <c r="I24" s="298">
        <f t="shared" si="0"/>
        <v>34000000</v>
      </c>
      <c r="J24" s="298">
        <f t="shared" si="1"/>
        <v>0</v>
      </c>
    </row>
    <row r="25" spans="1:10" ht="37.5">
      <c r="A25" s="295" t="s">
        <v>13</v>
      </c>
      <c r="B25" s="303" t="s">
        <v>409</v>
      </c>
      <c r="C25" s="297">
        <f>'Dự toán Chi tiết 2025'!L762</f>
        <v>15000000</v>
      </c>
      <c r="D25" s="297"/>
      <c r="E25" s="297"/>
      <c r="F25" s="297">
        <f t="shared" si="2"/>
        <v>15000000</v>
      </c>
      <c r="G25" s="297"/>
      <c r="H25" s="304"/>
      <c r="I25" s="298">
        <f t="shared" si="0"/>
        <v>15000000</v>
      </c>
      <c r="J25" s="298">
        <f t="shared" si="1"/>
        <v>0</v>
      </c>
    </row>
    <row r="26" spans="1:10">
      <c r="A26" s="295" t="s">
        <v>28</v>
      </c>
      <c r="B26" s="303" t="s">
        <v>1435</v>
      </c>
      <c r="C26" s="297">
        <f>'Dự toán Chi tiết 2025'!L763</f>
        <v>24700000</v>
      </c>
      <c r="D26" s="297"/>
      <c r="E26" s="297"/>
      <c r="F26" s="297">
        <f t="shared" si="2"/>
        <v>24700000</v>
      </c>
      <c r="G26" s="297"/>
      <c r="H26" s="304"/>
      <c r="I26" s="298"/>
      <c r="J26" s="298"/>
    </row>
    <row r="27" spans="1:10" ht="206.25">
      <c r="A27" s="295" t="s">
        <v>29</v>
      </c>
      <c r="B27" s="303" t="s">
        <v>1126</v>
      </c>
      <c r="C27" s="297">
        <f>'Dự toán Chi tiết 2025'!L764</f>
        <v>300000000</v>
      </c>
      <c r="D27" s="297">
        <f>D28+D29</f>
        <v>30000000</v>
      </c>
      <c r="E27" s="297"/>
      <c r="F27" s="297">
        <f>F28+F29</f>
        <v>270000000</v>
      </c>
      <c r="G27" s="297"/>
      <c r="H27" s="304"/>
      <c r="I27" s="298">
        <f t="shared" si="0"/>
        <v>270000000</v>
      </c>
      <c r="J27" s="298">
        <f t="shared" si="1"/>
        <v>0</v>
      </c>
    </row>
    <row r="28" spans="1:10" s="229" customFormat="1" ht="150">
      <c r="A28" s="305" t="s">
        <v>91</v>
      </c>
      <c r="B28" s="306" t="s">
        <v>1127</v>
      </c>
      <c r="C28" s="307">
        <f>'Dự toán Chi tiết 2025'!L765</f>
        <v>20000000</v>
      </c>
      <c r="D28" s="307">
        <f t="shared" ref="D28:D41" si="3">C28*10%</f>
        <v>2000000</v>
      </c>
      <c r="E28" s="307"/>
      <c r="F28" s="307">
        <f t="shared" si="2"/>
        <v>18000000</v>
      </c>
      <c r="G28" s="307"/>
      <c r="H28" s="308"/>
      <c r="I28" s="298">
        <f t="shared" si="0"/>
        <v>18000000</v>
      </c>
      <c r="J28" s="298">
        <f t="shared" si="1"/>
        <v>0</v>
      </c>
    </row>
    <row r="29" spans="1:10" s="229" customFormat="1" ht="93.75">
      <c r="A29" s="305" t="s">
        <v>91</v>
      </c>
      <c r="B29" s="306" t="s">
        <v>1128</v>
      </c>
      <c r="C29" s="307">
        <f>'Dự toán Chi tiết 2025'!L766</f>
        <v>280000000</v>
      </c>
      <c r="D29" s="307">
        <f t="shared" si="3"/>
        <v>28000000</v>
      </c>
      <c r="E29" s="307"/>
      <c r="F29" s="307">
        <f t="shared" si="2"/>
        <v>252000000</v>
      </c>
      <c r="G29" s="307"/>
      <c r="H29" s="309"/>
      <c r="I29" s="298">
        <f t="shared" si="0"/>
        <v>252000000</v>
      </c>
      <c r="J29" s="298">
        <f t="shared" si="1"/>
        <v>0</v>
      </c>
    </row>
    <row r="30" spans="1:10" ht="37.5" hidden="1">
      <c r="A30" s="295" t="s">
        <v>30</v>
      </c>
      <c r="B30" s="303" t="s">
        <v>437</v>
      </c>
      <c r="C30" s="297">
        <f>'Dự toán Chi tiết 2025'!M767</f>
        <v>0</v>
      </c>
      <c r="D30" s="297">
        <f t="shared" si="3"/>
        <v>0</v>
      </c>
      <c r="E30" s="297"/>
      <c r="F30" s="297">
        <f t="shared" si="2"/>
        <v>0</v>
      </c>
      <c r="G30" s="297"/>
      <c r="H30" s="294"/>
      <c r="I30" s="298">
        <f t="shared" si="0"/>
        <v>0</v>
      </c>
      <c r="J30" s="298">
        <f t="shared" si="1"/>
        <v>0</v>
      </c>
    </row>
    <row r="31" spans="1:10" ht="37.5">
      <c r="A31" s="295" t="s">
        <v>30</v>
      </c>
      <c r="B31" s="303" t="s">
        <v>1130</v>
      </c>
      <c r="C31" s="297">
        <f>'Dự toán Chi tiết 2025'!L771</f>
        <v>90000000</v>
      </c>
      <c r="D31" s="297">
        <f t="shared" si="3"/>
        <v>9000000</v>
      </c>
      <c r="E31" s="297"/>
      <c r="F31" s="297">
        <f>C31-D31</f>
        <v>81000000</v>
      </c>
      <c r="G31" s="297">
        <f>'[17]Phong VHTT'!$G$26</f>
        <v>81000000</v>
      </c>
      <c r="H31" s="294"/>
      <c r="I31" s="298">
        <f t="shared" si="0"/>
        <v>81000000</v>
      </c>
      <c r="J31" s="298">
        <f t="shared" si="1"/>
        <v>0</v>
      </c>
    </row>
    <row r="32" spans="1:10" ht="37.5">
      <c r="A32" s="295" t="s">
        <v>31</v>
      </c>
      <c r="B32" s="303" t="s">
        <v>439</v>
      </c>
      <c r="C32" s="297">
        <f>'Dự toán Chi tiết 2025'!L772</f>
        <v>70000000</v>
      </c>
      <c r="D32" s="297">
        <f t="shared" si="3"/>
        <v>7000000</v>
      </c>
      <c r="E32" s="297"/>
      <c r="F32" s="297">
        <f t="shared" si="2"/>
        <v>63000000</v>
      </c>
      <c r="G32" s="297"/>
      <c r="H32" s="294"/>
      <c r="I32" s="298">
        <f t="shared" si="0"/>
        <v>63000000</v>
      </c>
      <c r="J32" s="298">
        <f t="shared" si="1"/>
        <v>0</v>
      </c>
    </row>
    <row r="33" spans="1:10" ht="112.5">
      <c r="A33" s="295" t="s">
        <v>32</v>
      </c>
      <c r="B33" s="303" t="s">
        <v>1131</v>
      </c>
      <c r="C33" s="297">
        <f>'Dự toán Chi tiết 2025'!L773</f>
        <v>180000000</v>
      </c>
      <c r="D33" s="297">
        <f t="shared" si="3"/>
        <v>18000000</v>
      </c>
      <c r="E33" s="297"/>
      <c r="F33" s="297">
        <f t="shared" si="2"/>
        <v>162000000</v>
      </c>
      <c r="G33" s="297">
        <f>'[17]Phong VHTT'!$G$28</f>
        <v>37484000</v>
      </c>
      <c r="H33" s="297"/>
      <c r="I33" s="298">
        <f t="shared" si="0"/>
        <v>162000000</v>
      </c>
      <c r="J33" s="298">
        <f t="shared" si="1"/>
        <v>0</v>
      </c>
    </row>
    <row r="34" spans="1:10" ht="37.5">
      <c r="A34" s="295" t="s">
        <v>38</v>
      </c>
      <c r="B34" s="303" t="s">
        <v>441</v>
      </c>
      <c r="C34" s="297">
        <f>'Dự toán Chi tiết 2025'!L775</f>
        <v>50000000</v>
      </c>
      <c r="D34" s="297">
        <f t="shared" si="3"/>
        <v>5000000</v>
      </c>
      <c r="E34" s="297"/>
      <c r="F34" s="297">
        <f t="shared" si="2"/>
        <v>45000000</v>
      </c>
      <c r="G34" s="297">
        <f>'[17]Phong VHTT'!$G$29</f>
        <v>44975200</v>
      </c>
      <c r="H34" s="294"/>
      <c r="I34" s="298">
        <f t="shared" si="0"/>
        <v>45000000</v>
      </c>
      <c r="J34" s="298">
        <f t="shared" si="1"/>
        <v>0</v>
      </c>
    </row>
    <row r="35" spans="1:10" ht="37.5">
      <c r="A35" s="295" t="s">
        <v>39</v>
      </c>
      <c r="B35" s="303" t="str">
        <f>'Dự toán Chi tiết 2025'!B779</f>
        <v>Kinh phí thực hiện công tác du lịch</v>
      </c>
      <c r="C35" s="297">
        <f>'Dự toán Chi tiết 2025'!L779</f>
        <v>40000000</v>
      </c>
      <c r="D35" s="297">
        <f t="shared" si="3"/>
        <v>4000000</v>
      </c>
      <c r="E35" s="297"/>
      <c r="F35" s="297">
        <f t="shared" si="2"/>
        <v>36000000</v>
      </c>
      <c r="G35" s="297"/>
      <c r="H35" s="294"/>
      <c r="I35" s="298"/>
      <c r="J35" s="298"/>
    </row>
    <row r="36" spans="1:10" ht="56.25">
      <c r="A36" s="295" t="s">
        <v>40</v>
      </c>
      <c r="B36" s="303" t="s">
        <v>443</v>
      </c>
      <c r="C36" s="297">
        <f>'Dự toán Chi tiết 2025'!L777</f>
        <v>50000000</v>
      </c>
      <c r="D36" s="297">
        <f t="shared" si="3"/>
        <v>5000000</v>
      </c>
      <c r="E36" s="297"/>
      <c r="F36" s="297">
        <f t="shared" si="2"/>
        <v>45000000</v>
      </c>
      <c r="G36" s="297"/>
      <c r="H36" s="294"/>
      <c r="I36" s="298">
        <f t="shared" si="0"/>
        <v>45000000</v>
      </c>
      <c r="J36" s="298">
        <f t="shared" si="1"/>
        <v>0</v>
      </c>
    </row>
    <row r="37" spans="1:10" ht="37.5">
      <c r="A37" s="295" t="s">
        <v>41</v>
      </c>
      <c r="B37" s="303" t="s">
        <v>444</v>
      </c>
      <c r="C37" s="297">
        <f>'Dự toán Chi tiết 2025'!L778</f>
        <v>120000000</v>
      </c>
      <c r="D37" s="297">
        <f t="shared" si="3"/>
        <v>12000000</v>
      </c>
      <c r="E37" s="297"/>
      <c r="F37" s="297">
        <f t="shared" si="2"/>
        <v>108000000</v>
      </c>
      <c r="G37" s="297"/>
      <c r="H37" s="294"/>
      <c r="I37" s="298">
        <f t="shared" si="0"/>
        <v>108000000</v>
      </c>
      <c r="J37" s="298">
        <f t="shared" si="1"/>
        <v>0</v>
      </c>
    </row>
    <row r="38" spans="1:10" ht="75">
      <c r="A38" s="295" t="s">
        <v>714</v>
      </c>
      <c r="B38" s="303" t="s">
        <v>1361</v>
      </c>
      <c r="C38" s="297">
        <f>'Dự toán Chi tiết 2025'!L767</f>
        <v>180000000</v>
      </c>
      <c r="D38" s="297">
        <f t="shared" si="3"/>
        <v>18000000</v>
      </c>
      <c r="E38" s="297"/>
      <c r="F38" s="297">
        <f t="shared" si="2"/>
        <v>162000000</v>
      </c>
      <c r="G38" s="297"/>
      <c r="H38" s="294"/>
      <c r="I38" s="298">
        <f t="shared" si="0"/>
        <v>162000000</v>
      </c>
      <c r="J38" s="298">
        <f t="shared" si="1"/>
        <v>0</v>
      </c>
    </row>
    <row r="39" spans="1:10" ht="93.75">
      <c r="A39" s="295" t="s">
        <v>715</v>
      </c>
      <c r="B39" s="303" t="s">
        <v>1360</v>
      </c>
      <c r="C39" s="297">
        <f>'Dự toán Chi tiết 2025'!L782</f>
        <v>220000000</v>
      </c>
      <c r="D39" s="297">
        <f t="shared" si="3"/>
        <v>22000000</v>
      </c>
      <c r="E39" s="297"/>
      <c r="F39" s="297">
        <f t="shared" si="2"/>
        <v>198000000</v>
      </c>
      <c r="G39" s="297"/>
      <c r="H39" s="294"/>
      <c r="I39" s="298">
        <f t="shared" si="0"/>
        <v>198000000</v>
      </c>
      <c r="J39" s="298">
        <f t="shared" si="1"/>
        <v>0</v>
      </c>
    </row>
    <row r="40" spans="1:10" ht="37.5">
      <c r="A40" s="295" t="s">
        <v>716</v>
      </c>
      <c r="B40" s="303" t="s">
        <v>1354</v>
      </c>
      <c r="C40" s="297">
        <f>'Dự toán Chi tiết 2025'!L783</f>
        <v>220000000</v>
      </c>
      <c r="D40" s="297">
        <f t="shared" si="3"/>
        <v>22000000</v>
      </c>
      <c r="E40" s="297"/>
      <c r="F40" s="297">
        <f t="shared" si="2"/>
        <v>198000000</v>
      </c>
      <c r="G40" s="297"/>
      <c r="H40" s="294"/>
      <c r="I40" s="298">
        <f t="shared" si="0"/>
        <v>198000000</v>
      </c>
      <c r="J40" s="298">
        <f t="shared" si="1"/>
        <v>0</v>
      </c>
    </row>
    <row r="41" spans="1:10" ht="37.5" hidden="1">
      <c r="A41" s="295" t="s">
        <v>1525</v>
      </c>
      <c r="B41" s="303" t="s">
        <v>1133</v>
      </c>
      <c r="C41" s="297">
        <v>0</v>
      </c>
      <c r="D41" s="297">
        <f t="shared" si="3"/>
        <v>0</v>
      </c>
      <c r="E41" s="297"/>
      <c r="F41" s="297">
        <f t="shared" si="2"/>
        <v>0</v>
      </c>
      <c r="G41" s="297"/>
      <c r="H41" s="294"/>
      <c r="I41" s="298">
        <f t="shared" si="0"/>
        <v>0</v>
      </c>
      <c r="J41" s="298">
        <f t="shared" si="1"/>
        <v>0</v>
      </c>
    </row>
  </sheetData>
  <mergeCells count="8">
    <mergeCell ref="A8:H8"/>
    <mergeCell ref="A3:H3"/>
    <mergeCell ref="A1:C1"/>
    <mergeCell ref="A2:C2"/>
    <mergeCell ref="A4:H4"/>
    <mergeCell ref="A5:H5"/>
    <mergeCell ref="A6:H6"/>
    <mergeCell ref="A7:H7"/>
  </mergeCells>
  <pageMargins left="0.55118110236220474" right="0.51181102362204722" top="0.59055118110236227" bottom="0.74803149606299213" header="0.31496062992125984" footer="0.31496062992125984"/>
  <pageSetup paperSize="9" scale="62" fitToHeight="0" orientation="portrait" verticalDpi="0" r:id="rId1"/>
  <headerFooter>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41"/>
  <sheetViews>
    <sheetView zoomScale="85" zoomScaleNormal="85" workbookViewId="0">
      <selection activeCell="D21" sqref="D21"/>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18" style="2" hidden="1" customWidth="1"/>
    <col min="9" max="10" width="0" style="2" hidden="1" customWidth="1"/>
    <col min="11"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9">
      <c r="A1" s="1838" t="s">
        <v>659</v>
      </c>
      <c r="B1" s="1838"/>
      <c r="C1" s="1838"/>
      <c r="G1" s="3"/>
    </row>
    <row r="2" spans="1:9">
      <c r="A2" s="1798" t="s">
        <v>662</v>
      </c>
      <c r="B2" s="1798"/>
      <c r="C2" s="1798"/>
      <c r="D2" s="4"/>
      <c r="E2" s="4"/>
      <c r="F2" s="4"/>
    </row>
    <row r="3" spans="1:9">
      <c r="A3" s="5"/>
    </row>
    <row r="4" spans="1:9">
      <c r="A4" s="1798" t="str">
        <f>'TTDVNN V '!A4:G4</f>
        <v>DỰ TOÁN THU, CHI NGÂN SÁCH NHÀ NƯỚC NĂM 2025</v>
      </c>
      <c r="B4" s="1798"/>
      <c r="C4" s="1798"/>
      <c r="D4" s="1798"/>
      <c r="E4" s="1798"/>
      <c r="F4" s="1798"/>
      <c r="G4" s="1798"/>
    </row>
    <row r="5" spans="1:9">
      <c r="A5" s="1798" t="s">
        <v>661</v>
      </c>
      <c r="B5" s="1798"/>
      <c r="C5" s="1798"/>
      <c r="D5" s="1798"/>
      <c r="E5" s="1798"/>
      <c r="F5" s="1798"/>
      <c r="G5" s="1798"/>
    </row>
    <row r="6" spans="1:9">
      <c r="A6" s="1798" t="s">
        <v>660</v>
      </c>
      <c r="B6" s="1798"/>
      <c r="C6" s="1798"/>
      <c r="D6" s="1798"/>
      <c r="E6" s="1798"/>
      <c r="F6" s="1798"/>
      <c r="G6" s="1798"/>
    </row>
    <row r="7" spans="1:9">
      <c r="A7" s="1798" t="s">
        <v>17</v>
      </c>
      <c r="B7" s="1798"/>
      <c r="C7" s="1798"/>
      <c r="D7" s="1798"/>
      <c r="E7" s="1798"/>
      <c r="F7" s="1798"/>
      <c r="G7" s="1798"/>
    </row>
    <row r="8" spans="1:9">
      <c r="A8" s="1799">
        <f>'TTDVNN V '!A8:G8</f>
        <v>0</v>
      </c>
      <c r="B8" s="1799"/>
      <c r="C8" s="1799"/>
      <c r="D8" s="1799"/>
      <c r="E8" s="1799"/>
      <c r="F8" s="1799"/>
      <c r="G8" s="1799"/>
    </row>
    <row r="9" spans="1:9">
      <c r="A9" s="238"/>
      <c r="B9" s="238"/>
      <c r="C9" s="238"/>
      <c r="D9" s="238"/>
      <c r="E9" s="238"/>
      <c r="F9" s="238"/>
      <c r="G9" s="238"/>
    </row>
    <row r="10" spans="1:9">
      <c r="A10" s="288"/>
      <c r="B10" s="288"/>
      <c r="C10" s="288"/>
      <c r="D10" s="288"/>
      <c r="E10" s="288"/>
      <c r="F10" s="288"/>
      <c r="G10" s="289" t="s">
        <v>43</v>
      </c>
      <c r="H10" s="288"/>
      <c r="I10" s="288"/>
    </row>
    <row r="11" spans="1:9" ht="117" customHeight="1">
      <c r="A11" s="290" t="s">
        <v>0</v>
      </c>
      <c r="B11" s="290" t="s">
        <v>1</v>
      </c>
      <c r="C11" s="290" t="str">
        <f>'TTDVNN V '!C11</f>
        <v>Dự toán 
năm 2025</v>
      </c>
      <c r="D11" s="290" t="s">
        <v>18</v>
      </c>
      <c r="E11" s="290" t="str">
        <f>'TTDVNN V '!E11</f>
        <v>Thực hiện cải cách tiền lương từ nguồn tiết kiệm chi 10% của đơn vị</v>
      </c>
      <c r="F11" s="290" t="s">
        <v>117</v>
      </c>
      <c r="G11" s="290" t="s">
        <v>19</v>
      </c>
      <c r="H11" s="288"/>
      <c r="I11" s="288"/>
    </row>
    <row r="12" spans="1:9">
      <c r="A12" s="291" t="s">
        <v>20</v>
      </c>
      <c r="B12" s="291" t="s">
        <v>21</v>
      </c>
      <c r="C12" s="291" t="s">
        <v>22</v>
      </c>
      <c r="D12" s="291" t="s">
        <v>23</v>
      </c>
      <c r="E12" s="291" t="str">
        <f>'TTDVNN V '!E12</f>
        <v>(5)</v>
      </c>
      <c r="F12" s="291" t="str">
        <f>'TTDVNN V '!F12</f>
        <v>(6)=(3)-(4)+(5)</v>
      </c>
      <c r="G12" s="291" t="s">
        <v>1287</v>
      </c>
      <c r="H12" s="288"/>
      <c r="I12" s="288"/>
    </row>
    <row r="13" spans="1:9" ht="37.5">
      <c r="A13" s="290" t="s">
        <v>2</v>
      </c>
      <c r="B13" s="292" t="s">
        <v>3</v>
      </c>
      <c r="C13" s="293">
        <f>C14+C15</f>
        <v>0</v>
      </c>
      <c r="D13" s="293"/>
      <c r="E13" s="293"/>
      <c r="F13" s="293"/>
      <c r="G13" s="294"/>
      <c r="H13" s="288"/>
      <c r="I13" s="288"/>
    </row>
    <row r="14" spans="1:9">
      <c r="A14" s="295">
        <v>1</v>
      </c>
      <c r="B14" s="296" t="s">
        <v>4</v>
      </c>
      <c r="C14" s="297"/>
      <c r="D14" s="297"/>
      <c r="E14" s="297"/>
      <c r="F14" s="297"/>
      <c r="G14" s="294"/>
      <c r="H14" s="288"/>
      <c r="I14" s="288"/>
    </row>
    <row r="15" spans="1:9">
      <c r="A15" s="295">
        <v>2</v>
      </c>
      <c r="B15" s="296" t="s">
        <v>7</v>
      </c>
      <c r="C15" s="297"/>
      <c r="D15" s="297"/>
      <c r="E15" s="297"/>
      <c r="F15" s="297"/>
      <c r="G15" s="294"/>
      <c r="H15" s="288"/>
      <c r="I15" s="288"/>
    </row>
    <row r="16" spans="1:9" ht="37.5">
      <c r="A16" s="290" t="s">
        <v>12</v>
      </c>
      <c r="B16" s="292" t="s">
        <v>84</v>
      </c>
      <c r="C16" s="293">
        <f>C17</f>
        <v>2423152000</v>
      </c>
      <c r="D16" s="293">
        <f>D17</f>
        <v>162800000</v>
      </c>
      <c r="E16" s="293">
        <f>E17</f>
        <v>162800000</v>
      </c>
      <c r="F16" s="293">
        <f>F17</f>
        <v>2423152000</v>
      </c>
      <c r="G16" s="294"/>
      <c r="H16" s="298">
        <f>C16+E16-D16</f>
        <v>2423152000</v>
      </c>
      <c r="I16" s="298">
        <f>H16-F16</f>
        <v>0</v>
      </c>
    </row>
    <row r="17" spans="1:9">
      <c r="A17" s="290"/>
      <c r="B17" s="292" t="s">
        <v>121</v>
      </c>
      <c r="C17" s="293">
        <f>C18+C22</f>
        <v>2423152000</v>
      </c>
      <c r="D17" s="293">
        <f>D18+D22</f>
        <v>162800000</v>
      </c>
      <c r="E17" s="293">
        <f>E18+E22</f>
        <v>162800000</v>
      </c>
      <c r="F17" s="293">
        <f>F18+F22</f>
        <v>2423152000</v>
      </c>
      <c r="G17" s="294"/>
      <c r="H17" s="298">
        <f t="shared" ref="H17:H41" si="0">C17+E17-D17</f>
        <v>2423152000</v>
      </c>
      <c r="I17" s="298">
        <f t="shared" ref="I17:I41" si="1">H17-F17</f>
        <v>0</v>
      </c>
    </row>
    <row r="18" spans="1:9" s="16" customFormat="1" ht="39">
      <c r="A18" s="299">
        <v>1</v>
      </c>
      <c r="B18" s="300" t="s">
        <v>9</v>
      </c>
      <c r="C18" s="301">
        <f>SUM(C19:C21)</f>
        <v>793452000</v>
      </c>
      <c r="D18" s="301">
        <f>SUM(D19:D21)</f>
        <v>10800000</v>
      </c>
      <c r="E18" s="301">
        <f>SUM(E19:E21)</f>
        <v>162800000</v>
      </c>
      <c r="F18" s="301">
        <f>SUM(F19:F21)</f>
        <v>945452000</v>
      </c>
      <c r="G18" s="302"/>
      <c r="H18" s="298">
        <f t="shared" si="0"/>
        <v>945452000</v>
      </c>
      <c r="I18" s="298">
        <f t="shared" si="1"/>
        <v>0</v>
      </c>
    </row>
    <row r="19" spans="1:9" ht="37.5">
      <c r="A19" s="295" t="s">
        <v>5</v>
      </c>
      <c r="B19" s="296" t="s">
        <v>26</v>
      </c>
      <c r="C19" s="297">
        <f>'Dự toán Chi tiết 2025'!L755</f>
        <v>476092000</v>
      </c>
      <c r="D19" s="297"/>
      <c r="E19" s="297"/>
      <c r="F19" s="297">
        <f>C19-D19+E19</f>
        <v>476092000</v>
      </c>
      <c r="G19" s="294"/>
      <c r="H19" s="298">
        <f t="shared" si="0"/>
        <v>476092000</v>
      </c>
      <c r="I19" s="298">
        <f t="shared" si="1"/>
        <v>0</v>
      </c>
    </row>
    <row r="20" spans="1:9" ht="37.5">
      <c r="A20" s="295" t="s">
        <v>6</v>
      </c>
      <c r="B20" s="296" t="str">
        <f>'TTDVNN V '!B18</f>
        <v>Kinh phí thực hiện cải cách tiền lương</v>
      </c>
      <c r="C20" s="297">
        <f>'Dự toán Chi tiết 2025'!L757</f>
        <v>209360000</v>
      </c>
      <c r="D20" s="297"/>
      <c r="E20" s="297">
        <f>D16</f>
        <v>162800000</v>
      </c>
      <c r="F20" s="297">
        <f>C20-D20+E20</f>
        <v>372160000</v>
      </c>
      <c r="G20" s="294"/>
      <c r="H20" s="298">
        <f t="shared" si="0"/>
        <v>372160000</v>
      </c>
      <c r="I20" s="298">
        <f t="shared" si="1"/>
        <v>0</v>
      </c>
    </row>
    <row r="21" spans="1:9" ht="37.5">
      <c r="A21" s="295" t="s">
        <v>157</v>
      </c>
      <c r="B21" s="296" t="str">
        <f>'Lao động TBXH V'!B20</f>
        <v>Kinh phí hoạt động theo định mức</v>
      </c>
      <c r="C21" s="297">
        <f>'Dự toán Chi tiết 2025'!L758</f>
        <v>108000000</v>
      </c>
      <c r="D21" s="297">
        <f>C21*10%</f>
        <v>10800000</v>
      </c>
      <c r="E21" s="297"/>
      <c r="F21" s="297">
        <f>C21-D21+E21</f>
        <v>97200000</v>
      </c>
      <c r="G21" s="294"/>
      <c r="H21" s="298">
        <f t="shared" si="0"/>
        <v>97200000</v>
      </c>
      <c r="I21" s="298">
        <f t="shared" si="1"/>
        <v>0</v>
      </c>
    </row>
    <row r="22" spans="1:9" s="16" customFormat="1" ht="39">
      <c r="A22" s="295">
        <v>2</v>
      </c>
      <c r="B22" s="300" t="s">
        <v>10</v>
      </c>
      <c r="C22" s="301">
        <f>SUM(C23:C27)+SUM(C30:C41)</f>
        <v>1629700000</v>
      </c>
      <c r="D22" s="301">
        <f>SUM(D23:D27)+SUM(D30:D41)</f>
        <v>152000000</v>
      </c>
      <c r="E22" s="301"/>
      <c r="F22" s="301">
        <f>SUM(F23:F27)+SUM(F30:F41)</f>
        <v>1477700000</v>
      </c>
      <c r="G22" s="302"/>
      <c r="H22" s="298">
        <f t="shared" si="0"/>
        <v>1477700000</v>
      </c>
      <c r="I22" s="298">
        <f t="shared" si="1"/>
        <v>0</v>
      </c>
    </row>
    <row r="23" spans="1:9" s="287" customFormat="1">
      <c r="A23" s="295" t="s">
        <v>8</v>
      </c>
      <c r="B23" s="303" t="s">
        <v>432</v>
      </c>
      <c r="C23" s="297">
        <f>'Dự toán Chi tiết 2025'!L760</f>
        <v>36000000</v>
      </c>
      <c r="D23" s="297"/>
      <c r="E23" s="297"/>
      <c r="F23" s="297">
        <f>C23-D23</f>
        <v>36000000</v>
      </c>
      <c r="G23" s="294"/>
      <c r="H23" s="298">
        <f t="shared" si="0"/>
        <v>36000000</v>
      </c>
      <c r="I23" s="298">
        <f t="shared" si="1"/>
        <v>0</v>
      </c>
    </row>
    <row r="24" spans="1:9" s="287" customFormat="1" ht="75">
      <c r="A24" s="295" t="s">
        <v>11</v>
      </c>
      <c r="B24" s="303" t="s">
        <v>1125</v>
      </c>
      <c r="C24" s="297">
        <f>'Dự toán Chi tiết 2025'!L761</f>
        <v>34000000</v>
      </c>
      <c r="D24" s="297"/>
      <c r="E24" s="297"/>
      <c r="F24" s="297">
        <f t="shared" ref="F24:F33" si="2">C24-D24</f>
        <v>34000000</v>
      </c>
      <c r="G24" s="294"/>
      <c r="H24" s="298">
        <f t="shared" si="0"/>
        <v>34000000</v>
      </c>
      <c r="I24" s="298">
        <f t="shared" si="1"/>
        <v>0</v>
      </c>
    </row>
    <row r="25" spans="1:9" ht="37.5">
      <c r="A25" s="295" t="s">
        <v>13</v>
      </c>
      <c r="B25" s="303" t="s">
        <v>409</v>
      </c>
      <c r="C25" s="297">
        <f>'Dự toán Chi tiết 2025'!L762</f>
        <v>15000000</v>
      </c>
      <c r="D25" s="297"/>
      <c r="E25" s="297"/>
      <c r="F25" s="297">
        <f t="shared" si="2"/>
        <v>15000000</v>
      </c>
      <c r="G25" s="304"/>
      <c r="H25" s="298">
        <f t="shared" si="0"/>
        <v>15000000</v>
      </c>
      <c r="I25" s="298">
        <f t="shared" si="1"/>
        <v>0</v>
      </c>
    </row>
    <row r="26" spans="1:9">
      <c r="A26" s="295" t="s">
        <v>28</v>
      </c>
      <c r="B26" s="303" t="s">
        <v>1435</v>
      </c>
      <c r="C26" s="297">
        <f>'Dự toán Chi tiết 2025'!L763</f>
        <v>24700000</v>
      </c>
      <c r="D26" s="297"/>
      <c r="E26" s="297"/>
      <c r="F26" s="297">
        <f t="shared" si="2"/>
        <v>24700000</v>
      </c>
      <c r="G26" s="304"/>
      <c r="H26" s="298"/>
      <c r="I26" s="298"/>
    </row>
    <row r="27" spans="1:9" ht="206.25">
      <c r="A27" s="295" t="s">
        <v>29</v>
      </c>
      <c r="B27" s="303" t="s">
        <v>1126</v>
      </c>
      <c r="C27" s="297">
        <f>'Dự toán Chi tiết 2025'!L764</f>
        <v>300000000</v>
      </c>
      <c r="D27" s="297">
        <f>D28+D29</f>
        <v>30000000</v>
      </c>
      <c r="E27" s="297"/>
      <c r="F27" s="297">
        <f>F28+F29</f>
        <v>270000000</v>
      </c>
      <c r="G27" s="304"/>
      <c r="H27" s="298">
        <f t="shared" si="0"/>
        <v>270000000</v>
      </c>
      <c r="I27" s="298">
        <f t="shared" si="1"/>
        <v>0</v>
      </c>
    </row>
    <row r="28" spans="1:9" s="229" customFormat="1" ht="150">
      <c r="A28" s="305" t="s">
        <v>91</v>
      </c>
      <c r="B28" s="306" t="s">
        <v>1127</v>
      </c>
      <c r="C28" s="307">
        <f>'Dự toán Chi tiết 2025'!L765</f>
        <v>20000000</v>
      </c>
      <c r="D28" s="307">
        <f t="shared" ref="D28:D41" si="3">C28*10%</f>
        <v>2000000</v>
      </c>
      <c r="E28" s="307"/>
      <c r="F28" s="307">
        <f t="shared" si="2"/>
        <v>18000000</v>
      </c>
      <c r="G28" s="308"/>
      <c r="H28" s="298">
        <f t="shared" si="0"/>
        <v>18000000</v>
      </c>
      <c r="I28" s="298">
        <f t="shared" si="1"/>
        <v>0</v>
      </c>
    </row>
    <row r="29" spans="1:9" s="229" customFormat="1" ht="93.75">
      <c r="A29" s="305" t="s">
        <v>91</v>
      </c>
      <c r="B29" s="306" t="s">
        <v>1128</v>
      </c>
      <c r="C29" s="307">
        <f>'Dự toán Chi tiết 2025'!L766</f>
        <v>280000000</v>
      </c>
      <c r="D29" s="307">
        <f t="shared" si="3"/>
        <v>28000000</v>
      </c>
      <c r="E29" s="307"/>
      <c r="F29" s="307">
        <f t="shared" si="2"/>
        <v>252000000</v>
      </c>
      <c r="G29" s="309"/>
      <c r="H29" s="298">
        <f t="shared" si="0"/>
        <v>252000000</v>
      </c>
      <c r="I29" s="298">
        <f t="shared" si="1"/>
        <v>0</v>
      </c>
    </row>
    <row r="30" spans="1:9" ht="37.5" hidden="1">
      <c r="A30" s="295" t="s">
        <v>30</v>
      </c>
      <c r="B30" s="303" t="s">
        <v>437</v>
      </c>
      <c r="C30" s="297">
        <f>'Dự toán Chi tiết 2025'!M767</f>
        <v>0</v>
      </c>
      <c r="D30" s="297">
        <f t="shared" si="3"/>
        <v>0</v>
      </c>
      <c r="E30" s="297"/>
      <c r="F30" s="297">
        <f t="shared" si="2"/>
        <v>0</v>
      </c>
      <c r="G30" s="294"/>
      <c r="H30" s="298">
        <f t="shared" si="0"/>
        <v>0</v>
      </c>
      <c r="I30" s="298">
        <f t="shared" si="1"/>
        <v>0</v>
      </c>
    </row>
    <row r="31" spans="1:9" ht="37.5">
      <c r="A31" s="295" t="s">
        <v>30</v>
      </c>
      <c r="B31" s="303" t="s">
        <v>1130</v>
      </c>
      <c r="C31" s="297">
        <f>'Dự toán Chi tiết 2025'!L771</f>
        <v>90000000</v>
      </c>
      <c r="D31" s="297">
        <f t="shared" si="3"/>
        <v>9000000</v>
      </c>
      <c r="E31" s="297"/>
      <c r="F31" s="297">
        <f>C31-D31</f>
        <v>81000000</v>
      </c>
      <c r="G31" s="294"/>
      <c r="H31" s="298">
        <f t="shared" si="0"/>
        <v>81000000</v>
      </c>
      <c r="I31" s="298">
        <f t="shared" si="1"/>
        <v>0</v>
      </c>
    </row>
    <row r="32" spans="1:9" ht="37.5">
      <c r="A32" s="295" t="s">
        <v>31</v>
      </c>
      <c r="B32" s="303" t="s">
        <v>439</v>
      </c>
      <c r="C32" s="297">
        <f>'Dự toán Chi tiết 2025'!L772</f>
        <v>70000000</v>
      </c>
      <c r="D32" s="297">
        <f t="shared" si="3"/>
        <v>7000000</v>
      </c>
      <c r="E32" s="297"/>
      <c r="F32" s="297">
        <f t="shared" si="2"/>
        <v>63000000</v>
      </c>
      <c r="G32" s="294"/>
      <c r="H32" s="298">
        <f t="shared" si="0"/>
        <v>63000000</v>
      </c>
      <c r="I32" s="298">
        <f t="shared" si="1"/>
        <v>0</v>
      </c>
    </row>
    <row r="33" spans="1:9" ht="112.5">
      <c r="A33" s="295" t="s">
        <v>32</v>
      </c>
      <c r="B33" s="303" t="s">
        <v>1131</v>
      </c>
      <c r="C33" s="297">
        <f>'Dự toán Chi tiết 2025'!L773</f>
        <v>180000000</v>
      </c>
      <c r="D33" s="297">
        <f t="shared" si="3"/>
        <v>18000000</v>
      </c>
      <c r="E33" s="297"/>
      <c r="F33" s="297">
        <f t="shared" si="2"/>
        <v>162000000</v>
      </c>
      <c r="G33" s="297"/>
      <c r="H33" s="298">
        <f t="shared" si="0"/>
        <v>162000000</v>
      </c>
      <c r="I33" s="298">
        <f t="shared" si="1"/>
        <v>0</v>
      </c>
    </row>
    <row r="34" spans="1:9" ht="37.5">
      <c r="A34" s="295" t="s">
        <v>38</v>
      </c>
      <c r="B34" s="303" t="s">
        <v>441</v>
      </c>
      <c r="C34" s="297">
        <f>'Dự toán Chi tiết 2025'!L775</f>
        <v>50000000</v>
      </c>
      <c r="D34" s="297">
        <f t="shared" si="3"/>
        <v>5000000</v>
      </c>
      <c r="E34" s="297"/>
      <c r="F34" s="297">
        <f t="shared" ref="F34:F41" si="4">C34-D34</f>
        <v>45000000</v>
      </c>
      <c r="G34" s="294"/>
      <c r="H34" s="298">
        <f t="shared" si="0"/>
        <v>45000000</v>
      </c>
      <c r="I34" s="298">
        <f t="shared" si="1"/>
        <v>0</v>
      </c>
    </row>
    <row r="35" spans="1:9" ht="37.5">
      <c r="A35" s="295" t="s">
        <v>39</v>
      </c>
      <c r="B35" s="303" t="str">
        <f>'Dự toán Chi tiết 2025'!B779</f>
        <v>Kinh phí thực hiện công tác du lịch</v>
      </c>
      <c r="C35" s="297">
        <f>'Dự toán Chi tiết 2025'!L779</f>
        <v>40000000</v>
      </c>
      <c r="D35" s="297">
        <f t="shared" si="3"/>
        <v>4000000</v>
      </c>
      <c r="E35" s="297"/>
      <c r="F35" s="297">
        <f t="shared" si="4"/>
        <v>36000000</v>
      </c>
      <c r="G35" s="294"/>
      <c r="H35" s="298"/>
      <c r="I35" s="298"/>
    </row>
    <row r="36" spans="1:9" ht="56.25">
      <c r="A36" s="295" t="s">
        <v>40</v>
      </c>
      <c r="B36" s="303" t="s">
        <v>443</v>
      </c>
      <c r="C36" s="297">
        <f>'Dự toán Chi tiết 2025'!L777</f>
        <v>50000000</v>
      </c>
      <c r="D36" s="297">
        <f t="shared" si="3"/>
        <v>5000000</v>
      </c>
      <c r="E36" s="297"/>
      <c r="F36" s="297">
        <f t="shared" si="4"/>
        <v>45000000</v>
      </c>
      <c r="G36" s="294"/>
      <c r="H36" s="298">
        <f t="shared" si="0"/>
        <v>45000000</v>
      </c>
      <c r="I36" s="298">
        <f t="shared" si="1"/>
        <v>0</v>
      </c>
    </row>
    <row r="37" spans="1:9" ht="37.5">
      <c r="A37" s="295" t="s">
        <v>41</v>
      </c>
      <c r="B37" s="303" t="s">
        <v>444</v>
      </c>
      <c r="C37" s="297">
        <f>'Dự toán Chi tiết 2025'!L778</f>
        <v>120000000</v>
      </c>
      <c r="D37" s="297">
        <f t="shared" si="3"/>
        <v>12000000</v>
      </c>
      <c r="E37" s="297"/>
      <c r="F37" s="297">
        <f t="shared" si="4"/>
        <v>108000000</v>
      </c>
      <c r="G37" s="294"/>
      <c r="H37" s="298">
        <f t="shared" si="0"/>
        <v>108000000</v>
      </c>
      <c r="I37" s="298">
        <f t="shared" si="1"/>
        <v>0</v>
      </c>
    </row>
    <row r="38" spans="1:9" ht="75">
      <c r="A38" s="295" t="s">
        <v>714</v>
      </c>
      <c r="B38" s="303" t="s">
        <v>1361</v>
      </c>
      <c r="C38" s="297">
        <f>'Dự toán Chi tiết 2025'!L767</f>
        <v>180000000</v>
      </c>
      <c r="D38" s="297">
        <f t="shared" si="3"/>
        <v>18000000</v>
      </c>
      <c r="E38" s="297"/>
      <c r="F38" s="297">
        <f t="shared" si="4"/>
        <v>162000000</v>
      </c>
      <c r="G38" s="294"/>
      <c r="H38" s="298">
        <f t="shared" si="0"/>
        <v>162000000</v>
      </c>
      <c r="I38" s="298">
        <f t="shared" si="1"/>
        <v>0</v>
      </c>
    </row>
    <row r="39" spans="1:9" ht="93.75">
      <c r="A39" s="295" t="s">
        <v>715</v>
      </c>
      <c r="B39" s="303" t="s">
        <v>1360</v>
      </c>
      <c r="C39" s="297">
        <f>'Dự toán Chi tiết 2025'!L782</f>
        <v>220000000</v>
      </c>
      <c r="D39" s="297">
        <f t="shared" si="3"/>
        <v>22000000</v>
      </c>
      <c r="E39" s="297"/>
      <c r="F39" s="297">
        <f t="shared" si="4"/>
        <v>198000000</v>
      </c>
      <c r="G39" s="294"/>
      <c r="H39" s="298">
        <f t="shared" si="0"/>
        <v>198000000</v>
      </c>
      <c r="I39" s="298">
        <f t="shared" si="1"/>
        <v>0</v>
      </c>
    </row>
    <row r="40" spans="1:9" ht="37.5">
      <c r="A40" s="295" t="s">
        <v>716</v>
      </c>
      <c r="B40" s="303" t="s">
        <v>1354</v>
      </c>
      <c r="C40" s="297">
        <f>'Dự toán Chi tiết 2025'!L783</f>
        <v>220000000</v>
      </c>
      <c r="D40" s="297">
        <f t="shared" si="3"/>
        <v>22000000</v>
      </c>
      <c r="E40" s="297"/>
      <c r="F40" s="297">
        <f t="shared" si="4"/>
        <v>198000000</v>
      </c>
      <c r="G40" s="294"/>
      <c r="H40" s="298">
        <f t="shared" si="0"/>
        <v>198000000</v>
      </c>
      <c r="I40" s="298">
        <f t="shared" si="1"/>
        <v>0</v>
      </c>
    </row>
    <row r="41" spans="1:9" ht="37.5" hidden="1">
      <c r="A41" s="295" t="s">
        <v>1525</v>
      </c>
      <c r="B41" s="303" t="s">
        <v>1133</v>
      </c>
      <c r="C41" s="297">
        <v>0</v>
      </c>
      <c r="D41" s="297">
        <f t="shared" si="3"/>
        <v>0</v>
      </c>
      <c r="E41" s="297"/>
      <c r="F41" s="297">
        <f t="shared" si="4"/>
        <v>0</v>
      </c>
      <c r="G41" s="294"/>
      <c r="H41" s="298">
        <f t="shared" si="0"/>
        <v>0</v>
      </c>
      <c r="I41" s="298">
        <f t="shared" si="1"/>
        <v>0</v>
      </c>
    </row>
  </sheetData>
  <mergeCells count="7">
    <mergeCell ref="A8:G8"/>
    <mergeCell ref="A1:C1"/>
    <mergeCell ref="A2:C2"/>
    <mergeCell ref="A4:G4"/>
    <mergeCell ref="A5:G5"/>
    <mergeCell ref="A6:G6"/>
    <mergeCell ref="A7:G7"/>
  </mergeCells>
  <pageMargins left="0.55118110236220474" right="0.51181102362204722" top="0.59055118110236227" bottom="0.74803149606299213" header="0.31496062992125984" footer="0.31496062992125984"/>
  <pageSetup paperSize="9" scale="62" fitToHeight="0" orientation="portrait" verticalDpi="0" r:id="rId1"/>
  <headerFooter>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topLeftCell="A10" workbookViewId="0">
      <selection activeCell="L47" sqref="L47"/>
    </sheetView>
  </sheetViews>
  <sheetFormatPr defaultRowHeight="18.75"/>
  <cols>
    <col min="1" max="1" width="7.140625" style="27" customWidth="1"/>
    <col min="2" max="2" width="38.5703125" style="27" customWidth="1"/>
    <col min="3" max="3" width="19.28515625" style="27" customWidth="1"/>
    <col min="4" max="5" width="21.140625" style="27" customWidth="1"/>
    <col min="6" max="6" width="19.42578125" style="27" customWidth="1"/>
    <col min="7" max="7" width="12.28515625" style="27" customWidth="1"/>
    <col min="8" max="8" width="0" style="27" hidden="1" customWidth="1"/>
    <col min="9" max="9" width="16.7109375" style="27" hidden="1" customWidth="1"/>
    <col min="10" max="11" width="0" style="27" hidden="1" customWidth="1"/>
    <col min="12" max="12" width="18.85546875" style="27" bestFit="1" customWidth="1"/>
    <col min="13" max="260" width="9.140625" style="27"/>
    <col min="261" max="261" width="7.140625" style="27" customWidth="1"/>
    <col min="262" max="262" width="47.7109375" style="27" customWidth="1"/>
    <col min="263" max="263" width="19.28515625" style="27" customWidth="1"/>
    <col min="264" max="516" width="9.140625" style="27"/>
    <col min="517" max="517" width="7.140625" style="27" customWidth="1"/>
    <col min="518" max="518" width="47.7109375" style="27" customWidth="1"/>
    <col min="519" max="519" width="19.28515625" style="27" customWidth="1"/>
    <col min="520" max="772" width="9.140625" style="27"/>
    <col min="773" max="773" width="7.140625" style="27" customWidth="1"/>
    <col min="774" max="774" width="47.7109375" style="27" customWidth="1"/>
    <col min="775" max="775" width="19.28515625" style="27" customWidth="1"/>
    <col min="776" max="1028" width="9.140625" style="27"/>
    <col min="1029" max="1029" width="7.140625" style="27" customWidth="1"/>
    <col min="1030" max="1030" width="47.7109375" style="27" customWidth="1"/>
    <col min="1031" max="1031" width="19.28515625" style="27" customWidth="1"/>
    <col min="1032" max="1284" width="9.140625" style="27"/>
    <col min="1285" max="1285" width="7.140625" style="27" customWidth="1"/>
    <col min="1286" max="1286" width="47.7109375" style="27" customWidth="1"/>
    <col min="1287" max="1287" width="19.28515625" style="27" customWidth="1"/>
    <col min="1288" max="1540" width="9.140625" style="27"/>
    <col min="1541" max="1541" width="7.140625" style="27" customWidth="1"/>
    <col min="1542" max="1542" width="47.7109375" style="27" customWidth="1"/>
    <col min="1543" max="1543" width="19.28515625" style="27" customWidth="1"/>
    <col min="1544" max="1796" width="9.140625" style="27"/>
    <col min="1797" max="1797" width="7.140625" style="27" customWidth="1"/>
    <col min="1798" max="1798" width="47.7109375" style="27" customWidth="1"/>
    <col min="1799" max="1799" width="19.28515625" style="27" customWidth="1"/>
    <col min="1800" max="2052" width="9.140625" style="27"/>
    <col min="2053" max="2053" width="7.140625" style="27" customWidth="1"/>
    <col min="2054" max="2054" width="47.7109375" style="27" customWidth="1"/>
    <col min="2055" max="2055" width="19.28515625" style="27" customWidth="1"/>
    <col min="2056" max="2308" width="9.140625" style="27"/>
    <col min="2309" max="2309" width="7.140625" style="27" customWidth="1"/>
    <col min="2310" max="2310" width="47.7109375" style="27" customWidth="1"/>
    <col min="2311" max="2311" width="19.28515625" style="27" customWidth="1"/>
    <col min="2312" max="2564" width="9.140625" style="27"/>
    <col min="2565" max="2565" width="7.140625" style="27" customWidth="1"/>
    <col min="2566" max="2566" width="47.7109375" style="27" customWidth="1"/>
    <col min="2567" max="2567" width="19.28515625" style="27" customWidth="1"/>
    <col min="2568" max="2820" width="9.140625" style="27"/>
    <col min="2821" max="2821" width="7.140625" style="27" customWidth="1"/>
    <col min="2822" max="2822" width="47.7109375" style="27" customWidth="1"/>
    <col min="2823" max="2823" width="19.28515625" style="27" customWidth="1"/>
    <col min="2824" max="3076" width="9.140625" style="27"/>
    <col min="3077" max="3077" width="7.140625" style="27" customWidth="1"/>
    <col min="3078" max="3078" width="47.7109375" style="27" customWidth="1"/>
    <col min="3079" max="3079" width="19.28515625" style="27" customWidth="1"/>
    <col min="3080" max="3332" width="9.140625" style="27"/>
    <col min="3333" max="3333" width="7.140625" style="27" customWidth="1"/>
    <col min="3334" max="3334" width="47.7109375" style="27" customWidth="1"/>
    <col min="3335" max="3335" width="19.28515625" style="27" customWidth="1"/>
    <col min="3336" max="3588" width="9.140625" style="27"/>
    <col min="3589" max="3589" width="7.140625" style="27" customWidth="1"/>
    <col min="3590" max="3590" width="47.7109375" style="27" customWidth="1"/>
    <col min="3591" max="3591" width="19.28515625" style="27" customWidth="1"/>
    <col min="3592" max="3844" width="9.140625" style="27"/>
    <col min="3845" max="3845" width="7.140625" style="27" customWidth="1"/>
    <col min="3846" max="3846" width="47.7109375" style="27" customWidth="1"/>
    <col min="3847" max="3847" width="19.28515625" style="27" customWidth="1"/>
    <col min="3848" max="4100" width="9.140625" style="27"/>
    <col min="4101" max="4101" width="7.140625" style="27" customWidth="1"/>
    <col min="4102" max="4102" width="47.7109375" style="27" customWidth="1"/>
    <col min="4103" max="4103" width="19.28515625" style="27" customWidth="1"/>
    <col min="4104" max="4356" width="9.140625" style="27"/>
    <col min="4357" max="4357" width="7.140625" style="27" customWidth="1"/>
    <col min="4358" max="4358" width="47.7109375" style="27" customWidth="1"/>
    <col min="4359" max="4359" width="19.28515625" style="27" customWidth="1"/>
    <col min="4360" max="4612" width="9.140625" style="27"/>
    <col min="4613" max="4613" width="7.140625" style="27" customWidth="1"/>
    <col min="4614" max="4614" width="47.7109375" style="27" customWidth="1"/>
    <col min="4615" max="4615" width="19.28515625" style="27" customWidth="1"/>
    <col min="4616" max="4868" width="9.140625" style="27"/>
    <col min="4869" max="4869" width="7.140625" style="27" customWidth="1"/>
    <col min="4870" max="4870" width="47.7109375" style="27" customWidth="1"/>
    <col min="4871" max="4871" width="19.28515625" style="27" customWidth="1"/>
    <col min="4872" max="5124" width="9.140625" style="27"/>
    <col min="5125" max="5125" width="7.140625" style="27" customWidth="1"/>
    <col min="5126" max="5126" width="47.7109375" style="27" customWidth="1"/>
    <col min="5127" max="5127" width="19.28515625" style="27" customWidth="1"/>
    <col min="5128" max="5380" width="9.140625" style="27"/>
    <col min="5381" max="5381" width="7.140625" style="27" customWidth="1"/>
    <col min="5382" max="5382" width="47.7109375" style="27" customWidth="1"/>
    <col min="5383" max="5383" width="19.28515625" style="27" customWidth="1"/>
    <col min="5384" max="5636" width="9.140625" style="27"/>
    <col min="5637" max="5637" width="7.140625" style="27" customWidth="1"/>
    <col min="5638" max="5638" width="47.7109375" style="27" customWidth="1"/>
    <col min="5639" max="5639" width="19.28515625" style="27" customWidth="1"/>
    <col min="5640" max="5892" width="9.140625" style="27"/>
    <col min="5893" max="5893" width="7.140625" style="27" customWidth="1"/>
    <col min="5894" max="5894" width="47.7109375" style="27" customWidth="1"/>
    <col min="5895" max="5895" width="19.28515625" style="27" customWidth="1"/>
    <col min="5896" max="6148" width="9.140625" style="27"/>
    <col min="6149" max="6149" width="7.140625" style="27" customWidth="1"/>
    <col min="6150" max="6150" width="47.7109375" style="27" customWidth="1"/>
    <col min="6151" max="6151" width="19.28515625" style="27" customWidth="1"/>
    <col min="6152" max="6404" width="9.140625" style="27"/>
    <col min="6405" max="6405" width="7.140625" style="27" customWidth="1"/>
    <col min="6406" max="6406" width="47.7109375" style="27" customWidth="1"/>
    <col min="6407" max="6407" width="19.28515625" style="27" customWidth="1"/>
    <col min="6408" max="6660" width="9.140625" style="27"/>
    <col min="6661" max="6661" width="7.140625" style="27" customWidth="1"/>
    <col min="6662" max="6662" width="47.7109375" style="27" customWidth="1"/>
    <col min="6663" max="6663" width="19.28515625" style="27" customWidth="1"/>
    <col min="6664" max="6916" width="9.140625" style="27"/>
    <col min="6917" max="6917" width="7.140625" style="27" customWidth="1"/>
    <col min="6918" max="6918" width="47.7109375" style="27" customWidth="1"/>
    <col min="6919" max="6919" width="19.28515625" style="27" customWidth="1"/>
    <col min="6920" max="7172" width="9.140625" style="27"/>
    <col min="7173" max="7173" width="7.140625" style="27" customWidth="1"/>
    <col min="7174" max="7174" width="47.7109375" style="27" customWidth="1"/>
    <col min="7175" max="7175" width="19.28515625" style="27" customWidth="1"/>
    <col min="7176" max="7428" width="9.140625" style="27"/>
    <col min="7429" max="7429" width="7.140625" style="27" customWidth="1"/>
    <col min="7430" max="7430" width="47.7109375" style="27" customWidth="1"/>
    <col min="7431" max="7431" width="19.28515625" style="27" customWidth="1"/>
    <col min="7432" max="7684" width="9.140625" style="27"/>
    <col min="7685" max="7685" width="7.140625" style="27" customWidth="1"/>
    <col min="7686" max="7686" width="47.7109375" style="27" customWidth="1"/>
    <col min="7687" max="7687" width="19.28515625" style="27" customWidth="1"/>
    <col min="7688" max="7940" width="9.140625" style="27"/>
    <col min="7941" max="7941" width="7.140625" style="27" customWidth="1"/>
    <col min="7942" max="7942" width="47.7109375" style="27" customWidth="1"/>
    <col min="7943" max="7943" width="19.28515625" style="27" customWidth="1"/>
    <col min="7944" max="8196" width="9.140625" style="27"/>
    <col min="8197" max="8197" width="7.140625" style="27" customWidth="1"/>
    <col min="8198" max="8198" width="47.7109375" style="27" customWidth="1"/>
    <col min="8199" max="8199" width="19.28515625" style="27" customWidth="1"/>
    <col min="8200" max="8452" width="9.140625" style="27"/>
    <col min="8453" max="8453" width="7.140625" style="27" customWidth="1"/>
    <col min="8454" max="8454" width="47.7109375" style="27" customWidth="1"/>
    <col min="8455" max="8455" width="19.28515625" style="27" customWidth="1"/>
    <col min="8456" max="8708" width="9.140625" style="27"/>
    <col min="8709" max="8709" width="7.140625" style="27" customWidth="1"/>
    <col min="8710" max="8710" width="47.7109375" style="27" customWidth="1"/>
    <col min="8711" max="8711" width="19.28515625" style="27" customWidth="1"/>
    <col min="8712" max="8964" width="9.140625" style="27"/>
    <col min="8965" max="8965" width="7.140625" style="27" customWidth="1"/>
    <col min="8966" max="8966" width="47.7109375" style="27" customWidth="1"/>
    <col min="8967" max="8967" width="19.28515625" style="27" customWidth="1"/>
    <col min="8968" max="9220" width="9.140625" style="27"/>
    <col min="9221" max="9221" width="7.140625" style="27" customWidth="1"/>
    <col min="9222" max="9222" width="47.7109375" style="27" customWidth="1"/>
    <col min="9223" max="9223" width="19.28515625" style="27" customWidth="1"/>
    <col min="9224" max="9476" width="9.140625" style="27"/>
    <col min="9477" max="9477" width="7.140625" style="27" customWidth="1"/>
    <col min="9478" max="9478" width="47.7109375" style="27" customWidth="1"/>
    <col min="9479" max="9479" width="19.28515625" style="27" customWidth="1"/>
    <col min="9480" max="9732" width="9.140625" style="27"/>
    <col min="9733" max="9733" width="7.140625" style="27" customWidth="1"/>
    <col min="9734" max="9734" width="47.7109375" style="27" customWidth="1"/>
    <col min="9735" max="9735" width="19.28515625" style="27" customWidth="1"/>
    <col min="9736" max="9988" width="9.140625" style="27"/>
    <col min="9989" max="9989" width="7.140625" style="27" customWidth="1"/>
    <col min="9990" max="9990" width="47.7109375" style="27" customWidth="1"/>
    <col min="9991" max="9991" width="19.28515625" style="27" customWidth="1"/>
    <col min="9992" max="10244" width="9.140625" style="27"/>
    <col min="10245" max="10245" width="7.140625" style="27" customWidth="1"/>
    <col min="10246" max="10246" width="47.7109375" style="27" customWidth="1"/>
    <col min="10247" max="10247" width="19.28515625" style="27" customWidth="1"/>
    <col min="10248" max="10500" width="9.140625" style="27"/>
    <col min="10501" max="10501" width="7.140625" style="27" customWidth="1"/>
    <col min="10502" max="10502" width="47.7109375" style="27" customWidth="1"/>
    <col min="10503" max="10503" width="19.28515625" style="27" customWidth="1"/>
    <col min="10504" max="10756" width="9.140625" style="27"/>
    <col min="10757" max="10757" width="7.140625" style="27" customWidth="1"/>
    <col min="10758" max="10758" width="47.7109375" style="27" customWidth="1"/>
    <col min="10759" max="10759" width="19.28515625" style="27" customWidth="1"/>
    <col min="10760" max="11012" width="9.140625" style="27"/>
    <col min="11013" max="11013" width="7.140625" style="27" customWidth="1"/>
    <col min="11014" max="11014" width="47.7109375" style="27" customWidth="1"/>
    <col min="11015" max="11015" width="19.28515625" style="27" customWidth="1"/>
    <col min="11016" max="11268" width="9.140625" style="27"/>
    <col min="11269" max="11269" width="7.140625" style="27" customWidth="1"/>
    <col min="11270" max="11270" width="47.7109375" style="27" customWidth="1"/>
    <col min="11271" max="11271" width="19.28515625" style="27" customWidth="1"/>
    <col min="11272" max="11524" width="9.140625" style="27"/>
    <col min="11525" max="11525" width="7.140625" style="27" customWidth="1"/>
    <col min="11526" max="11526" width="47.7109375" style="27" customWidth="1"/>
    <col min="11527" max="11527" width="19.28515625" style="27" customWidth="1"/>
    <col min="11528" max="11780" width="9.140625" style="27"/>
    <col min="11781" max="11781" width="7.140625" style="27" customWidth="1"/>
    <col min="11782" max="11782" width="47.7109375" style="27" customWidth="1"/>
    <col min="11783" max="11783" width="19.28515625" style="27" customWidth="1"/>
    <col min="11784" max="12036" width="9.140625" style="27"/>
    <col min="12037" max="12037" width="7.140625" style="27" customWidth="1"/>
    <col min="12038" max="12038" width="47.7109375" style="27" customWidth="1"/>
    <col min="12039" max="12039" width="19.28515625" style="27" customWidth="1"/>
    <col min="12040" max="12292" width="9.140625" style="27"/>
    <col min="12293" max="12293" width="7.140625" style="27" customWidth="1"/>
    <col min="12294" max="12294" width="47.7109375" style="27" customWidth="1"/>
    <col min="12295" max="12295" width="19.28515625" style="27" customWidth="1"/>
    <col min="12296" max="12548" width="9.140625" style="27"/>
    <col min="12549" max="12549" width="7.140625" style="27" customWidth="1"/>
    <col min="12550" max="12550" width="47.7109375" style="27" customWidth="1"/>
    <col min="12551" max="12551" width="19.28515625" style="27" customWidth="1"/>
    <col min="12552" max="12804" width="9.140625" style="27"/>
    <col min="12805" max="12805" width="7.140625" style="27" customWidth="1"/>
    <col min="12806" max="12806" width="47.7109375" style="27" customWidth="1"/>
    <col min="12807" max="12807" width="19.28515625" style="27" customWidth="1"/>
    <col min="12808" max="13060" width="9.140625" style="27"/>
    <col min="13061" max="13061" width="7.140625" style="27" customWidth="1"/>
    <col min="13062" max="13062" width="47.7109375" style="27" customWidth="1"/>
    <col min="13063" max="13063" width="19.28515625" style="27" customWidth="1"/>
    <col min="13064" max="13316" width="9.140625" style="27"/>
    <col min="13317" max="13317" width="7.140625" style="27" customWidth="1"/>
    <col min="13318" max="13318" width="47.7109375" style="27" customWidth="1"/>
    <col min="13319" max="13319" width="19.28515625" style="27" customWidth="1"/>
    <col min="13320" max="13572" width="9.140625" style="27"/>
    <col min="13573" max="13573" width="7.140625" style="27" customWidth="1"/>
    <col min="13574" max="13574" width="47.7109375" style="27" customWidth="1"/>
    <col min="13575" max="13575" width="19.28515625" style="27" customWidth="1"/>
    <col min="13576" max="13828" width="9.140625" style="27"/>
    <col min="13829" max="13829" width="7.140625" style="27" customWidth="1"/>
    <col min="13830" max="13830" width="47.7109375" style="27" customWidth="1"/>
    <col min="13831" max="13831" width="19.28515625" style="27" customWidth="1"/>
    <col min="13832" max="14084" width="9.140625" style="27"/>
    <col min="14085" max="14085" width="7.140625" style="27" customWidth="1"/>
    <col min="14086" max="14086" width="47.7109375" style="27" customWidth="1"/>
    <col min="14087" max="14087" width="19.28515625" style="27" customWidth="1"/>
    <col min="14088" max="14340" width="9.140625" style="27"/>
    <col min="14341" max="14341" width="7.140625" style="27" customWidth="1"/>
    <col min="14342" max="14342" width="47.7109375" style="27" customWidth="1"/>
    <col min="14343" max="14343" width="19.28515625" style="27" customWidth="1"/>
    <col min="14344" max="14596" width="9.140625" style="27"/>
    <col min="14597" max="14597" width="7.140625" style="27" customWidth="1"/>
    <col min="14598" max="14598" width="47.7109375" style="27" customWidth="1"/>
    <col min="14599" max="14599" width="19.28515625" style="27" customWidth="1"/>
    <col min="14600" max="14852" width="9.140625" style="27"/>
    <col min="14853" max="14853" width="7.140625" style="27" customWidth="1"/>
    <col min="14854" max="14854" width="47.7109375" style="27" customWidth="1"/>
    <col min="14855" max="14855" width="19.28515625" style="27" customWidth="1"/>
    <col min="14856" max="15108" width="9.140625" style="27"/>
    <col min="15109" max="15109" width="7.140625" style="27" customWidth="1"/>
    <col min="15110" max="15110" width="47.7109375" style="27" customWidth="1"/>
    <col min="15111" max="15111" width="19.28515625" style="27" customWidth="1"/>
    <col min="15112" max="15364" width="9.140625" style="27"/>
    <col min="15365" max="15365" width="7.140625" style="27" customWidth="1"/>
    <col min="15366" max="15366" width="47.7109375" style="27" customWidth="1"/>
    <col min="15367" max="15367" width="19.28515625" style="27" customWidth="1"/>
    <col min="15368" max="15620" width="9.140625" style="27"/>
    <col min="15621" max="15621" width="7.140625" style="27" customWidth="1"/>
    <col min="15622" max="15622" width="47.7109375" style="27" customWidth="1"/>
    <col min="15623" max="15623" width="19.28515625" style="27" customWidth="1"/>
    <col min="15624" max="15876" width="9.140625" style="27"/>
    <col min="15877" max="15877" width="7.140625" style="27" customWidth="1"/>
    <col min="15878" max="15878" width="47.7109375" style="27" customWidth="1"/>
    <col min="15879" max="15879" width="19.28515625" style="27" customWidth="1"/>
    <col min="15880" max="16132" width="9.140625" style="27"/>
    <col min="16133" max="16133" width="7.140625" style="27" customWidth="1"/>
    <col min="16134" max="16134" width="47.7109375" style="27" customWidth="1"/>
    <col min="16135" max="16135" width="19.28515625" style="27" customWidth="1"/>
    <col min="16136" max="16384" width="9.140625" style="27"/>
  </cols>
  <sheetData>
    <row r="1" spans="1:12">
      <c r="A1" s="1838" t="s">
        <v>2066</v>
      </c>
      <c r="B1" s="1838"/>
      <c r="C1" s="1838"/>
      <c r="G1" s="3"/>
    </row>
    <row r="2" spans="1:12">
      <c r="A2" s="1798" t="s">
        <v>2018</v>
      </c>
      <c r="B2" s="1798"/>
      <c r="C2" s="1798"/>
      <c r="D2" s="4"/>
      <c r="E2" s="4"/>
      <c r="F2" s="4"/>
    </row>
    <row r="3" spans="1:12">
      <c r="A3" s="5"/>
    </row>
    <row r="4" spans="1:12">
      <c r="A4" s="1798" t="str">
        <f>'TTDVNN V '!A4:G4</f>
        <v>DỰ TOÁN THU, CHI NGÂN SÁCH NHÀ NƯỚC NĂM 2025</v>
      </c>
      <c r="B4" s="1798"/>
      <c r="C4" s="1798"/>
      <c r="D4" s="1798"/>
      <c r="E4" s="1798"/>
      <c r="F4" s="1798"/>
      <c r="G4" s="1798"/>
    </row>
    <row r="5" spans="1:12">
      <c r="A5" s="1798" t="s">
        <v>1341</v>
      </c>
      <c r="B5" s="1798"/>
      <c r="C5" s="1798"/>
      <c r="D5" s="1798"/>
      <c r="E5" s="1798"/>
      <c r="F5" s="1798"/>
      <c r="G5" s="1798"/>
    </row>
    <row r="6" spans="1:12">
      <c r="A6" s="1798" t="s">
        <v>1342</v>
      </c>
      <c r="B6" s="1798"/>
      <c r="C6" s="1798"/>
      <c r="D6" s="1798"/>
      <c r="E6" s="1798"/>
      <c r="F6" s="1798"/>
      <c r="G6" s="1798"/>
    </row>
    <row r="7" spans="1:12">
      <c r="A7" s="1798" t="s">
        <v>17</v>
      </c>
      <c r="B7" s="1798"/>
      <c r="C7" s="1798"/>
      <c r="D7" s="1798"/>
      <c r="E7" s="1798"/>
      <c r="F7" s="1798"/>
      <c r="G7" s="1798"/>
    </row>
    <row r="8" spans="1:12">
      <c r="A8" s="1799"/>
      <c r="B8" s="1799"/>
      <c r="C8" s="1799"/>
      <c r="D8" s="1799"/>
      <c r="E8" s="1799"/>
      <c r="F8" s="1799"/>
      <c r="G8" s="1799"/>
    </row>
    <row r="9" spans="1:12">
      <c r="G9" s="6" t="s">
        <v>43</v>
      </c>
    </row>
    <row r="10" spans="1:12" ht="117" customHeight="1">
      <c r="A10" s="7" t="s">
        <v>0</v>
      </c>
      <c r="B10" s="7" t="str">
        <f>'Văn hóa và TT V'!B11</f>
        <v>Nội dung</v>
      </c>
      <c r="C10" s="7" t="str">
        <f>'TTDVNN V '!C11</f>
        <v>Dự toán 
năm 2025</v>
      </c>
      <c r="D10" s="7" t="s">
        <v>18</v>
      </c>
      <c r="E10" s="7" t="str">
        <f>'TTDVNN V '!E11</f>
        <v>Thực hiện cải cách tiền lương từ nguồn tiết kiệm chi 10% của đơn vị</v>
      </c>
      <c r="F10" s="7" t="s">
        <v>117</v>
      </c>
      <c r="G10" s="7" t="s">
        <v>19</v>
      </c>
    </row>
    <row r="11" spans="1:12">
      <c r="A11" s="8" t="s">
        <v>20</v>
      </c>
      <c r="B11" s="8" t="s">
        <v>21</v>
      </c>
      <c r="C11" s="8" t="s">
        <v>22</v>
      </c>
      <c r="D11" s="8" t="s">
        <v>23</v>
      </c>
      <c r="E11" s="8" t="str">
        <f>'TTDVNN V '!E12</f>
        <v>(5)</v>
      </c>
      <c r="F11" s="8" t="str">
        <f>'TTDVNN V '!F12</f>
        <v>(6)=(3)-(4)+(5)</v>
      </c>
      <c r="G11" s="8" t="s">
        <v>1287</v>
      </c>
    </row>
    <row r="12" spans="1:12" ht="37.5">
      <c r="A12" s="7" t="s">
        <v>2</v>
      </c>
      <c r="B12" s="9" t="s">
        <v>3</v>
      </c>
      <c r="C12" s="10"/>
      <c r="D12" s="10"/>
      <c r="E12" s="10"/>
      <c r="F12" s="10"/>
      <c r="G12" s="11"/>
      <c r="L12" s="239">
        <f>F15-'nội vụ V'!F15</f>
        <v>4136995356</v>
      </c>
    </row>
    <row r="13" spans="1:12">
      <c r="A13" s="17">
        <v>1</v>
      </c>
      <c r="B13" s="18" t="s">
        <v>4</v>
      </c>
      <c r="C13" s="19"/>
      <c r="D13" s="19"/>
      <c r="E13" s="19"/>
      <c r="F13" s="19"/>
      <c r="G13" s="11"/>
    </row>
    <row r="14" spans="1:12">
      <c r="A14" s="17">
        <v>2</v>
      </c>
      <c r="B14" s="18" t="s">
        <v>7</v>
      </c>
      <c r="C14" s="19"/>
      <c r="D14" s="19"/>
      <c r="E14" s="19"/>
      <c r="F14" s="19"/>
      <c r="G14" s="11"/>
      <c r="I14" s="239">
        <f>F15-I15</f>
        <v>0</v>
      </c>
      <c r="L14" s="239">
        <f>C15-D15+E15</f>
        <v>12431147356</v>
      </c>
    </row>
    <row r="15" spans="1:12" ht="37.5">
      <c r="A15" s="7" t="s">
        <v>12</v>
      </c>
      <c r="B15" s="9" t="s">
        <v>84</v>
      </c>
      <c r="C15" s="10">
        <f>C16+C34+C49+C37</f>
        <v>12431147356</v>
      </c>
      <c r="D15" s="10">
        <f>D16+D34+D49+D37</f>
        <v>130900000</v>
      </c>
      <c r="E15" s="10">
        <f>E16+E34+E49+E37</f>
        <v>130900000</v>
      </c>
      <c r="F15" s="10">
        <f>F16+F34+F49+F37</f>
        <v>12431147356</v>
      </c>
      <c r="G15" s="11"/>
      <c r="I15" s="239">
        <f>C15+E15-D15</f>
        <v>12431147356</v>
      </c>
      <c r="J15" s="239">
        <f>I15-F15</f>
        <v>0</v>
      </c>
      <c r="L15" s="239">
        <f>'TỔNG HỢP ĐIỀU CHỈNH DỰ TOÁN'!P27*1000000</f>
        <v>11072147356</v>
      </c>
    </row>
    <row r="16" spans="1:12">
      <c r="A16" s="7">
        <v>1</v>
      </c>
      <c r="B16" s="9" t="s">
        <v>121</v>
      </c>
      <c r="C16" s="10">
        <f>C17+C21</f>
        <v>7264894706</v>
      </c>
      <c r="D16" s="10">
        <f>D17+D21</f>
        <v>80900000</v>
      </c>
      <c r="E16" s="10">
        <f>E17+E21</f>
        <v>130900000</v>
      </c>
      <c r="F16" s="10">
        <f>F17+F21</f>
        <v>7314894706</v>
      </c>
      <c r="G16" s="11"/>
      <c r="I16" s="239">
        <f t="shared" ref="I16:I52" si="0">C16+E16-D16</f>
        <v>7314894706</v>
      </c>
      <c r="J16" s="239">
        <f t="shared" ref="J16:J52" si="1">I16-F16</f>
        <v>0</v>
      </c>
      <c r="L16" s="239">
        <f>F15-F34-F50</f>
        <v>10472147356</v>
      </c>
    </row>
    <row r="17" spans="1:12" s="88" customFormat="1" ht="39">
      <c r="A17" s="12" t="s">
        <v>5</v>
      </c>
      <c r="B17" s="13" t="s">
        <v>9</v>
      </c>
      <c r="C17" s="14">
        <f>SUM(C18:C20)</f>
        <v>2017773706</v>
      </c>
      <c r="D17" s="14">
        <f>SUM(D18:D20)</f>
        <v>18900000</v>
      </c>
      <c r="E17" s="14">
        <f>SUM(E18:E20)</f>
        <v>130900000</v>
      </c>
      <c r="F17" s="14">
        <f>SUM(F18:F20)</f>
        <v>2129773706</v>
      </c>
      <c r="G17" s="15"/>
      <c r="I17" s="239">
        <f>C17+E17-D17</f>
        <v>2129773706</v>
      </c>
      <c r="J17" s="239">
        <f t="shared" si="1"/>
        <v>0</v>
      </c>
      <c r="L17" s="1445">
        <f>L14-L15</f>
        <v>1359000000</v>
      </c>
    </row>
    <row r="18" spans="1:12" ht="37.5">
      <c r="A18" s="17" t="s">
        <v>91</v>
      </c>
      <c r="B18" s="18" t="s">
        <v>26</v>
      </c>
      <c r="C18" s="19">
        <f>'Dự toán Chi tiết 2025'!L828+'[13]Sheet1 (2)'!$J$17</f>
        <v>1172278510</v>
      </c>
      <c r="D18" s="19"/>
      <c r="E18" s="19"/>
      <c r="F18" s="19">
        <f>C18-D18+E18</f>
        <v>1172278510</v>
      </c>
      <c r="G18" s="11"/>
      <c r="I18" s="239">
        <f t="shared" si="0"/>
        <v>1172278510</v>
      </c>
      <c r="J18" s="239">
        <f t="shared" si="1"/>
        <v>0</v>
      </c>
      <c r="L18" s="1449">
        <v>4136995356</v>
      </c>
    </row>
    <row r="19" spans="1:12" ht="37.5">
      <c r="A19" s="17" t="s">
        <v>91</v>
      </c>
      <c r="B19" s="18" t="str">
        <f>'TTDVNN V '!B18</f>
        <v>Kinh phí thực hiện cải cách tiền lương</v>
      </c>
      <c r="C19" s="19">
        <f>'Dự toán Chi tiết 2025'!L830+'[13]Sheet1 (2)'!$J$18</f>
        <v>554554343</v>
      </c>
      <c r="D19" s="19"/>
      <c r="E19" s="19">
        <f>D15</f>
        <v>130900000</v>
      </c>
      <c r="F19" s="19">
        <f>C19-D19+E19</f>
        <v>685454343</v>
      </c>
      <c r="G19" s="11"/>
      <c r="I19" s="239">
        <f t="shared" si="0"/>
        <v>685454343</v>
      </c>
      <c r="J19" s="239">
        <f t="shared" si="1"/>
        <v>0</v>
      </c>
      <c r="L19" s="1450">
        <f>F15-'nội vụ V'!F15</f>
        <v>4136995356</v>
      </c>
    </row>
    <row r="20" spans="1:12" ht="37.5">
      <c r="A20" s="17" t="s">
        <v>91</v>
      </c>
      <c r="B20" s="18" t="s">
        <v>27</v>
      </c>
      <c r="C20" s="19">
        <f>'Dự toán Chi tiết 2025'!L831+'[13]Sheet1 (2)'!$J$19</f>
        <v>290940853</v>
      </c>
      <c r="D20" s="19">
        <f>189000000*10%</f>
        <v>18900000</v>
      </c>
      <c r="E20" s="19"/>
      <c r="F20" s="19">
        <f>C20-D20+E20</f>
        <v>272040853</v>
      </c>
      <c r="G20" s="11"/>
      <c r="I20" s="239">
        <f t="shared" si="0"/>
        <v>272040853</v>
      </c>
      <c r="J20" s="239">
        <f t="shared" si="1"/>
        <v>0</v>
      </c>
      <c r="L20" s="239">
        <f>C17+C21</f>
        <v>7264894706</v>
      </c>
    </row>
    <row r="21" spans="1:12" s="88" customFormat="1" ht="39">
      <c r="A21" s="12" t="s">
        <v>6</v>
      </c>
      <c r="B21" s="13" t="str">
        <f>'Văn hóa và TT V'!B22</f>
        <v>Kinh phí nhiệm vụ không thường xuyên</v>
      </c>
      <c r="C21" s="14">
        <f>SUM(C22:C33)</f>
        <v>5247121000</v>
      </c>
      <c r="D21" s="14">
        <f t="shared" ref="D21:F21" si="2">SUM(D22:D33)</f>
        <v>62000000</v>
      </c>
      <c r="E21" s="14">
        <f t="shared" si="2"/>
        <v>0</v>
      </c>
      <c r="F21" s="14">
        <f t="shared" si="2"/>
        <v>5185121000</v>
      </c>
      <c r="G21" s="15"/>
      <c r="I21" s="239">
        <f t="shared" si="0"/>
        <v>5185121000</v>
      </c>
      <c r="J21" s="239">
        <f t="shared" si="1"/>
        <v>0</v>
      </c>
      <c r="L21" s="1445">
        <f>F17+F21</f>
        <v>7314894706</v>
      </c>
    </row>
    <row r="22" spans="1:12" s="1416" customFormat="1">
      <c r="A22" s="1409" t="s">
        <v>91</v>
      </c>
      <c r="B22" s="1410" t="s">
        <v>450</v>
      </c>
      <c r="C22" s="1406">
        <f>'Dự toán Chi tiết 2025'!L833+'[13]Sheet1 (2)'!$J$22</f>
        <v>24200000</v>
      </c>
      <c r="D22" s="1406"/>
      <c r="E22" s="1406"/>
      <c r="F22" s="1406">
        <f>C22-D22+E22</f>
        <v>24200000</v>
      </c>
      <c r="G22" s="1411"/>
      <c r="I22" s="1417"/>
      <c r="J22" s="1417"/>
      <c r="L22" s="1417">
        <f>L21-L20</f>
        <v>50000000</v>
      </c>
    </row>
    <row r="23" spans="1:12" s="1416" customFormat="1">
      <c r="A23" s="1418" t="s">
        <v>91</v>
      </c>
      <c r="B23" s="1410" t="str">
        <f>'Dự toán Chi tiết 2025'!B834</f>
        <v>Kinh phí tổ chức Đại hội</v>
      </c>
      <c r="C23" s="1406">
        <f>'Dự toán Chi tiết 2025'!L834+'[13]Sheet1 (2)'!$J$23</f>
        <v>17400000</v>
      </c>
      <c r="D23" s="1406"/>
      <c r="E23" s="1406"/>
      <c r="F23" s="1406">
        <f>C23-D23+E23</f>
        <v>17400000</v>
      </c>
      <c r="G23" s="1411"/>
      <c r="I23" s="1417"/>
      <c r="J23" s="1417"/>
    </row>
    <row r="24" spans="1:12">
      <c r="A24" s="17" t="s">
        <v>91</v>
      </c>
      <c r="B24" s="18" t="s">
        <v>1141</v>
      </c>
      <c r="C24" s="19">
        <f>'Dự toán Chi tiết 2025'!L835</f>
        <v>36000000</v>
      </c>
      <c r="D24" s="19"/>
      <c r="E24" s="19"/>
      <c r="F24" s="19">
        <f t="shared" ref="F24:F32" si="3">C24-D24+E24</f>
        <v>36000000</v>
      </c>
      <c r="G24" s="11"/>
      <c r="I24" s="239"/>
      <c r="J24" s="239"/>
    </row>
    <row r="25" spans="1:12" ht="66.75" customHeight="1">
      <c r="A25" s="17" t="s">
        <v>91</v>
      </c>
      <c r="B25" s="20" t="str">
        <f>'Dự toán Chi tiết 2025'!B836</f>
        <v>KP thực hiện cải cách hành chính và kiểm tra công tác cán bộ, CCHC, KL, KCHC</v>
      </c>
      <c r="C25" s="19">
        <f>'Dự toán Chi tiết 2025'!L836</f>
        <v>210000000</v>
      </c>
      <c r="D25" s="19">
        <f>C25*10%</f>
        <v>21000000</v>
      </c>
      <c r="E25" s="19"/>
      <c r="F25" s="19">
        <f t="shared" si="3"/>
        <v>189000000</v>
      </c>
      <c r="G25" s="11"/>
      <c r="I25" s="239"/>
      <c r="J25" s="239"/>
    </row>
    <row r="26" spans="1:12" ht="93" customHeight="1">
      <c r="A26" s="17" t="s">
        <v>91</v>
      </c>
      <c r="B26" s="18" t="str">
        <f>'Dự toán Chi tiết 2025'!B837</f>
        <v>Chi tôn giáo, QLNN về thanh niên và công tác tổ chức, quản lý cán bộ, công chức, viên chức, cán bộ, công chức cấp xã; TCPCP và tập huấn</v>
      </c>
      <c r="C26" s="19">
        <f>'Dự toán Chi tiết 2025'!L837</f>
        <v>150000000</v>
      </c>
      <c r="D26" s="19">
        <f>C26*10%</f>
        <v>15000000</v>
      </c>
      <c r="E26" s="19"/>
      <c r="F26" s="19">
        <f t="shared" si="3"/>
        <v>135000000</v>
      </c>
      <c r="G26" s="11"/>
      <c r="I26" s="239"/>
      <c r="J26" s="239"/>
    </row>
    <row r="27" spans="1:12" ht="37.5">
      <c r="A27" s="17" t="s">
        <v>91</v>
      </c>
      <c r="B27" s="18" t="s">
        <v>1486</v>
      </c>
      <c r="C27" s="19">
        <f>'Dự toán Chi tiết 2025'!L844</f>
        <v>10000000</v>
      </c>
      <c r="D27" s="19">
        <f>C27*10%</f>
        <v>1000000</v>
      </c>
      <c r="E27" s="19"/>
      <c r="F27" s="19">
        <f t="shared" si="3"/>
        <v>9000000</v>
      </c>
      <c r="G27" s="11"/>
      <c r="I27" s="239"/>
      <c r="J27" s="239"/>
    </row>
    <row r="28" spans="1:12" ht="56.25">
      <c r="A28" s="17" t="s">
        <v>91</v>
      </c>
      <c r="B28" s="18" t="str">
        <f>'Dự toán Chi tiết 2025'!B843</f>
        <v>Kinh phí chi công tác QLNN và một số nhiệm vụ phát sinh trong năm UBND TP giao</v>
      </c>
      <c r="C28" s="19">
        <f>'Dự toán Chi tiết 2025'!L843</f>
        <v>30000000</v>
      </c>
      <c r="D28" s="19">
        <f>C28*10%</f>
        <v>3000000</v>
      </c>
      <c r="E28" s="19"/>
      <c r="F28" s="19">
        <f t="shared" si="3"/>
        <v>27000000</v>
      </c>
      <c r="G28" s="11"/>
      <c r="I28" s="239"/>
      <c r="J28" s="239"/>
    </row>
    <row r="29" spans="1:12" ht="37.5">
      <c r="A29" s="17" t="s">
        <v>91</v>
      </c>
      <c r="B29" s="18" t="str">
        <f>'Dự toán Chi tiết 2025'!B845</f>
        <v>Kinh phí thi tuyển giáo viên, công chức cấp xã</v>
      </c>
      <c r="C29" s="19">
        <f>'Dự toán Chi tiết 2025'!L845</f>
        <v>100000000</v>
      </c>
      <c r="D29" s="19">
        <f>C29*10%</f>
        <v>10000000</v>
      </c>
      <c r="E29" s="19"/>
      <c r="F29" s="19">
        <f t="shared" si="3"/>
        <v>90000000</v>
      </c>
      <c r="G29" s="11"/>
      <c r="I29" s="239"/>
      <c r="J29" s="239"/>
    </row>
    <row r="30" spans="1:12">
      <c r="A30" s="17" t="s">
        <v>91</v>
      </c>
      <c r="B30" s="18" t="str">
        <f>'Dự toán Chi tiết 2025'!B840</f>
        <v>Kinh phí HN điển hình tiên tiến</v>
      </c>
      <c r="C30" s="19">
        <f>'Dự toán Chi tiết 2025'!L840</f>
        <v>120000000</v>
      </c>
      <c r="D30" s="19">
        <f t="shared" ref="D30" si="4">C30*10%</f>
        <v>12000000</v>
      </c>
      <c r="E30" s="19"/>
      <c r="F30" s="19">
        <f t="shared" si="3"/>
        <v>108000000</v>
      </c>
      <c r="G30" s="11"/>
      <c r="I30" s="239"/>
      <c r="J30" s="239"/>
    </row>
    <row r="31" spans="1:12" s="1416" customFormat="1" ht="112.5">
      <c r="A31" s="1409" t="s">
        <v>91</v>
      </c>
      <c r="B31" s="1410" t="str">
        <f>'Lap động tbxh_điều chỉnh'!B28</f>
        <v>Hoạt động điều tra, rà soát, đánh giá hộ nghèo; Quản lý nhà nước về người cao tuổi; bình đẳng giới; ban vì sự tiến bộ của phụ nữ; tệ nạn xã hội, Người khuyết tật; trẻ em; lao động việc làm….</v>
      </c>
      <c r="C31" s="1406">
        <f>'[13]Sheet1 (2)'!$J$27</f>
        <v>49521000</v>
      </c>
      <c r="D31" s="1406"/>
      <c r="E31" s="1406"/>
      <c r="F31" s="1406">
        <f t="shared" si="3"/>
        <v>49521000</v>
      </c>
      <c r="G31" s="1411"/>
      <c r="I31" s="1417"/>
      <c r="J31" s="1417"/>
    </row>
    <row r="32" spans="1:12" hidden="1">
      <c r="A32" s="17" t="s">
        <v>91</v>
      </c>
      <c r="B32" s="18" t="s">
        <v>1145</v>
      </c>
      <c r="C32" s="19">
        <f>'Dự toán Chi tiết 2025'!L846</f>
        <v>0</v>
      </c>
      <c r="D32" s="19">
        <f>C32*10%</f>
        <v>0</v>
      </c>
      <c r="E32" s="19"/>
      <c r="F32" s="19">
        <f t="shared" si="3"/>
        <v>0</v>
      </c>
      <c r="G32" s="11"/>
      <c r="I32" s="239"/>
      <c r="J32" s="239"/>
    </row>
    <row r="33" spans="1:10">
      <c r="A33" s="17" t="s">
        <v>91</v>
      </c>
      <c r="B33" s="22" t="s">
        <v>1344</v>
      </c>
      <c r="C33" s="19">
        <f>'Dự toán Chi tiết 2025'!L1176</f>
        <v>4500000000</v>
      </c>
      <c r="D33" s="19"/>
      <c r="E33" s="19"/>
      <c r="F33" s="19">
        <f>C33-D33</f>
        <v>4500000000</v>
      </c>
      <c r="G33" s="11"/>
      <c r="I33" s="239">
        <f>C33+E33-D33</f>
        <v>4500000000</v>
      </c>
      <c r="J33" s="239">
        <f>I33-F33</f>
        <v>0</v>
      </c>
    </row>
    <row r="34" spans="1:10" s="71" customFormat="1" ht="37.5">
      <c r="A34" s="7">
        <v>2</v>
      </c>
      <c r="B34" s="286" t="s">
        <v>1343</v>
      </c>
      <c r="C34" s="207">
        <f>C35</f>
        <v>500000000</v>
      </c>
      <c r="D34" s="207">
        <f>D35</f>
        <v>50000000</v>
      </c>
      <c r="E34" s="207"/>
      <c r="F34" s="207">
        <f>F35</f>
        <v>450000000</v>
      </c>
      <c r="G34" s="207"/>
      <c r="I34" s="239">
        <f t="shared" si="0"/>
        <v>450000000</v>
      </c>
      <c r="J34" s="239">
        <f t="shared" si="1"/>
        <v>0</v>
      </c>
    </row>
    <row r="35" spans="1:10" ht="39">
      <c r="A35" s="12" t="s">
        <v>91</v>
      </c>
      <c r="B35" s="13" t="s">
        <v>10</v>
      </c>
      <c r="C35" s="14">
        <f>SUM(C36:C36)</f>
        <v>500000000</v>
      </c>
      <c r="D35" s="14">
        <f>SUM(D36:D36)</f>
        <v>50000000</v>
      </c>
      <c r="E35" s="14">
        <f>SUM(E36:E36)</f>
        <v>0</v>
      </c>
      <c r="F35" s="14">
        <f>SUM(F36:F36)</f>
        <v>450000000</v>
      </c>
      <c r="G35" s="15"/>
      <c r="I35" s="239">
        <f t="shared" si="0"/>
        <v>450000000</v>
      </c>
      <c r="J35" s="239">
        <f t="shared" si="1"/>
        <v>0</v>
      </c>
    </row>
    <row r="36" spans="1:10" ht="37.5">
      <c r="A36" s="12"/>
      <c r="B36" s="18" t="s">
        <v>2010</v>
      </c>
      <c r="C36" s="14">
        <v>500000000</v>
      </c>
      <c r="D36" s="19">
        <f t="shared" ref="D36" si="5">C36*10%</f>
        <v>50000000</v>
      </c>
      <c r="E36" s="14"/>
      <c r="F36" s="19">
        <f>C36-D36</f>
        <v>450000000</v>
      </c>
      <c r="G36" s="15"/>
      <c r="I36" s="239"/>
      <c r="J36" s="239"/>
    </row>
    <row r="37" spans="1:10" s="1421" customFormat="1">
      <c r="A37" s="1404">
        <v>4</v>
      </c>
      <c r="B37" s="1419" t="str">
        <f>'Lap động tbxh_điều chỉnh'!B29</f>
        <v>Chi đảm bảo xã hội</v>
      </c>
      <c r="C37" s="1420">
        <f>C38</f>
        <v>3157252650</v>
      </c>
      <c r="D37" s="1420">
        <f t="shared" ref="D37:F37" si="6">D38</f>
        <v>0</v>
      </c>
      <c r="E37" s="1420">
        <f t="shared" si="6"/>
        <v>0</v>
      </c>
      <c r="F37" s="1420">
        <f t="shared" si="6"/>
        <v>3157252650</v>
      </c>
      <c r="G37" s="1420"/>
      <c r="I37" s="1417">
        <f t="shared" ref="I37:I40" si="7">C37+E37-D37</f>
        <v>3157252650</v>
      </c>
      <c r="J37" s="1417">
        <f t="shared" ref="J37:J40" si="8">I37-F37</f>
        <v>0</v>
      </c>
    </row>
    <row r="38" spans="1:10" ht="39">
      <c r="A38" s="12" t="s">
        <v>91</v>
      </c>
      <c r="B38" s="13" t="s">
        <v>10</v>
      </c>
      <c r="C38" s="14">
        <f>C39+C41</f>
        <v>3157252650</v>
      </c>
      <c r="D38" s="14">
        <f t="shared" ref="D38:F38" si="9">D39+D41</f>
        <v>0</v>
      </c>
      <c r="E38" s="14">
        <f t="shared" si="9"/>
        <v>0</v>
      </c>
      <c r="F38" s="14">
        <f t="shared" si="9"/>
        <v>3157252650</v>
      </c>
      <c r="G38" s="15"/>
      <c r="I38" s="239">
        <f t="shared" si="7"/>
        <v>3157252650</v>
      </c>
      <c r="J38" s="239">
        <f t="shared" si="8"/>
        <v>0</v>
      </c>
    </row>
    <row r="39" spans="1:10" s="1421" customFormat="1" ht="78">
      <c r="A39" s="1422"/>
      <c r="B39" s="1423" t="str">
        <f>'Lap động tbxh_điều chỉnh'!B31</f>
        <v>Chính sách và hoạt động phục vụ các đối tượng bảo trợ xã hội và các đối tượng khác (Loại 370, Khoản 398)</v>
      </c>
      <c r="C39" s="1407">
        <f>C40</f>
        <v>30500000</v>
      </c>
      <c r="D39" s="1407"/>
      <c r="E39" s="1407"/>
      <c r="F39" s="1405">
        <f>C39-D39</f>
        <v>30500000</v>
      </c>
      <c r="G39" s="1424"/>
      <c r="I39" s="1425"/>
      <c r="J39" s="1425"/>
    </row>
    <row r="40" spans="1:10" s="1416" customFormat="1" ht="45" customHeight="1">
      <c r="A40" s="1409" t="s">
        <v>91</v>
      </c>
      <c r="B40" s="1415" t="str">
        <f>'Lap động tbxh_điều chỉnh'!B34</f>
        <v>Chi thu gom đối tượng lang thang ăn xin</v>
      </c>
      <c r="C40" s="1406">
        <f>'[13]Sheet1 (2)'!$J$33</f>
        <v>30500000</v>
      </c>
      <c r="D40" s="1406"/>
      <c r="E40" s="1406"/>
      <c r="F40" s="1406">
        <f>C40-D40</f>
        <v>30500000</v>
      </c>
      <c r="G40" s="1411"/>
      <c r="I40" s="1417">
        <f t="shared" si="7"/>
        <v>30500000</v>
      </c>
      <c r="J40" s="1417">
        <f t="shared" si="8"/>
        <v>0</v>
      </c>
    </row>
    <row r="41" spans="1:10" s="1421" customFormat="1" ht="58.5">
      <c r="A41" s="1404"/>
      <c r="B41" s="1426" t="s">
        <v>654</v>
      </c>
      <c r="C41" s="1405">
        <f>SUM(C42:C48)</f>
        <v>3126752650</v>
      </c>
      <c r="D41" s="1405">
        <f t="shared" ref="D41:F41" si="10">SUM(D42:D48)</f>
        <v>0</v>
      </c>
      <c r="E41" s="1405">
        <f t="shared" si="10"/>
        <v>0</v>
      </c>
      <c r="F41" s="1405">
        <f t="shared" si="10"/>
        <v>3126752650</v>
      </c>
      <c r="G41" s="1427"/>
      <c r="I41" s="1425"/>
      <c r="J41" s="1425"/>
    </row>
    <row r="42" spans="1:10" s="1416" customFormat="1" ht="93.75">
      <c r="A42" s="1409"/>
      <c r="B42" s="1413" t="s">
        <v>363</v>
      </c>
      <c r="C42" s="1406">
        <f>'[13]Sheet1 (2)'!$J$42</f>
        <v>53798050</v>
      </c>
      <c r="D42" s="1406"/>
      <c r="E42" s="1406"/>
      <c r="F42" s="1406">
        <f>C42-D42</f>
        <v>53798050</v>
      </c>
      <c r="G42" s="1411"/>
      <c r="I42" s="1417"/>
      <c r="J42" s="1417"/>
    </row>
    <row r="43" spans="1:10" s="1416" customFormat="1" ht="37.5">
      <c r="A43" s="1409"/>
      <c r="B43" s="1413" t="s">
        <v>1286</v>
      </c>
      <c r="C43" s="1406">
        <f>'[13]Sheet1 (2)'!$J$43</f>
        <v>2545200000</v>
      </c>
      <c r="D43" s="1406"/>
      <c r="E43" s="1406"/>
      <c r="F43" s="1406">
        <f t="shared" ref="F43:F48" si="11">C43-D43</f>
        <v>2545200000</v>
      </c>
      <c r="G43" s="1411"/>
      <c r="I43" s="1417"/>
      <c r="J43" s="1417"/>
    </row>
    <row r="44" spans="1:10" s="1416" customFormat="1" ht="93.75">
      <c r="A44" s="1409"/>
      <c r="B44" s="1413" t="s">
        <v>2064</v>
      </c>
      <c r="C44" s="1406">
        <f>'[13]Sheet1 (2)'!$J$44</f>
        <v>207500000</v>
      </c>
      <c r="D44" s="1406"/>
      <c r="E44" s="1406"/>
      <c r="F44" s="1406">
        <f t="shared" si="11"/>
        <v>207500000</v>
      </c>
      <c r="G44" s="1411"/>
      <c r="I44" s="1417"/>
      <c r="J44" s="1417"/>
    </row>
    <row r="45" spans="1:10" s="1416" customFormat="1" ht="37.5">
      <c r="A45" s="1409"/>
      <c r="B45" s="1413" t="s">
        <v>366</v>
      </c>
      <c r="C45" s="1406">
        <f>'[13]Sheet1 (2)'!$J$45</f>
        <v>10661000</v>
      </c>
      <c r="D45" s="1406"/>
      <c r="E45" s="1406"/>
      <c r="F45" s="1406">
        <f t="shared" si="11"/>
        <v>10661000</v>
      </c>
      <c r="G45" s="1411"/>
      <c r="I45" s="1417"/>
      <c r="J45" s="1417"/>
    </row>
    <row r="46" spans="1:10" s="1416" customFormat="1" ht="37.5">
      <c r="A46" s="1409"/>
      <c r="B46" s="1413" t="s">
        <v>367</v>
      </c>
      <c r="C46" s="1406">
        <f>'[13]Sheet1 (2)'!$J$46</f>
        <v>30000000</v>
      </c>
      <c r="D46" s="1406"/>
      <c r="E46" s="1406"/>
      <c r="F46" s="1406">
        <f t="shared" si="11"/>
        <v>30000000</v>
      </c>
      <c r="G46" s="1411"/>
      <c r="I46" s="1417"/>
      <c r="J46" s="1417"/>
    </row>
    <row r="47" spans="1:10" s="1416" customFormat="1" ht="37.5">
      <c r="A47" s="1409"/>
      <c r="B47" s="1413" t="s">
        <v>2065</v>
      </c>
      <c r="C47" s="1406">
        <f>'[13]Sheet1 (2)'!$J$47</f>
        <v>35000000</v>
      </c>
      <c r="D47" s="1406"/>
      <c r="E47" s="1406"/>
      <c r="F47" s="1406">
        <f t="shared" si="11"/>
        <v>35000000</v>
      </c>
      <c r="G47" s="1411"/>
      <c r="I47" s="1417"/>
      <c r="J47" s="1417"/>
    </row>
    <row r="48" spans="1:10" s="1416" customFormat="1" ht="37.5">
      <c r="A48" s="1409"/>
      <c r="B48" s="1413" t="s">
        <v>369</v>
      </c>
      <c r="C48" s="1406">
        <f>'[13]Sheet1 (2)'!$J$48</f>
        <v>244593600</v>
      </c>
      <c r="D48" s="1406"/>
      <c r="E48" s="1406"/>
      <c r="F48" s="1406">
        <f t="shared" si="11"/>
        <v>244593600</v>
      </c>
      <c r="G48" s="1411"/>
      <c r="I48" s="1417"/>
      <c r="J48" s="1417"/>
    </row>
    <row r="49" spans="1:10" s="71" customFormat="1">
      <c r="A49" s="7">
        <v>5</v>
      </c>
      <c r="B49" s="286" t="s">
        <v>1485</v>
      </c>
      <c r="C49" s="207">
        <f>C50</f>
        <v>1509000000</v>
      </c>
      <c r="D49" s="207">
        <f>D50</f>
        <v>0</v>
      </c>
      <c r="E49" s="207"/>
      <c r="F49" s="207">
        <f>F50</f>
        <v>1509000000</v>
      </c>
      <c r="G49" s="207"/>
      <c r="I49" s="239">
        <f t="shared" si="0"/>
        <v>1509000000</v>
      </c>
      <c r="J49" s="239">
        <f t="shared" si="1"/>
        <v>0</v>
      </c>
    </row>
    <row r="50" spans="1:10" ht="39">
      <c r="A50" s="12" t="s">
        <v>91</v>
      </c>
      <c r="B50" s="13" t="s">
        <v>10</v>
      </c>
      <c r="C50" s="14">
        <f>SUM(C51:C52)</f>
        <v>1509000000</v>
      </c>
      <c r="D50" s="14">
        <f t="shared" ref="D50:F50" si="12">SUM(D51:D52)</f>
        <v>0</v>
      </c>
      <c r="E50" s="14">
        <f t="shared" si="12"/>
        <v>0</v>
      </c>
      <c r="F50" s="14">
        <f t="shared" si="12"/>
        <v>1509000000</v>
      </c>
      <c r="G50" s="15"/>
      <c r="I50" s="239">
        <f t="shared" si="0"/>
        <v>1509000000</v>
      </c>
      <c r="J50" s="239">
        <f t="shared" si="1"/>
        <v>0</v>
      </c>
    </row>
    <row r="51" spans="1:10" s="1416" customFormat="1" ht="75">
      <c r="A51" s="1409" t="s">
        <v>91</v>
      </c>
      <c r="B51" s="1410" t="str">
        <f>'Lap động tbxh_điều chỉnh'!B52</f>
        <v>Chi thực hiện miễn giảm học phí và hỗ trợ chi phí học tập theo Nghị định 81/2021/NĐ-CP ngày 27/8/2021 của Chính phủ</v>
      </c>
      <c r="C51" s="1406">
        <f>'[13]Sheet1 (2)'!$J$51</f>
        <v>100000000</v>
      </c>
      <c r="D51" s="1406"/>
      <c r="E51" s="1406"/>
      <c r="F51" s="1406">
        <f>C51-D51</f>
        <v>100000000</v>
      </c>
      <c r="G51" s="1424"/>
      <c r="I51" s="1417"/>
      <c r="J51" s="1417"/>
    </row>
    <row r="52" spans="1:10">
      <c r="A52" s="17" t="s">
        <v>91</v>
      </c>
      <c r="B52" s="1399" t="str">
        <f>'Dự toán Chi tiết 2025'!B841</f>
        <v>Kinh phí đào tạo, bồi dưỡng</v>
      </c>
      <c r="C52" s="19">
        <f>'Dự toán Chi tiết 2025'!L464</f>
        <v>1409000000</v>
      </c>
      <c r="D52" s="19"/>
      <c r="E52" s="19"/>
      <c r="F52" s="19">
        <f>C52-D52</f>
        <v>1409000000</v>
      </c>
      <c r="G52" s="11"/>
      <c r="I52" s="239">
        <f t="shared" si="0"/>
        <v>1409000000</v>
      </c>
      <c r="J52" s="239">
        <f t="shared" si="1"/>
        <v>0</v>
      </c>
    </row>
  </sheetData>
  <mergeCells count="7">
    <mergeCell ref="A8:G8"/>
    <mergeCell ref="A1:C1"/>
    <mergeCell ref="A2:C2"/>
    <mergeCell ref="A4:G4"/>
    <mergeCell ref="A5:G5"/>
    <mergeCell ref="A6:G6"/>
    <mergeCell ref="A7:G7"/>
  </mergeCells>
  <pageMargins left="0.70866141732283472" right="0.70866141732283472" top="0.74803149606299213" bottom="0.74803149606299213" header="0.31496062992125984" footer="0.31496062992125984"/>
  <pageSetup paperSize="9" scale="62" fitToHeight="0"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8"/>
  <sheetViews>
    <sheetView topLeftCell="A13" workbookViewId="0">
      <selection activeCell="F15" sqref="F15"/>
    </sheetView>
  </sheetViews>
  <sheetFormatPr defaultRowHeight="18.75"/>
  <cols>
    <col min="1" max="1" width="7.140625" style="27" customWidth="1"/>
    <col min="2" max="2" width="38.5703125" style="27" customWidth="1"/>
    <col min="3" max="3" width="19.28515625" style="27" customWidth="1"/>
    <col min="4" max="5" width="21.140625" style="27" customWidth="1"/>
    <col min="6" max="6" width="19.42578125" style="27" customWidth="1"/>
    <col min="7" max="7" width="12.28515625" style="27" customWidth="1"/>
    <col min="8" max="8" width="0" style="27" hidden="1" customWidth="1"/>
    <col min="9" max="9" width="16.7109375" style="27" hidden="1" customWidth="1"/>
    <col min="10" max="11" width="0" style="27" hidden="1" customWidth="1"/>
    <col min="12" max="12" width="14.42578125" style="27" bestFit="1" customWidth="1"/>
    <col min="13" max="260" width="9.140625" style="27"/>
    <col min="261" max="261" width="7.140625" style="27" customWidth="1"/>
    <col min="262" max="262" width="47.7109375" style="27" customWidth="1"/>
    <col min="263" max="263" width="19.28515625" style="27" customWidth="1"/>
    <col min="264" max="516" width="9.140625" style="27"/>
    <col min="517" max="517" width="7.140625" style="27" customWidth="1"/>
    <col min="518" max="518" width="47.7109375" style="27" customWidth="1"/>
    <col min="519" max="519" width="19.28515625" style="27" customWidth="1"/>
    <col min="520" max="772" width="9.140625" style="27"/>
    <col min="773" max="773" width="7.140625" style="27" customWidth="1"/>
    <col min="774" max="774" width="47.7109375" style="27" customWidth="1"/>
    <col min="775" max="775" width="19.28515625" style="27" customWidth="1"/>
    <col min="776" max="1028" width="9.140625" style="27"/>
    <col min="1029" max="1029" width="7.140625" style="27" customWidth="1"/>
    <col min="1030" max="1030" width="47.7109375" style="27" customWidth="1"/>
    <col min="1031" max="1031" width="19.28515625" style="27" customWidth="1"/>
    <col min="1032" max="1284" width="9.140625" style="27"/>
    <col min="1285" max="1285" width="7.140625" style="27" customWidth="1"/>
    <col min="1286" max="1286" width="47.7109375" style="27" customWidth="1"/>
    <col min="1287" max="1287" width="19.28515625" style="27" customWidth="1"/>
    <col min="1288" max="1540" width="9.140625" style="27"/>
    <col min="1541" max="1541" width="7.140625" style="27" customWidth="1"/>
    <col min="1542" max="1542" width="47.7109375" style="27" customWidth="1"/>
    <col min="1543" max="1543" width="19.28515625" style="27" customWidth="1"/>
    <col min="1544" max="1796" width="9.140625" style="27"/>
    <col min="1797" max="1797" width="7.140625" style="27" customWidth="1"/>
    <col min="1798" max="1798" width="47.7109375" style="27" customWidth="1"/>
    <col min="1799" max="1799" width="19.28515625" style="27" customWidth="1"/>
    <col min="1800" max="2052" width="9.140625" style="27"/>
    <col min="2053" max="2053" width="7.140625" style="27" customWidth="1"/>
    <col min="2054" max="2054" width="47.7109375" style="27" customWidth="1"/>
    <col min="2055" max="2055" width="19.28515625" style="27" customWidth="1"/>
    <col min="2056" max="2308" width="9.140625" style="27"/>
    <col min="2309" max="2309" width="7.140625" style="27" customWidth="1"/>
    <col min="2310" max="2310" width="47.7109375" style="27" customWidth="1"/>
    <col min="2311" max="2311" width="19.28515625" style="27" customWidth="1"/>
    <col min="2312" max="2564" width="9.140625" style="27"/>
    <col min="2565" max="2565" width="7.140625" style="27" customWidth="1"/>
    <col min="2566" max="2566" width="47.7109375" style="27" customWidth="1"/>
    <col min="2567" max="2567" width="19.28515625" style="27" customWidth="1"/>
    <col min="2568" max="2820" width="9.140625" style="27"/>
    <col min="2821" max="2821" width="7.140625" style="27" customWidth="1"/>
    <col min="2822" max="2822" width="47.7109375" style="27" customWidth="1"/>
    <col min="2823" max="2823" width="19.28515625" style="27" customWidth="1"/>
    <col min="2824" max="3076" width="9.140625" style="27"/>
    <col min="3077" max="3077" width="7.140625" style="27" customWidth="1"/>
    <col min="3078" max="3078" width="47.7109375" style="27" customWidth="1"/>
    <col min="3079" max="3079" width="19.28515625" style="27" customWidth="1"/>
    <col min="3080" max="3332" width="9.140625" style="27"/>
    <col min="3333" max="3333" width="7.140625" style="27" customWidth="1"/>
    <col min="3334" max="3334" width="47.7109375" style="27" customWidth="1"/>
    <col min="3335" max="3335" width="19.28515625" style="27" customWidth="1"/>
    <col min="3336" max="3588" width="9.140625" style="27"/>
    <col min="3589" max="3589" width="7.140625" style="27" customWidth="1"/>
    <col min="3590" max="3590" width="47.7109375" style="27" customWidth="1"/>
    <col min="3591" max="3591" width="19.28515625" style="27" customWidth="1"/>
    <col min="3592" max="3844" width="9.140625" style="27"/>
    <col min="3845" max="3845" width="7.140625" style="27" customWidth="1"/>
    <col min="3846" max="3846" width="47.7109375" style="27" customWidth="1"/>
    <col min="3847" max="3847" width="19.28515625" style="27" customWidth="1"/>
    <col min="3848" max="4100" width="9.140625" style="27"/>
    <col min="4101" max="4101" width="7.140625" style="27" customWidth="1"/>
    <col min="4102" max="4102" width="47.7109375" style="27" customWidth="1"/>
    <col min="4103" max="4103" width="19.28515625" style="27" customWidth="1"/>
    <col min="4104" max="4356" width="9.140625" style="27"/>
    <col min="4357" max="4357" width="7.140625" style="27" customWidth="1"/>
    <col min="4358" max="4358" width="47.7109375" style="27" customWidth="1"/>
    <col min="4359" max="4359" width="19.28515625" style="27" customWidth="1"/>
    <col min="4360" max="4612" width="9.140625" style="27"/>
    <col min="4613" max="4613" width="7.140625" style="27" customWidth="1"/>
    <col min="4614" max="4614" width="47.7109375" style="27" customWidth="1"/>
    <col min="4615" max="4615" width="19.28515625" style="27" customWidth="1"/>
    <col min="4616" max="4868" width="9.140625" style="27"/>
    <col min="4869" max="4869" width="7.140625" style="27" customWidth="1"/>
    <col min="4870" max="4870" width="47.7109375" style="27" customWidth="1"/>
    <col min="4871" max="4871" width="19.28515625" style="27" customWidth="1"/>
    <col min="4872" max="5124" width="9.140625" style="27"/>
    <col min="5125" max="5125" width="7.140625" style="27" customWidth="1"/>
    <col min="5126" max="5126" width="47.7109375" style="27" customWidth="1"/>
    <col min="5127" max="5127" width="19.28515625" style="27" customWidth="1"/>
    <col min="5128" max="5380" width="9.140625" style="27"/>
    <col min="5381" max="5381" width="7.140625" style="27" customWidth="1"/>
    <col min="5382" max="5382" width="47.7109375" style="27" customWidth="1"/>
    <col min="5383" max="5383" width="19.28515625" style="27" customWidth="1"/>
    <col min="5384" max="5636" width="9.140625" style="27"/>
    <col min="5637" max="5637" width="7.140625" style="27" customWidth="1"/>
    <col min="5638" max="5638" width="47.7109375" style="27" customWidth="1"/>
    <col min="5639" max="5639" width="19.28515625" style="27" customWidth="1"/>
    <col min="5640" max="5892" width="9.140625" style="27"/>
    <col min="5893" max="5893" width="7.140625" style="27" customWidth="1"/>
    <col min="5894" max="5894" width="47.7109375" style="27" customWidth="1"/>
    <col min="5895" max="5895" width="19.28515625" style="27" customWidth="1"/>
    <col min="5896" max="6148" width="9.140625" style="27"/>
    <col min="6149" max="6149" width="7.140625" style="27" customWidth="1"/>
    <col min="6150" max="6150" width="47.7109375" style="27" customWidth="1"/>
    <col min="6151" max="6151" width="19.28515625" style="27" customWidth="1"/>
    <col min="6152" max="6404" width="9.140625" style="27"/>
    <col min="6405" max="6405" width="7.140625" style="27" customWidth="1"/>
    <col min="6406" max="6406" width="47.7109375" style="27" customWidth="1"/>
    <col min="6407" max="6407" width="19.28515625" style="27" customWidth="1"/>
    <col min="6408" max="6660" width="9.140625" style="27"/>
    <col min="6661" max="6661" width="7.140625" style="27" customWidth="1"/>
    <col min="6662" max="6662" width="47.7109375" style="27" customWidth="1"/>
    <col min="6663" max="6663" width="19.28515625" style="27" customWidth="1"/>
    <col min="6664" max="6916" width="9.140625" style="27"/>
    <col min="6917" max="6917" width="7.140625" style="27" customWidth="1"/>
    <col min="6918" max="6918" width="47.7109375" style="27" customWidth="1"/>
    <col min="6919" max="6919" width="19.28515625" style="27" customWidth="1"/>
    <col min="6920" max="7172" width="9.140625" style="27"/>
    <col min="7173" max="7173" width="7.140625" style="27" customWidth="1"/>
    <col min="7174" max="7174" width="47.7109375" style="27" customWidth="1"/>
    <col min="7175" max="7175" width="19.28515625" style="27" customWidth="1"/>
    <col min="7176" max="7428" width="9.140625" style="27"/>
    <col min="7429" max="7429" width="7.140625" style="27" customWidth="1"/>
    <col min="7430" max="7430" width="47.7109375" style="27" customWidth="1"/>
    <col min="7431" max="7431" width="19.28515625" style="27" customWidth="1"/>
    <col min="7432" max="7684" width="9.140625" style="27"/>
    <col min="7685" max="7685" width="7.140625" style="27" customWidth="1"/>
    <col min="7686" max="7686" width="47.7109375" style="27" customWidth="1"/>
    <col min="7687" max="7687" width="19.28515625" style="27" customWidth="1"/>
    <col min="7688" max="7940" width="9.140625" style="27"/>
    <col min="7941" max="7941" width="7.140625" style="27" customWidth="1"/>
    <col min="7942" max="7942" width="47.7109375" style="27" customWidth="1"/>
    <col min="7943" max="7943" width="19.28515625" style="27" customWidth="1"/>
    <col min="7944" max="8196" width="9.140625" style="27"/>
    <col min="8197" max="8197" width="7.140625" style="27" customWidth="1"/>
    <col min="8198" max="8198" width="47.7109375" style="27" customWidth="1"/>
    <col min="8199" max="8199" width="19.28515625" style="27" customWidth="1"/>
    <col min="8200" max="8452" width="9.140625" style="27"/>
    <col min="8453" max="8453" width="7.140625" style="27" customWidth="1"/>
    <col min="8454" max="8454" width="47.7109375" style="27" customWidth="1"/>
    <col min="8455" max="8455" width="19.28515625" style="27" customWidth="1"/>
    <col min="8456" max="8708" width="9.140625" style="27"/>
    <col min="8709" max="8709" width="7.140625" style="27" customWidth="1"/>
    <col min="8710" max="8710" width="47.7109375" style="27" customWidth="1"/>
    <col min="8711" max="8711" width="19.28515625" style="27" customWidth="1"/>
    <col min="8712" max="8964" width="9.140625" style="27"/>
    <col min="8965" max="8965" width="7.140625" style="27" customWidth="1"/>
    <col min="8966" max="8966" width="47.7109375" style="27" customWidth="1"/>
    <col min="8967" max="8967" width="19.28515625" style="27" customWidth="1"/>
    <col min="8968" max="9220" width="9.140625" style="27"/>
    <col min="9221" max="9221" width="7.140625" style="27" customWidth="1"/>
    <col min="9222" max="9222" width="47.7109375" style="27" customWidth="1"/>
    <col min="9223" max="9223" width="19.28515625" style="27" customWidth="1"/>
    <col min="9224" max="9476" width="9.140625" style="27"/>
    <col min="9477" max="9477" width="7.140625" style="27" customWidth="1"/>
    <col min="9478" max="9478" width="47.7109375" style="27" customWidth="1"/>
    <col min="9479" max="9479" width="19.28515625" style="27" customWidth="1"/>
    <col min="9480" max="9732" width="9.140625" style="27"/>
    <col min="9733" max="9733" width="7.140625" style="27" customWidth="1"/>
    <col min="9734" max="9734" width="47.7109375" style="27" customWidth="1"/>
    <col min="9735" max="9735" width="19.28515625" style="27" customWidth="1"/>
    <col min="9736" max="9988" width="9.140625" style="27"/>
    <col min="9989" max="9989" width="7.140625" style="27" customWidth="1"/>
    <col min="9990" max="9990" width="47.7109375" style="27" customWidth="1"/>
    <col min="9991" max="9991" width="19.28515625" style="27" customWidth="1"/>
    <col min="9992" max="10244" width="9.140625" style="27"/>
    <col min="10245" max="10245" width="7.140625" style="27" customWidth="1"/>
    <col min="10246" max="10246" width="47.7109375" style="27" customWidth="1"/>
    <col min="10247" max="10247" width="19.28515625" style="27" customWidth="1"/>
    <col min="10248" max="10500" width="9.140625" style="27"/>
    <col min="10501" max="10501" width="7.140625" style="27" customWidth="1"/>
    <col min="10502" max="10502" width="47.7109375" style="27" customWidth="1"/>
    <col min="10503" max="10503" width="19.28515625" style="27" customWidth="1"/>
    <col min="10504" max="10756" width="9.140625" style="27"/>
    <col min="10757" max="10757" width="7.140625" style="27" customWidth="1"/>
    <col min="10758" max="10758" width="47.7109375" style="27" customWidth="1"/>
    <col min="10759" max="10759" width="19.28515625" style="27" customWidth="1"/>
    <col min="10760" max="11012" width="9.140625" style="27"/>
    <col min="11013" max="11013" width="7.140625" style="27" customWidth="1"/>
    <col min="11014" max="11014" width="47.7109375" style="27" customWidth="1"/>
    <col min="11015" max="11015" width="19.28515625" style="27" customWidth="1"/>
    <col min="11016" max="11268" width="9.140625" style="27"/>
    <col min="11269" max="11269" width="7.140625" style="27" customWidth="1"/>
    <col min="11270" max="11270" width="47.7109375" style="27" customWidth="1"/>
    <col min="11271" max="11271" width="19.28515625" style="27" customWidth="1"/>
    <col min="11272" max="11524" width="9.140625" style="27"/>
    <col min="11525" max="11525" width="7.140625" style="27" customWidth="1"/>
    <col min="11526" max="11526" width="47.7109375" style="27" customWidth="1"/>
    <col min="11527" max="11527" width="19.28515625" style="27" customWidth="1"/>
    <col min="11528" max="11780" width="9.140625" style="27"/>
    <col min="11781" max="11781" width="7.140625" style="27" customWidth="1"/>
    <col min="11782" max="11782" width="47.7109375" style="27" customWidth="1"/>
    <col min="11783" max="11783" width="19.28515625" style="27" customWidth="1"/>
    <col min="11784" max="12036" width="9.140625" style="27"/>
    <col min="12037" max="12037" width="7.140625" style="27" customWidth="1"/>
    <col min="12038" max="12038" width="47.7109375" style="27" customWidth="1"/>
    <col min="12039" max="12039" width="19.28515625" style="27" customWidth="1"/>
    <col min="12040" max="12292" width="9.140625" style="27"/>
    <col min="12293" max="12293" width="7.140625" style="27" customWidth="1"/>
    <col min="12294" max="12294" width="47.7109375" style="27" customWidth="1"/>
    <col min="12295" max="12295" width="19.28515625" style="27" customWidth="1"/>
    <col min="12296" max="12548" width="9.140625" style="27"/>
    <col min="12549" max="12549" width="7.140625" style="27" customWidth="1"/>
    <col min="12550" max="12550" width="47.7109375" style="27" customWidth="1"/>
    <col min="12551" max="12551" width="19.28515625" style="27" customWidth="1"/>
    <col min="12552" max="12804" width="9.140625" style="27"/>
    <col min="12805" max="12805" width="7.140625" style="27" customWidth="1"/>
    <col min="12806" max="12806" width="47.7109375" style="27" customWidth="1"/>
    <col min="12807" max="12807" width="19.28515625" style="27" customWidth="1"/>
    <col min="12808" max="13060" width="9.140625" style="27"/>
    <col min="13061" max="13061" width="7.140625" style="27" customWidth="1"/>
    <col min="13062" max="13062" width="47.7109375" style="27" customWidth="1"/>
    <col min="13063" max="13063" width="19.28515625" style="27" customWidth="1"/>
    <col min="13064" max="13316" width="9.140625" style="27"/>
    <col min="13317" max="13317" width="7.140625" style="27" customWidth="1"/>
    <col min="13318" max="13318" width="47.7109375" style="27" customWidth="1"/>
    <col min="13319" max="13319" width="19.28515625" style="27" customWidth="1"/>
    <col min="13320" max="13572" width="9.140625" style="27"/>
    <col min="13573" max="13573" width="7.140625" style="27" customWidth="1"/>
    <col min="13574" max="13574" width="47.7109375" style="27" customWidth="1"/>
    <col min="13575" max="13575" width="19.28515625" style="27" customWidth="1"/>
    <col min="13576" max="13828" width="9.140625" style="27"/>
    <col min="13829" max="13829" width="7.140625" style="27" customWidth="1"/>
    <col min="13830" max="13830" width="47.7109375" style="27" customWidth="1"/>
    <col min="13831" max="13831" width="19.28515625" style="27" customWidth="1"/>
    <col min="13832" max="14084" width="9.140625" style="27"/>
    <col min="14085" max="14085" width="7.140625" style="27" customWidth="1"/>
    <col min="14086" max="14086" width="47.7109375" style="27" customWidth="1"/>
    <col min="14087" max="14087" width="19.28515625" style="27" customWidth="1"/>
    <col min="14088" max="14340" width="9.140625" style="27"/>
    <col min="14341" max="14341" width="7.140625" style="27" customWidth="1"/>
    <col min="14342" max="14342" width="47.7109375" style="27" customWidth="1"/>
    <col min="14343" max="14343" width="19.28515625" style="27" customWidth="1"/>
    <col min="14344" max="14596" width="9.140625" style="27"/>
    <col min="14597" max="14597" width="7.140625" style="27" customWidth="1"/>
    <col min="14598" max="14598" width="47.7109375" style="27" customWidth="1"/>
    <col min="14599" max="14599" width="19.28515625" style="27" customWidth="1"/>
    <col min="14600" max="14852" width="9.140625" style="27"/>
    <col min="14853" max="14853" width="7.140625" style="27" customWidth="1"/>
    <col min="14854" max="14854" width="47.7109375" style="27" customWidth="1"/>
    <col min="14855" max="14855" width="19.28515625" style="27" customWidth="1"/>
    <col min="14856" max="15108" width="9.140625" style="27"/>
    <col min="15109" max="15109" width="7.140625" style="27" customWidth="1"/>
    <col min="15110" max="15110" width="47.7109375" style="27" customWidth="1"/>
    <col min="15111" max="15111" width="19.28515625" style="27" customWidth="1"/>
    <col min="15112" max="15364" width="9.140625" style="27"/>
    <col min="15365" max="15365" width="7.140625" style="27" customWidth="1"/>
    <col min="15366" max="15366" width="47.7109375" style="27" customWidth="1"/>
    <col min="15367" max="15367" width="19.28515625" style="27" customWidth="1"/>
    <col min="15368" max="15620" width="9.140625" style="27"/>
    <col min="15621" max="15621" width="7.140625" style="27" customWidth="1"/>
    <col min="15622" max="15622" width="47.7109375" style="27" customWidth="1"/>
    <col min="15623" max="15623" width="19.28515625" style="27" customWidth="1"/>
    <col min="15624" max="15876" width="9.140625" style="27"/>
    <col min="15877" max="15877" width="7.140625" style="27" customWidth="1"/>
    <col min="15878" max="15878" width="47.7109375" style="27" customWidth="1"/>
    <col min="15879" max="15879" width="19.28515625" style="27" customWidth="1"/>
    <col min="15880" max="16132" width="9.140625" style="27"/>
    <col min="16133" max="16133" width="7.140625" style="27" customWidth="1"/>
    <col min="16134" max="16134" width="47.7109375" style="27" customWidth="1"/>
    <col min="16135" max="16135" width="19.28515625" style="27" customWidth="1"/>
    <col min="16136" max="16384" width="9.140625" style="27"/>
  </cols>
  <sheetData>
    <row r="1" spans="1:12">
      <c r="A1" s="1838" t="s">
        <v>1340</v>
      </c>
      <c r="B1" s="1838"/>
      <c r="C1" s="1838"/>
      <c r="G1" s="3"/>
    </row>
    <row r="2" spans="1:12">
      <c r="A2" s="1798" t="s">
        <v>2018</v>
      </c>
      <c r="B2" s="1798"/>
      <c r="C2" s="1798"/>
      <c r="D2" s="4"/>
      <c r="E2" s="4"/>
      <c r="F2" s="4"/>
    </row>
    <row r="3" spans="1:12">
      <c r="A3" s="5"/>
    </row>
    <row r="4" spans="1:12">
      <c r="A4" s="1798" t="str">
        <f>'TTDVNN V '!A4:G4</f>
        <v>DỰ TOÁN THU, CHI NGÂN SÁCH NHÀ NƯỚC NĂM 2025</v>
      </c>
      <c r="B4" s="1798"/>
      <c r="C4" s="1798"/>
      <c r="D4" s="1798"/>
      <c r="E4" s="1798"/>
      <c r="F4" s="1798"/>
      <c r="G4" s="1798"/>
    </row>
    <row r="5" spans="1:12">
      <c r="A5" s="1798" t="s">
        <v>1341</v>
      </c>
      <c r="B5" s="1798"/>
      <c r="C5" s="1798"/>
      <c r="D5" s="1798"/>
      <c r="E5" s="1798"/>
      <c r="F5" s="1798"/>
      <c r="G5" s="1798"/>
    </row>
    <row r="6" spans="1:12">
      <c r="A6" s="1798" t="s">
        <v>1342</v>
      </c>
      <c r="B6" s="1798"/>
      <c r="C6" s="1798"/>
      <c r="D6" s="1798"/>
      <c r="E6" s="1798"/>
      <c r="F6" s="1798"/>
      <c r="G6" s="1798"/>
    </row>
    <row r="7" spans="1:12">
      <c r="A7" s="1798" t="s">
        <v>17</v>
      </c>
      <c r="B7" s="1798"/>
      <c r="C7" s="1798"/>
      <c r="D7" s="1798"/>
      <c r="E7" s="1798"/>
      <c r="F7" s="1798"/>
      <c r="G7" s="1798"/>
    </row>
    <row r="8" spans="1:12">
      <c r="A8" s="1799">
        <f>'TTDVNN V '!A8:G8</f>
        <v>0</v>
      </c>
      <c r="B8" s="1799"/>
      <c r="C8" s="1799"/>
      <c r="D8" s="1799"/>
      <c r="E8" s="1799"/>
      <c r="F8" s="1799"/>
      <c r="G8" s="1799"/>
    </row>
    <row r="9" spans="1:12">
      <c r="G9" s="6" t="s">
        <v>43</v>
      </c>
    </row>
    <row r="10" spans="1:12" ht="117" customHeight="1">
      <c r="A10" s="7" t="s">
        <v>0</v>
      </c>
      <c r="B10" s="7" t="str">
        <f>'Văn hóa và TT V'!B11</f>
        <v>Nội dung</v>
      </c>
      <c r="C10" s="7" t="str">
        <f>'TTDVNN V '!C11</f>
        <v>Dự toán 
năm 2025</v>
      </c>
      <c r="D10" s="7" t="s">
        <v>18</v>
      </c>
      <c r="E10" s="7" t="str">
        <f>'TTDVNN V '!E11</f>
        <v>Thực hiện cải cách tiền lương từ nguồn tiết kiệm chi 10% của đơn vị</v>
      </c>
      <c r="F10" s="7" t="s">
        <v>117</v>
      </c>
      <c r="G10" s="7" t="s">
        <v>19</v>
      </c>
    </row>
    <row r="11" spans="1:12">
      <c r="A11" s="8" t="s">
        <v>20</v>
      </c>
      <c r="B11" s="8" t="s">
        <v>21</v>
      </c>
      <c r="C11" s="8" t="s">
        <v>22</v>
      </c>
      <c r="D11" s="8" t="s">
        <v>23</v>
      </c>
      <c r="E11" s="8" t="str">
        <f>'TTDVNN V '!E12</f>
        <v>(5)</v>
      </c>
      <c r="F11" s="8" t="str">
        <f>'TTDVNN V '!F12</f>
        <v>(6)=(3)-(4)+(5)</v>
      </c>
      <c r="G11" s="8" t="s">
        <v>1287</v>
      </c>
    </row>
    <row r="12" spans="1:12" ht="37.5">
      <c r="A12" s="7" t="s">
        <v>2</v>
      </c>
      <c r="B12" s="9" t="s">
        <v>3</v>
      </c>
      <c r="C12" s="10"/>
      <c r="D12" s="10"/>
      <c r="E12" s="10"/>
      <c r="F12" s="10"/>
      <c r="G12" s="11"/>
    </row>
    <row r="13" spans="1:12">
      <c r="A13" s="17">
        <v>1</v>
      </c>
      <c r="B13" s="18" t="s">
        <v>4</v>
      </c>
      <c r="C13" s="19"/>
      <c r="D13" s="19"/>
      <c r="E13" s="19"/>
      <c r="F13" s="19"/>
      <c r="G13" s="11"/>
    </row>
    <row r="14" spans="1:12">
      <c r="A14" s="17">
        <v>2</v>
      </c>
      <c r="B14" s="18" t="s">
        <v>7</v>
      </c>
      <c r="C14" s="19"/>
      <c r="D14" s="19"/>
      <c r="E14" s="19"/>
      <c r="F14" s="19"/>
      <c r="G14" s="11"/>
      <c r="I14" s="239">
        <f>F15-I15</f>
        <v>0</v>
      </c>
    </row>
    <row r="15" spans="1:12" ht="37.5">
      <c r="A15" s="7" t="s">
        <v>12</v>
      </c>
      <c r="B15" s="9" t="s">
        <v>84</v>
      </c>
      <c r="C15" s="10">
        <f>C16+C33+C36</f>
        <v>8294152000</v>
      </c>
      <c r="D15" s="10">
        <f>D16+D33+D36</f>
        <v>130900000</v>
      </c>
      <c r="E15" s="10">
        <f>E16+E33+E36</f>
        <v>130900000</v>
      </c>
      <c r="F15" s="10">
        <f>F16+F33+F36</f>
        <v>8294152000</v>
      </c>
      <c r="G15" s="11"/>
      <c r="I15" s="239">
        <f>C15+E15-D15</f>
        <v>8294152000</v>
      </c>
      <c r="J15" s="239">
        <f>I15-F15</f>
        <v>0</v>
      </c>
      <c r="L15" s="239">
        <f>F15-'ĐT_ Nội vụ_ điều chỉnh'!F15</f>
        <v>-4136995356</v>
      </c>
    </row>
    <row r="16" spans="1:12">
      <c r="A16" s="7">
        <v>1</v>
      </c>
      <c r="B16" s="9" t="s">
        <v>121</v>
      </c>
      <c r="C16" s="10">
        <f>C17+C21</f>
        <v>2385152000</v>
      </c>
      <c r="D16" s="10">
        <f>D17+D21</f>
        <v>130900000</v>
      </c>
      <c r="E16" s="10">
        <f>E17+E21</f>
        <v>130900000</v>
      </c>
      <c r="F16" s="10">
        <f>F17+F21</f>
        <v>2385152000</v>
      </c>
      <c r="G16" s="11"/>
      <c r="I16" s="239">
        <f t="shared" ref="I16:I35" si="0">C16+E16-D16</f>
        <v>2385152000</v>
      </c>
      <c r="J16" s="239">
        <f t="shared" ref="J16:J35" si="1">I16-F16</f>
        <v>0</v>
      </c>
    </row>
    <row r="17" spans="1:10" s="88" customFormat="1" ht="39">
      <c r="A17" s="12" t="s">
        <v>5</v>
      </c>
      <c r="B17" s="13" t="s">
        <v>9</v>
      </c>
      <c r="C17" s="14">
        <f>SUM(C18:C20)</f>
        <v>1193952000</v>
      </c>
      <c r="D17" s="14">
        <f>SUM(D18:D20)</f>
        <v>18900000</v>
      </c>
      <c r="E17" s="14">
        <f>SUM(E18:E20)</f>
        <v>130900000</v>
      </c>
      <c r="F17" s="14">
        <f>SUM(F18:F20)</f>
        <v>1305952000</v>
      </c>
      <c r="G17" s="15"/>
      <c r="I17" s="239">
        <f>C17+E17-D17</f>
        <v>1305952000</v>
      </c>
      <c r="J17" s="239">
        <f t="shared" si="1"/>
        <v>0</v>
      </c>
    </row>
    <row r="18" spans="1:10" ht="37.5">
      <c r="A18" s="17" t="s">
        <v>91</v>
      </c>
      <c r="B18" s="18" t="s">
        <v>26</v>
      </c>
      <c r="C18" s="19">
        <f>'Dự toán Chi tiết 2025'!L828</f>
        <v>722952000</v>
      </c>
      <c r="D18" s="19"/>
      <c r="E18" s="19"/>
      <c r="F18" s="19">
        <f>C18-D18+E18</f>
        <v>722952000</v>
      </c>
      <c r="G18" s="11"/>
      <c r="I18" s="239">
        <f t="shared" si="0"/>
        <v>722952000</v>
      </c>
      <c r="J18" s="239">
        <f t="shared" si="1"/>
        <v>0</v>
      </c>
    </row>
    <row r="19" spans="1:10" ht="37.5">
      <c r="A19" s="17" t="s">
        <v>91</v>
      </c>
      <c r="B19" s="18" t="str">
        <f>'TTDVNN V '!B18</f>
        <v>Kinh phí thực hiện cải cách tiền lương</v>
      </c>
      <c r="C19" s="19">
        <f>'Dự toán Chi tiết 2025'!L830</f>
        <v>282000000</v>
      </c>
      <c r="D19" s="19"/>
      <c r="E19" s="19">
        <f>D15</f>
        <v>130900000</v>
      </c>
      <c r="F19" s="19">
        <f>C19-D19+E19</f>
        <v>412900000</v>
      </c>
      <c r="G19" s="11"/>
      <c r="I19" s="239">
        <f t="shared" si="0"/>
        <v>412900000</v>
      </c>
      <c r="J19" s="239">
        <f t="shared" si="1"/>
        <v>0</v>
      </c>
    </row>
    <row r="20" spans="1:10" ht="37.5">
      <c r="A20" s="17" t="s">
        <v>91</v>
      </c>
      <c r="B20" s="18" t="s">
        <v>27</v>
      </c>
      <c r="C20" s="19">
        <f>'Dự toán Chi tiết 2025'!L831</f>
        <v>189000000</v>
      </c>
      <c r="D20" s="19">
        <f>C20*10%</f>
        <v>18900000</v>
      </c>
      <c r="E20" s="19"/>
      <c r="F20" s="19">
        <f>C20-D20+E20</f>
        <v>170100000</v>
      </c>
      <c r="G20" s="11"/>
      <c r="I20" s="239">
        <f t="shared" si="0"/>
        <v>170100000</v>
      </c>
      <c r="J20" s="239">
        <f t="shared" si="1"/>
        <v>0</v>
      </c>
    </row>
    <row r="21" spans="1:10" s="88" customFormat="1" ht="39">
      <c r="A21" s="12" t="s">
        <v>6</v>
      </c>
      <c r="B21" s="13" t="str">
        <f>'Văn hóa và TT V'!B22</f>
        <v>Kinh phí nhiệm vụ không thường xuyên</v>
      </c>
      <c r="C21" s="14">
        <f>SUM(C22:C32)</f>
        <v>1191200000</v>
      </c>
      <c r="D21" s="14">
        <f>SUM(D22:D32)</f>
        <v>112000000</v>
      </c>
      <c r="E21" s="14">
        <f>SUM(E22:E32)</f>
        <v>0</v>
      </c>
      <c r="F21" s="14">
        <f>SUM(F22:F32)</f>
        <v>1079200000</v>
      </c>
      <c r="G21" s="15"/>
      <c r="I21" s="239">
        <f t="shared" si="0"/>
        <v>1079200000</v>
      </c>
      <c r="J21" s="239">
        <f t="shared" si="1"/>
        <v>0</v>
      </c>
    </row>
    <row r="22" spans="1:10">
      <c r="A22" s="17" t="s">
        <v>91</v>
      </c>
      <c r="B22" s="18" t="s">
        <v>450</v>
      </c>
      <c r="C22" s="19">
        <f>'Dự toán Chi tiết 2025'!L833</f>
        <v>21700000</v>
      </c>
      <c r="D22" s="19"/>
      <c r="E22" s="19"/>
      <c r="F22" s="19">
        <f>C22-D22+E22</f>
        <v>21700000</v>
      </c>
      <c r="G22" s="11"/>
      <c r="I22" s="239"/>
      <c r="J22" s="239"/>
    </row>
    <row r="23" spans="1:10">
      <c r="A23" s="17"/>
      <c r="B23" s="18" t="str">
        <f>'Dự toán Chi tiết 2025'!B834</f>
        <v>Kinh phí tổ chức Đại hội</v>
      </c>
      <c r="C23" s="19">
        <f>'Dự toán Chi tiết 2025'!L834</f>
        <v>13500000</v>
      </c>
      <c r="D23" s="19"/>
      <c r="E23" s="19"/>
      <c r="F23" s="19">
        <f>C23-D23+E23</f>
        <v>13500000</v>
      </c>
      <c r="G23" s="11"/>
      <c r="I23" s="239"/>
      <c r="J23" s="239"/>
    </row>
    <row r="24" spans="1:10">
      <c r="A24" s="17" t="s">
        <v>91</v>
      </c>
      <c r="B24" s="18" t="s">
        <v>1141</v>
      </c>
      <c r="C24" s="19">
        <f>'Dự toán Chi tiết 2025'!L835</f>
        <v>36000000</v>
      </c>
      <c r="D24" s="19"/>
      <c r="E24" s="19"/>
      <c r="F24" s="19">
        <f t="shared" ref="F24:F32" si="2">C24-D24+E24</f>
        <v>36000000</v>
      </c>
      <c r="G24" s="11"/>
      <c r="I24" s="239"/>
      <c r="J24" s="239"/>
    </row>
    <row r="25" spans="1:10" ht="66.75" customHeight="1">
      <c r="A25" s="17" t="s">
        <v>91</v>
      </c>
      <c r="B25" s="20" t="str">
        <f>'Dự toán Chi tiết 2025'!B836</f>
        <v>KP thực hiện cải cách hành chính và kiểm tra công tác cán bộ, CCHC, KL, KCHC</v>
      </c>
      <c r="C25" s="19">
        <f>'Dự toán Chi tiết 2025'!L836</f>
        <v>210000000</v>
      </c>
      <c r="D25" s="19">
        <f>C25*10%</f>
        <v>21000000</v>
      </c>
      <c r="E25" s="19"/>
      <c r="F25" s="19">
        <f t="shared" si="2"/>
        <v>189000000</v>
      </c>
      <c r="G25" s="11"/>
      <c r="I25" s="239"/>
      <c r="J25" s="239"/>
    </row>
    <row r="26" spans="1:10" ht="93" customHeight="1">
      <c r="A26" s="17" t="s">
        <v>91</v>
      </c>
      <c r="B26" s="18" t="str">
        <f>'Dự toán Chi tiết 2025'!B837</f>
        <v>Chi tôn giáo, QLNN về thanh niên và công tác tổ chức, quản lý cán bộ, công chức, viên chức, cán bộ, công chức cấp xã; TCPCP và tập huấn</v>
      </c>
      <c r="C26" s="19">
        <f>'Dự toán Chi tiết 2025'!L837</f>
        <v>150000000</v>
      </c>
      <c r="D26" s="19">
        <f>C26*10%</f>
        <v>15000000</v>
      </c>
      <c r="E26" s="19"/>
      <c r="F26" s="19">
        <f t="shared" si="2"/>
        <v>135000000</v>
      </c>
      <c r="G26" s="11"/>
      <c r="I26" s="239"/>
      <c r="J26" s="239"/>
    </row>
    <row r="27" spans="1:10" ht="37.5">
      <c r="A27" s="17" t="s">
        <v>91</v>
      </c>
      <c r="B27" s="18" t="s">
        <v>1486</v>
      </c>
      <c r="C27" s="19">
        <f>'Dự toán Chi tiết 2025'!L844</f>
        <v>10000000</v>
      </c>
      <c r="D27" s="19">
        <f>C27*10%</f>
        <v>1000000</v>
      </c>
      <c r="E27" s="19"/>
      <c r="F27" s="19">
        <f t="shared" si="2"/>
        <v>9000000</v>
      </c>
      <c r="G27" s="11"/>
      <c r="I27" s="239"/>
      <c r="J27" s="239"/>
    </row>
    <row r="28" spans="1:10" ht="56.25">
      <c r="A28" s="17" t="s">
        <v>91</v>
      </c>
      <c r="B28" s="18" t="str">
        <f>'Dự toán Chi tiết 2025'!B843</f>
        <v>Kinh phí chi công tác QLNN và một số nhiệm vụ phát sinh trong năm UBND TP giao</v>
      </c>
      <c r="C28" s="19">
        <f>'Dự toán Chi tiết 2025'!L843</f>
        <v>30000000</v>
      </c>
      <c r="D28" s="19">
        <f>C28*10%</f>
        <v>3000000</v>
      </c>
      <c r="E28" s="19"/>
      <c r="F28" s="19">
        <f t="shared" si="2"/>
        <v>27000000</v>
      </c>
      <c r="G28" s="11"/>
      <c r="I28" s="239"/>
      <c r="J28" s="239"/>
    </row>
    <row r="29" spans="1:10" ht="37.5">
      <c r="A29" s="17" t="s">
        <v>91</v>
      </c>
      <c r="B29" s="18" t="str">
        <f>'Dự toán Chi tiết 2025'!B845</f>
        <v>Kinh phí thi tuyển giáo viên, công chức cấp xã</v>
      </c>
      <c r="C29" s="19">
        <f>'Dự toán Chi tiết 2025'!L845</f>
        <v>100000000</v>
      </c>
      <c r="D29" s="19">
        <f>C29*10%</f>
        <v>10000000</v>
      </c>
      <c r="E29" s="19"/>
      <c r="F29" s="19">
        <f t="shared" si="2"/>
        <v>90000000</v>
      </c>
      <c r="G29" s="11"/>
      <c r="I29" s="239"/>
      <c r="J29" s="239"/>
    </row>
    <row r="30" spans="1:10">
      <c r="A30" s="17" t="s">
        <v>91</v>
      </c>
      <c r="B30" s="18" t="str">
        <f>'Dự toán Chi tiết 2025'!B840</f>
        <v>Kinh phí HN điển hình tiên tiến</v>
      </c>
      <c r="C30" s="19">
        <f>'Dự toán Chi tiết 2025'!L840</f>
        <v>120000000</v>
      </c>
      <c r="D30" s="19">
        <f t="shared" ref="D30:D31" si="3">C30*10%</f>
        <v>12000000</v>
      </c>
      <c r="E30" s="19"/>
      <c r="F30" s="19">
        <f t="shared" si="2"/>
        <v>108000000</v>
      </c>
      <c r="G30" s="11"/>
      <c r="I30" s="239"/>
      <c r="J30" s="239"/>
    </row>
    <row r="31" spans="1:10" ht="37.5">
      <c r="A31" s="17" t="s">
        <v>91</v>
      </c>
      <c r="B31" s="18" t="str">
        <f>'Tài nguyên Môi trường V'!B33</f>
        <v>Kinh phí chỉnh lý tài liệu và số hoá tài liệu</v>
      </c>
      <c r="C31" s="19">
        <f>'Dự toán Chi tiết 2025'!L842</f>
        <v>500000000</v>
      </c>
      <c r="D31" s="19">
        <f t="shared" si="3"/>
        <v>50000000</v>
      </c>
      <c r="E31" s="19"/>
      <c r="F31" s="19">
        <f t="shared" si="2"/>
        <v>450000000</v>
      </c>
      <c r="G31" s="11"/>
      <c r="I31" s="239"/>
      <c r="J31" s="239"/>
    </row>
    <row r="32" spans="1:10" hidden="1">
      <c r="A32" s="17" t="s">
        <v>91</v>
      </c>
      <c r="B32" s="18" t="s">
        <v>1145</v>
      </c>
      <c r="C32" s="19">
        <f>'Dự toán Chi tiết 2025'!L846</f>
        <v>0</v>
      </c>
      <c r="D32" s="19">
        <f>C32*10%</f>
        <v>0</v>
      </c>
      <c r="E32" s="19"/>
      <c r="F32" s="19">
        <f t="shared" si="2"/>
        <v>0</v>
      </c>
      <c r="G32" s="11"/>
      <c r="I32" s="239"/>
      <c r="J32" s="239"/>
    </row>
    <row r="33" spans="1:10" s="71" customFormat="1" ht="37.5">
      <c r="A33" s="7">
        <v>2</v>
      </c>
      <c r="B33" s="286" t="s">
        <v>1343</v>
      </c>
      <c r="C33" s="207">
        <f>C34</f>
        <v>4500000000</v>
      </c>
      <c r="D33" s="207">
        <f>D34</f>
        <v>0</v>
      </c>
      <c r="E33" s="207"/>
      <c r="F33" s="207">
        <f>F34</f>
        <v>4500000000</v>
      </c>
      <c r="G33" s="207"/>
      <c r="I33" s="239">
        <f t="shared" si="0"/>
        <v>4500000000</v>
      </c>
      <c r="J33" s="239">
        <f t="shared" si="1"/>
        <v>0</v>
      </c>
    </row>
    <row r="34" spans="1:10" ht="39">
      <c r="A34" s="12" t="s">
        <v>91</v>
      </c>
      <c r="B34" s="13" t="s">
        <v>10</v>
      </c>
      <c r="C34" s="14">
        <f>SUM(C35:C35)</f>
        <v>4500000000</v>
      </c>
      <c r="D34" s="14">
        <f>SUM(D35:D35)</f>
        <v>0</v>
      </c>
      <c r="E34" s="14"/>
      <c r="F34" s="14">
        <f>SUM(F35:F35)</f>
        <v>4500000000</v>
      </c>
      <c r="G34" s="15"/>
      <c r="I34" s="239">
        <f t="shared" si="0"/>
        <v>4500000000</v>
      </c>
      <c r="J34" s="239">
        <f t="shared" si="1"/>
        <v>0</v>
      </c>
    </row>
    <row r="35" spans="1:10">
      <c r="A35" s="17" t="s">
        <v>91</v>
      </c>
      <c r="B35" s="22" t="s">
        <v>1344</v>
      </c>
      <c r="C35" s="19">
        <f>'Dự toán Chi tiết 2025'!L1176</f>
        <v>4500000000</v>
      </c>
      <c r="D35" s="19"/>
      <c r="E35" s="19"/>
      <c r="F35" s="19">
        <f>C35-D35</f>
        <v>4500000000</v>
      </c>
      <c r="G35" s="11"/>
      <c r="I35" s="239">
        <f t="shared" si="0"/>
        <v>4500000000</v>
      </c>
      <c r="J35" s="239">
        <f t="shared" si="1"/>
        <v>0</v>
      </c>
    </row>
    <row r="36" spans="1:10" s="71" customFormat="1">
      <c r="A36" s="7">
        <v>3</v>
      </c>
      <c r="B36" s="286" t="s">
        <v>1485</v>
      </c>
      <c r="C36" s="207">
        <f>C37</f>
        <v>1409000000</v>
      </c>
      <c r="D36" s="207">
        <f>D37</f>
        <v>0</v>
      </c>
      <c r="E36" s="207"/>
      <c r="F36" s="207">
        <f>F37</f>
        <v>1409000000</v>
      </c>
      <c r="G36" s="207"/>
      <c r="I36" s="239">
        <f t="shared" ref="I36:I38" si="4">C36+E36-D36</f>
        <v>1409000000</v>
      </c>
      <c r="J36" s="239">
        <f t="shared" ref="J36:J38" si="5">I36-F36</f>
        <v>0</v>
      </c>
    </row>
    <row r="37" spans="1:10" ht="39">
      <c r="A37" s="12" t="s">
        <v>91</v>
      </c>
      <c r="B37" s="13" t="s">
        <v>10</v>
      </c>
      <c r="C37" s="14">
        <f>SUM(C38:C38)</f>
        <v>1409000000</v>
      </c>
      <c r="D37" s="14">
        <f>SUM(D38:D38)</f>
        <v>0</v>
      </c>
      <c r="E37" s="14"/>
      <c r="F37" s="14">
        <f>SUM(F38:F38)</f>
        <v>1409000000</v>
      </c>
      <c r="G37" s="15"/>
      <c r="I37" s="239">
        <f t="shared" si="4"/>
        <v>1409000000</v>
      </c>
      <c r="J37" s="239">
        <f t="shared" si="5"/>
        <v>0</v>
      </c>
    </row>
    <row r="38" spans="1:10">
      <c r="A38" s="17" t="s">
        <v>91</v>
      </c>
      <c r="B38" s="50" t="str">
        <f>'Dự toán Chi tiết 2025'!B841</f>
        <v>Kinh phí đào tạo, bồi dưỡng</v>
      </c>
      <c r="C38" s="19">
        <f>'Dự toán Chi tiết 2025'!L464</f>
        <v>1409000000</v>
      </c>
      <c r="D38" s="19"/>
      <c r="E38" s="19"/>
      <c r="F38" s="19">
        <f>C38-D38</f>
        <v>1409000000</v>
      </c>
      <c r="G38" s="11"/>
      <c r="I38" s="239">
        <f t="shared" si="4"/>
        <v>1409000000</v>
      </c>
      <c r="J38" s="239">
        <f t="shared" si="5"/>
        <v>0</v>
      </c>
    </row>
  </sheetData>
  <mergeCells count="7">
    <mergeCell ref="A8:G8"/>
    <mergeCell ref="A1:C1"/>
    <mergeCell ref="A2:C2"/>
    <mergeCell ref="A4:G4"/>
    <mergeCell ref="A5:G5"/>
    <mergeCell ref="A6:G6"/>
    <mergeCell ref="A7:G7"/>
  </mergeCells>
  <pageMargins left="0.7" right="0.7" top="0.75" bottom="0.75" header="0.3" footer="0.3"/>
  <pageSetup paperSize="9" scale="62" fitToHeight="0"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55"/>
  <sheetViews>
    <sheetView topLeftCell="B7" workbookViewId="0">
      <selection activeCell="H1" sqref="H1:J1048576"/>
    </sheetView>
  </sheetViews>
  <sheetFormatPr defaultRowHeight="18.75"/>
  <cols>
    <col min="1" max="1" width="7.140625" style="27" customWidth="1"/>
    <col min="2" max="2" width="38.5703125" style="27" customWidth="1"/>
    <col min="3" max="3" width="19.28515625" style="27" customWidth="1"/>
    <col min="4" max="5" width="21.140625" style="27" customWidth="1"/>
    <col min="6" max="6" width="19.42578125" style="27" customWidth="1"/>
    <col min="7" max="7" width="16.85546875" style="27" bestFit="1" customWidth="1"/>
    <col min="8" max="8" width="0" style="27" hidden="1" customWidth="1"/>
    <col min="9" max="9" width="16.7109375" style="27" hidden="1" customWidth="1"/>
    <col min="10" max="10" width="0" style="27" hidden="1" customWidth="1"/>
    <col min="11" max="260" width="9.140625" style="27"/>
    <col min="261" max="261" width="7.140625" style="27" customWidth="1"/>
    <col min="262" max="262" width="47.7109375" style="27" customWidth="1"/>
    <col min="263" max="263" width="19.28515625" style="27" customWidth="1"/>
    <col min="264" max="516" width="9.140625" style="27"/>
    <col min="517" max="517" width="7.140625" style="27" customWidth="1"/>
    <col min="518" max="518" width="47.7109375" style="27" customWidth="1"/>
    <col min="519" max="519" width="19.28515625" style="27" customWidth="1"/>
    <col min="520" max="772" width="9.140625" style="27"/>
    <col min="773" max="773" width="7.140625" style="27" customWidth="1"/>
    <col min="774" max="774" width="47.7109375" style="27" customWidth="1"/>
    <col min="775" max="775" width="19.28515625" style="27" customWidth="1"/>
    <col min="776" max="1028" width="9.140625" style="27"/>
    <col min="1029" max="1029" width="7.140625" style="27" customWidth="1"/>
    <col min="1030" max="1030" width="47.7109375" style="27" customWidth="1"/>
    <col min="1031" max="1031" width="19.28515625" style="27" customWidth="1"/>
    <col min="1032" max="1284" width="9.140625" style="27"/>
    <col min="1285" max="1285" width="7.140625" style="27" customWidth="1"/>
    <col min="1286" max="1286" width="47.7109375" style="27" customWidth="1"/>
    <col min="1287" max="1287" width="19.28515625" style="27" customWidth="1"/>
    <col min="1288" max="1540" width="9.140625" style="27"/>
    <col min="1541" max="1541" width="7.140625" style="27" customWidth="1"/>
    <col min="1542" max="1542" width="47.7109375" style="27" customWidth="1"/>
    <col min="1543" max="1543" width="19.28515625" style="27" customWidth="1"/>
    <col min="1544" max="1796" width="9.140625" style="27"/>
    <col min="1797" max="1797" width="7.140625" style="27" customWidth="1"/>
    <col min="1798" max="1798" width="47.7109375" style="27" customWidth="1"/>
    <col min="1799" max="1799" width="19.28515625" style="27" customWidth="1"/>
    <col min="1800" max="2052" width="9.140625" style="27"/>
    <col min="2053" max="2053" width="7.140625" style="27" customWidth="1"/>
    <col min="2054" max="2054" width="47.7109375" style="27" customWidth="1"/>
    <col min="2055" max="2055" width="19.28515625" style="27" customWidth="1"/>
    <col min="2056" max="2308" width="9.140625" style="27"/>
    <col min="2309" max="2309" width="7.140625" style="27" customWidth="1"/>
    <col min="2310" max="2310" width="47.7109375" style="27" customWidth="1"/>
    <col min="2311" max="2311" width="19.28515625" style="27" customWidth="1"/>
    <col min="2312" max="2564" width="9.140625" style="27"/>
    <col min="2565" max="2565" width="7.140625" style="27" customWidth="1"/>
    <col min="2566" max="2566" width="47.7109375" style="27" customWidth="1"/>
    <col min="2567" max="2567" width="19.28515625" style="27" customWidth="1"/>
    <col min="2568" max="2820" width="9.140625" style="27"/>
    <col min="2821" max="2821" width="7.140625" style="27" customWidth="1"/>
    <col min="2822" max="2822" width="47.7109375" style="27" customWidth="1"/>
    <col min="2823" max="2823" width="19.28515625" style="27" customWidth="1"/>
    <col min="2824" max="3076" width="9.140625" style="27"/>
    <col min="3077" max="3077" width="7.140625" style="27" customWidth="1"/>
    <col min="3078" max="3078" width="47.7109375" style="27" customWidth="1"/>
    <col min="3079" max="3079" width="19.28515625" style="27" customWidth="1"/>
    <col min="3080" max="3332" width="9.140625" style="27"/>
    <col min="3333" max="3333" width="7.140625" style="27" customWidth="1"/>
    <col min="3334" max="3334" width="47.7109375" style="27" customWidth="1"/>
    <col min="3335" max="3335" width="19.28515625" style="27" customWidth="1"/>
    <col min="3336" max="3588" width="9.140625" style="27"/>
    <col min="3589" max="3589" width="7.140625" style="27" customWidth="1"/>
    <col min="3590" max="3590" width="47.7109375" style="27" customWidth="1"/>
    <col min="3591" max="3591" width="19.28515625" style="27" customWidth="1"/>
    <col min="3592" max="3844" width="9.140625" style="27"/>
    <col min="3845" max="3845" width="7.140625" style="27" customWidth="1"/>
    <col min="3846" max="3846" width="47.7109375" style="27" customWidth="1"/>
    <col min="3847" max="3847" width="19.28515625" style="27" customWidth="1"/>
    <col min="3848" max="4100" width="9.140625" style="27"/>
    <col min="4101" max="4101" width="7.140625" style="27" customWidth="1"/>
    <col min="4102" max="4102" width="47.7109375" style="27" customWidth="1"/>
    <col min="4103" max="4103" width="19.28515625" style="27" customWidth="1"/>
    <col min="4104" max="4356" width="9.140625" style="27"/>
    <col min="4357" max="4357" width="7.140625" style="27" customWidth="1"/>
    <col min="4358" max="4358" width="47.7109375" style="27" customWidth="1"/>
    <col min="4359" max="4359" width="19.28515625" style="27" customWidth="1"/>
    <col min="4360" max="4612" width="9.140625" style="27"/>
    <col min="4613" max="4613" width="7.140625" style="27" customWidth="1"/>
    <col min="4614" max="4614" width="47.7109375" style="27" customWidth="1"/>
    <col min="4615" max="4615" width="19.28515625" style="27" customWidth="1"/>
    <col min="4616" max="4868" width="9.140625" style="27"/>
    <col min="4869" max="4869" width="7.140625" style="27" customWidth="1"/>
    <col min="4870" max="4870" width="47.7109375" style="27" customWidth="1"/>
    <col min="4871" max="4871" width="19.28515625" style="27" customWidth="1"/>
    <col min="4872" max="5124" width="9.140625" style="27"/>
    <col min="5125" max="5125" width="7.140625" style="27" customWidth="1"/>
    <col min="5126" max="5126" width="47.7109375" style="27" customWidth="1"/>
    <col min="5127" max="5127" width="19.28515625" style="27" customWidth="1"/>
    <col min="5128" max="5380" width="9.140625" style="27"/>
    <col min="5381" max="5381" width="7.140625" style="27" customWidth="1"/>
    <col min="5382" max="5382" width="47.7109375" style="27" customWidth="1"/>
    <col min="5383" max="5383" width="19.28515625" style="27" customWidth="1"/>
    <col min="5384" max="5636" width="9.140625" style="27"/>
    <col min="5637" max="5637" width="7.140625" style="27" customWidth="1"/>
    <col min="5638" max="5638" width="47.7109375" style="27" customWidth="1"/>
    <col min="5639" max="5639" width="19.28515625" style="27" customWidth="1"/>
    <col min="5640" max="5892" width="9.140625" style="27"/>
    <col min="5893" max="5893" width="7.140625" style="27" customWidth="1"/>
    <col min="5894" max="5894" width="47.7109375" style="27" customWidth="1"/>
    <col min="5895" max="5895" width="19.28515625" style="27" customWidth="1"/>
    <col min="5896" max="6148" width="9.140625" style="27"/>
    <col min="6149" max="6149" width="7.140625" style="27" customWidth="1"/>
    <col min="6150" max="6150" width="47.7109375" style="27" customWidth="1"/>
    <col min="6151" max="6151" width="19.28515625" style="27" customWidth="1"/>
    <col min="6152" max="6404" width="9.140625" style="27"/>
    <col min="6405" max="6405" width="7.140625" style="27" customWidth="1"/>
    <col min="6406" max="6406" width="47.7109375" style="27" customWidth="1"/>
    <col min="6407" max="6407" width="19.28515625" style="27" customWidth="1"/>
    <col min="6408" max="6660" width="9.140625" style="27"/>
    <col min="6661" max="6661" width="7.140625" style="27" customWidth="1"/>
    <col min="6662" max="6662" width="47.7109375" style="27" customWidth="1"/>
    <col min="6663" max="6663" width="19.28515625" style="27" customWidth="1"/>
    <col min="6664" max="6916" width="9.140625" style="27"/>
    <col min="6917" max="6917" width="7.140625" style="27" customWidth="1"/>
    <col min="6918" max="6918" width="47.7109375" style="27" customWidth="1"/>
    <col min="6919" max="6919" width="19.28515625" style="27" customWidth="1"/>
    <col min="6920" max="7172" width="9.140625" style="27"/>
    <col min="7173" max="7173" width="7.140625" style="27" customWidth="1"/>
    <col min="7174" max="7174" width="47.7109375" style="27" customWidth="1"/>
    <col min="7175" max="7175" width="19.28515625" style="27" customWidth="1"/>
    <col min="7176" max="7428" width="9.140625" style="27"/>
    <col min="7429" max="7429" width="7.140625" style="27" customWidth="1"/>
    <col min="7430" max="7430" width="47.7109375" style="27" customWidth="1"/>
    <col min="7431" max="7431" width="19.28515625" style="27" customWidth="1"/>
    <col min="7432" max="7684" width="9.140625" style="27"/>
    <col min="7685" max="7685" width="7.140625" style="27" customWidth="1"/>
    <col min="7686" max="7686" width="47.7109375" style="27" customWidth="1"/>
    <col min="7687" max="7687" width="19.28515625" style="27" customWidth="1"/>
    <col min="7688" max="7940" width="9.140625" style="27"/>
    <col min="7941" max="7941" width="7.140625" style="27" customWidth="1"/>
    <col min="7942" max="7942" width="47.7109375" style="27" customWidth="1"/>
    <col min="7943" max="7943" width="19.28515625" style="27" customWidth="1"/>
    <col min="7944" max="8196" width="9.140625" style="27"/>
    <col min="8197" max="8197" width="7.140625" style="27" customWidth="1"/>
    <col min="8198" max="8198" width="47.7109375" style="27" customWidth="1"/>
    <col min="8199" max="8199" width="19.28515625" style="27" customWidth="1"/>
    <col min="8200" max="8452" width="9.140625" style="27"/>
    <col min="8453" max="8453" width="7.140625" style="27" customWidth="1"/>
    <col min="8454" max="8454" width="47.7109375" style="27" customWidth="1"/>
    <col min="8455" max="8455" width="19.28515625" style="27" customWidth="1"/>
    <col min="8456" max="8708" width="9.140625" style="27"/>
    <col min="8709" max="8709" width="7.140625" style="27" customWidth="1"/>
    <col min="8710" max="8710" width="47.7109375" style="27" customWidth="1"/>
    <col min="8711" max="8711" width="19.28515625" style="27" customWidth="1"/>
    <col min="8712" max="8964" width="9.140625" style="27"/>
    <col min="8965" max="8965" width="7.140625" style="27" customWidth="1"/>
    <col min="8966" max="8966" width="47.7109375" style="27" customWidth="1"/>
    <col min="8967" max="8967" width="19.28515625" style="27" customWidth="1"/>
    <col min="8968" max="9220" width="9.140625" style="27"/>
    <col min="9221" max="9221" width="7.140625" style="27" customWidth="1"/>
    <col min="9222" max="9222" width="47.7109375" style="27" customWidth="1"/>
    <col min="9223" max="9223" width="19.28515625" style="27" customWidth="1"/>
    <col min="9224" max="9476" width="9.140625" style="27"/>
    <col min="9477" max="9477" width="7.140625" style="27" customWidth="1"/>
    <col min="9478" max="9478" width="47.7109375" style="27" customWidth="1"/>
    <col min="9479" max="9479" width="19.28515625" style="27" customWidth="1"/>
    <col min="9480" max="9732" width="9.140625" style="27"/>
    <col min="9733" max="9733" width="7.140625" style="27" customWidth="1"/>
    <col min="9734" max="9734" width="47.7109375" style="27" customWidth="1"/>
    <col min="9735" max="9735" width="19.28515625" style="27" customWidth="1"/>
    <col min="9736" max="9988" width="9.140625" style="27"/>
    <col min="9989" max="9989" width="7.140625" style="27" customWidth="1"/>
    <col min="9990" max="9990" width="47.7109375" style="27" customWidth="1"/>
    <col min="9991" max="9991" width="19.28515625" style="27" customWidth="1"/>
    <col min="9992" max="10244" width="9.140625" style="27"/>
    <col min="10245" max="10245" width="7.140625" style="27" customWidth="1"/>
    <col min="10246" max="10246" width="47.7109375" style="27" customWidth="1"/>
    <col min="10247" max="10247" width="19.28515625" style="27" customWidth="1"/>
    <col min="10248" max="10500" width="9.140625" style="27"/>
    <col min="10501" max="10501" width="7.140625" style="27" customWidth="1"/>
    <col min="10502" max="10502" width="47.7109375" style="27" customWidth="1"/>
    <col min="10503" max="10503" width="19.28515625" style="27" customWidth="1"/>
    <col min="10504" max="10756" width="9.140625" style="27"/>
    <col min="10757" max="10757" width="7.140625" style="27" customWidth="1"/>
    <col min="10758" max="10758" width="47.7109375" style="27" customWidth="1"/>
    <col min="10759" max="10759" width="19.28515625" style="27" customWidth="1"/>
    <col min="10760" max="11012" width="9.140625" style="27"/>
    <col min="11013" max="11013" width="7.140625" style="27" customWidth="1"/>
    <col min="11014" max="11014" width="47.7109375" style="27" customWidth="1"/>
    <col min="11015" max="11015" width="19.28515625" style="27" customWidth="1"/>
    <col min="11016" max="11268" width="9.140625" style="27"/>
    <col min="11269" max="11269" width="7.140625" style="27" customWidth="1"/>
    <col min="11270" max="11270" width="47.7109375" style="27" customWidth="1"/>
    <col min="11271" max="11271" width="19.28515625" style="27" customWidth="1"/>
    <col min="11272" max="11524" width="9.140625" style="27"/>
    <col min="11525" max="11525" width="7.140625" style="27" customWidth="1"/>
    <col min="11526" max="11526" width="47.7109375" style="27" customWidth="1"/>
    <col min="11527" max="11527" width="19.28515625" style="27" customWidth="1"/>
    <col min="11528" max="11780" width="9.140625" style="27"/>
    <col min="11781" max="11781" width="7.140625" style="27" customWidth="1"/>
    <col min="11782" max="11782" width="47.7109375" style="27" customWidth="1"/>
    <col min="11783" max="11783" width="19.28515625" style="27" customWidth="1"/>
    <col min="11784" max="12036" width="9.140625" style="27"/>
    <col min="12037" max="12037" width="7.140625" style="27" customWidth="1"/>
    <col min="12038" max="12038" width="47.7109375" style="27" customWidth="1"/>
    <col min="12039" max="12039" width="19.28515625" style="27" customWidth="1"/>
    <col min="12040" max="12292" width="9.140625" style="27"/>
    <col min="12293" max="12293" width="7.140625" style="27" customWidth="1"/>
    <col min="12294" max="12294" width="47.7109375" style="27" customWidth="1"/>
    <col min="12295" max="12295" width="19.28515625" style="27" customWidth="1"/>
    <col min="12296" max="12548" width="9.140625" style="27"/>
    <col min="12549" max="12549" width="7.140625" style="27" customWidth="1"/>
    <col min="12550" max="12550" width="47.7109375" style="27" customWidth="1"/>
    <col min="12551" max="12551" width="19.28515625" style="27" customWidth="1"/>
    <col min="12552" max="12804" width="9.140625" style="27"/>
    <col min="12805" max="12805" width="7.140625" style="27" customWidth="1"/>
    <col min="12806" max="12806" width="47.7109375" style="27" customWidth="1"/>
    <col min="12807" max="12807" width="19.28515625" style="27" customWidth="1"/>
    <col min="12808" max="13060" width="9.140625" style="27"/>
    <col min="13061" max="13061" width="7.140625" style="27" customWidth="1"/>
    <col min="13062" max="13062" width="47.7109375" style="27" customWidth="1"/>
    <col min="13063" max="13063" width="19.28515625" style="27" customWidth="1"/>
    <col min="13064" max="13316" width="9.140625" style="27"/>
    <col min="13317" max="13317" width="7.140625" style="27" customWidth="1"/>
    <col min="13318" max="13318" width="47.7109375" style="27" customWidth="1"/>
    <col min="13319" max="13319" width="19.28515625" style="27" customWidth="1"/>
    <col min="13320" max="13572" width="9.140625" style="27"/>
    <col min="13573" max="13573" width="7.140625" style="27" customWidth="1"/>
    <col min="13574" max="13574" width="47.7109375" style="27" customWidth="1"/>
    <col min="13575" max="13575" width="19.28515625" style="27" customWidth="1"/>
    <col min="13576" max="13828" width="9.140625" style="27"/>
    <col min="13829" max="13829" width="7.140625" style="27" customWidth="1"/>
    <col min="13830" max="13830" width="47.7109375" style="27" customWidth="1"/>
    <col min="13831" max="13831" width="19.28515625" style="27" customWidth="1"/>
    <col min="13832" max="14084" width="9.140625" style="27"/>
    <col min="14085" max="14085" width="7.140625" style="27" customWidth="1"/>
    <col min="14086" max="14086" width="47.7109375" style="27" customWidth="1"/>
    <col min="14087" max="14087" width="19.28515625" style="27" customWidth="1"/>
    <col min="14088" max="14340" width="9.140625" style="27"/>
    <col min="14341" max="14341" width="7.140625" style="27" customWidth="1"/>
    <col min="14342" max="14342" width="47.7109375" style="27" customWidth="1"/>
    <col min="14343" max="14343" width="19.28515625" style="27" customWidth="1"/>
    <col min="14344" max="14596" width="9.140625" style="27"/>
    <col min="14597" max="14597" width="7.140625" style="27" customWidth="1"/>
    <col min="14598" max="14598" width="47.7109375" style="27" customWidth="1"/>
    <col min="14599" max="14599" width="19.28515625" style="27" customWidth="1"/>
    <col min="14600" max="14852" width="9.140625" style="27"/>
    <col min="14853" max="14853" width="7.140625" style="27" customWidth="1"/>
    <col min="14854" max="14854" width="47.7109375" style="27" customWidth="1"/>
    <col min="14855" max="14855" width="19.28515625" style="27" customWidth="1"/>
    <col min="14856" max="15108" width="9.140625" style="27"/>
    <col min="15109" max="15109" width="7.140625" style="27" customWidth="1"/>
    <col min="15110" max="15110" width="47.7109375" style="27" customWidth="1"/>
    <col min="15111" max="15111" width="19.28515625" style="27" customWidth="1"/>
    <col min="15112" max="15364" width="9.140625" style="27"/>
    <col min="15365" max="15365" width="7.140625" style="27" customWidth="1"/>
    <col min="15366" max="15366" width="47.7109375" style="27" customWidth="1"/>
    <col min="15367" max="15367" width="19.28515625" style="27" customWidth="1"/>
    <col min="15368" max="15620" width="9.140625" style="27"/>
    <col min="15621" max="15621" width="7.140625" style="27" customWidth="1"/>
    <col min="15622" max="15622" width="47.7109375" style="27" customWidth="1"/>
    <col min="15623" max="15623" width="19.28515625" style="27" customWidth="1"/>
    <col min="15624" max="15876" width="9.140625" style="27"/>
    <col min="15877" max="15877" width="7.140625" style="27" customWidth="1"/>
    <col min="15878" max="15878" width="47.7109375" style="27" customWidth="1"/>
    <col min="15879" max="15879" width="19.28515625" style="27" customWidth="1"/>
    <col min="15880" max="16132" width="9.140625" style="27"/>
    <col min="16133" max="16133" width="7.140625" style="27" customWidth="1"/>
    <col min="16134" max="16134" width="47.7109375" style="27" customWidth="1"/>
    <col min="16135" max="16135" width="19.28515625" style="27" customWidth="1"/>
    <col min="16136" max="16384" width="9.140625" style="27"/>
  </cols>
  <sheetData>
    <row r="1" spans="1:10" ht="18.75" customHeight="1">
      <c r="A1" s="1838" t="s">
        <v>1345</v>
      </c>
      <c r="B1" s="1838"/>
      <c r="C1" s="1838"/>
      <c r="G1" s="3"/>
    </row>
    <row r="2" spans="1:10" ht="15" customHeight="1">
      <c r="A2" s="1798" t="s">
        <v>1348</v>
      </c>
      <c r="B2" s="1798"/>
      <c r="C2" s="1798"/>
      <c r="D2" s="4"/>
      <c r="E2" s="4"/>
      <c r="F2" s="4"/>
    </row>
    <row r="3" spans="1:10" ht="15" customHeight="1">
      <c r="A3" s="5"/>
    </row>
    <row r="4" spans="1:10" ht="15" customHeight="1">
      <c r="A4" s="1798" t="str">
        <f>'TTDVNN V '!A4:G4</f>
        <v>DỰ TOÁN THU, CHI NGÂN SÁCH NHÀ NƯỚC NĂM 2025</v>
      </c>
      <c r="B4" s="1798"/>
      <c r="C4" s="1798"/>
      <c r="D4" s="1798"/>
      <c r="E4" s="1798"/>
      <c r="F4" s="1798"/>
      <c r="G4" s="1798"/>
    </row>
    <row r="5" spans="1:10" ht="15" customHeight="1">
      <c r="A5" s="1798" t="s">
        <v>1346</v>
      </c>
      <c r="B5" s="1798"/>
      <c r="C5" s="1798"/>
      <c r="D5" s="1798"/>
      <c r="E5" s="1798"/>
      <c r="F5" s="1798"/>
      <c r="G5" s="1798"/>
    </row>
    <row r="6" spans="1:10" ht="15" customHeight="1">
      <c r="A6" s="1798" t="s">
        <v>1347</v>
      </c>
      <c r="B6" s="1798"/>
      <c r="C6" s="1798"/>
      <c r="D6" s="1798"/>
      <c r="E6" s="1798"/>
      <c r="F6" s="1798"/>
      <c r="G6" s="1798"/>
    </row>
    <row r="7" spans="1:10" ht="15" customHeight="1">
      <c r="A7" s="1798" t="s">
        <v>17</v>
      </c>
      <c r="B7" s="1798"/>
      <c r="C7" s="1798"/>
      <c r="D7" s="1798"/>
      <c r="E7" s="1798"/>
      <c r="F7" s="1798"/>
      <c r="G7" s="1798"/>
    </row>
    <row r="8" spans="1:10" ht="15" customHeight="1">
      <c r="A8" s="1799">
        <f>'TTDVNN V '!A8:G8</f>
        <v>0</v>
      </c>
      <c r="B8" s="1799"/>
      <c r="C8" s="1799"/>
      <c r="D8" s="1799"/>
      <c r="E8" s="1799"/>
      <c r="F8" s="1799"/>
      <c r="G8" s="1799"/>
    </row>
    <row r="9" spans="1:10" ht="15" customHeight="1">
      <c r="G9" s="6" t="s">
        <v>43</v>
      </c>
    </row>
    <row r="10" spans="1:10" ht="112.5" customHeight="1">
      <c r="A10" s="7" t="s">
        <v>0</v>
      </c>
      <c r="B10" s="7" t="str">
        <f>'Văn hóa và TT V'!B11</f>
        <v>Nội dung</v>
      </c>
      <c r="C10" s="7" t="str">
        <f>'TTDVNN V '!C11</f>
        <v>Dự toán 
năm 2025</v>
      </c>
      <c r="D10" s="7" t="s">
        <v>18</v>
      </c>
      <c r="E10" s="7" t="str">
        <f>'TTDVNN V '!E11</f>
        <v>Thực hiện cải cách tiền lương từ nguồn tiết kiệm chi 10% của đơn vị</v>
      </c>
      <c r="F10" s="7" t="s">
        <v>117</v>
      </c>
      <c r="G10" s="7" t="s">
        <v>19</v>
      </c>
    </row>
    <row r="11" spans="1:10">
      <c r="A11" s="8" t="s">
        <v>20</v>
      </c>
      <c r="B11" s="8" t="s">
        <v>21</v>
      </c>
      <c r="C11" s="8" t="s">
        <v>22</v>
      </c>
      <c r="D11" s="8" t="s">
        <v>23</v>
      </c>
      <c r="E11" s="8" t="str">
        <f>'TTDVNN V '!E12</f>
        <v>(5)</v>
      </c>
      <c r="F11" s="8" t="str">
        <f>'TTDVNN V '!F12</f>
        <v>(6)=(3)-(4)+(5)</v>
      </c>
      <c r="G11" s="8" t="s">
        <v>1287</v>
      </c>
    </row>
    <row r="12" spans="1:10" ht="37.5">
      <c r="A12" s="7" t="s">
        <v>2</v>
      </c>
      <c r="B12" s="9" t="s">
        <v>3</v>
      </c>
      <c r="C12" s="10"/>
      <c r="D12" s="10"/>
      <c r="E12" s="10"/>
      <c r="F12" s="10"/>
      <c r="G12" s="11"/>
    </row>
    <row r="13" spans="1:10" ht="20.100000000000001" customHeight="1">
      <c r="A13" s="17">
        <v>1</v>
      </c>
      <c r="B13" s="18" t="s">
        <v>4</v>
      </c>
      <c r="C13" s="19"/>
      <c r="D13" s="19"/>
      <c r="E13" s="19"/>
      <c r="F13" s="19"/>
      <c r="G13" s="11"/>
    </row>
    <row r="14" spans="1:10" ht="20.100000000000001" customHeight="1">
      <c r="A14" s="17">
        <v>2</v>
      </c>
      <c r="B14" s="18" t="s">
        <v>7</v>
      </c>
      <c r="C14" s="19"/>
      <c r="D14" s="19"/>
      <c r="E14" s="19"/>
      <c r="F14" s="19"/>
      <c r="G14" s="11"/>
    </row>
    <row r="15" spans="1:10" ht="20.100000000000001" customHeight="1">
      <c r="A15" s="7" t="s">
        <v>12</v>
      </c>
      <c r="B15" s="9" t="s">
        <v>84</v>
      </c>
      <c r="C15" s="10">
        <f>C16</f>
        <v>1897500000</v>
      </c>
      <c r="D15" s="10">
        <f>D16</f>
        <v>60200000</v>
      </c>
      <c r="E15" s="10">
        <f>E16</f>
        <v>60200000</v>
      </c>
      <c r="F15" s="10">
        <f>F16</f>
        <v>1897500000</v>
      </c>
      <c r="G15" s="11"/>
      <c r="I15" s="239">
        <f>C15+E15-D15</f>
        <v>1897500000</v>
      </c>
      <c r="J15" s="239">
        <f>I15-F15</f>
        <v>0</v>
      </c>
    </row>
    <row r="16" spans="1:10" ht="20.100000000000001" customHeight="1">
      <c r="A16" s="7">
        <v>1</v>
      </c>
      <c r="B16" s="9" t="s">
        <v>121</v>
      </c>
      <c r="C16" s="10">
        <f>C17+C21</f>
        <v>1897500000</v>
      </c>
      <c r="D16" s="10">
        <f>D17+D21</f>
        <v>60200000</v>
      </c>
      <c r="E16" s="10">
        <f>E17+E21</f>
        <v>60200000</v>
      </c>
      <c r="F16" s="10">
        <f>F17+F21</f>
        <v>1897500000</v>
      </c>
      <c r="G16" s="11"/>
      <c r="I16" s="239">
        <f t="shared" ref="I16:I21" si="0">C16+E16-D16</f>
        <v>1897500000</v>
      </c>
      <c r="J16" s="239">
        <f t="shared" ref="J16:J21" si="1">I16-F16</f>
        <v>0</v>
      </c>
    </row>
    <row r="17" spans="1:10" s="88" customFormat="1" ht="20.100000000000001" customHeight="1">
      <c r="A17" s="12" t="s">
        <v>5</v>
      </c>
      <c r="B17" s="13" t="s">
        <v>9</v>
      </c>
      <c r="C17" s="14">
        <f>SUM(C18:C20)</f>
        <v>1456000000</v>
      </c>
      <c r="D17" s="14">
        <f>SUM(D18:D20)</f>
        <v>18900000</v>
      </c>
      <c r="E17" s="14">
        <f>SUM(E18:E20)</f>
        <v>60200000</v>
      </c>
      <c r="F17" s="14">
        <f>SUM(F18:F20)</f>
        <v>1497300000</v>
      </c>
      <c r="G17" s="15"/>
      <c r="I17" s="239">
        <f t="shared" si="0"/>
        <v>1497300000</v>
      </c>
      <c r="J17" s="239">
        <f t="shared" si="1"/>
        <v>0</v>
      </c>
    </row>
    <row r="18" spans="1:10" ht="37.5">
      <c r="A18" s="17" t="s">
        <v>91</v>
      </c>
      <c r="B18" s="18" t="s">
        <v>26</v>
      </c>
      <c r="C18" s="19">
        <f>'Dự toán Chi tiết 2025'!L808</f>
        <v>845000000</v>
      </c>
      <c r="D18" s="19"/>
      <c r="E18" s="19"/>
      <c r="F18" s="19">
        <f>C18-D18+E18</f>
        <v>845000000</v>
      </c>
      <c r="G18" s="11"/>
      <c r="I18" s="239">
        <f t="shared" si="0"/>
        <v>845000000</v>
      </c>
      <c r="J18" s="239">
        <f t="shared" si="1"/>
        <v>0</v>
      </c>
    </row>
    <row r="19" spans="1:10" ht="37.5">
      <c r="A19" s="17" t="s">
        <v>91</v>
      </c>
      <c r="B19" s="18" t="str">
        <f>'TTDVNN V '!B18</f>
        <v>Kinh phí thực hiện cải cách tiền lương</v>
      </c>
      <c r="C19" s="19">
        <f>'Dự toán Chi tiết 2025'!L810</f>
        <v>422000000</v>
      </c>
      <c r="D19" s="19"/>
      <c r="E19" s="19">
        <f>D15</f>
        <v>60200000</v>
      </c>
      <c r="F19" s="19">
        <f>C19-D19+E19</f>
        <v>482200000</v>
      </c>
      <c r="G19" s="11"/>
      <c r="I19" s="239">
        <f t="shared" si="0"/>
        <v>482200000</v>
      </c>
      <c r="J19" s="239">
        <f t="shared" si="1"/>
        <v>0</v>
      </c>
    </row>
    <row r="20" spans="1:10" ht="20.100000000000001" customHeight="1">
      <c r="A20" s="17" t="s">
        <v>91</v>
      </c>
      <c r="B20" s="18" t="s">
        <v>27</v>
      </c>
      <c r="C20" s="19">
        <f>'Dự toán Chi tiết 2025'!L811</f>
        <v>189000000</v>
      </c>
      <c r="D20" s="19">
        <f>C20*10%</f>
        <v>18900000</v>
      </c>
      <c r="E20" s="19"/>
      <c r="F20" s="19">
        <f>C20-D20+E20</f>
        <v>170100000</v>
      </c>
      <c r="G20" s="11"/>
      <c r="I20" s="239">
        <f t="shared" si="0"/>
        <v>170100000</v>
      </c>
      <c r="J20" s="239">
        <f t="shared" si="1"/>
        <v>0</v>
      </c>
    </row>
    <row r="21" spans="1:10" s="88" customFormat="1" ht="39">
      <c r="A21" s="12" t="s">
        <v>6</v>
      </c>
      <c r="B21" s="13" t="str">
        <f>'Văn hóa và TT V'!B22</f>
        <v>Kinh phí nhiệm vụ không thường xuyên</v>
      </c>
      <c r="C21" s="14">
        <f>SUM(C22:C30)</f>
        <v>441500000</v>
      </c>
      <c r="D21" s="14">
        <f>SUM(D22:D30)</f>
        <v>41300000</v>
      </c>
      <c r="E21" s="14"/>
      <c r="F21" s="14">
        <f>SUM(F22:F30)</f>
        <v>400200000</v>
      </c>
      <c r="G21" s="15"/>
      <c r="I21" s="239">
        <f t="shared" si="0"/>
        <v>400200000</v>
      </c>
      <c r="J21" s="239">
        <f t="shared" si="1"/>
        <v>0</v>
      </c>
    </row>
    <row r="22" spans="1:10" ht="56.25">
      <c r="A22" s="17" t="s">
        <v>91</v>
      </c>
      <c r="B22" s="18" t="s">
        <v>507</v>
      </c>
      <c r="C22" s="19">
        <f>'Dự toán Chi tiết 2025'!L813</f>
        <v>38000000</v>
      </c>
      <c r="D22" s="19">
        <f>C22*10%</f>
        <v>3800000</v>
      </c>
      <c r="E22" s="19"/>
      <c r="F22" s="19">
        <f>C22-D22+E22</f>
        <v>34200000</v>
      </c>
      <c r="G22" s="11"/>
      <c r="I22" s="239"/>
      <c r="J22" s="239"/>
    </row>
    <row r="23" spans="1:10" ht="56.25">
      <c r="A23" s="17" t="s">
        <v>91</v>
      </c>
      <c r="B23" s="18" t="s">
        <v>508</v>
      </c>
      <c r="C23" s="19">
        <f>'Dự toán Chi tiết 2025'!L814</f>
        <v>30000000</v>
      </c>
      <c r="D23" s="19">
        <f t="shared" ref="D23:D30" si="2">C23*10%</f>
        <v>3000000</v>
      </c>
      <c r="E23" s="19"/>
      <c r="F23" s="19">
        <f t="shared" ref="F23:F30" si="3">C23-D23+E23</f>
        <v>27000000</v>
      </c>
      <c r="G23" s="11"/>
      <c r="I23" s="239"/>
      <c r="J23" s="239"/>
    </row>
    <row r="24" spans="1:10" ht="56.25">
      <c r="A24" s="17" t="s">
        <v>91</v>
      </c>
      <c r="B24" s="18" t="s">
        <v>509</v>
      </c>
      <c r="C24" s="19">
        <f>'Dự toán Chi tiết 2025'!L815</f>
        <v>250000000</v>
      </c>
      <c r="D24" s="19">
        <f t="shared" si="2"/>
        <v>25000000</v>
      </c>
      <c r="E24" s="19"/>
      <c r="F24" s="19">
        <f t="shared" si="3"/>
        <v>225000000</v>
      </c>
      <c r="G24" s="11"/>
      <c r="I24" s="239"/>
      <c r="J24" s="239"/>
    </row>
    <row r="25" spans="1:10" ht="37.5">
      <c r="A25" s="17" t="s">
        <v>91</v>
      </c>
      <c r="B25" s="18" t="s">
        <v>512</v>
      </c>
      <c r="C25" s="19">
        <f>'Dự toán Chi tiết 2025'!L818</f>
        <v>60000000</v>
      </c>
      <c r="D25" s="19">
        <f t="shared" si="2"/>
        <v>6000000</v>
      </c>
      <c r="E25" s="19"/>
      <c r="F25" s="19">
        <f t="shared" si="3"/>
        <v>54000000</v>
      </c>
      <c r="G25" s="11"/>
      <c r="I25" s="239"/>
      <c r="J25" s="239"/>
    </row>
    <row r="26" spans="1:10" ht="56.25" hidden="1">
      <c r="A26" s="17" t="s">
        <v>91</v>
      </c>
      <c r="B26" s="18" t="s">
        <v>1137</v>
      </c>
      <c r="C26" s="19">
        <f>'Dự toán Chi tiết 2025'!L819</f>
        <v>0</v>
      </c>
      <c r="D26" s="19">
        <f t="shared" si="2"/>
        <v>0</v>
      </c>
      <c r="E26" s="19"/>
      <c r="F26" s="19">
        <f t="shared" si="3"/>
        <v>0</v>
      </c>
      <c r="G26" s="11"/>
      <c r="I26" s="239"/>
      <c r="J26" s="239"/>
    </row>
    <row r="27" spans="1:10" ht="56.25">
      <c r="A27" s="17" t="s">
        <v>91</v>
      </c>
      <c r="B27" s="18" t="s">
        <v>1138</v>
      </c>
      <c r="C27" s="19">
        <f>'Dự toán Chi tiết 2025'!L820</f>
        <v>15000000</v>
      </c>
      <c r="D27" s="19">
        <f t="shared" si="2"/>
        <v>1500000</v>
      </c>
      <c r="E27" s="19"/>
      <c r="F27" s="19">
        <f t="shared" si="3"/>
        <v>13500000</v>
      </c>
      <c r="G27" s="11"/>
      <c r="I27" s="239"/>
      <c r="J27" s="239"/>
    </row>
    <row r="28" spans="1:10">
      <c r="A28" s="17" t="s">
        <v>91</v>
      </c>
      <c r="B28" s="18" t="s">
        <v>1349</v>
      </c>
      <c r="C28" s="19">
        <v>15000000</v>
      </c>
      <c r="D28" s="19"/>
      <c r="E28" s="19"/>
      <c r="F28" s="19">
        <f t="shared" si="3"/>
        <v>15000000</v>
      </c>
      <c r="G28" s="11"/>
      <c r="I28" s="239"/>
      <c r="J28" s="239"/>
    </row>
    <row r="29" spans="1:10">
      <c r="A29" s="17" t="s">
        <v>91</v>
      </c>
      <c r="B29" s="20" t="str">
        <f>'Dự toán Chi tiết 2025'!B822</f>
        <v>Chi đại hội chi bộ</v>
      </c>
      <c r="C29" s="19">
        <f>'Dự toán Chi tiết 2025'!L822</f>
        <v>13500000</v>
      </c>
      <c r="D29" s="19"/>
      <c r="E29" s="19"/>
      <c r="F29" s="19">
        <f t="shared" si="3"/>
        <v>13500000</v>
      </c>
      <c r="G29" s="11"/>
      <c r="I29" s="239"/>
      <c r="J29" s="239"/>
    </row>
    <row r="30" spans="1:10">
      <c r="A30" s="17" t="s">
        <v>91</v>
      </c>
      <c r="B30" s="20" t="str">
        <f>'Dự toán Chi tiết 2025'!B823</f>
        <v>Mua sắm 06 kệ tài liệu</v>
      </c>
      <c r="C30" s="19">
        <f>'Dự toán Chi tiết 2025'!L823</f>
        <v>20000000</v>
      </c>
      <c r="D30" s="19">
        <f t="shared" si="2"/>
        <v>2000000</v>
      </c>
      <c r="E30" s="19"/>
      <c r="F30" s="19">
        <f t="shared" si="3"/>
        <v>18000000</v>
      </c>
      <c r="G30" s="11"/>
      <c r="I30" s="239"/>
      <c r="J30" s="239"/>
    </row>
    <row r="31" spans="1:10" ht="15" customHeight="1"/>
    <row r="32" spans="1: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sheetData>
  <mergeCells count="7">
    <mergeCell ref="A8:G8"/>
    <mergeCell ref="A1:C1"/>
    <mergeCell ref="A2:C2"/>
    <mergeCell ref="A4:G4"/>
    <mergeCell ref="A5:G5"/>
    <mergeCell ref="A6:G6"/>
    <mergeCell ref="A7:G7"/>
  </mergeCells>
  <pageMargins left="0.7" right="0.7" top="0.75" bottom="0.75" header="0.3" footer="0.3"/>
  <pageSetup paperSize="9" scale="60" fitToHeight="0"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31"/>
  <sheetViews>
    <sheetView showZeros="0" topLeftCell="A10" zoomScale="85" zoomScaleNormal="85" workbookViewId="0">
      <selection activeCell="B28" sqref="B28"/>
    </sheetView>
  </sheetViews>
  <sheetFormatPr defaultRowHeight="18.75"/>
  <cols>
    <col min="1" max="1" width="7.140625" style="27" customWidth="1"/>
    <col min="2" max="2" width="38.5703125" style="27" customWidth="1"/>
    <col min="3" max="3" width="19.28515625" style="27" customWidth="1"/>
    <col min="4" max="5" width="21.140625" style="27" customWidth="1"/>
    <col min="6" max="6" width="19.42578125" style="27" customWidth="1"/>
    <col min="7" max="7" width="22.7109375" style="27" customWidth="1"/>
    <col min="8" max="8" width="0" style="27" hidden="1" customWidth="1"/>
    <col min="9" max="9" width="16.7109375" style="27" hidden="1" customWidth="1"/>
    <col min="10" max="10" width="0" style="27" hidden="1" customWidth="1"/>
    <col min="11" max="11" width="16.7109375" style="27" hidden="1" customWidth="1"/>
    <col min="12" max="13" width="0" style="27" hidden="1" customWidth="1"/>
    <col min="14" max="260" width="9.140625" style="27"/>
    <col min="261" max="261" width="7.140625" style="27" customWidth="1"/>
    <col min="262" max="262" width="47.7109375" style="27" customWidth="1"/>
    <col min="263" max="263" width="19.28515625" style="27" customWidth="1"/>
    <col min="264" max="516" width="9.140625" style="27"/>
    <col min="517" max="517" width="7.140625" style="27" customWidth="1"/>
    <col min="518" max="518" width="47.7109375" style="27" customWidth="1"/>
    <col min="519" max="519" width="19.28515625" style="27" customWidth="1"/>
    <col min="520" max="772" width="9.140625" style="27"/>
    <col min="773" max="773" width="7.140625" style="27" customWidth="1"/>
    <col min="774" max="774" width="47.7109375" style="27" customWidth="1"/>
    <col min="775" max="775" width="19.28515625" style="27" customWidth="1"/>
    <col min="776" max="1028" width="9.140625" style="27"/>
    <col min="1029" max="1029" width="7.140625" style="27" customWidth="1"/>
    <col min="1030" max="1030" width="47.7109375" style="27" customWidth="1"/>
    <col min="1031" max="1031" width="19.28515625" style="27" customWidth="1"/>
    <col min="1032" max="1284" width="9.140625" style="27"/>
    <col min="1285" max="1285" width="7.140625" style="27" customWidth="1"/>
    <col min="1286" max="1286" width="47.7109375" style="27" customWidth="1"/>
    <col min="1287" max="1287" width="19.28515625" style="27" customWidth="1"/>
    <col min="1288" max="1540" width="9.140625" style="27"/>
    <col min="1541" max="1541" width="7.140625" style="27" customWidth="1"/>
    <col min="1542" max="1542" width="47.7109375" style="27" customWidth="1"/>
    <col min="1543" max="1543" width="19.28515625" style="27" customWidth="1"/>
    <col min="1544" max="1796" width="9.140625" style="27"/>
    <col min="1797" max="1797" width="7.140625" style="27" customWidth="1"/>
    <col min="1798" max="1798" width="47.7109375" style="27" customWidth="1"/>
    <col min="1799" max="1799" width="19.28515625" style="27" customWidth="1"/>
    <col min="1800" max="2052" width="9.140625" style="27"/>
    <col min="2053" max="2053" width="7.140625" style="27" customWidth="1"/>
    <col min="2054" max="2054" width="47.7109375" style="27" customWidth="1"/>
    <col min="2055" max="2055" width="19.28515625" style="27" customWidth="1"/>
    <col min="2056" max="2308" width="9.140625" style="27"/>
    <col min="2309" max="2309" width="7.140625" style="27" customWidth="1"/>
    <col min="2310" max="2310" width="47.7109375" style="27" customWidth="1"/>
    <col min="2311" max="2311" width="19.28515625" style="27" customWidth="1"/>
    <col min="2312" max="2564" width="9.140625" style="27"/>
    <col min="2565" max="2565" width="7.140625" style="27" customWidth="1"/>
    <col min="2566" max="2566" width="47.7109375" style="27" customWidth="1"/>
    <col min="2567" max="2567" width="19.28515625" style="27" customWidth="1"/>
    <col min="2568" max="2820" width="9.140625" style="27"/>
    <col min="2821" max="2821" width="7.140625" style="27" customWidth="1"/>
    <col min="2822" max="2822" width="47.7109375" style="27" customWidth="1"/>
    <col min="2823" max="2823" width="19.28515625" style="27" customWidth="1"/>
    <col min="2824" max="3076" width="9.140625" style="27"/>
    <col min="3077" max="3077" width="7.140625" style="27" customWidth="1"/>
    <col min="3078" max="3078" width="47.7109375" style="27" customWidth="1"/>
    <col min="3079" max="3079" width="19.28515625" style="27" customWidth="1"/>
    <col min="3080" max="3332" width="9.140625" style="27"/>
    <col min="3333" max="3333" width="7.140625" style="27" customWidth="1"/>
    <col min="3334" max="3334" width="47.7109375" style="27" customWidth="1"/>
    <col min="3335" max="3335" width="19.28515625" style="27" customWidth="1"/>
    <col min="3336" max="3588" width="9.140625" style="27"/>
    <col min="3589" max="3589" width="7.140625" style="27" customWidth="1"/>
    <col min="3590" max="3590" width="47.7109375" style="27" customWidth="1"/>
    <col min="3591" max="3591" width="19.28515625" style="27" customWidth="1"/>
    <col min="3592" max="3844" width="9.140625" style="27"/>
    <col min="3845" max="3845" width="7.140625" style="27" customWidth="1"/>
    <col min="3846" max="3846" width="47.7109375" style="27" customWidth="1"/>
    <col min="3847" max="3847" width="19.28515625" style="27" customWidth="1"/>
    <col min="3848" max="4100" width="9.140625" style="27"/>
    <col min="4101" max="4101" width="7.140625" style="27" customWidth="1"/>
    <col min="4102" max="4102" width="47.7109375" style="27" customWidth="1"/>
    <col min="4103" max="4103" width="19.28515625" style="27" customWidth="1"/>
    <col min="4104" max="4356" width="9.140625" style="27"/>
    <col min="4357" max="4357" width="7.140625" style="27" customWidth="1"/>
    <col min="4358" max="4358" width="47.7109375" style="27" customWidth="1"/>
    <col min="4359" max="4359" width="19.28515625" style="27" customWidth="1"/>
    <col min="4360" max="4612" width="9.140625" style="27"/>
    <col min="4613" max="4613" width="7.140625" style="27" customWidth="1"/>
    <col min="4614" max="4614" width="47.7109375" style="27" customWidth="1"/>
    <col min="4615" max="4615" width="19.28515625" style="27" customWidth="1"/>
    <col min="4616" max="4868" width="9.140625" style="27"/>
    <col min="4869" max="4869" width="7.140625" style="27" customWidth="1"/>
    <col min="4870" max="4870" width="47.7109375" style="27" customWidth="1"/>
    <col min="4871" max="4871" width="19.28515625" style="27" customWidth="1"/>
    <col min="4872" max="5124" width="9.140625" style="27"/>
    <col min="5125" max="5125" width="7.140625" style="27" customWidth="1"/>
    <col min="5126" max="5126" width="47.7109375" style="27" customWidth="1"/>
    <col min="5127" max="5127" width="19.28515625" style="27" customWidth="1"/>
    <col min="5128" max="5380" width="9.140625" style="27"/>
    <col min="5381" max="5381" width="7.140625" style="27" customWidth="1"/>
    <col min="5382" max="5382" width="47.7109375" style="27" customWidth="1"/>
    <col min="5383" max="5383" width="19.28515625" style="27" customWidth="1"/>
    <col min="5384" max="5636" width="9.140625" style="27"/>
    <col min="5637" max="5637" width="7.140625" style="27" customWidth="1"/>
    <col min="5638" max="5638" width="47.7109375" style="27" customWidth="1"/>
    <col min="5639" max="5639" width="19.28515625" style="27" customWidth="1"/>
    <col min="5640" max="5892" width="9.140625" style="27"/>
    <col min="5893" max="5893" width="7.140625" style="27" customWidth="1"/>
    <col min="5894" max="5894" width="47.7109375" style="27" customWidth="1"/>
    <col min="5895" max="5895" width="19.28515625" style="27" customWidth="1"/>
    <col min="5896" max="6148" width="9.140625" style="27"/>
    <col min="6149" max="6149" width="7.140625" style="27" customWidth="1"/>
    <col min="6150" max="6150" width="47.7109375" style="27" customWidth="1"/>
    <col min="6151" max="6151" width="19.28515625" style="27" customWidth="1"/>
    <col min="6152" max="6404" width="9.140625" style="27"/>
    <col min="6405" max="6405" width="7.140625" style="27" customWidth="1"/>
    <col min="6406" max="6406" width="47.7109375" style="27" customWidth="1"/>
    <col min="6407" max="6407" width="19.28515625" style="27" customWidth="1"/>
    <col min="6408" max="6660" width="9.140625" style="27"/>
    <col min="6661" max="6661" width="7.140625" style="27" customWidth="1"/>
    <col min="6662" max="6662" width="47.7109375" style="27" customWidth="1"/>
    <col min="6663" max="6663" width="19.28515625" style="27" customWidth="1"/>
    <col min="6664" max="6916" width="9.140625" style="27"/>
    <col min="6917" max="6917" width="7.140625" style="27" customWidth="1"/>
    <col min="6918" max="6918" width="47.7109375" style="27" customWidth="1"/>
    <col min="6919" max="6919" width="19.28515625" style="27" customWidth="1"/>
    <col min="6920" max="7172" width="9.140625" style="27"/>
    <col min="7173" max="7173" width="7.140625" style="27" customWidth="1"/>
    <col min="7174" max="7174" width="47.7109375" style="27" customWidth="1"/>
    <col min="7175" max="7175" width="19.28515625" style="27" customWidth="1"/>
    <col min="7176" max="7428" width="9.140625" style="27"/>
    <col min="7429" max="7429" width="7.140625" style="27" customWidth="1"/>
    <col min="7430" max="7430" width="47.7109375" style="27" customWidth="1"/>
    <col min="7431" max="7431" width="19.28515625" style="27" customWidth="1"/>
    <col min="7432" max="7684" width="9.140625" style="27"/>
    <col min="7685" max="7685" width="7.140625" style="27" customWidth="1"/>
    <col min="7686" max="7686" width="47.7109375" style="27" customWidth="1"/>
    <col min="7687" max="7687" width="19.28515625" style="27" customWidth="1"/>
    <col min="7688" max="7940" width="9.140625" style="27"/>
    <col min="7941" max="7941" width="7.140625" style="27" customWidth="1"/>
    <col min="7942" max="7942" width="47.7109375" style="27" customWidth="1"/>
    <col min="7943" max="7943" width="19.28515625" style="27" customWidth="1"/>
    <col min="7944" max="8196" width="9.140625" style="27"/>
    <col min="8197" max="8197" width="7.140625" style="27" customWidth="1"/>
    <col min="8198" max="8198" width="47.7109375" style="27" customWidth="1"/>
    <col min="8199" max="8199" width="19.28515625" style="27" customWidth="1"/>
    <col min="8200" max="8452" width="9.140625" style="27"/>
    <col min="8453" max="8453" width="7.140625" style="27" customWidth="1"/>
    <col min="8454" max="8454" width="47.7109375" style="27" customWidth="1"/>
    <col min="8455" max="8455" width="19.28515625" style="27" customWidth="1"/>
    <col min="8456" max="8708" width="9.140625" style="27"/>
    <col min="8709" max="8709" width="7.140625" style="27" customWidth="1"/>
    <col min="8710" max="8710" width="47.7109375" style="27" customWidth="1"/>
    <col min="8711" max="8711" width="19.28515625" style="27" customWidth="1"/>
    <col min="8712" max="8964" width="9.140625" style="27"/>
    <col min="8965" max="8965" width="7.140625" style="27" customWidth="1"/>
    <col min="8966" max="8966" width="47.7109375" style="27" customWidth="1"/>
    <col min="8967" max="8967" width="19.28515625" style="27" customWidth="1"/>
    <col min="8968" max="9220" width="9.140625" style="27"/>
    <col min="9221" max="9221" width="7.140625" style="27" customWidth="1"/>
    <col min="9222" max="9222" width="47.7109375" style="27" customWidth="1"/>
    <col min="9223" max="9223" width="19.28515625" style="27" customWidth="1"/>
    <col min="9224" max="9476" width="9.140625" style="27"/>
    <col min="9477" max="9477" width="7.140625" style="27" customWidth="1"/>
    <col min="9478" max="9478" width="47.7109375" style="27" customWidth="1"/>
    <col min="9479" max="9479" width="19.28515625" style="27" customWidth="1"/>
    <col min="9480" max="9732" width="9.140625" style="27"/>
    <col min="9733" max="9733" width="7.140625" style="27" customWidth="1"/>
    <col min="9734" max="9734" width="47.7109375" style="27" customWidth="1"/>
    <col min="9735" max="9735" width="19.28515625" style="27" customWidth="1"/>
    <col min="9736" max="9988" width="9.140625" style="27"/>
    <col min="9989" max="9989" width="7.140625" style="27" customWidth="1"/>
    <col min="9990" max="9990" width="47.7109375" style="27" customWidth="1"/>
    <col min="9991" max="9991" width="19.28515625" style="27" customWidth="1"/>
    <col min="9992" max="10244" width="9.140625" style="27"/>
    <col min="10245" max="10245" width="7.140625" style="27" customWidth="1"/>
    <col min="10246" max="10246" width="47.7109375" style="27" customWidth="1"/>
    <col min="10247" max="10247" width="19.28515625" style="27" customWidth="1"/>
    <col min="10248" max="10500" width="9.140625" style="27"/>
    <col min="10501" max="10501" width="7.140625" style="27" customWidth="1"/>
    <col min="10502" max="10502" width="47.7109375" style="27" customWidth="1"/>
    <col min="10503" max="10503" width="19.28515625" style="27" customWidth="1"/>
    <col min="10504" max="10756" width="9.140625" style="27"/>
    <col min="10757" max="10757" width="7.140625" style="27" customWidth="1"/>
    <col min="10758" max="10758" width="47.7109375" style="27" customWidth="1"/>
    <col min="10759" max="10759" width="19.28515625" style="27" customWidth="1"/>
    <col min="10760" max="11012" width="9.140625" style="27"/>
    <col min="11013" max="11013" width="7.140625" style="27" customWidth="1"/>
    <col min="11014" max="11014" width="47.7109375" style="27" customWidth="1"/>
    <col min="11015" max="11015" width="19.28515625" style="27" customWidth="1"/>
    <col min="11016" max="11268" width="9.140625" style="27"/>
    <col min="11269" max="11269" width="7.140625" style="27" customWidth="1"/>
    <col min="11270" max="11270" width="47.7109375" style="27" customWidth="1"/>
    <col min="11271" max="11271" width="19.28515625" style="27" customWidth="1"/>
    <col min="11272" max="11524" width="9.140625" style="27"/>
    <col min="11525" max="11525" width="7.140625" style="27" customWidth="1"/>
    <col min="11526" max="11526" width="47.7109375" style="27" customWidth="1"/>
    <col min="11527" max="11527" width="19.28515625" style="27" customWidth="1"/>
    <col min="11528" max="11780" width="9.140625" style="27"/>
    <col min="11781" max="11781" width="7.140625" style="27" customWidth="1"/>
    <col min="11782" max="11782" width="47.7109375" style="27" customWidth="1"/>
    <col min="11783" max="11783" width="19.28515625" style="27" customWidth="1"/>
    <col min="11784" max="12036" width="9.140625" style="27"/>
    <col min="12037" max="12037" width="7.140625" style="27" customWidth="1"/>
    <col min="12038" max="12038" width="47.7109375" style="27" customWidth="1"/>
    <col min="12039" max="12039" width="19.28515625" style="27" customWidth="1"/>
    <col min="12040" max="12292" width="9.140625" style="27"/>
    <col min="12293" max="12293" width="7.140625" style="27" customWidth="1"/>
    <col min="12294" max="12294" width="47.7109375" style="27" customWidth="1"/>
    <col min="12295" max="12295" width="19.28515625" style="27" customWidth="1"/>
    <col min="12296" max="12548" width="9.140625" style="27"/>
    <col min="12549" max="12549" width="7.140625" style="27" customWidth="1"/>
    <col min="12550" max="12550" width="47.7109375" style="27" customWidth="1"/>
    <col min="12551" max="12551" width="19.28515625" style="27" customWidth="1"/>
    <col min="12552" max="12804" width="9.140625" style="27"/>
    <col min="12805" max="12805" width="7.140625" style="27" customWidth="1"/>
    <col min="12806" max="12806" width="47.7109375" style="27" customWidth="1"/>
    <col min="12807" max="12807" width="19.28515625" style="27" customWidth="1"/>
    <col min="12808" max="13060" width="9.140625" style="27"/>
    <col min="13061" max="13061" width="7.140625" style="27" customWidth="1"/>
    <col min="13062" max="13062" width="47.7109375" style="27" customWidth="1"/>
    <col min="13063" max="13063" width="19.28515625" style="27" customWidth="1"/>
    <col min="13064" max="13316" width="9.140625" style="27"/>
    <col min="13317" max="13317" width="7.140625" style="27" customWidth="1"/>
    <col min="13318" max="13318" width="47.7109375" style="27" customWidth="1"/>
    <col min="13319" max="13319" width="19.28515625" style="27" customWidth="1"/>
    <col min="13320" max="13572" width="9.140625" style="27"/>
    <col min="13573" max="13573" width="7.140625" style="27" customWidth="1"/>
    <col min="13574" max="13574" width="47.7109375" style="27" customWidth="1"/>
    <col min="13575" max="13575" width="19.28515625" style="27" customWidth="1"/>
    <col min="13576" max="13828" width="9.140625" style="27"/>
    <col min="13829" max="13829" width="7.140625" style="27" customWidth="1"/>
    <col min="13830" max="13830" width="47.7109375" style="27" customWidth="1"/>
    <col min="13831" max="13831" width="19.28515625" style="27" customWidth="1"/>
    <col min="13832" max="14084" width="9.140625" style="27"/>
    <col min="14085" max="14085" width="7.140625" style="27" customWidth="1"/>
    <col min="14086" max="14086" width="47.7109375" style="27" customWidth="1"/>
    <col min="14087" max="14087" width="19.28515625" style="27" customWidth="1"/>
    <col min="14088" max="14340" width="9.140625" style="27"/>
    <col min="14341" max="14341" width="7.140625" style="27" customWidth="1"/>
    <col min="14342" max="14342" width="47.7109375" style="27" customWidth="1"/>
    <col min="14343" max="14343" width="19.28515625" style="27" customWidth="1"/>
    <col min="14344" max="14596" width="9.140625" style="27"/>
    <col min="14597" max="14597" width="7.140625" style="27" customWidth="1"/>
    <col min="14598" max="14598" width="47.7109375" style="27" customWidth="1"/>
    <col min="14599" max="14599" width="19.28515625" style="27" customWidth="1"/>
    <col min="14600" max="14852" width="9.140625" style="27"/>
    <col min="14853" max="14853" width="7.140625" style="27" customWidth="1"/>
    <col min="14854" max="14854" width="47.7109375" style="27" customWidth="1"/>
    <col min="14855" max="14855" width="19.28515625" style="27" customWidth="1"/>
    <col min="14856" max="15108" width="9.140625" style="27"/>
    <col min="15109" max="15109" width="7.140625" style="27" customWidth="1"/>
    <col min="15110" max="15110" width="47.7109375" style="27" customWidth="1"/>
    <col min="15111" max="15111" width="19.28515625" style="27" customWidth="1"/>
    <col min="15112" max="15364" width="9.140625" style="27"/>
    <col min="15365" max="15365" width="7.140625" style="27" customWidth="1"/>
    <col min="15366" max="15366" width="47.7109375" style="27" customWidth="1"/>
    <col min="15367" max="15367" width="19.28515625" style="27" customWidth="1"/>
    <col min="15368" max="15620" width="9.140625" style="27"/>
    <col min="15621" max="15621" width="7.140625" style="27" customWidth="1"/>
    <col min="15622" max="15622" width="47.7109375" style="27" customWidth="1"/>
    <col min="15623" max="15623" width="19.28515625" style="27" customWidth="1"/>
    <col min="15624" max="15876" width="9.140625" style="27"/>
    <col min="15877" max="15877" width="7.140625" style="27" customWidth="1"/>
    <col min="15878" max="15878" width="47.7109375" style="27" customWidth="1"/>
    <col min="15879" max="15879" width="19.28515625" style="27" customWidth="1"/>
    <col min="15880" max="16132" width="9.140625" style="27"/>
    <col min="16133" max="16133" width="7.140625" style="27" customWidth="1"/>
    <col min="16134" max="16134" width="47.7109375" style="27" customWidth="1"/>
    <col min="16135" max="16135" width="19.28515625" style="27" customWidth="1"/>
    <col min="16136" max="16384" width="9.140625" style="27"/>
  </cols>
  <sheetData>
    <row r="1" spans="1:10">
      <c r="A1" s="1838" t="s">
        <v>663</v>
      </c>
      <c r="B1" s="1838"/>
      <c r="C1" s="1838"/>
      <c r="G1" s="3"/>
    </row>
    <row r="2" spans="1:10">
      <c r="A2" s="1798" t="s">
        <v>664</v>
      </c>
      <c r="B2" s="1798"/>
      <c r="C2" s="1798"/>
      <c r="D2" s="4"/>
      <c r="E2" s="4"/>
      <c r="F2" s="4"/>
    </row>
    <row r="3" spans="1:10">
      <c r="A3" s="5"/>
    </row>
    <row r="4" spans="1:10">
      <c r="A4" s="1798" t="str">
        <f>'TTDVNN V '!A4:G4</f>
        <v>DỰ TOÁN THU, CHI NGÂN SÁCH NHÀ NƯỚC NĂM 2025</v>
      </c>
      <c r="B4" s="1798"/>
      <c r="C4" s="1798"/>
      <c r="D4" s="1798"/>
      <c r="E4" s="1798"/>
      <c r="F4" s="1798"/>
      <c r="G4" s="1798"/>
    </row>
    <row r="5" spans="1:10">
      <c r="A5" s="1798" t="s">
        <v>665</v>
      </c>
      <c r="B5" s="1798"/>
      <c r="C5" s="1798"/>
      <c r="D5" s="1798"/>
      <c r="E5" s="1798"/>
      <c r="F5" s="1798"/>
      <c r="G5" s="1798"/>
    </row>
    <row r="6" spans="1:10">
      <c r="A6" s="1798" t="s">
        <v>666</v>
      </c>
      <c r="B6" s="1798"/>
      <c r="C6" s="1798"/>
      <c r="D6" s="1798"/>
      <c r="E6" s="1798"/>
      <c r="F6" s="1798"/>
      <c r="G6" s="1798"/>
    </row>
    <row r="7" spans="1:10">
      <c r="A7" s="1798" t="s">
        <v>17</v>
      </c>
      <c r="B7" s="1798"/>
      <c r="C7" s="1798"/>
      <c r="D7" s="1798"/>
      <c r="E7" s="1798"/>
      <c r="F7" s="1798"/>
      <c r="G7" s="1798"/>
    </row>
    <row r="8" spans="1:10">
      <c r="A8" s="1799">
        <f>'TTDVNN V '!A8:G8</f>
        <v>0</v>
      </c>
      <c r="B8" s="1799"/>
      <c r="C8" s="1799"/>
      <c r="D8" s="1799"/>
      <c r="E8" s="1799"/>
      <c r="F8" s="1799"/>
      <c r="G8" s="1799"/>
    </row>
    <row r="9" spans="1:10">
      <c r="G9" s="6" t="s">
        <v>43</v>
      </c>
    </row>
    <row r="10" spans="1:10"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10">
      <c r="A11" s="8" t="s">
        <v>20</v>
      </c>
      <c r="B11" s="8" t="s">
        <v>21</v>
      </c>
      <c r="C11" s="8" t="s">
        <v>22</v>
      </c>
      <c r="D11" s="8" t="s">
        <v>23</v>
      </c>
      <c r="E11" s="8" t="str">
        <f>'TTDVNN V '!E12</f>
        <v>(5)</v>
      </c>
      <c r="F11" s="8" t="str">
        <f>'TTDVNN V '!F12</f>
        <v>(6)=(3)-(4)+(5)</v>
      </c>
      <c r="G11" s="8" t="s">
        <v>1287</v>
      </c>
    </row>
    <row r="12" spans="1:10" ht="37.5">
      <c r="A12" s="7" t="s">
        <v>2</v>
      </c>
      <c r="B12" s="9" t="s">
        <v>3</v>
      </c>
      <c r="C12" s="10"/>
      <c r="D12" s="10"/>
      <c r="E12" s="10"/>
      <c r="F12" s="10"/>
      <c r="G12" s="11"/>
    </row>
    <row r="13" spans="1:10">
      <c r="A13" s="17">
        <v>1</v>
      </c>
      <c r="B13" s="18" t="s">
        <v>4</v>
      </c>
      <c r="C13" s="19"/>
      <c r="D13" s="19"/>
      <c r="E13" s="19"/>
      <c r="F13" s="19"/>
      <c r="G13" s="11"/>
      <c r="I13" s="310">
        <f>I14+I25</f>
        <v>5559300000</v>
      </c>
    </row>
    <row r="14" spans="1:10">
      <c r="A14" s="17">
        <v>2</v>
      </c>
      <c r="B14" s="18" t="s">
        <v>7</v>
      </c>
      <c r="C14" s="19"/>
      <c r="D14" s="19"/>
      <c r="E14" s="19"/>
      <c r="F14" s="19"/>
      <c r="G14" s="11"/>
      <c r="I14" s="310">
        <f>I17+I21</f>
        <v>1686300000</v>
      </c>
    </row>
    <row r="15" spans="1:10" ht="37.5">
      <c r="A15" s="7" t="s">
        <v>12</v>
      </c>
      <c r="B15" s="9" t="s">
        <v>84</v>
      </c>
      <c r="C15" s="10">
        <f>C16+C25</f>
        <v>5779300000</v>
      </c>
      <c r="D15" s="10">
        <f>D16+D25</f>
        <v>238900000</v>
      </c>
      <c r="E15" s="10">
        <f>E16+E25</f>
        <v>18900000</v>
      </c>
      <c r="F15" s="10">
        <f>F16+F25</f>
        <v>5559300000</v>
      </c>
      <c r="G15" s="11"/>
      <c r="I15" s="239">
        <f>C15+E15-D15</f>
        <v>5559300000</v>
      </c>
      <c r="J15" s="239">
        <f>I15-F15</f>
        <v>0</v>
      </c>
    </row>
    <row r="16" spans="1:10">
      <c r="A16" s="7">
        <v>1</v>
      </c>
      <c r="B16" s="9" t="s">
        <v>121</v>
      </c>
      <c r="C16" s="10">
        <f>C17+C21</f>
        <v>1686300000</v>
      </c>
      <c r="D16" s="10">
        <f>D17+D21</f>
        <v>18900000</v>
      </c>
      <c r="E16" s="10">
        <f>E17+E21</f>
        <v>18900000</v>
      </c>
      <c r="F16" s="10">
        <f>F17+F21</f>
        <v>1686300000</v>
      </c>
      <c r="G16" s="11"/>
      <c r="I16" s="239">
        <f t="shared" ref="I16:I28" si="0">C16+E16-D16</f>
        <v>1686300000</v>
      </c>
      <c r="J16" s="239">
        <f t="shared" ref="J16:J28" si="1">I16-F16</f>
        <v>0</v>
      </c>
    </row>
    <row r="17" spans="1:11" s="88" customFormat="1" ht="39">
      <c r="A17" s="12" t="s">
        <v>5</v>
      </c>
      <c r="B17" s="13" t="s">
        <v>9</v>
      </c>
      <c r="C17" s="14">
        <f>SUM(C18:C20)</f>
        <v>1614600000</v>
      </c>
      <c r="D17" s="14">
        <f>SUM(D18:D20)</f>
        <v>18900000</v>
      </c>
      <c r="E17" s="14">
        <f>SUM(E18:E20)</f>
        <v>18900000</v>
      </c>
      <c r="F17" s="14">
        <f>SUM(F18:F20)</f>
        <v>1614600000</v>
      </c>
      <c r="G17" s="15"/>
      <c r="I17" s="239">
        <f>C17+E17-D17</f>
        <v>1614600000</v>
      </c>
      <c r="J17" s="239">
        <f t="shared" si="1"/>
        <v>0</v>
      </c>
    </row>
    <row r="18" spans="1:11" ht="37.5">
      <c r="A18" s="17" t="s">
        <v>91</v>
      </c>
      <c r="B18" s="18" t="s">
        <v>26</v>
      </c>
      <c r="C18" s="19">
        <f>'Dự toán Chi tiết 2025'!L792</f>
        <v>919600000</v>
      </c>
      <c r="D18" s="19"/>
      <c r="E18" s="19"/>
      <c r="F18" s="19">
        <f>C18-D18+E18</f>
        <v>919600000</v>
      </c>
      <c r="G18" s="11"/>
      <c r="I18" s="239">
        <f t="shared" si="0"/>
        <v>919600000</v>
      </c>
      <c r="J18" s="239">
        <f t="shared" si="1"/>
        <v>0</v>
      </c>
      <c r="K18" s="239">
        <f>F18+F19+C20</f>
        <v>1633500000</v>
      </c>
    </row>
    <row r="19" spans="1:11" ht="37.5">
      <c r="A19" s="17" t="s">
        <v>91</v>
      </c>
      <c r="B19" s="18" t="str">
        <f>'TTDVNN V '!B18</f>
        <v>Kinh phí thực hiện cải cách tiền lương</v>
      </c>
      <c r="C19" s="19">
        <f>'Dự toán Chi tiết 2025'!L794</f>
        <v>506000000</v>
      </c>
      <c r="D19" s="19"/>
      <c r="E19" s="19">
        <f>'Dự toán Chi tiết 2025'!L803</f>
        <v>18900000</v>
      </c>
      <c r="F19" s="19">
        <f>C19-D19+E19</f>
        <v>524900000</v>
      </c>
      <c r="G19" s="11"/>
      <c r="I19" s="239">
        <f>C19+E19-D19</f>
        <v>524900000</v>
      </c>
      <c r="J19" s="239">
        <f t="shared" si="1"/>
        <v>0</v>
      </c>
    </row>
    <row r="20" spans="1:11" ht="37.5">
      <c r="A20" s="17" t="s">
        <v>91</v>
      </c>
      <c r="B20" s="18" t="s">
        <v>27</v>
      </c>
      <c r="C20" s="19">
        <f>'Dự toán Chi tiết 2025'!L795</f>
        <v>189000000</v>
      </c>
      <c r="D20" s="19">
        <f>C20*10%</f>
        <v>18900000</v>
      </c>
      <c r="E20" s="19"/>
      <c r="F20" s="19">
        <f>C20-D20+E20</f>
        <v>170100000</v>
      </c>
      <c r="G20" s="11"/>
      <c r="I20" s="239">
        <f t="shared" si="0"/>
        <v>170100000</v>
      </c>
      <c r="J20" s="239">
        <f t="shared" si="1"/>
        <v>0</v>
      </c>
    </row>
    <row r="21" spans="1:11" s="88" customFormat="1" ht="39">
      <c r="A21" s="12" t="s">
        <v>6</v>
      </c>
      <c r="B21" s="13" t="str">
        <f>'Văn hóa và TT V'!B22</f>
        <v>Kinh phí nhiệm vụ không thường xuyên</v>
      </c>
      <c r="C21" s="14">
        <f>SUM(C22:C24)</f>
        <v>71700000</v>
      </c>
      <c r="D21" s="14">
        <f>SUM(D22:D24)</f>
        <v>0</v>
      </c>
      <c r="E21" s="14"/>
      <c r="F21" s="14">
        <f>SUM(F22:F24)</f>
        <v>71700000</v>
      </c>
      <c r="G21" s="15"/>
      <c r="I21" s="267">
        <f t="shared" si="0"/>
        <v>71700000</v>
      </c>
      <c r="J21" s="239">
        <f t="shared" si="1"/>
        <v>0</v>
      </c>
    </row>
    <row r="22" spans="1:11">
      <c r="A22" s="17" t="s">
        <v>91</v>
      </c>
      <c r="B22" s="22" t="s">
        <v>79</v>
      </c>
      <c r="C22" s="19">
        <f>'Dự toán Chi tiết 2025'!L797</f>
        <v>36000000</v>
      </c>
      <c r="D22" s="19"/>
      <c r="E22" s="19"/>
      <c r="F22" s="19">
        <f>C22-D22</f>
        <v>36000000</v>
      </c>
      <c r="G22" s="11"/>
      <c r="I22" s="239">
        <f>C22+E22-D22</f>
        <v>36000000</v>
      </c>
      <c r="J22" s="239">
        <f t="shared" si="1"/>
        <v>0</v>
      </c>
    </row>
    <row r="23" spans="1:11">
      <c r="A23" s="17" t="s">
        <v>91</v>
      </c>
      <c r="B23" s="22" t="str">
        <f>'Dự toán Chi tiết 2025'!B800</f>
        <v>Chi đại hội chi bộ</v>
      </c>
      <c r="C23" s="19">
        <f>'Dự toán Chi tiết 2025'!L800</f>
        <v>15000000</v>
      </c>
      <c r="D23" s="19"/>
      <c r="E23" s="19"/>
      <c r="F23" s="19">
        <f>C23-D23</f>
        <v>15000000</v>
      </c>
      <c r="G23" s="11"/>
      <c r="I23" s="239">
        <f>C23+E23-D23</f>
        <v>15000000</v>
      </c>
      <c r="J23" s="239"/>
    </row>
    <row r="24" spans="1:11" ht="19.5">
      <c r="A24" s="12" t="s">
        <v>91</v>
      </c>
      <c r="B24" s="22" t="s">
        <v>400</v>
      </c>
      <c r="C24" s="19">
        <f>'Dự toán Chi tiết 2025'!L801</f>
        <v>20700000</v>
      </c>
      <c r="D24" s="19"/>
      <c r="E24" s="19"/>
      <c r="F24" s="19">
        <f>C24-D24</f>
        <v>20700000</v>
      </c>
      <c r="G24" s="11"/>
      <c r="I24" s="239">
        <f t="shared" si="0"/>
        <v>20700000</v>
      </c>
      <c r="J24" s="239">
        <f t="shared" si="1"/>
        <v>0</v>
      </c>
    </row>
    <row r="25" spans="1:11" s="71" customFormat="1">
      <c r="A25" s="7">
        <v>2</v>
      </c>
      <c r="B25" s="134" t="s">
        <v>656</v>
      </c>
      <c r="C25" s="207">
        <f>C26</f>
        <v>4093000000</v>
      </c>
      <c r="D25" s="207">
        <f>D26</f>
        <v>220000000</v>
      </c>
      <c r="E25" s="207"/>
      <c r="F25" s="207">
        <f>F26</f>
        <v>3873000000</v>
      </c>
      <c r="G25" s="207">
        <f>G26</f>
        <v>0</v>
      </c>
      <c r="I25" s="239">
        <f t="shared" si="0"/>
        <v>3873000000</v>
      </c>
      <c r="J25" s="239">
        <f t="shared" si="1"/>
        <v>0</v>
      </c>
    </row>
    <row r="26" spans="1:11" ht="39">
      <c r="A26" s="12" t="s">
        <v>91</v>
      </c>
      <c r="B26" s="13" t="s">
        <v>10</v>
      </c>
      <c r="C26" s="14">
        <f>SUM(C27:C28)</f>
        <v>4093000000</v>
      </c>
      <c r="D26" s="14">
        <f t="shared" ref="D26:F26" si="2">SUM(D27:D28)</f>
        <v>220000000</v>
      </c>
      <c r="E26" s="14">
        <f t="shared" si="2"/>
        <v>0</v>
      </c>
      <c r="F26" s="14">
        <f t="shared" si="2"/>
        <v>3873000000</v>
      </c>
      <c r="G26" s="15"/>
      <c r="I26" s="239">
        <f t="shared" si="0"/>
        <v>3873000000</v>
      </c>
      <c r="J26" s="239">
        <f t="shared" si="1"/>
        <v>0</v>
      </c>
    </row>
    <row r="27" spans="1:11" s="62" customFormat="1" ht="75">
      <c r="A27" s="231" t="s">
        <v>91</v>
      </c>
      <c r="B27" s="18" t="str">
        <f>'Dự toán Chi tiết 2025'!B798</f>
        <v>Kinh phí trợ cấp cho trẻ em mầm non và giáo viên theo NQ số 32/2021/NQ-HĐND tỉnh ngày 10/12/2021</v>
      </c>
      <c r="C27" s="19">
        <f>'Dự toán Chi tiết 2025'!L798</f>
        <v>1893000000</v>
      </c>
      <c r="D27" s="232"/>
      <c r="E27" s="232"/>
      <c r="F27" s="19">
        <f>C27-D27</f>
        <v>1893000000</v>
      </c>
      <c r="G27" s="233"/>
      <c r="I27" s="321"/>
      <c r="J27" s="321"/>
    </row>
    <row r="28" spans="1:11" ht="75">
      <c r="A28" s="17" t="s">
        <v>91</v>
      </c>
      <c r="B28" s="22" t="s">
        <v>667</v>
      </c>
      <c r="C28" s="19">
        <v>2200000000</v>
      </c>
      <c r="D28" s="19">
        <f>C28*10%</f>
        <v>220000000</v>
      </c>
      <c r="E28" s="19"/>
      <c r="F28" s="19">
        <f>C28-D28</f>
        <v>1980000000</v>
      </c>
      <c r="G28" s="1353" t="s">
        <v>668</v>
      </c>
      <c r="I28" s="239">
        <f t="shared" si="0"/>
        <v>1980000000</v>
      </c>
      <c r="J28" s="239">
        <f t="shared" si="1"/>
        <v>0</v>
      </c>
    </row>
    <row r="30" spans="1:11">
      <c r="I30" s="239">
        <f>F15-'Dự toán Chi tiết 2025'!L789</f>
        <v>1980000000</v>
      </c>
    </row>
    <row r="31" spans="1:11">
      <c r="I31" s="239">
        <f>C16+C27</f>
        <v>3579300000</v>
      </c>
    </row>
  </sheetData>
  <mergeCells count="7">
    <mergeCell ref="A8:G8"/>
    <mergeCell ref="A1:C1"/>
    <mergeCell ref="A2:C2"/>
    <mergeCell ref="A4:G4"/>
    <mergeCell ref="A5:G5"/>
    <mergeCell ref="A6:G6"/>
    <mergeCell ref="A7:G7"/>
  </mergeCells>
  <pageMargins left="0.32" right="0.2" top="0.6" bottom="0.74803149606299213" header="0.31496062992125984" footer="0.31496062992125984"/>
  <pageSetup paperSize="9" scale="65" fitToHeight="0"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63"/>
  <sheetViews>
    <sheetView zoomScale="85" zoomScaleNormal="85" workbookViewId="0">
      <selection activeCell="A8" sqref="A8:G8"/>
    </sheetView>
  </sheetViews>
  <sheetFormatPr defaultRowHeight="18.75"/>
  <cols>
    <col min="1" max="1" width="7.140625" style="319" customWidth="1"/>
    <col min="2" max="2" width="47" style="319" customWidth="1"/>
    <col min="3" max="3" width="19.28515625" style="319" customWidth="1"/>
    <col min="4" max="5" width="21.140625" style="319" customWidth="1"/>
    <col min="6" max="6" width="19.42578125" style="319" customWidth="1"/>
    <col min="7" max="7" width="12.42578125" style="319" customWidth="1"/>
    <col min="8" max="8" width="14.28515625" style="319" bestFit="1" customWidth="1"/>
    <col min="9" max="9" width="0" style="319" hidden="1" customWidth="1"/>
    <col min="10" max="10" width="19.5703125" style="319" hidden="1" customWidth="1"/>
    <col min="11" max="11" width="15.140625" style="319" hidden="1" customWidth="1"/>
    <col min="12" max="12" width="0" style="319" hidden="1" customWidth="1"/>
    <col min="13" max="260" width="9.140625" style="319"/>
    <col min="261" max="261" width="7.140625" style="319" customWidth="1"/>
    <col min="262" max="262" width="47.7109375" style="319" customWidth="1"/>
    <col min="263" max="263" width="19.28515625" style="319" customWidth="1"/>
    <col min="264" max="516" width="9.140625" style="319"/>
    <col min="517" max="517" width="7.140625" style="319" customWidth="1"/>
    <col min="518" max="518" width="47.7109375" style="319" customWidth="1"/>
    <col min="519" max="519" width="19.28515625" style="319" customWidth="1"/>
    <col min="520" max="772" width="9.140625" style="319"/>
    <col min="773" max="773" width="7.140625" style="319" customWidth="1"/>
    <col min="774" max="774" width="47.7109375" style="319" customWidth="1"/>
    <col min="775" max="775" width="19.28515625" style="319" customWidth="1"/>
    <col min="776" max="1028" width="9.140625" style="319"/>
    <col min="1029" max="1029" width="7.140625" style="319" customWidth="1"/>
    <col min="1030" max="1030" width="47.7109375" style="319" customWidth="1"/>
    <col min="1031" max="1031" width="19.28515625" style="319" customWidth="1"/>
    <col min="1032" max="1284" width="9.140625" style="319"/>
    <col min="1285" max="1285" width="7.140625" style="319" customWidth="1"/>
    <col min="1286" max="1286" width="47.7109375" style="319" customWidth="1"/>
    <col min="1287" max="1287" width="19.28515625" style="319" customWidth="1"/>
    <col min="1288" max="1540" width="9.140625" style="319"/>
    <col min="1541" max="1541" width="7.140625" style="319" customWidth="1"/>
    <col min="1542" max="1542" width="47.7109375" style="319" customWidth="1"/>
    <col min="1543" max="1543" width="19.28515625" style="319" customWidth="1"/>
    <col min="1544" max="1796" width="9.140625" style="319"/>
    <col min="1797" max="1797" width="7.140625" style="319" customWidth="1"/>
    <col min="1798" max="1798" width="47.7109375" style="319" customWidth="1"/>
    <col min="1799" max="1799" width="19.28515625" style="319" customWidth="1"/>
    <col min="1800" max="2052" width="9.140625" style="319"/>
    <col min="2053" max="2053" width="7.140625" style="319" customWidth="1"/>
    <col min="2054" max="2054" width="47.7109375" style="319" customWidth="1"/>
    <col min="2055" max="2055" width="19.28515625" style="319" customWidth="1"/>
    <col min="2056" max="2308" width="9.140625" style="319"/>
    <col min="2309" max="2309" width="7.140625" style="319" customWidth="1"/>
    <col min="2310" max="2310" width="47.7109375" style="319" customWidth="1"/>
    <col min="2311" max="2311" width="19.28515625" style="319" customWidth="1"/>
    <col min="2312" max="2564" width="9.140625" style="319"/>
    <col min="2565" max="2565" width="7.140625" style="319" customWidth="1"/>
    <col min="2566" max="2566" width="47.7109375" style="319" customWidth="1"/>
    <col min="2567" max="2567" width="19.28515625" style="319" customWidth="1"/>
    <col min="2568" max="2820" width="9.140625" style="319"/>
    <col min="2821" max="2821" width="7.140625" style="319" customWidth="1"/>
    <col min="2822" max="2822" width="47.7109375" style="319" customWidth="1"/>
    <col min="2823" max="2823" width="19.28515625" style="319" customWidth="1"/>
    <col min="2824" max="3076" width="9.140625" style="319"/>
    <col min="3077" max="3077" width="7.140625" style="319" customWidth="1"/>
    <col min="3078" max="3078" width="47.7109375" style="319" customWidth="1"/>
    <col min="3079" max="3079" width="19.28515625" style="319" customWidth="1"/>
    <col min="3080" max="3332" width="9.140625" style="319"/>
    <col min="3333" max="3333" width="7.140625" style="319" customWidth="1"/>
    <col min="3334" max="3334" width="47.7109375" style="319" customWidth="1"/>
    <col min="3335" max="3335" width="19.28515625" style="319" customWidth="1"/>
    <col min="3336" max="3588" width="9.140625" style="319"/>
    <col min="3589" max="3589" width="7.140625" style="319" customWidth="1"/>
    <col min="3590" max="3590" width="47.7109375" style="319" customWidth="1"/>
    <col min="3591" max="3591" width="19.28515625" style="319" customWidth="1"/>
    <col min="3592" max="3844" width="9.140625" style="319"/>
    <col min="3845" max="3845" width="7.140625" style="319" customWidth="1"/>
    <col min="3846" max="3846" width="47.7109375" style="319" customWidth="1"/>
    <col min="3847" max="3847" width="19.28515625" style="319" customWidth="1"/>
    <col min="3848" max="4100" width="9.140625" style="319"/>
    <col min="4101" max="4101" width="7.140625" style="319" customWidth="1"/>
    <col min="4102" max="4102" width="47.7109375" style="319" customWidth="1"/>
    <col min="4103" max="4103" width="19.28515625" style="319" customWidth="1"/>
    <col min="4104" max="4356" width="9.140625" style="319"/>
    <col min="4357" max="4357" width="7.140625" style="319" customWidth="1"/>
    <col min="4358" max="4358" width="47.7109375" style="319" customWidth="1"/>
    <col min="4359" max="4359" width="19.28515625" style="319" customWidth="1"/>
    <col min="4360" max="4612" width="9.140625" style="319"/>
    <col min="4613" max="4613" width="7.140625" style="319" customWidth="1"/>
    <col min="4614" max="4614" width="47.7109375" style="319" customWidth="1"/>
    <col min="4615" max="4615" width="19.28515625" style="319" customWidth="1"/>
    <col min="4616" max="4868" width="9.140625" style="319"/>
    <col min="4869" max="4869" width="7.140625" style="319" customWidth="1"/>
    <col min="4870" max="4870" width="47.7109375" style="319" customWidth="1"/>
    <col min="4871" max="4871" width="19.28515625" style="319" customWidth="1"/>
    <col min="4872" max="5124" width="9.140625" style="319"/>
    <col min="5125" max="5125" width="7.140625" style="319" customWidth="1"/>
    <col min="5126" max="5126" width="47.7109375" style="319" customWidth="1"/>
    <col min="5127" max="5127" width="19.28515625" style="319" customWidth="1"/>
    <col min="5128" max="5380" width="9.140625" style="319"/>
    <col min="5381" max="5381" width="7.140625" style="319" customWidth="1"/>
    <col min="5382" max="5382" width="47.7109375" style="319" customWidth="1"/>
    <col min="5383" max="5383" width="19.28515625" style="319" customWidth="1"/>
    <col min="5384" max="5636" width="9.140625" style="319"/>
    <col min="5637" max="5637" width="7.140625" style="319" customWidth="1"/>
    <col min="5638" max="5638" width="47.7109375" style="319" customWidth="1"/>
    <col min="5639" max="5639" width="19.28515625" style="319" customWidth="1"/>
    <col min="5640" max="5892" width="9.140625" style="319"/>
    <col min="5893" max="5893" width="7.140625" style="319" customWidth="1"/>
    <col min="5894" max="5894" width="47.7109375" style="319" customWidth="1"/>
    <col min="5895" max="5895" width="19.28515625" style="319" customWidth="1"/>
    <col min="5896" max="6148" width="9.140625" style="319"/>
    <col min="6149" max="6149" width="7.140625" style="319" customWidth="1"/>
    <col min="6150" max="6150" width="47.7109375" style="319" customWidth="1"/>
    <col min="6151" max="6151" width="19.28515625" style="319" customWidth="1"/>
    <col min="6152" max="6404" width="9.140625" style="319"/>
    <col min="6405" max="6405" width="7.140625" style="319" customWidth="1"/>
    <col min="6406" max="6406" width="47.7109375" style="319" customWidth="1"/>
    <col min="6407" max="6407" width="19.28515625" style="319" customWidth="1"/>
    <col min="6408" max="6660" width="9.140625" style="319"/>
    <col min="6661" max="6661" width="7.140625" style="319" customWidth="1"/>
    <col min="6662" max="6662" width="47.7109375" style="319" customWidth="1"/>
    <col min="6663" max="6663" width="19.28515625" style="319" customWidth="1"/>
    <col min="6664" max="6916" width="9.140625" style="319"/>
    <col min="6917" max="6917" width="7.140625" style="319" customWidth="1"/>
    <col min="6918" max="6918" width="47.7109375" style="319" customWidth="1"/>
    <col min="6919" max="6919" width="19.28515625" style="319" customWidth="1"/>
    <col min="6920" max="7172" width="9.140625" style="319"/>
    <col min="7173" max="7173" width="7.140625" style="319" customWidth="1"/>
    <col min="7174" max="7174" width="47.7109375" style="319" customWidth="1"/>
    <col min="7175" max="7175" width="19.28515625" style="319" customWidth="1"/>
    <col min="7176" max="7428" width="9.140625" style="319"/>
    <col min="7429" max="7429" width="7.140625" style="319" customWidth="1"/>
    <col min="7430" max="7430" width="47.7109375" style="319" customWidth="1"/>
    <col min="7431" max="7431" width="19.28515625" style="319" customWidth="1"/>
    <col min="7432" max="7684" width="9.140625" style="319"/>
    <col min="7685" max="7685" width="7.140625" style="319" customWidth="1"/>
    <col min="7686" max="7686" width="47.7109375" style="319" customWidth="1"/>
    <col min="7687" max="7687" width="19.28515625" style="319" customWidth="1"/>
    <col min="7688" max="7940" width="9.140625" style="319"/>
    <col min="7941" max="7941" width="7.140625" style="319" customWidth="1"/>
    <col min="7942" max="7942" width="47.7109375" style="319" customWidth="1"/>
    <col min="7943" max="7943" width="19.28515625" style="319" customWidth="1"/>
    <col min="7944" max="8196" width="9.140625" style="319"/>
    <col min="8197" max="8197" width="7.140625" style="319" customWidth="1"/>
    <col min="8198" max="8198" width="47.7109375" style="319" customWidth="1"/>
    <col min="8199" max="8199" width="19.28515625" style="319" customWidth="1"/>
    <col min="8200" max="8452" width="9.140625" style="319"/>
    <col min="8453" max="8453" width="7.140625" style="319" customWidth="1"/>
    <col min="8454" max="8454" width="47.7109375" style="319" customWidth="1"/>
    <col min="8455" max="8455" width="19.28515625" style="319" customWidth="1"/>
    <col min="8456" max="8708" width="9.140625" style="319"/>
    <col min="8709" max="8709" width="7.140625" style="319" customWidth="1"/>
    <col min="8710" max="8710" width="47.7109375" style="319" customWidth="1"/>
    <col min="8711" max="8711" width="19.28515625" style="319" customWidth="1"/>
    <col min="8712" max="8964" width="9.140625" style="319"/>
    <col min="8965" max="8965" width="7.140625" style="319" customWidth="1"/>
    <col min="8966" max="8966" width="47.7109375" style="319" customWidth="1"/>
    <col min="8967" max="8967" width="19.28515625" style="319" customWidth="1"/>
    <col min="8968" max="9220" width="9.140625" style="319"/>
    <col min="9221" max="9221" width="7.140625" style="319" customWidth="1"/>
    <col min="9222" max="9222" width="47.7109375" style="319" customWidth="1"/>
    <col min="9223" max="9223" width="19.28515625" style="319" customWidth="1"/>
    <col min="9224" max="9476" width="9.140625" style="319"/>
    <col min="9477" max="9477" width="7.140625" style="319" customWidth="1"/>
    <col min="9478" max="9478" width="47.7109375" style="319" customWidth="1"/>
    <col min="9479" max="9479" width="19.28515625" style="319" customWidth="1"/>
    <col min="9480" max="9732" width="9.140625" style="319"/>
    <col min="9733" max="9733" width="7.140625" style="319" customWidth="1"/>
    <col min="9734" max="9734" width="47.7109375" style="319" customWidth="1"/>
    <col min="9735" max="9735" width="19.28515625" style="319" customWidth="1"/>
    <col min="9736" max="9988" width="9.140625" style="319"/>
    <col min="9989" max="9989" width="7.140625" style="319" customWidth="1"/>
    <col min="9990" max="9990" width="47.7109375" style="319" customWidth="1"/>
    <col min="9991" max="9991" width="19.28515625" style="319" customWidth="1"/>
    <col min="9992" max="10244" width="9.140625" style="319"/>
    <col min="10245" max="10245" width="7.140625" style="319" customWidth="1"/>
    <col min="10246" max="10246" width="47.7109375" style="319" customWidth="1"/>
    <col min="10247" max="10247" width="19.28515625" style="319" customWidth="1"/>
    <col min="10248" max="10500" width="9.140625" style="319"/>
    <col min="10501" max="10501" width="7.140625" style="319" customWidth="1"/>
    <col min="10502" max="10502" width="47.7109375" style="319" customWidth="1"/>
    <col min="10503" max="10503" width="19.28515625" style="319" customWidth="1"/>
    <col min="10504" max="10756" width="9.140625" style="319"/>
    <col min="10757" max="10757" width="7.140625" style="319" customWidth="1"/>
    <col min="10758" max="10758" width="47.7109375" style="319" customWidth="1"/>
    <col min="10759" max="10759" width="19.28515625" style="319" customWidth="1"/>
    <col min="10760" max="11012" width="9.140625" style="319"/>
    <col min="11013" max="11013" width="7.140625" style="319" customWidth="1"/>
    <col min="11014" max="11014" width="47.7109375" style="319" customWidth="1"/>
    <col min="11015" max="11015" width="19.28515625" style="319" customWidth="1"/>
    <col min="11016" max="11268" width="9.140625" style="319"/>
    <col min="11269" max="11269" width="7.140625" style="319" customWidth="1"/>
    <col min="11270" max="11270" width="47.7109375" style="319" customWidth="1"/>
    <col min="11271" max="11271" width="19.28515625" style="319" customWidth="1"/>
    <col min="11272" max="11524" width="9.140625" style="319"/>
    <col min="11525" max="11525" width="7.140625" style="319" customWidth="1"/>
    <col min="11526" max="11526" width="47.7109375" style="319" customWidth="1"/>
    <col min="11527" max="11527" width="19.28515625" style="319" customWidth="1"/>
    <col min="11528" max="11780" width="9.140625" style="319"/>
    <col min="11781" max="11781" width="7.140625" style="319" customWidth="1"/>
    <col min="11782" max="11782" width="47.7109375" style="319" customWidth="1"/>
    <col min="11783" max="11783" width="19.28515625" style="319" customWidth="1"/>
    <col min="11784" max="12036" width="9.140625" style="319"/>
    <col min="12037" max="12037" width="7.140625" style="319" customWidth="1"/>
    <col min="12038" max="12038" width="47.7109375" style="319" customWidth="1"/>
    <col min="12039" max="12039" width="19.28515625" style="319" customWidth="1"/>
    <col min="12040" max="12292" width="9.140625" style="319"/>
    <col min="12293" max="12293" width="7.140625" style="319" customWidth="1"/>
    <col min="12294" max="12294" width="47.7109375" style="319" customWidth="1"/>
    <col min="12295" max="12295" width="19.28515625" style="319" customWidth="1"/>
    <col min="12296" max="12548" width="9.140625" style="319"/>
    <col min="12549" max="12549" width="7.140625" style="319" customWidth="1"/>
    <col min="12550" max="12550" width="47.7109375" style="319" customWidth="1"/>
    <col min="12551" max="12551" width="19.28515625" style="319" customWidth="1"/>
    <col min="12552" max="12804" width="9.140625" style="319"/>
    <col min="12805" max="12805" width="7.140625" style="319" customWidth="1"/>
    <col min="12806" max="12806" width="47.7109375" style="319" customWidth="1"/>
    <col min="12807" max="12807" width="19.28515625" style="319" customWidth="1"/>
    <col min="12808" max="13060" width="9.140625" style="319"/>
    <col min="13061" max="13061" width="7.140625" style="319" customWidth="1"/>
    <col min="13062" max="13062" width="47.7109375" style="319" customWidth="1"/>
    <col min="13063" max="13063" width="19.28515625" style="319" customWidth="1"/>
    <col min="13064" max="13316" width="9.140625" style="319"/>
    <col min="13317" max="13317" width="7.140625" style="319" customWidth="1"/>
    <col min="13318" max="13318" width="47.7109375" style="319" customWidth="1"/>
    <col min="13319" max="13319" width="19.28515625" style="319" customWidth="1"/>
    <col min="13320" max="13572" width="9.140625" style="319"/>
    <col min="13573" max="13573" width="7.140625" style="319" customWidth="1"/>
    <col min="13574" max="13574" width="47.7109375" style="319" customWidth="1"/>
    <col min="13575" max="13575" width="19.28515625" style="319" customWidth="1"/>
    <col min="13576" max="13828" width="9.140625" style="319"/>
    <col min="13829" max="13829" width="7.140625" style="319" customWidth="1"/>
    <col min="13830" max="13830" width="47.7109375" style="319" customWidth="1"/>
    <col min="13831" max="13831" width="19.28515625" style="319" customWidth="1"/>
    <col min="13832" max="14084" width="9.140625" style="319"/>
    <col min="14085" max="14085" width="7.140625" style="319" customWidth="1"/>
    <col min="14086" max="14086" width="47.7109375" style="319" customWidth="1"/>
    <col min="14087" max="14087" width="19.28515625" style="319" customWidth="1"/>
    <col min="14088" max="14340" width="9.140625" style="319"/>
    <col min="14341" max="14341" width="7.140625" style="319" customWidth="1"/>
    <col min="14342" max="14342" width="47.7109375" style="319" customWidth="1"/>
    <col min="14343" max="14343" width="19.28515625" style="319" customWidth="1"/>
    <col min="14344" max="14596" width="9.140625" style="319"/>
    <col min="14597" max="14597" width="7.140625" style="319" customWidth="1"/>
    <col min="14598" max="14598" width="47.7109375" style="319" customWidth="1"/>
    <col min="14599" max="14599" width="19.28515625" style="319" customWidth="1"/>
    <col min="14600" max="14852" width="9.140625" style="319"/>
    <col min="14853" max="14853" width="7.140625" style="319" customWidth="1"/>
    <col min="14854" max="14854" width="47.7109375" style="319" customWidth="1"/>
    <col min="14855" max="14855" width="19.28515625" style="319" customWidth="1"/>
    <col min="14856" max="15108" width="9.140625" style="319"/>
    <col min="15109" max="15109" width="7.140625" style="319" customWidth="1"/>
    <col min="15110" max="15110" width="47.7109375" style="319" customWidth="1"/>
    <col min="15111" max="15111" width="19.28515625" style="319" customWidth="1"/>
    <col min="15112" max="15364" width="9.140625" style="319"/>
    <col min="15365" max="15365" width="7.140625" style="319" customWidth="1"/>
    <col min="15366" max="15366" width="47.7109375" style="319" customWidth="1"/>
    <col min="15367" max="15367" width="19.28515625" style="319" customWidth="1"/>
    <col min="15368" max="15620" width="9.140625" style="319"/>
    <col min="15621" max="15621" width="7.140625" style="319" customWidth="1"/>
    <col min="15622" max="15622" width="47.7109375" style="319" customWidth="1"/>
    <col min="15623" max="15623" width="19.28515625" style="319" customWidth="1"/>
    <col min="15624" max="15876" width="9.140625" style="319"/>
    <col min="15877" max="15877" width="7.140625" style="319" customWidth="1"/>
    <col min="15878" max="15878" width="47.7109375" style="319" customWidth="1"/>
    <col min="15879" max="15879" width="19.28515625" style="319" customWidth="1"/>
    <col min="15880" max="16132" width="9.140625" style="319"/>
    <col min="16133" max="16133" width="7.140625" style="319" customWidth="1"/>
    <col min="16134" max="16134" width="47.7109375" style="319" customWidth="1"/>
    <col min="16135" max="16135" width="19.28515625" style="319" customWidth="1"/>
    <col min="16136" max="16384" width="9.140625" style="319"/>
  </cols>
  <sheetData>
    <row r="1" spans="1:11" ht="18.75" customHeight="1">
      <c r="A1" s="1843" t="s">
        <v>1297</v>
      </c>
      <c r="B1" s="1843"/>
      <c r="C1" s="1354"/>
      <c r="G1" s="1355"/>
    </row>
    <row r="2" spans="1:11">
      <c r="A2" s="1667" t="s">
        <v>722</v>
      </c>
      <c r="B2" s="1667"/>
      <c r="C2" s="1356"/>
      <c r="D2" s="1357"/>
      <c r="E2" s="1357"/>
      <c r="F2" s="1357"/>
    </row>
    <row r="3" spans="1:11">
      <c r="A3" s="1667" t="s">
        <v>2090</v>
      </c>
      <c r="B3" s="1667"/>
      <c r="C3" s="1667"/>
      <c r="D3" s="1667"/>
      <c r="E3" s="1667"/>
      <c r="F3" s="1667"/>
      <c r="G3" s="1667"/>
    </row>
    <row r="4" spans="1:11" hidden="1">
      <c r="A4" s="1667" t="str">
        <f>'TTDVNN V '!A4:G4</f>
        <v>DỰ TOÁN THU, CHI NGÂN SÁCH NHÀ NƯỚC NĂM 2025</v>
      </c>
      <c r="B4" s="1667"/>
      <c r="C4" s="1667"/>
      <c r="D4" s="1667"/>
      <c r="E4" s="1667"/>
      <c r="F4" s="1667"/>
      <c r="G4" s="1667"/>
    </row>
    <row r="5" spans="1:11">
      <c r="A5" s="1667" t="s">
        <v>1298</v>
      </c>
      <c r="B5" s="1667"/>
      <c r="C5" s="1667"/>
      <c r="D5" s="1667"/>
      <c r="E5" s="1667"/>
      <c r="F5" s="1667"/>
      <c r="G5" s="1667"/>
    </row>
    <row r="6" spans="1:11">
      <c r="A6" s="1667" t="s">
        <v>1288</v>
      </c>
      <c r="B6" s="1667"/>
      <c r="C6" s="1667"/>
      <c r="D6" s="1667"/>
      <c r="E6" s="1667"/>
      <c r="F6" s="1667"/>
      <c r="G6" s="1667"/>
    </row>
    <row r="7" spans="1:11">
      <c r="A7" s="1667" t="s">
        <v>17</v>
      </c>
      <c r="B7" s="1667"/>
      <c r="C7" s="1667"/>
      <c r="D7" s="1667"/>
      <c r="E7" s="1667"/>
      <c r="F7" s="1667"/>
      <c r="G7" s="1667"/>
    </row>
    <row r="8" spans="1:11">
      <c r="A8" s="1668"/>
      <c r="B8" s="1668"/>
      <c r="C8" s="1668"/>
      <c r="D8" s="1668"/>
      <c r="E8" s="1668"/>
      <c r="F8" s="1668"/>
      <c r="G8" s="1668"/>
    </row>
    <row r="9" spans="1:11">
      <c r="G9" s="1456" t="s">
        <v>43</v>
      </c>
    </row>
    <row r="10" spans="1:11" ht="117" customHeight="1">
      <c r="A10" s="1441" t="s">
        <v>0</v>
      </c>
      <c r="B10" s="1441" t="s">
        <v>1</v>
      </c>
      <c r="C10" s="1441" t="str">
        <f>'TTDVNN V '!C11</f>
        <v>Dự toán 
năm 2025</v>
      </c>
      <c r="D10" s="1441" t="s">
        <v>18</v>
      </c>
      <c r="E10" s="1441" t="str">
        <f>'TTDVNN V '!E11</f>
        <v>Thực hiện cải cách tiền lương từ nguồn tiết kiệm chi 10% của đơn vị</v>
      </c>
      <c r="F10" s="1441" t="s">
        <v>117</v>
      </c>
      <c r="G10" s="1441" t="s">
        <v>19</v>
      </c>
    </row>
    <row r="11" spans="1:11">
      <c r="A11" s="1358" t="s">
        <v>20</v>
      </c>
      <c r="B11" s="1358" t="s">
        <v>21</v>
      </c>
      <c r="C11" s="1358" t="s">
        <v>22</v>
      </c>
      <c r="D11" s="1358" t="s">
        <v>23</v>
      </c>
      <c r="E11" s="1358" t="str">
        <f>'TTDVNN V '!E12</f>
        <v>(5)</v>
      </c>
      <c r="F11" s="1358" t="str">
        <f>'TTDVNN V '!F12</f>
        <v>(6)=(3)-(4)+(5)</v>
      </c>
      <c r="G11" s="1358" t="s">
        <v>1287</v>
      </c>
    </row>
    <row r="12" spans="1:11">
      <c r="A12" s="1441"/>
      <c r="B12" s="1359" t="s">
        <v>84</v>
      </c>
      <c r="C12" s="1360">
        <f>C13</f>
        <v>21783080000</v>
      </c>
      <c r="D12" s="1360">
        <f>D13</f>
        <v>669000000</v>
      </c>
      <c r="E12" s="1360">
        <f>E13</f>
        <v>669000000</v>
      </c>
      <c r="F12" s="1360">
        <f>F13</f>
        <v>21783080000</v>
      </c>
      <c r="G12" s="318"/>
      <c r="H12" s="320">
        <f>F12-'Thành ủy V'!F12</f>
        <v>54000000</v>
      </c>
      <c r="J12" s="320">
        <f>C12-D12+E12</f>
        <v>21783080000</v>
      </c>
      <c r="K12" s="320">
        <f>J12-F12</f>
        <v>0</v>
      </c>
    </row>
    <row r="13" spans="1:11" ht="37.5">
      <c r="A13" s="1441" t="s">
        <v>2</v>
      </c>
      <c r="B13" s="1359" t="s">
        <v>676</v>
      </c>
      <c r="C13" s="1360">
        <f>C14+C31</f>
        <v>21783080000</v>
      </c>
      <c r="D13" s="1360">
        <f>D14+D31</f>
        <v>669000000</v>
      </c>
      <c r="E13" s="1360">
        <f>E14+E31</f>
        <v>669000000</v>
      </c>
      <c r="F13" s="1360">
        <f>F14+F31</f>
        <v>21783080000</v>
      </c>
      <c r="G13" s="318"/>
      <c r="H13" s="319">
        <v>54000000</v>
      </c>
      <c r="J13" s="320">
        <f t="shared" ref="J13:J63" si="0">C13-D13+E13</f>
        <v>21783080000</v>
      </c>
      <c r="K13" s="320">
        <f t="shared" ref="K13:K63" si="1">J13-F13</f>
        <v>0</v>
      </c>
    </row>
    <row r="14" spans="1:11" s="1365" customFormat="1" ht="19.5">
      <c r="A14" s="1361">
        <v>1</v>
      </c>
      <c r="B14" s="1362" t="s">
        <v>9</v>
      </c>
      <c r="C14" s="1363">
        <f>C15+C19+C22</f>
        <v>9933380000</v>
      </c>
      <c r="D14" s="1363">
        <f>D15+D19+D22</f>
        <v>94500000</v>
      </c>
      <c r="E14" s="1363">
        <f>E15+E19+E22</f>
        <v>669000000</v>
      </c>
      <c r="F14" s="1363">
        <f>F15+F19+F22</f>
        <v>10507880000</v>
      </c>
      <c r="G14" s="1364"/>
      <c r="H14" s="1434">
        <f>H13-H12</f>
        <v>0</v>
      </c>
      <c r="J14" s="320">
        <f t="shared" si="0"/>
        <v>10507880000</v>
      </c>
      <c r="K14" s="320">
        <f t="shared" si="1"/>
        <v>0</v>
      </c>
    </row>
    <row r="15" spans="1:11" s="1365" customFormat="1" ht="19.5">
      <c r="A15" s="1361" t="s">
        <v>5</v>
      </c>
      <c r="B15" s="1362" t="s">
        <v>723</v>
      </c>
      <c r="C15" s="1363">
        <f>SUM(C16:C18)</f>
        <v>8084980000</v>
      </c>
      <c r="D15" s="1363">
        <f>SUM(D16:D18)</f>
        <v>94500000</v>
      </c>
      <c r="E15" s="1363">
        <f>SUM(E16:E18)</f>
        <v>669000000</v>
      </c>
      <c r="F15" s="1363">
        <f>SUM(F16:F18)</f>
        <v>8659480000</v>
      </c>
      <c r="G15" s="1364"/>
      <c r="J15" s="320">
        <f t="shared" si="0"/>
        <v>8659480000</v>
      </c>
      <c r="K15" s="320">
        <f t="shared" si="1"/>
        <v>0</v>
      </c>
    </row>
    <row r="16" spans="1:11" ht="37.5">
      <c r="A16" s="315" t="s">
        <v>91</v>
      </c>
      <c r="B16" s="316" t="s">
        <v>26</v>
      </c>
      <c r="C16" s="317">
        <f>'Dự toán Chi tiết 2025'!L852</f>
        <v>4012980000</v>
      </c>
      <c r="D16" s="317"/>
      <c r="E16" s="317"/>
      <c r="F16" s="317">
        <f>C16-D16+E16</f>
        <v>4012980000</v>
      </c>
      <c r="G16" s="318"/>
      <c r="J16" s="320">
        <f t="shared" si="0"/>
        <v>4012980000</v>
      </c>
      <c r="K16" s="320">
        <f t="shared" si="1"/>
        <v>0</v>
      </c>
    </row>
    <row r="17" spans="1:11">
      <c r="A17" s="315" t="s">
        <v>91</v>
      </c>
      <c r="B17" s="316" t="str">
        <f>'TTDVNN V '!B18</f>
        <v>Kinh phí thực hiện cải cách tiền lương</v>
      </c>
      <c r="C17" s="317">
        <f>'Dự toán Chi tiết 2025'!L854</f>
        <v>3127000000</v>
      </c>
      <c r="D17" s="317"/>
      <c r="E17" s="317">
        <f>D13</f>
        <v>669000000</v>
      </c>
      <c r="F17" s="317">
        <f>C17-D17+E17</f>
        <v>3796000000</v>
      </c>
      <c r="G17" s="318"/>
      <c r="J17" s="320">
        <f t="shared" si="0"/>
        <v>3796000000</v>
      </c>
      <c r="K17" s="320">
        <f t="shared" si="1"/>
        <v>0</v>
      </c>
    </row>
    <row r="18" spans="1:11">
      <c r="A18" s="315" t="s">
        <v>91</v>
      </c>
      <c r="B18" s="316" t="s">
        <v>27</v>
      </c>
      <c r="C18" s="317">
        <f>'Dự toán Chi tiết 2025'!L855+54000000</f>
        <v>945000000</v>
      </c>
      <c r="D18" s="317">
        <f>C18*10%</f>
        <v>94500000</v>
      </c>
      <c r="E18" s="317"/>
      <c r="F18" s="317">
        <f>C18-D18+E18</f>
        <v>850500000</v>
      </c>
      <c r="G18" s="318"/>
      <c r="J18" s="320">
        <f t="shared" si="0"/>
        <v>850500000</v>
      </c>
      <c r="K18" s="320">
        <f t="shared" si="1"/>
        <v>0</v>
      </c>
    </row>
    <row r="19" spans="1:11" s="1365" customFormat="1" ht="39">
      <c r="A19" s="1361" t="s">
        <v>6</v>
      </c>
      <c r="B19" s="1362" t="s">
        <v>1289</v>
      </c>
      <c r="C19" s="1363">
        <f>'Dự toán Chi tiết 2025'!L856</f>
        <v>540000000</v>
      </c>
      <c r="D19" s="1363"/>
      <c r="E19" s="1363"/>
      <c r="F19" s="1363">
        <f>SUM(F20:F21)</f>
        <v>540000000</v>
      </c>
      <c r="G19" s="1364"/>
      <c r="J19" s="320">
        <f t="shared" si="0"/>
        <v>540000000</v>
      </c>
      <c r="K19" s="320">
        <f t="shared" si="1"/>
        <v>0</v>
      </c>
    </row>
    <row r="20" spans="1:11" ht="37.5" hidden="1">
      <c r="A20" s="315" t="s">
        <v>91</v>
      </c>
      <c r="B20" s="316" t="s">
        <v>26</v>
      </c>
      <c r="C20" s="317">
        <f>'Dự toán Chi tiết 2025'!L856</f>
        <v>540000000</v>
      </c>
      <c r="D20" s="317"/>
      <c r="E20" s="317"/>
      <c r="F20" s="317">
        <f>C20-D20+E20</f>
        <v>540000000</v>
      </c>
      <c r="G20" s="318"/>
      <c r="J20" s="320">
        <f t="shared" si="0"/>
        <v>540000000</v>
      </c>
      <c r="K20" s="320">
        <f t="shared" si="1"/>
        <v>0</v>
      </c>
    </row>
    <row r="21" spans="1:11" hidden="1">
      <c r="A21" s="315" t="s">
        <v>91</v>
      </c>
      <c r="B21" s="316"/>
      <c r="C21" s="317"/>
      <c r="D21" s="317"/>
      <c r="E21" s="317"/>
      <c r="F21" s="317">
        <f>C21-D21</f>
        <v>0</v>
      </c>
      <c r="G21" s="318"/>
      <c r="J21" s="320">
        <f t="shared" si="0"/>
        <v>0</v>
      </c>
      <c r="K21" s="320">
        <f t="shared" si="1"/>
        <v>0</v>
      </c>
    </row>
    <row r="22" spans="1:11" s="1365" customFormat="1" ht="19.5">
      <c r="A22" s="1361" t="s">
        <v>157</v>
      </c>
      <c r="B22" s="1362" t="s">
        <v>724</v>
      </c>
      <c r="C22" s="1363">
        <f>SUM(C23:C30)</f>
        <v>1308400000</v>
      </c>
      <c r="D22" s="1363"/>
      <c r="E22" s="1363"/>
      <c r="F22" s="1363">
        <f>SUM(F23:F30)</f>
        <v>1308400000</v>
      </c>
      <c r="G22" s="1364"/>
      <c r="J22" s="320">
        <f t="shared" si="0"/>
        <v>1308400000</v>
      </c>
      <c r="K22" s="320">
        <f t="shared" si="1"/>
        <v>0</v>
      </c>
    </row>
    <row r="23" spans="1:11" ht="37.5">
      <c r="A23" s="315" t="s">
        <v>91</v>
      </c>
      <c r="B23" s="316" t="s">
        <v>455</v>
      </c>
      <c r="C23" s="317">
        <f>'Dự toán Chi tiết 2025'!L859</f>
        <v>140400000</v>
      </c>
      <c r="D23" s="317"/>
      <c r="E23" s="317"/>
      <c r="F23" s="317">
        <f>C23-D23</f>
        <v>140400000</v>
      </c>
      <c r="G23" s="318"/>
      <c r="J23" s="320">
        <f t="shared" si="0"/>
        <v>140400000</v>
      </c>
      <c r="K23" s="320">
        <f t="shared" si="1"/>
        <v>0</v>
      </c>
    </row>
    <row r="24" spans="1:11" ht="75">
      <c r="A24" s="315" t="s">
        <v>91</v>
      </c>
      <c r="B24" s="316" t="s">
        <v>1152</v>
      </c>
      <c r="C24" s="317">
        <f>'Dự toán Chi tiết 2025'!L860</f>
        <v>155000000</v>
      </c>
      <c r="D24" s="317"/>
      <c r="E24" s="317"/>
      <c r="F24" s="317">
        <f t="shared" ref="F24:F30" si="2">C24-D24</f>
        <v>155000000</v>
      </c>
      <c r="G24" s="318"/>
      <c r="J24" s="320">
        <f t="shared" si="0"/>
        <v>155000000</v>
      </c>
      <c r="K24" s="320">
        <f t="shared" si="1"/>
        <v>0</v>
      </c>
    </row>
    <row r="25" spans="1:11">
      <c r="A25" s="315" t="s">
        <v>91</v>
      </c>
      <c r="B25" s="316" t="s">
        <v>457</v>
      </c>
      <c r="C25" s="317">
        <f>'Dự toán Chi tiết 2025'!L861</f>
        <v>62000000</v>
      </c>
      <c r="D25" s="317"/>
      <c r="E25" s="317"/>
      <c r="F25" s="317">
        <f t="shared" si="2"/>
        <v>62000000</v>
      </c>
      <c r="G25" s="318"/>
      <c r="J25" s="320">
        <f t="shared" si="0"/>
        <v>62000000</v>
      </c>
      <c r="K25" s="320">
        <f t="shared" si="1"/>
        <v>0</v>
      </c>
    </row>
    <row r="26" spans="1:11" ht="75">
      <c r="A26" s="315" t="s">
        <v>91</v>
      </c>
      <c r="B26" s="316" t="s">
        <v>2089</v>
      </c>
      <c r="C26" s="317">
        <f>'Dự toán Chi tiết 2025'!L862</f>
        <v>370000000</v>
      </c>
      <c r="D26" s="317"/>
      <c r="E26" s="317"/>
      <c r="F26" s="317">
        <f t="shared" si="2"/>
        <v>370000000</v>
      </c>
      <c r="G26" s="318"/>
      <c r="J26" s="320">
        <f t="shared" si="0"/>
        <v>370000000</v>
      </c>
      <c r="K26" s="320">
        <f t="shared" si="1"/>
        <v>0</v>
      </c>
    </row>
    <row r="27" spans="1:11" ht="37.5">
      <c r="A27" s="315" t="s">
        <v>91</v>
      </c>
      <c r="B27" s="316" t="s">
        <v>459</v>
      </c>
      <c r="C27" s="317">
        <f>'Dự toán Chi tiết 2025'!L863</f>
        <v>35000000</v>
      </c>
      <c r="D27" s="317"/>
      <c r="E27" s="317"/>
      <c r="F27" s="317">
        <f t="shared" si="2"/>
        <v>35000000</v>
      </c>
      <c r="G27" s="318"/>
      <c r="J27" s="320">
        <f t="shared" si="0"/>
        <v>35000000</v>
      </c>
      <c r="K27" s="320">
        <f t="shared" si="1"/>
        <v>0</v>
      </c>
    </row>
    <row r="28" spans="1:11">
      <c r="A28" s="315" t="s">
        <v>91</v>
      </c>
      <c r="B28" s="316" t="s">
        <v>460</v>
      </c>
      <c r="C28" s="317">
        <f>'Dự toán Chi tiết 2025'!L864</f>
        <v>461000000</v>
      </c>
      <c r="D28" s="317"/>
      <c r="E28" s="317"/>
      <c r="F28" s="317">
        <f t="shared" si="2"/>
        <v>461000000</v>
      </c>
      <c r="G28" s="318"/>
      <c r="J28" s="320">
        <f t="shared" si="0"/>
        <v>461000000</v>
      </c>
      <c r="K28" s="320">
        <f t="shared" si="1"/>
        <v>0</v>
      </c>
    </row>
    <row r="29" spans="1:11" ht="37.5">
      <c r="A29" s="315" t="s">
        <v>91</v>
      </c>
      <c r="B29" s="316" t="s">
        <v>461</v>
      </c>
      <c r="C29" s="317">
        <f>'Dự toán Chi tiết 2025'!L865</f>
        <v>60000000</v>
      </c>
      <c r="D29" s="317"/>
      <c r="E29" s="317"/>
      <c r="F29" s="317">
        <f t="shared" si="2"/>
        <v>60000000</v>
      </c>
      <c r="G29" s="318"/>
      <c r="J29" s="320">
        <f t="shared" si="0"/>
        <v>60000000</v>
      </c>
      <c r="K29" s="320">
        <f t="shared" si="1"/>
        <v>0</v>
      </c>
    </row>
    <row r="30" spans="1:11" ht="56.25">
      <c r="A30" s="315" t="s">
        <v>91</v>
      </c>
      <c r="B30" s="316" t="s">
        <v>462</v>
      </c>
      <c r="C30" s="317">
        <f>'Dự toán Chi tiết 2025'!L866</f>
        <v>25000000</v>
      </c>
      <c r="D30" s="317"/>
      <c r="E30" s="317"/>
      <c r="F30" s="317">
        <f t="shared" si="2"/>
        <v>25000000</v>
      </c>
      <c r="G30" s="318"/>
      <c r="J30" s="320">
        <f t="shared" si="0"/>
        <v>25000000</v>
      </c>
      <c r="K30" s="320">
        <f t="shared" si="1"/>
        <v>0</v>
      </c>
    </row>
    <row r="31" spans="1:11" s="1365" customFormat="1" ht="39">
      <c r="A31" s="1361">
        <v>2</v>
      </c>
      <c r="B31" s="1362" t="s">
        <v>10</v>
      </c>
      <c r="C31" s="1363">
        <f>SUM(C33:C63)</f>
        <v>11849700000</v>
      </c>
      <c r="D31" s="1363">
        <f>SUM(D33:D63)</f>
        <v>574500000</v>
      </c>
      <c r="E31" s="1363"/>
      <c r="F31" s="1363">
        <f>SUM(F33:F63)</f>
        <v>11275200000</v>
      </c>
      <c r="G31" s="1363"/>
      <c r="J31" s="320">
        <f t="shared" si="0"/>
        <v>11275200000</v>
      </c>
      <c r="K31" s="320">
        <f>J31-F31</f>
        <v>0</v>
      </c>
    </row>
    <row r="32" spans="1:11" s="1365" customFormat="1" ht="39">
      <c r="A32" s="1361"/>
      <c r="B32" s="1362" t="s">
        <v>1547</v>
      </c>
      <c r="C32" s="1363"/>
      <c r="D32" s="1363"/>
      <c r="E32" s="1363"/>
      <c r="F32" s="1363"/>
      <c r="G32" s="1363"/>
      <c r="J32" s="320"/>
      <c r="K32" s="320"/>
    </row>
    <row r="33" spans="1:11" s="1365" customFormat="1" ht="37.5">
      <c r="A33" s="315" t="s">
        <v>91</v>
      </c>
      <c r="B33" s="316" t="str">
        <f>'Dự toán Chi tiết 2025'!B868</f>
        <v>Tổ chức các buổi lễ trao thưởng kèm theo Huy hiệu Đảng</v>
      </c>
      <c r="C33" s="317">
        <f>'Dự toán Chi tiết 2025'!L868</f>
        <v>200000000</v>
      </c>
      <c r="D33" s="317">
        <f>C33*10%</f>
        <v>20000000</v>
      </c>
      <c r="E33" s="317"/>
      <c r="F33" s="317">
        <f>C33-D33</f>
        <v>180000000</v>
      </c>
      <c r="G33" s="318"/>
      <c r="J33" s="320">
        <f t="shared" si="0"/>
        <v>180000000</v>
      </c>
      <c r="K33" s="320">
        <f t="shared" si="1"/>
        <v>0</v>
      </c>
    </row>
    <row r="34" spans="1:11" ht="57.75" customHeight="1">
      <c r="A34" s="315" t="s">
        <v>91</v>
      </c>
      <c r="B34" s="316" t="str">
        <f>'Dự toán Chi tiết 2025'!B869</f>
        <v>Chỉnh lý và số hoá tài liệu lưu trữ của Thành uỷ và các cơ quan tham mưu giúp việc, Mặt trận và các Hội đoàn thể</v>
      </c>
      <c r="C34" s="317">
        <f>'Dự toán Chi tiết 2025'!L869</f>
        <v>700000000</v>
      </c>
      <c r="D34" s="317">
        <f t="shared" ref="D34:D63" si="3">C34*10%</f>
        <v>70000000</v>
      </c>
      <c r="E34" s="317"/>
      <c r="F34" s="317">
        <f t="shared" ref="F34:F38" si="4">C34-D34</f>
        <v>630000000</v>
      </c>
      <c r="G34" s="318" t="s">
        <v>2116</v>
      </c>
      <c r="J34" s="320">
        <f t="shared" si="0"/>
        <v>630000000</v>
      </c>
      <c r="K34" s="320">
        <f t="shared" si="1"/>
        <v>0</v>
      </c>
    </row>
    <row r="35" spans="1:11" ht="37.5">
      <c r="A35" s="315" t="s">
        <v>91</v>
      </c>
      <c r="B35" s="316" t="s">
        <v>466</v>
      </c>
      <c r="C35" s="317">
        <f>'Dự toán Chi tiết 2025'!L870</f>
        <v>320000000</v>
      </c>
      <c r="D35" s="317"/>
      <c r="E35" s="317"/>
      <c r="F35" s="317">
        <f t="shared" si="4"/>
        <v>320000000</v>
      </c>
      <c r="G35" s="318"/>
      <c r="J35" s="320">
        <f t="shared" si="0"/>
        <v>320000000</v>
      </c>
      <c r="K35" s="320">
        <f t="shared" si="1"/>
        <v>0</v>
      </c>
    </row>
    <row r="36" spans="1:11" ht="105" customHeight="1">
      <c r="A36" s="315" t="s">
        <v>91</v>
      </c>
      <c r="B36" s="316" t="s">
        <v>468</v>
      </c>
      <c r="C36" s="317">
        <f>'Dự toán Chi tiết 2025'!L872</f>
        <v>620000000</v>
      </c>
      <c r="D36" s="317"/>
      <c r="E36" s="317"/>
      <c r="F36" s="317">
        <f t="shared" si="4"/>
        <v>620000000</v>
      </c>
      <c r="G36" s="318"/>
      <c r="J36" s="320">
        <f t="shared" si="0"/>
        <v>620000000</v>
      </c>
      <c r="K36" s="320">
        <f t="shared" si="1"/>
        <v>0</v>
      </c>
    </row>
    <row r="37" spans="1:11" ht="75">
      <c r="A37" s="315" t="s">
        <v>91</v>
      </c>
      <c r="B37" s="316" t="s">
        <v>1155</v>
      </c>
      <c r="C37" s="317">
        <f>'Dự toán Chi tiết 2025'!L873</f>
        <v>700000000</v>
      </c>
      <c r="D37" s="317"/>
      <c r="E37" s="317"/>
      <c r="F37" s="317">
        <f t="shared" si="4"/>
        <v>700000000</v>
      </c>
      <c r="G37" s="318"/>
      <c r="J37" s="320">
        <f t="shared" si="0"/>
        <v>700000000</v>
      </c>
      <c r="K37" s="320">
        <f t="shared" si="1"/>
        <v>0</v>
      </c>
    </row>
    <row r="38" spans="1:11" ht="37.5">
      <c r="A38" s="315" t="s">
        <v>91</v>
      </c>
      <c r="B38" s="316" t="s">
        <v>1156</v>
      </c>
      <c r="C38" s="317">
        <f>'Dự toán Chi tiết 2025'!L874</f>
        <v>150000000</v>
      </c>
      <c r="D38" s="317"/>
      <c r="E38" s="317"/>
      <c r="F38" s="317">
        <f t="shared" si="4"/>
        <v>150000000</v>
      </c>
      <c r="G38" s="318"/>
      <c r="J38" s="320">
        <f t="shared" si="0"/>
        <v>150000000</v>
      </c>
      <c r="K38" s="320">
        <f t="shared" si="1"/>
        <v>0</v>
      </c>
    </row>
    <row r="39" spans="1:11" ht="37.5">
      <c r="A39" s="315" t="s">
        <v>91</v>
      </c>
      <c r="B39" s="316" t="s">
        <v>473</v>
      </c>
      <c r="C39" s="317">
        <f>'Dự toán Chi tiết 2025'!L877</f>
        <v>250000000</v>
      </c>
      <c r="D39" s="317">
        <f>C39*10%</f>
        <v>25000000</v>
      </c>
      <c r="E39" s="317"/>
      <c r="F39" s="317">
        <f>C39-D39</f>
        <v>225000000</v>
      </c>
      <c r="G39" s="318"/>
      <c r="J39" s="320">
        <f>C39-D39+E39</f>
        <v>225000000</v>
      </c>
      <c r="K39" s="320">
        <f>J39-F39</f>
        <v>0</v>
      </c>
    </row>
    <row r="40" spans="1:11" ht="243.75">
      <c r="A40" s="315" t="s">
        <v>91</v>
      </c>
      <c r="B40" s="316" t="s">
        <v>2047</v>
      </c>
      <c r="C40" s="317">
        <f>'Dự toán Chi tiết 2025'!L878</f>
        <v>2100000000</v>
      </c>
      <c r="D40" s="317">
        <f>C40*10%</f>
        <v>210000000</v>
      </c>
      <c r="E40" s="317"/>
      <c r="F40" s="317">
        <f>C40-D40</f>
        <v>1890000000</v>
      </c>
      <c r="G40" s="318"/>
      <c r="J40" s="320">
        <f>C40-D40+E40</f>
        <v>1890000000</v>
      </c>
      <c r="K40" s="320">
        <f>J40-F40</f>
        <v>0</v>
      </c>
    </row>
    <row r="41" spans="1:11" ht="37.5">
      <c r="A41" s="315" t="s">
        <v>91</v>
      </c>
      <c r="B41" s="316" t="s">
        <v>477</v>
      </c>
      <c r="C41" s="317">
        <f>'Dự toán Chi tiết 2025'!L881</f>
        <v>99200000</v>
      </c>
      <c r="D41" s="317"/>
      <c r="E41" s="317"/>
      <c r="F41" s="317">
        <f>C41-D41</f>
        <v>99200000</v>
      </c>
      <c r="G41" s="318"/>
      <c r="J41" s="320">
        <f>C41-D41+E41</f>
        <v>99200000</v>
      </c>
      <c r="K41" s="320">
        <f>J41-F41</f>
        <v>0</v>
      </c>
    </row>
    <row r="42" spans="1:11">
      <c r="A42" s="315"/>
      <c r="B42" s="316" t="str">
        <f>'Dự toán Chi tiết 2025'!B882</f>
        <v>Chi tổ chức Đại hội Chi bộ (5 chi bộ)</v>
      </c>
      <c r="C42" s="317">
        <f>'Dự toán Chi tiết 2025'!L882</f>
        <v>81400000</v>
      </c>
      <c r="D42" s="317"/>
      <c r="E42" s="317"/>
      <c r="F42" s="317">
        <f t="shared" ref="F42:F43" si="5">C42-D42</f>
        <v>81400000</v>
      </c>
      <c r="G42" s="318"/>
      <c r="J42" s="320">
        <f t="shared" ref="J42:J43" si="6">C42-D42+E42</f>
        <v>81400000</v>
      </c>
      <c r="K42" s="320"/>
    </row>
    <row r="43" spans="1:11">
      <c r="A43" s="315"/>
      <c r="B43" s="316" t="str">
        <f>'Dự toán Chi tiết 2025'!B883</f>
        <v>Chi tổ chức Đại hội Đảng bộ thành phố</v>
      </c>
      <c r="C43" s="317">
        <f>'Dự toán Chi tiết 2025'!L883</f>
        <v>3904100000</v>
      </c>
      <c r="D43" s="317"/>
      <c r="E43" s="317"/>
      <c r="F43" s="317">
        <f t="shared" si="5"/>
        <v>3904100000</v>
      </c>
      <c r="G43" s="318"/>
      <c r="J43" s="320">
        <f t="shared" si="6"/>
        <v>3904100000</v>
      </c>
      <c r="K43" s="320"/>
    </row>
    <row r="44" spans="1:11" ht="37.5">
      <c r="A44" s="315" t="s">
        <v>91</v>
      </c>
      <c r="B44" s="316" t="s">
        <v>1159</v>
      </c>
      <c r="C44" s="317">
        <f>'Dự toán Chi tiết 2025'!L890</f>
        <v>80000000</v>
      </c>
      <c r="D44" s="317"/>
      <c r="E44" s="317"/>
      <c r="F44" s="317">
        <f>C44-D44</f>
        <v>80000000</v>
      </c>
      <c r="G44" s="318"/>
      <c r="J44" s="320">
        <f>C44-D44+E44</f>
        <v>80000000</v>
      </c>
      <c r="K44" s="320">
        <f>J44-F44</f>
        <v>0</v>
      </c>
    </row>
    <row r="45" spans="1:11" ht="56.25" hidden="1">
      <c r="A45" s="315" t="s">
        <v>91</v>
      </c>
      <c r="B45" s="316" t="s">
        <v>1162</v>
      </c>
      <c r="C45" s="317">
        <f>'Dự toán Chi tiết 2025'!L895</f>
        <v>0</v>
      </c>
      <c r="D45" s="317">
        <f>C45*10%</f>
        <v>0</v>
      </c>
      <c r="E45" s="317"/>
      <c r="F45" s="317">
        <f>C45-D45</f>
        <v>0</v>
      </c>
      <c r="G45" s="318"/>
      <c r="J45" s="320">
        <f>C45-D45+E45</f>
        <v>0</v>
      </c>
      <c r="K45" s="320">
        <f>J45-F45</f>
        <v>0</v>
      </c>
    </row>
    <row r="46" spans="1:11">
      <c r="A46" s="315" t="s">
        <v>91</v>
      </c>
      <c r="B46" s="316" t="s">
        <v>2045</v>
      </c>
      <c r="C46" s="317">
        <f>'Dự toán Chi tiết 2025'!L884</f>
        <v>50000000</v>
      </c>
      <c r="D46" s="317">
        <f>C46*10%</f>
        <v>5000000</v>
      </c>
      <c r="E46" s="317"/>
      <c r="F46" s="317">
        <f>C46-D46</f>
        <v>45000000</v>
      </c>
      <c r="G46" s="318"/>
      <c r="J46" s="320">
        <f>C46-D46+E46</f>
        <v>45000000</v>
      </c>
      <c r="K46" s="320">
        <f>J46-F46</f>
        <v>0</v>
      </c>
    </row>
    <row r="47" spans="1:11" ht="56.25">
      <c r="A47" s="315" t="s">
        <v>91</v>
      </c>
      <c r="B47" s="316" t="s">
        <v>479</v>
      </c>
      <c r="C47" s="317">
        <f>'Dự toán Chi tiết 2025'!L885</f>
        <v>200000000</v>
      </c>
      <c r="D47" s="317">
        <f>C47*10%</f>
        <v>20000000</v>
      </c>
      <c r="E47" s="317"/>
      <c r="F47" s="317">
        <f>C47-D47</f>
        <v>180000000</v>
      </c>
      <c r="G47" s="318"/>
      <c r="J47" s="320">
        <f>C47-D47+E47</f>
        <v>180000000</v>
      </c>
      <c r="K47" s="320">
        <f>J47-F47</f>
        <v>0</v>
      </c>
    </row>
    <row r="48" spans="1:11" s="1367" customFormat="1">
      <c r="A48" s="1441"/>
      <c r="B48" s="1359" t="s">
        <v>2054</v>
      </c>
      <c r="C48" s="1360"/>
      <c r="D48" s="1360"/>
      <c r="E48" s="1360"/>
      <c r="F48" s="1360"/>
      <c r="G48" s="1366"/>
      <c r="J48" s="1368"/>
      <c r="K48" s="1368"/>
    </row>
    <row r="49" spans="1:11" ht="56.25">
      <c r="A49" s="315" t="s">
        <v>91</v>
      </c>
      <c r="B49" s="316" t="s">
        <v>2084</v>
      </c>
      <c r="C49" s="317">
        <f>'Dự toán Chi tiết 2025'!L871</f>
        <v>95000000</v>
      </c>
      <c r="D49" s="317">
        <f>C49*10%</f>
        <v>9500000</v>
      </c>
      <c r="E49" s="317"/>
      <c r="F49" s="317">
        <f>C49-D49</f>
        <v>85500000</v>
      </c>
      <c r="G49" s="318"/>
      <c r="J49" s="320">
        <f>C49-D49+E49</f>
        <v>85500000</v>
      </c>
      <c r="K49" s="320">
        <f>J49-F49</f>
        <v>0</v>
      </c>
    </row>
    <row r="50" spans="1:11" ht="56.25">
      <c r="A50" s="315" t="s">
        <v>91</v>
      </c>
      <c r="B50" s="316" t="s">
        <v>2086</v>
      </c>
      <c r="C50" s="317">
        <f>'Dự toán Chi tiết 2025'!L876</f>
        <v>300000000</v>
      </c>
      <c r="D50" s="317">
        <f t="shared" si="3"/>
        <v>30000000</v>
      </c>
      <c r="E50" s="317"/>
      <c r="F50" s="317">
        <f t="shared" ref="F50:F63" si="7">C50-D50</f>
        <v>270000000</v>
      </c>
      <c r="G50" s="318"/>
      <c r="J50" s="320">
        <f t="shared" si="0"/>
        <v>270000000</v>
      </c>
      <c r="K50" s="320">
        <f t="shared" si="1"/>
        <v>0</v>
      </c>
    </row>
    <row r="51" spans="1:11" ht="64.5" customHeight="1">
      <c r="A51" s="315" t="s">
        <v>91</v>
      </c>
      <c r="B51" s="316" t="s">
        <v>2085</v>
      </c>
      <c r="C51" s="317">
        <f>'Dự toán Chi tiết 2025'!L879</f>
        <v>120000000</v>
      </c>
      <c r="D51" s="317">
        <f t="shared" si="3"/>
        <v>12000000</v>
      </c>
      <c r="E51" s="317"/>
      <c r="F51" s="317">
        <f t="shared" si="7"/>
        <v>108000000</v>
      </c>
      <c r="G51" s="318"/>
      <c r="J51" s="320">
        <f t="shared" si="0"/>
        <v>108000000</v>
      </c>
      <c r="K51" s="320">
        <f t="shared" si="1"/>
        <v>0</v>
      </c>
    </row>
    <row r="52" spans="1:11" ht="66.75" customHeight="1">
      <c r="A52" s="315" t="s">
        <v>91</v>
      </c>
      <c r="B52" s="316" t="s">
        <v>2087</v>
      </c>
      <c r="C52" s="317">
        <f>'Dự toán Chi tiết 2025'!L886</f>
        <v>150000000</v>
      </c>
      <c r="D52" s="317">
        <v>0</v>
      </c>
      <c r="E52" s="317"/>
      <c r="F52" s="317">
        <f t="shared" si="7"/>
        <v>150000000</v>
      </c>
      <c r="G52" s="318"/>
      <c r="J52" s="320">
        <f>C52-D52+E52</f>
        <v>150000000</v>
      </c>
      <c r="K52" s="320">
        <f>J52-F52</f>
        <v>0</v>
      </c>
    </row>
    <row r="53" spans="1:11" ht="79.5" customHeight="1">
      <c r="A53" s="315" t="s">
        <v>91</v>
      </c>
      <c r="B53" s="316" t="s">
        <v>2088</v>
      </c>
      <c r="C53" s="317">
        <f>'Dự toán Chi tiết 2025'!L888</f>
        <v>200000000</v>
      </c>
      <c r="D53" s="317">
        <f>C53*10%</f>
        <v>20000000</v>
      </c>
      <c r="E53" s="317"/>
      <c r="F53" s="317">
        <f t="shared" si="7"/>
        <v>180000000</v>
      </c>
      <c r="G53" s="318"/>
      <c r="J53" s="320">
        <f>C53-D53+E53</f>
        <v>180000000</v>
      </c>
      <c r="K53" s="320">
        <f>J53-F53</f>
        <v>0</v>
      </c>
    </row>
    <row r="54" spans="1:11" s="1367" customFormat="1" hidden="1">
      <c r="A54" s="1441"/>
      <c r="B54" s="1359" t="s">
        <v>1549</v>
      </c>
      <c r="C54" s="1360"/>
      <c r="D54" s="1360"/>
      <c r="E54" s="1360"/>
      <c r="F54" s="317"/>
      <c r="G54" s="1366"/>
      <c r="J54" s="1368"/>
      <c r="K54" s="1368"/>
    </row>
    <row r="55" spans="1:11" ht="56.25">
      <c r="A55" s="315" t="s">
        <v>91</v>
      </c>
      <c r="B55" s="316" t="s">
        <v>476</v>
      </c>
      <c r="C55" s="317">
        <f>'Dự toán Chi tiết 2025'!L880</f>
        <v>80000000</v>
      </c>
      <c r="D55" s="317">
        <f t="shared" si="3"/>
        <v>8000000</v>
      </c>
      <c r="E55" s="317"/>
      <c r="F55" s="317">
        <f t="shared" si="7"/>
        <v>72000000</v>
      </c>
      <c r="G55" s="318"/>
      <c r="J55" s="320">
        <f t="shared" si="0"/>
        <v>72000000</v>
      </c>
      <c r="K55" s="320">
        <f t="shared" si="1"/>
        <v>0</v>
      </c>
    </row>
    <row r="56" spans="1:11" ht="99.75" customHeight="1">
      <c r="A56" s="315" t="s">
        <v>91</v>
      </c>
      <c r="B56" s="316" t="s">
        <v>483</v>
      </c>
      <c r="C56" s="317">
        <f>'Dự toán Chi tiết 2025'!L891</f>
        <v>50000000</v>
      </c>
      <c r="D56" s="317">
        <f>C56*10%</f>
        <v>5000000</v>
      </c>
      <c r="E56" s="317"/>
      <c r="F56" s="317">
        <f t="shared" si="7"/>
        <v>45000000</v>
      </c>
      <c r="G56" s="318"/>
      <c r="J56" s="320">
        <f>C56-D56+E56</f>
        <v>45000000</v>
      </c>
      <c r="K56" s="320">
        <f>J56-F56</f>
        <v>0</v>
      </c>
    </row>
    <row r="57" spans="1:11" ht="37.5" hidden="1">
      <c r="A57" s="315" t="s">
        <v>91</v>
      </c>
      <c r="B57" s="316" t="s">
        <v>1158</v>
      </c>
      <c r="C57" s="317">
        <f>'Dự toán Chi tiết 2025'!L889</f>
        <v>0</v>
      </c>
      <c r="D57" s="317">
        <f t="shared" si="3"/>
        <v>0</v>
      </c>
      <c r="E57" s="317"/>
      <c r="F57" s="317">
        <f t="shared" si="7"/>
        <v>0</v>
      </c>
      <c r="G57" s="318"/>
      <c r="J57" s="320">
        <f t="shared" si="0"/>
        <v>0</v>
      </c>
      <c r="K57" s="320">
        <f t="shared" si="1"/>
        <v>0</v>
      </c>
    </row>
    <row r="58" spans="1:11" s="1367" customFormat="1">
      <c r="A58" s="1441"/>
      <c r="B58" s="1359" t="s">
        <v>1548</v>
      </c>
      <c r="C58" s="1360"/>
      <c r="D58" s="1360"/>
      <c r="E58" s="1360"/>
      <c r="F58" s="317"/>
      <c r="G58" s="1366"/>
      <c r="J58" s="1368"/>
      <c r="K58" s="1368"/>
    </row>
    <row r="59" spans="1:11" ht="56.25">
      <c r="A59" s="315" t="s">
        <v>91</v>
      </c>
      <c r="B59" s="316" t="s">
        <v>499</v>
      </c>
      <c r="C59" s="317">
        <f>'Dự toán Chi tiết 2025'!L892</f>
        <v>40000000</v>
      </c>
      <c r="D59" s="317">
        <f t="shared" si="3"/>
        <v>4000000</v>
      </c>
      <c r="E59" s="317"/>
      <c r="F59" s="317">
        <f t="shared" si="7"/>
        <v>36000000</v>
      </c>
      <c r="G59" s="318"/>
      <c r="J59" s="320">
        <f t="shared" si="0"/>
        <v>36000000</v>
      </c>
      <c r="K59" s="320">
        <f t="shared" si="1"/>
        <v>0</v>
      </c>
    </row>
    <row r="60" spans="1:11" ht="56.25">
      <c r="A60" s="315" t="s">
        <v>91</v>
      </c>
      <c r="B60" s="316" t="s">
        <v>471</v>
      </c>
      <c r="C60" s="317">
        <f>'Dự toán Chi tiết 2025'!L875</f>
        <v>1250000000</v>
      </c>
      <c r="D60" s="317">
        <f>C60*10%</f>
        <v>125000000</v>
      </c>
      <c r="E60" s="317"/>
      <c r="F60" s="317">
        <f t="shared" si="7"/>
        <v>1125000000</v>
      </c>
      <c r="G60" s="318"/>
      <c r="J60" s="320">
        <f>C60-D60+E60</f>
        <v>1125000000</v>
      </c>
      <c r="K60" s="320">
        <f>J60-F60</f>
        <v>0</v>
      </c>
    </row>
    <row r="61" spans="1:11" s="1367" customFormat="1">
      <c r="A61" s="1441"/>
      <c r="B61" s="1359" t="s">
        <v>1550</v>
      </c>
      <c r="C61" s="1360"/>
      <c r="D61" s="1360"/>
      <c r="E61" s="1360"/>
      <c r="F61" s="317">
        <f t="shared" si="7"/>
        <v>0</v>
      </c>
      <c r="G61" s="1366"/>
      <c r="J61" s="1368"/>
      <c r="K61" s="1368"/>
    </row>
    <row r="62" spans="1:11" ht="168.75">
      <c r="A62" s="315" t="s">
        <v>91</v>
      </c>
      <c r="B62" s="316" t="s">
        <v>1160</v>
      </c>
      <c r="C62" s="317">
        <f>'Dự toán Chi tiết 2025'!L893</f>
        <v>90000000</v>
      </c>
      <c r="D62" s="317">
        <f t="shared" si="3"/>
        <v>9000000</v>
      </c>
      <c r="E62" s="317"/>
      <c r="F62" s="317">
        <f t="shared" si="7"/>
        <v>81000000</v>
      </c>
      <c r="G62" s="318"/>
      <c r="J62" s="320">
        <f t="shared" si="0"/>
        <v>81000000</v>
      </c>
      <c r="K62" s="320">
        <f t="shared" si="1"/>
        <v>0</v>
      </c>
    </row>
    <row r="63" spans="1:11" ht="37.5">
      <c r="A63" s="315" t="s">
        <v>91</v>
      </c>
      <c r="B63" s="316" t="s">
        <v>1161</v>
      </c>
      <c r="C63" s="317">
        <f>'Dự toán Chi tiết 2025'!L894</f>
        <v>20000000</v>
      </c>
      <c r="D63" s="317">
        <f t="shared" si="3"/>
        <v>2000000</v>
      </c>
      <c r="E63" s="317"/>
      <c r="F63" s="317">
        <f t="shared" si="7"/>
        <v>18000000</v>
      </c>
      <c r="G63" s="318"/>
      <c r="J63" s="320">
        <f t="shared" si="0"/>
        <v>18000000</v>
      </c>
      <c r="K63" s="320">
        <f t="shared" si="1"/>
        <v>0</v>
      </c>
    </row>
  </sheetData>
  <mergeCells count="8">
    <mergeCell ref="A8:G8"/>
    <mergeCell ref="A1:B1"/>
    <mergeCell ref="A2:B2"/>
    <mergeCell ref="A4:G4"/>
    <mergeCell ref="A5:G5"/>
    <mergeCell ref="A6:G6"/>
    <mergeCell ref="A7:G7"/>
    <mergeCell ref="A3:G3"/>
  </mergeCells>
  <pageMargins left="0.59" right="0.56000000000000005" top="0.59055118110236227" bottom="0.53" header="0.31496062992125984" footer="0.31496062992125984"/>
  <pageSetup paperSize="9" scale="61" fitToHeight="0" orientation="portrait" verticalDpi="0" r:id="rId1"/>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
  <sheetViews>
    <sheetView workbookViewId="0">
      <selection activeCell="D14" sqref="D14"/>
    </sheetView>
  </sheetViews>
  <sheetFormatPr defaultRowHeight="16.5"/>
  <cols>
    <col min="1" max="1" width="3.5703125" style="411" customWidth="1"/>
    <col min="2" max="2" width="20.28515625" style="372" customWidth="1"/>
    <col min="3" max="4" width="13.5703125" style="372" customWidth="1"/>
    <col min="5" max="5" width="11.85546875" style="372" hidden="1" customWidth="1"/>
    <col min="6" max="6" width="13.5703125" style="372" customWidth="1"/>
    <col min="7" max="11" width="11.85546875" style="372" customWidth="1"/>
    <col min="12" max="12" width="13.5703125" style="372" customWidth="1"/>
    <col min="13" max="15" width="11.85546875" style="430" customWidth="1"/>
    <col min="16" max="16" width="10.7109375" style="416" customWidth="1"/>
    <col min="17" max="17" width="13" style="372" hidden="1" customWidth="1"/>
    <col min="18" max="18" width="9.42578125" style="372" hidden="1" customWidth="1"/>
    <col min="19" max="19" width="8.85546875" style="372" hidden="1" customWidth="1"/>
    <col min="20" max="22" width="0" style="372" hidden="1" customWidth="1"/>
    <col min="23" max="24" width="9.140625" style="372"/>
    <col min="25" max="25" width="10.7109375" style="372" bestFit="1" customWidth="1"/>
    <col min="26" max="256" width="9.140625" style="372"/>
    <col min="257" max="257" width="3.5703125" style="372" customWidth="1"/>
    <col min="258" max="258" width="20.28515625" style="372" customWidth="1"/>
    <col min="259" max="260" width="13.5703125" style="372" customWidth="1"/>
    <col min="261" max="261" width="0" style="372" hidden="1" customWidth="1"/>
    <col min="262" max="262" width="13.5703125" style="372" customWidth="1"/>
    <col min="263" max="267" width="11.85546875" style="372" customWidth="1"/>
    <col min="268" max="268" width="13.5703125" style="372" customWidth="1"/>
    <col min="269" max="271" width="11.85546875" style="372" customWidth="1"/>
    <col min="272" max="272" width="10.7109375" style="372" customWidth="1"/>
    <col min="273" max="278" width="0" style="372" hidden="1" customWidth="1"/>
    <col min="279" max="280" width="9.140625" style="372"/>
    <col min="281" max="281" width="10.7109375" style="372" bestFit="1" customWidth="1"/>
    <col min="282" max="512" width="9.140625" style="372"/>
    <col min="513" max="513" width="3.5703125" style="372" customWidth="1"/>
    <col min="514" max="514" width="20.28515625" style="372" customWidth="1"/>
    <col min="515" max="516" width="13.5703125" style="372" customWidth="1"/>
    <col min="517" max="517" width="0" style="372" hidden="1" customWidth="1"/>
    <col min="518" max="518" width="13.5703125" style="372" customWidth="1"/>
    <col min="519" max="523" width="11.85546875" style="372" customWidth="1"/>
    <col min="524" max="524" width="13.5703125" style="372" customWidth="1"/>
    <col min="525" max="527" width="11.85546875" style="372" customWidth="1"/>
    <col min="528" max="528" width="10.7109375" style="372" customWidth="1"/>
    <col min="529" max="534" width="0" style="372" hidden="1" customWidth="1"/>
    <col min="535" max="536" width="9.140625" style="372"/>
    <col min="537" max="537" width="10.7109375" style="372" bestFit="1" customWidth="1"/>
    <col min="538" max="768" width="9.140625" style="372"/>
    <col min="769" max="769" width="3.5703125" style="372" customWidth="1"/>
    <col min="770" max="770" width="20.28515625" style="372" customWidth="1"/>
    <col min="771" max="772" width="13.5703125" style="372" customWidth="1"/>
    <col min="773" max="773" width="0" style="372" hidden="1" customWidth="1"/>
    <col min="774" max="774" width="13.5703125" style="372" customWidth="1"/>
    <col min="775" max="779" width="11.85546875" style="372" customWidth="1"/>
    <col min="780" max="780" width="13.5703125" style="372" customWidth="1"/>
    <col min="781" max="783" width="11.85546875" style="372" customWidth="1"/>
    <col min="784" max="784" width="10.7109375" style="372" customWidth="1"/>
    <col min="785" max="790" width="0" style="372" hidden="1" customWidth="1"/>
    <col min="791" max="792" width="9.140625" style="372"/>
    <col min="793" max="793" width="10.7109375" style="372" bestFit="1" customWidth="1"/>
    <col min="794" max="1024" width="9.140625" style="372"/>
    <col min="1025" max="1025" width="3.5703125" style="372" customWidth="1"/>
    <col min="1026" max="1026" width="20.28515625" style="372" customWidth="1"/>
    <col min="1027" max="1028" width="13.5703125" style="372" customWidth="1"/>
    <col min="1029" max="1029" width="0" style="372" hidden="1" customWidth="1"/>
    <col min="1030" max="1030" width="13.5703125" style="372" customWidth="1"/>
    <col min="1031" max="1035" width="11.85546875" style="372" customWidth="1"/>
    <col min="1036" max="1036" width="13.5703125" style="372" customWidth="1"/>
    <col min="1037" max="1039" width="11.85546875" style="372" customWidth="1"/>
    <col min="1040" max="1040" width="10.7109375" style="372" customWidth="1"/>
    <col min="1041" max="1046" width="0" style="372" hidden="1" customWidth="1"/>
    <col min="1047" max="1048" width="9.140625" style="372"/>
    <col min="1049" max="1049" width="10.7109375" style="372" bestFit="1" customWidth="1"/>
    <col min="1050" max="1280" width="9.140625" style="372"/>
    <col min="1281" max="1281" width="3.5703125" style="372" customWidth="1"/>
    <col min="1282" max="1282" width="20.28515625" style="372" customWidth="1"/>
    <col min="1283" max="1284" width="13.5703125" style="372" customWidth="1"/>
    <col min="1285" max="1285" width="0" style="372" hidden="1" customWidth="1"/>
    <col min="1286" max="1286" width="13.5703125" style="372" customWidth="1"/>
    <col min="1287" max="1291" width="11.85546875" style="372" customWidth="1"/>
    <col min="1292" max="1292" width="13.5703125" style="372" customWidth="1"/>
    <col min="1293" max="1295" width="11.85546875" style="372" customWidth="1"/>
    <col min="1296" max="1296" width="10.7109375" style="372" customWidth="1"/>
    <col min="1297" max="1302" width="0" style="372" hidden="1" customWidth="1"/>
    <col min="1303" max="1304" width="9.140625" style="372"/>
    <col min="1305" max="1305" width="10.7109375" style="372" bestFit="1" customWidth="1"/>
    <col min="1306" max="1536" width="9.140625" style="372"/>
    <col min="1537" max="1537" width="3.5703125" style="372" customWidth="1"/>
    <col min="1538" max="1538" width="20.28515625" style="372" customWidth="1"/>
    <col min="1539" max="1540" width="13.5703125" style="372" customWidth="1"/>
    <col min="1541" max="1541" width="0" style="372" hidden="1" customWidth="1"/>
    <col min="1542" max="1542" width="13.5703125" style="372" customWidth="1"/>
    <col min="1543" max="1547" width="11.85546875" style="372" customWidth="1"/>
    <col min="1548" max="1548" width="13.5703125" style="372" customWidth="1"/>
    <col min="1549" max="1551" width="11.85546875" style="372" customWidth="1"/>
    <col min="1552" max="1552" width="10.7109375" style="372" customWidth="1"/>
    <col min="1553" max="1558" width="0" style="372" hidden="1" customWidth="1"/>
    <col min="1559" max="1560" width="9.140625" style="372"/>
    <col min="1561" max="1561" width="10.7109375" style="372" bestFit="1" customWidth="1"/>
    <col min="1562" max="1792" width="9.140625" style="372"/>
    <col min="1793" max="1793" width="3.5703125" style="372" customWidth="1"/>
    <col min="1794" max="1794" width="20.28515625" style="372" customWidth="1"/>
    <col min="1795" max="1796" width="13.5703125" style="372" customWidth="1"/>
    <col min="1797" max="1797" width="0" style="372" hidden="1" customWidth="1"/>
    <col min="1798" max="1798" width="13.5703125" style="372" customWidth="1"/>
    <col min="1799" max="1803" width="11.85546875" style="372" customWidth="1"/>
    <col min="1804" max="1804" width="13.5703125" style="372" customWidth="1"/>
    <col min="1805" max="1807" width="11.85546875" style="372" customWidth="1"/>
    <col min="1808" max="1808" width="10.7109375" style="372" customWidth="1"/>
    <col min="1809" max="1814" width="0" style="372" hidden="1" customWidth="1"/>
    <col min="1815" max="1816" width="9.140625" style="372"/>
    <col min="1817" max="1817" width="10.7109375" style="372" bestFit="1" customWidth="1"/>
    <col min="1818" max="2048" width="9.140625" style="372"/>
    <col min="2049" max="2049" width="3.5703125" style="372" customWidth="1"/>
    <col min="2050" max="2050" width="20.28515625" style="372" customWidth="1"/>
    <col min="2051" max="2052" width="13.5703125" style="372" customWidth="1"/>
    <col min="2053" max="2053" width="0" style="372" hidden="1" customWidth="1"/>
    <col min="2054" max="2054" width="13.5703125" style="372" customWidth="1"/>
    <col min="2055" max="2059" width="11.85546875" style="372" customWidth="1"/>
    <col min="2060" max="2060" width="13.5703125" style="372" customWidth="1"/>
    <col min="2061" max="2063" width="11.85546875" style="372" customWidth="1"/>
    <col min="2064" max="2064" width="10.7109375" style="372" customWidth="1"/>
    <col min="2065" max="2070" width="0" style="372" hidden="1" customWidth="1"/>
    <col min="2071" max="2072" width="9.140625" style="372"/>
    <col min="2073" max="2073" width="10.7109375" style="372" bestFit="1" customWidth="1"/>
    <col min="2074" max="2304" width="9.140625" style="372"/>
    <col min="2305" max="2305" width="3.5703125" style="372" customWidth="1"/>
    <col min="2306" max="2306" width="20.28515625" style="372" customWidth="1"/>
    <col min="2307" max="2308" width="13.5703125" style="372" customWidth="1"/>
    <col min="2309" max="2309" width="0" style="372" hidden="1" customWidth="1"/>
    <col min="2310" max="2310" width="13.5703125" style="372" customWidth="1"/>
    <col min="2311" max="2315" width="11.85546875" style="372" customWidth="1"/>
    <col min="2316" max="2316" width="13.5703125" style="372" customWidth="1"/>
    <col min="2317" max="2319" width="11.85546875" style="372" customWidth="1"/>
    <col min="2320" max="2320" width="10.7109375" style="372" customWidth="1"/>
    <col min="2321" max="2326" width="0" style="372" hidden="1" customWidth="1"/>
    <col min="2327" max="2328" width="9.140625" style="372"/>
    <col min="2329" max="2329" width="10.7109375" style="372" bestFit="1" customWidth="1"/>
    <col min="2330" max="2560" width="9.140625" style="372"/>
    <col min="2561" max="2561" width="3.5703125" style="372" customWidth="1"/>
    <col min="2562" max="2562" width="20.28515625" style="372" customWidth="1"/>
    <col min="2563" max="2564" width="13.5703125" style="372" customWidth="1"/>
    <col min="2565" max="2565" width="0" style="372" hidden="1" customWidth="1"/>
    <col min="2566" max="2566" width="13.5703125" style="372" customWidth="1"/>
    <col min="2567" max="2571" width="11.85546875" style="372" customWidth="1"/>
    <col min="2572" max="2572" width="13.5703125" style="372" customWidth="1"/>
    <col min="2573" max="2575" width="11.85546875" style="372" customWidth="1"/>
    <col min="2576" max="2576" width="10.7109375" style="372" customWidth="1"/>
    <col min="2577" max="2582" width="0" style="372" hidden="1" customWidth="1"/>
    <col min="2583" max="2584" width="9.140625" style="372"/>
    <col min="2585" max="2585" width="10.7109375" style="372" bestFit="1" customWidth="1"/>
    <col min="2586" max="2816" width="9.140625" style="372"/>
    <col min="2817" max="2817" width="3.5703125" style="372" customWidth="1"/>
    <col min="2818" max="2818" width="20.28515625" style="372" customWidth="1"/>
    <col min="2819" max="2820" width="13.5703125" style="372" customWidth="1"/>
    <col min="2821" max="2821" width="0" style="372" hidden="1" customWidth="1"/>
    <col min="2822" max="2822" width="13.5703125" style="372" customWidth="1"/>
    <col min="2823" max="2827" width="11.85546875" style="372" customWidth="1"/>
    <col min="2828" max="2828" width="13.5703125" style="372" customWidth="1"/>
    <col min="2829" max="2831" width="11.85546875" style="372" customWidth="1"/>
    <col min="2832" max="2832" width="10.7109375" style="372" customWidth="1"/>
    <col min="2833" max="2838" width="0" style="372" hidden="1" customWidth="1"/>
    <col min="2839" max="2840" width="9.140625" style="372"/>
    <col min="2841" max="2841" width="10.7109375" style="372" bestFit="1" customWidth="1"/>
    <col min="2842" max="3072" width="9.140625" style="372"/>
    <col min="3073" max="3073" width="3.5703125" style="372" customWidth="1"/>
    <col min="3074" max="3074" width="20.28515625" style="372" customWidth="1"/>
    <col min="3075" max="3076" width="13.5703125" style="372" customWidth="1"/>
    <col min="3077" max="3077" width="0" style="372" hidden="1" customWidth="1"/>
    <col min="3078" max="3078" width="13.5703125" style="372" customWidth="1"/>
    <col min="3079" max="3083" width="11.85546875" style="372" customWidth="1"/>
    <col min="3084" max="3084" width="13.5703125" style="372" customWidth="1"/>
    <col min="3085" max="3087" width="11.85546875" style="372" customWidth="1"/>
    <col min="3088" max="3088" width="10.7109375" style="372" customWidth="1"/>
    <col min="3089" max="3094" width="0" style="372" hidden="1" customWidth="1"/>
    <col min="3095" max="3096" width="9.140625" style="372"/>
    <col min="3097" max="3097" width="10.7109375" style="372" bestFit="1" customWidth="1"/>
    <col min="3098" max="3328" width="9.140625" style="372"/>
    <col min="3329" max="3329" width="3.5703125" style="372" customWidth="1"/>
    <col min="3330" max="3330" width="20.28515625" style="372" customWidth="1"/>
    <col min="3331" max="3332" width="13.5703125" style="372" customWidth="1"/>
    <col min="3333" max="3333" width="0" style="372" hidden="1" customWidth="1"/>
    <col min="3334" max="3334" width="13.5703125" style="372" customWidth="1"/>
    <col min="3335" max="3339" width="11.85546875" style="372" customWidth="1"/>
    <col min="3340" max="3340" width="13.5703125" style="372" customWidth="1"/>
    <col min="3341" max="3343" width="11.85546875" style="372" customWidth="1"/>
    <col min="3344" max="3344" width="10.7109375" style="372" customWidth="1"/>
    <col min="3345" max="3350" width="0" style="372" hidden="1" customWidth="1"/>
    <col min="3351" max="3352" width="9.140625" style="372"/>
    <col min="3353" max="3353" width="10.7109375" style="372" bestFit="1" customWidth="1"/>
    <col min="3354" max="3584" width="9.140625" style="372"/>
    <col min="3585" max="3585" width="3.5703125" style="372" customWidth="1"/>
    <col min="3586" max="3586" width="20.28515625" style="372" customWidth="1"/>
    <col min="3587" max="3588" width="13.5703125" style="372" customWidth="1"/>
    <col min="3589" max="3589" width="0" style="372" hidden="1" customWidth="1"/>
    <col min="3590" max="3590" width="13.5703125" style="372" customWidth="1"/>
    <col min="3591" max="3595" width="11.85546875" style="372" customWidth="1"/>
    <col min="3596" max="3596" width="13.5703125" style="372" customWidth="1"/>
    <col min="3597" max="3599" width="11.85546875" style="372" customWidth="1"/>
    <col min="3600" max="3600" width="10.7109375" style="372" customWidth="1"/>
    <col min="3601" max="3606" width="0" style="372" hidden="1" customWidth="1"/>
    <col min="3607" max="3608" width="9.140625" style="372"/>
    <col min="3609" max="3609" width="10.7109375" style="372" bestFit="1" customWidth="1"/>
    <col min="3610" max="3840" width="9.140625" style="372"/>
    <col min="3841" max="3841" width="3.5703125" style="372" customWidth="1"/>
    <col min="3842" max="3842" width="20.28515625" style="372" customWidth="1"/>
    <col min="3843" max="3844" width="13.5703125" style="372" customWidth="1"/>
    <col min="3845" max="3845" width="0" style="372" hidden="1" customWidth="1"/>
    <col min="3846" max="3846" width="13.5703125" style="372" customWidth="1"/>
    <col min="3847" max="3851" width="11.85546875" style="372" customWidth="1"/>
    <col min="3852" max="3852" width="13.5703125" style="372" customWidth="1"/>
    <col min="3853" max="3855" width="11.85546875" style="372" customWidth="1"/>
    <col min="3856" max="3856" width="10.7109375" style="372" customWidth="1"/>
    <col min="3857" max="3862" width="0" style="372" hidden="1" customWidth="1"/>
    <col min="3863" max="3864" width="9.140625" style="372"/>
    <col min="3865" max="3865" width="10.7109375" style="372" bestFit="1" customWidth="1"/>
    <col min="3866" max="4096" width="9.140625" style="372"/>
    <col min="4097" max="4097" width="3.5703125" style="372" customWidth="1"/>
    <col min="4098" max="4098" width="20.28515625" style="372" customWidth="1"/>
    <col min="4099" max="4100" width="13.5703125" style="372" customWidth="1"/>
    <col min="4101" max="4101" width="0" style="372" hidden="1" customWidth="1"/>
    <col min="4102" max="4102" width="13.5703125" style="372" customWidth="1"/>
    <col min="4103" max="4107" width="11.85546875" style="372" customWidth="1"/>
    <col min="4108" max="4108" width="13.5703125" style="372" customWidth="1"/>
    <col min="4109" max="4111" width="11.85546875" style="372" customWidth="1"/>
    <col min="4112" max="4112" width="10.7109375" style="372" customWidth="1"/>
    <col min="4113" max="4118" width="0" style="372" hidden="1" customWidth="1"/>
    <col min="4119" max="4120" width="9.140625" style="372"/>
    <col min="4121" max="4121" width="10.7109375" style="372" bestFit="1" customWidth="1"/>
    <col min="4122" max="4352" width="9.140625" style="372"/>
    <col min="4353" max="4353" width="3.5703125" style="372" customWidth="1"/>
    <col min="4354" max="4354" width="20.28515625" style="372" customWidth="1"/>
    <col min="4355" max="4356" width="13.5703125" style="372" customWidth="1"/>
    <col min="4357" max="4357" width="0" style="372" hidden="1" customWidth="1"/>
    <col min="4358" max="4358" width="13.5703125" style="372" customWidth="1"/>
    <col min="4359" max="4363" width="11.85546875" style="372" customWidth="1"/>
    <col min="4364" max="4364" width="13.5703125" style="372" customWidth="1"/>
    <col min="4365" max="4367" width="11.85546875" style="372" customWidth="1"/>
    <col min="4368" max="4368" width="10.7109375" style="372" customWidth="1"/>
    <col min="4369" max="4374" width="0" style="372" hidden="1" customWidth="1"/>
    <col min="4375" max="4376" width="9.140625" style="372"/>
    <col min="4377" max="4377" width="10.7109375" style="372" bestFit="1" customWidth="1"/>
    <col min="4378" max="4608" width="9.140625" style="372"/>
    <col min="4609" max="4609" width="3.5703125" style="372" customWidth="1"/>
    <col min="4610" max="4610" width="20.28515625" style="372" customWidth="1"/>
    <col min="4611" max="4612" width="13.5703125" style="372" customWidth="1"/>
    <col min="4613" max="4613" width="0" style="372" hidden="1" customWidth="1"/>
    <col min="4614" max="4614" width="13.5703125" style="372" customWidth="1"/>
    <col min="4615" max="4619" width="11.85546875" style="372" customWidth="1"/>
    <col min="4620" max="4620" width="13.5703125" style="372" customWidth="1"/>
    <col min="4621" max="4623" width="11.85546875" style="372" customWidth="1"/>
    <col min="4624" max="4624" width="10.7109375" style="372" customWidth="1"/>
    <col min="4625" max="4630" width="0" style="372" hidden="1" customWidth="1"/>
    <col min="4631" max="4632" width="9.140625" style="372"/>
    <col min="4633" max="4633" width="10.7109375" style="372" bestFit="1" customWidth="1"/>
    <col min="4634" max="4864" width="9.140625" style="372"/>
    <col min="4865" max="4865" width="3.5703125" style="372" customWidth="1"/>
    <col min="4866" max="4866" width="20.28515625" style="372" customWidth="1"/>
    <col min="4867" max="4868" width="13.5703125" style="372" customWidth="1"/>
    <col min="4869" max="4869" width="0" style="372" hidden="1" customWidth="1"/>
    <col min="4870" max="4870" width="13.5703125" style="372" customWidth="1"/>
    <col min="4871" max="4875" width="11.85546875" style="372" customWidth="1"/>
    <col min="4876" max="4876" width="13.5703125" style="372" customWidth="1"/>
    <col min="4877" max="4879" width="11.85546875" style="372" customWidth="1"/>
    <col min="4880" max="4880" width="10.7109375" style="372" customWidth="1"/>
    <col min="4881" max="4886" width="0" style="372" hidden="1" customWidth="1"/>
    <col min="4887" max="4888" width="9.140625" style="372"/>
    <col min="4889" max="4889" width="10.7109375" style="372" bestFit="1" customWidth="1"/>
    <col min="4890" max="5120" width="9.140625" style="372"/>
    <col min="5121" max="5121" width="3.5703125" style="372" customWidth="1"/>
    <col min="5122" max="5122" width="20.28515625" style="372" customWidth="1"/>
    <col min="5123" max="5124" width="13.5703125" style="372" customWidth="1"/>
    <col min="5125" max="5125" width="0" style="372" hidden="1" customWidth="1"/>
    <col min="5126" max="5126" width="13.5703125" style="372" customWidth="1"/>
    <col min="5127" max="5131" width="11.85546875" style="372" customWidth="1"/>
    <col min="5132" max="5132" width="13.5703125" style="372" customWidth="1"/>
    <col min="5133" max="5135" width="11.85546875" style="372" customWidth="1"/>
    <col min="5136" max="5136" width="10.7109375" style="372" customWidth="1"/>
    <col min="5137" max="5142" width="0" style="372" hidden="1" customWidth="1"/>
    <col min="5143" max="5144" width="9.140625" style="372"/>
    <col min="5145" max="5145" width="10.7109375" style="372" bestFit="1" customWidth="1"/>
    <col min="5146" max="5376" width="9.140625" style="372"/>
    <col min="5377" max="5377" width="3.5703125" style="372" customWidth="1"/>
    <col min="5378" max="5378" width="20.28515625" style="372" customWidth="1"/>
    <col min="5379" max="5380" width="13.5703125" style="372" customWidth="1"/>
    <col min="5381" max="5381" width="0" style="372" hidden="1" customWidth="1"/>
    <col min="5382" max="5382" width="13.5703125" style="372" customWidth="1"/>
    <col min="5383" max="5387" width="11.85546875" style="372" customWidth="1"/>
    <col min="5388" max="5388" width="13.5703125" style="372" customWidth="1"/>
    <col min="5389" max="5391" width="11.85546875" style="372" customWidth="1"/>
    <col min="5392" max="5392" width="10.7109375" style="372" customWidth="1"/>
    <col min="5393" max="5398" width="0" style="372" hidden="1" customWidth="1"/>
    <col min="5399" max="5400" width="9.140625" style="372"/>
    <col min="5401" max="5401" width="10.7109375" style="372" bestFit="1" customWidth="1"/>
    <col min="5402" max="5632" width="9.140625" style="372"/>
    <col min="5633" max="5633" width="3.5703125" style="372" customWidth="1"/>
    <col min="5634" max="5634" width="20.28515625" style="372" customWidth="1"/>
    <col min="5635" max="5636" width="13.5703125" style="372" customWidth="1"/>
    <col min="5637" max="5637" width="0" style="372" hidden="1" customWidth="1"/>
    <col min="5638" max="5638" width="13.5703125" style="372" customWidth="1"/>
    <col min="5639" max="5643" width="11.85546875" style="372" customWidth="1"/>
    <col min="5644" max="5644" width="13.5703125" style="372" customWidth="1"/>
    <col min="5645" max="5647" width="11.85546875" style="372" customWidth="1"/>
    <col min="5648" max="5648" width="10.7109375" style="372" customWidth="1"/>
    <col min="5649" max="5654" width="0" style="372" hidden="1" customWidth="1"/>
    <col min="5655" max="5656" width="9.140625" style="372"/>
    <col min="5657" max="5657" width="10.7109375" style="372" bestFit="1" customWidth="1"/>
    <col min="5658" max="5888" width="9.140625" style="372"/>
    <col min="5889" max="5889" width="3.5703125" style="372" customWidth="1"/>
    <col min="5890" max="5890" width="20.28515625" style="372" customWidth="1"/>
    <col min="5891" max="5892" width="13.5703125" style="372" customWidth="1"/>
    <col min="5893" max="5893" width="0" style="372" hidden="1" customWidth="1"/>
    <col min="5894" max="5894" width="13.5703125" style="372" customWidth="1"/>
    <col min="5895" max="5899" width="11.85546875" style="372" customWidth="1"/>
    <col min="5900" max="5900" width="13.5703125" style="372" customWidth="1"/>
    <col min="5901" max="5903" width="11.85546875" style="372" customWidth="1"/>
    <col min="5904" max="5904" width="10.7109375" style="372" customWidth="1"/>
    <col min="5905" max="5910" width="0" style="372" hidden="1" customWidth="1"/>
    <col min="5911" max="5912" width="9.140625" style="372"/>
    <col min="5913" max="5913" width="10.7109375" style="372" bestFit="1" customWidth="1"/>
    <col min="5914" max="6144" width="9.140625" style="372"/>
    <col min="6145" max="6145" width="3.5703125" style="372" customWidth="1"/>
    <col min="6146" max="6146" width="20.28515625" style="372" customWidth="1"/>
    <col min="6147" max="6148" width="13.5703125" style="372" customWidth="1"/>
    <col min="6149" max="6149" width="0" style="372" hidden="1" customWidth="1"/>
    <col min="6150" max="6150" width="13.5703125" style="372" customWidth="1"/>
    <col min="6151" max="6155" width="11.85546875" style="372" customWidth="1"/>
    <col min="6156" max="6156" width="13.5703125" style="372" customWidth="1"/>
    <col min="6157" max="6159" width="11.85546875" style="372" customWidth="1"/>
    <col min="6160" max="6160" width="10.7109375" style="372" customWidth="1"/>
    <col min="6161" max="6166" width="0" style="372" hidden="1" customWidth="1"/>
    <col min="6167" max="6168" width="9.140625" style="372"/>
    <col min="6169" max="6169" width="10.7109375" style="372" bestFit="1" customWidth="1"/>
    <col min="6170" max="6400" width="9.140625" style="372"/>
    <col min="6401" max="6401" width="3.5703125" style="372" customWidth="1"/>
    <col min="6402" max="6402" width="20.28515625" style="372" customWidth="1"/>
    <col min="6403" max="6404" width="13.5703125" style="372" customWidth="1"/>
    <col min="6405" max="6405" width="0" style="372" hidden="1" customWidth="1"/>
    <col min="6406" max="6406" width="13.5703125" style="372" customWidth="1"/>
    <col min="6407" max="6411" width="11.85546875" style="372" customWidth="1"/>
    <col min="6412" max="6412" width="13.5703125" style="372" customWidth="1"/>
    <col min="6413" max="6415" width="11.85546875" style="372" customWidth="1"/>
    <col min="6416" max="6416" width="10.7109375" style="372" customWidth="1"/>
    <col min="6417" max="6422" width="0" style="372" hidden="1" customWidth="1"/>
    <col min="6423" max="6424" width="9.140625" style="372"/>
    <col min="6425" max="6425" width="10.7109375" style="372" bestFit="1" customWidth="1"/>
    <col min="6426" max="6656" width="9.140625" style="372"/>
    <col min="6657" max="6657" width="3.5703125" style="372" customWidth="1"/>
    <col min="6658" max="6658" width="20.28515625" style="372" customWidth="1"/>
    <col min="6659" max="6660" width="13.5703125" style="372" customWidth="1"/>
    <col min="6661" max="6661" width="0" style="372" hidden="1" customWidth="1"/>
    <col min="6662" max="6662" width="13.5703125" style="372" customWidth="1"/>
    <col min="6663" max="6667" width="11.85546875" style="372" customWidth="1"/>
    <col min="6668" max="6668" width="13.5703125" style="372" customWidth="1"/>
    <col min="6669" max="6671" width="11.85546875" style="372" customWidth="1"/>
    <col min="6672" max="6672" width="10.7109375" style="372" customWidth="1"/>
    <col min="6673" max="6678" width="0" style="372" hidden="1" customWidth="1"/>
    <col min="6679" max="6680" width="9.140625" style="372"/>
    <col min="6681" max="6681" width="10.7109375" style="372" bestFit="1" customWidth="1"/>
    <col min="6682" max="6912" width="9.140625" style="372"/>
    <col min="6913" max="6913" width="3.5703125" style="372" customWidth="1"/>
    <col min="6914" max="6914" width="20.28515625" style="372" customWidth="1"/>
    <col min="6915" max="6916" width="13.5703125" style="372" customWidth="1"/>
    <col min="6917" max="6917" width="0" style="372" hidden="1" customWidth="1"/>
    <col min="6918" max="6918" width="13.5703125" style="372" customWidth="1"/>
    <col min="6919" max="6923" width="11.85546875" style="372" customWidth="1"/>
    <col min="6924" max="6924" width="13.5703125" style="372" customWidth="1"/>
    <col min="6925" max="6927" width="11.85546875" style="372" customWidth="1"/>
    <col min="6928" max="6928" width="10.7109375" style="372" customWidth="1"/>
    <col min="6929" max="6934" width="0" style="372" hidden="1" customWidth="1"/>
    <col min="6935" max="6936" width="9.140625" style="372"/>
    <col min="6937" max="6937" width="10.7109375" style="372" bestFit="1" customWidth="1"/>
    <col min="6938" max="7168" width="9.140625" style="372"/>
    <col min="7169" max="7169" width="3.5703125" style="372" customWidth="1"/>
    <col min="7170" max="7170" width="20.28515625" style="372" customWidth="1"/>
    <col min="7171" max="7172" width="13.5703125" style="372" customWidth="1"/>
    <col min="7173" max="7173" width="0" style="372" hidden="1" customWidth="1"/>
    <col min="7174" max="7174" width="13.5703125" style="372" customWidth="1"/>
    <col min="7175" max="7179" width="11.85546875" style="372" customWidth="1"/>
    <col min="7180" max="7180" width="13.5703125" style="372" customWidth="1"/>
    <col min="7181" max="7183" width="11.85546875" style="372" customWidth="1"/>
    <col min="7184" max="7184" width="10.7109375" style="372" customWidth="1"/>
    <col min="7185" max="7190" width="0" style="372" hidden="1" customWidth="1"/>
    <col min="7191" max="7192" width="9.140625" style="372"/>
    <col min="7193" max="7193" width="10.7109375" style="372" bestFit="1" customWidth="1"/>
    <col min="7194" max="7424" width="9.140625" style="372"/>
    <col min="7425" max="7425" width="3.5703125" style="372" customWidth="1"/>
    <col min="7426" max="7426" width="20.28515625" style="372" customWidth="1"/>
    <col min="7427" max="7428" width="13.5703125" style="372" customWidth="1"/>
    <col min="7429" max="7429" width="0" style="372" hidden="1" customWidth="1"/>
    <col min="7430" max="7430" width="13.5703125" style="372" customWidth="1"/>
    <col min="7431" max="7435" width="11.85546875" style="372" customWidth="1"/>
    <col min="7436" max="7436" width="13.5703125" style="372" customWidth="1"/>
    <col min="7437" max="7439" width="11.85546875" style="372" customWidth="1"/>
    <col min="7440" max="7440" width="10.7109375" style="372" customWidth="1"/>
    <col min="7441" max="7446" width="0" style="372" hidden="1" customWidth="1"/>
    <col min="7447" max="7448" width="9.140625" style="372"/>
    <col min="7449" max="7449" width="10.7109375" style="372" bestFit="1" customWidth="1"/>
    <col min="7450" max="7680" width="9.140625" style="372"/>
    <col min="7681" max="7681" width="3.5703125" style="372" customWidth="1"/>
    <col min="7682" max="7682" width="20.28515625" style="372" customWidth="1"/>
    <col min="7683" max="7684" width="13.5703125" style="372" customWidth="1"/>
    <col min="7685" max="7685" width="0" style="372" hidden="1" customWidth="1"/>
    <col min="7686" max="7686" width="13.5703125" style="372" customWidth="1"/>
    <col min="7687" max="7691" width="11.85546875" style="372" customWidth="1"/>
    <col min="7692" max="7692" width="13.5703125" style="372" customWidth="1"/>
    <col min="7693" max="7695" width="11.85546875" style="372" customWidth="1"/>
    <col min="7696" max="7696" width="10.7109375" style="372" customWidth="1"/>
    <col min="7697" max="7702" width="0" style="372" hidden="1" customWidth="1"/>
    <col min="7703" max="7704" width="9.140625" style="372"/>
    <col min="7705" max="7705" width="10.7109375" style="372" bestFit="1" customWidth="1"/>
    <col min="7706" max="7936" width="9.140625" style="372"/>
    <col min="7937" max="7937" width="3.5703125" style="372" customWidth="1"/>
    <col min="7938" max="7938" width="20.28515625" style="372" customWidth="1"/>
    <col min="7939" max="7940" width="13.5703125" style="372" customWidth="1"/>
    <col min="7941" max="7941" width="0" style="372" hidden="1" customWidth="1"/>
    <col min="7942" max="7942" width="13.5703125" style="372" customWidth="1"/>
    <col min="7943" max="7947" width="11.85546875" style="372" customWidth="1"/>
    <col min="7948" max="7948" width="13.5703125" style="372" customWidth="1"/>
    <col min="7949" max="7951" width="11.85546875" style="372" customWidth="1"/>
    <col min="7952" max="7952" width="10.7109375" style="372" customWidth="1"/>
    <col min="7953" max="7958" width="0" style="372" hidden="1" customWidth="1"/>
    <col min="7959" max="7960" width="9.140625" style="372"/>
    <col min="7961" max="7961" width="10.7109375" style="372" bestFit="1" customWidth="1"/>
    <col min="7962" max="8192" width="9.140625" style="372"/>
    <col min="8193" max="8193" width="3.5703125" style="372" customWidth="1"/>
    <col min="8194" max="8194" width="20.28515625" style="372" customWidth="1"/>
    <col min="8195" max="8196" width="13.5703125" style="372" customWidth="1"/>
    <col min="8197" max="8197" width="0" style="372" hidden="1" customWidth="1"/>
    <col min="8198" max="8198" width="13.5703125" style="372" customWidth="1"/>
    <col min="8199" max="8203" width="11.85546875" style="372" customWidth="1"/>
    <col min="8204" max="8204" width="13.5703125" style="372" customWidth="1"/>
    <col min="8205" max="8207" width="11.85546875" style="372" customWidth="1"/>
    <col min="8208" max="8208" width="10.7109375" style="372" customWidth="1"/>
    <col min="8209" max="8214" width="0" style="372" hidden="1" customWidth="1"/>
    <col min="8215" max="8216" width="9.140625" style="372"/>
    <col min="8217" max="8217" width="10.7109375" style="372" bestFit="1" customWidth="1"/>
    <col min="8218" max="8448" width="9.140625" style="372"/>
    <col min="8449" max="8449" width="3.5703125" style="372" customWidth="1"/>
    <col min="8450" max="8450" width="20.28515625" style="372" customWidth="1"/>
    <col min="8451" max="8452" width="13.5703125" style="372" customWidth="1"/>
    <col min="8453" max="8453" width="0" style="372" hidden="1" customWidth="1"/>
    <col min="8454" max="8454" width="13.5703125" style="372" customWidth="1"/>
    <col min="8455" max="8459" width="11.85546875" style="372" customWidth="1"/>
    <col min="8460" max="8460" width="13.5703125" style="372" customWidth="1"/>
    <col min="8461" max="8463" width="11.85546875" style="372" customWidth="1"/>
    <col min="8464" max="8464" width="10.7109375" style="372" customWidth="1"/>
    <col min="8465" max="8470" width="0" style="372" hidden="1" customWidth="1"/>
    <col min="8471" max="8472" width="9.140625" style="372"/>
    <col min="8473" max="8473" width="10.7109375" style="372" bestFit="1" customWidth="1"/>
    <col min="8474" max="8704" width="9.140625" style="372"/>
    <col min="8705" max="8705" width="3.5703125" style="372" customWidth="1"/>
    <col min="8706" max="8706" width="20.28515625" style="372" customWidth="1"/>
    <col min="8707" max="8708" width="13.5703125" style="372" customWidth="1"/>
    <col min="8709" max="8709" width="0" style="372" hidden="1" customWidth="1"/>
    <col min="8710" max="8710" width="13.5703125" style="372" customWidth="1"/>
    <col min="8711" max="8715" width="11.85546875" style="372" customWidth="1"/>
    <col min="8716" max="8716" width="13.5703125" style="372" customWidth="1"/>
    <col min="8717" max="8719" width="11.85546875" style="372" customWidth="1"/>
    <col min="8720" max="8720" width="10.7109375" style="372" customWidth="1"/>
    <col min="8721" max="8726" width="0" style="372" hidden="1" customWidth="1"/>
    <col min="8727" max="8728" width="9.140625" style="372"/>
    <col min="8729" max="8729" width="10.7109375" style="372" bestFit="1" customWidth="1"/>
    <col min="8730" max="8960" width="9.140625" style="372"/>
    <col min="8961" max="8961" width="3.5703125" style="372" customWidth="1"/>
    <col min="8962" max="8962" width="20.28515625" style="372" customWidth="1"/>
    <col min="8963" max="8964" width="13.5703125" style="372" customWidth="1"/>
    <col min="8965" max="8965" width="0" style="372" hidden="1" customWidth="1"/>
    <col min="8966" max="8966" width="13.5703125" style="372" customWidth="1"/>
    <col min="8967" max="8971" width="11.85546875" style="372" customWidth="1"/>
    <col min="8972" max="8972" width="13.5703125" style="372" customWidth="1"/>
    <col min="8973" max="8975" width="11.85546875" style="372" customWidth="1"/>
    <col min="8976" max="8976" width="10.7109375" style="372" customWidth="1"/>
    <col min="8977" max="8982" width="0" style="372" hidden="1" customWidth="1"/>
    <col min="8983" max="8984" width="9.140625" style="372"/>
    <col min="8985" max="8985" width="10.7109375" style="372" bestFit="1" customWidth="1"/>
    <col min="8986" max="9216" width="9.140625" style="372"/>
    <col min="9217" max="9217" width="3.5703125" style="372" customWidth="1"/>
    <col min="9218" max="9218" width="20.28515625" style="372" customWidth="1"/>
    <col min="9219" max="9220" width="13.5703125" style="372" customWidth="1"/>
    <col min="9221" max="9221" width="0" style="372" hidden="1" customWidth="1"/>
    <col min="9222" max="9222" width="13.5703125" style="372" customWidth="1"/>
    <col min="9223" max="9227" width="11.85546875" style="372" customWidth="1"/>
    <col min="9228" max="9228" width="13.5703125" style="372" customWidth="1"/>
    <col min="9229" max="9231" width="11.85546875" style="372" customWidth="1"/>
    <col min="9232" max="9232" width="10.7109375" style="372" customWidth="1"/>
    <col min="9233" max="9238" width="0" style="372" hidden="1" customWidth="1"/>
    <col min="9239" max="9240" width="9.140625" style="372"/>
    <col min="9241" max="9241" width="10.7109375" style="372" bestFit="1" customWidth="1"/>
    <col min="9242" max="9472" width="9.140625" style="372"/>
    <col min="9473" max="9473" width="3.5703125" style="372" customWidth="1"/>
    <col min="9474" max="9474" width="20.28515625" style="372" customWidth="1"/>
    <col min="9475" max="9476" width="13.5703125" style="372" customWidth="1"/>
    <col min="9477" max="9477" width="0" style="372" hidden="1" customWidth="1"/>
    <col min="9478" max="9478" width="13.5703125" style="372" customWidth="1"/>
    <col min="9479" max="9483" width="11.85546875" style="372" customWidth="1"/>
    <col min="9484" max="9484" width="13.5703125" style="372" customWidth="1"/>
    <col min="9485" max="9487" width="11.85546875" style="372" customWidth="1"/>
    <col min="9488" max="9488" width="10.7109375" style="372" customWidth="1"/>
    <col min="9489" max="9494" width="0" style="372" hidden="1" customWidth="1"/>
    <col min="9495" max="9496" width="9.140625" style="372"/>
    <col min="9497" max="9497" width="10.7109375" style="372" bestFit="1" customWidth="1"/>
    <col min="9498" max="9728" width="9.140625" style="372"/>
    <col min="9729" max="9729" width="3.5703125" style="372" customWidth="1"/>
    <col min="9730" max="9730" width="20.28515625" style="372" customWidth="1"/>
    <col min="9731" max="9732" width="13.5703125" style="372" customWidth="1"/>
    <col min="9733" max="9733" width="0" style="372" hidden="1" customWidth="1"/>
    <col min="9734" max="9734" width="13.5703125" style="372" customWidth="1"/>
    <col min="9735" max="9739" width="11.85546875" style="372" customWidth="1"/>
    <col min="9740" max="9740" width="13.5703125" style="372" customWidth="1"/>
    <col min="9741" max="9743" width="11.85546875" style="372" customWidth="1"/>
    <col min="9744" max="9744" width="10.7109375" style="372" customWidth="1"/>
    <col min="9745" max="9750" width="0" style="372" hidden="1" customWidth="1"/>
    <col min="9751" max="9752" width="9.140625" style="372"/>
    <col min="9753" max="9753" width="10.7109375" style="372" bestFit="1" customWidth="1"/>
    <col min="9754" max="9984" width="9.140625" style="372"/>
    <col min="9985" max="9985" width="3.5703125" style="372" customWidth="1"/>
    <col min="9986" max="9986" width="20.28515625" style="372" customWidth="1"/>
    <col min="9987" max="9988" width="13.5703125" style="372" customWidth="1"/>
    <col min="9989" max="9989" width="0" style="372" hidden="1" customWidth="1"/>
    <col min="9990" max="9990" width="13.5703125" style="372" customWidth="1"/>
    <col min="9991" max="9995" width="11.85546875" style="372" customWidth="1"/>
    <col min="9996" max="9996" width="13.5703125" style="372" customWidth="1"/>
    <col min="9997" max="9999" width="11.85546875" style="372" customWidth="1"/>
    <col min="10000" max="10000" width="10.7109375" style="372" customWidth="1"/>
    <col min="10001" max="10006" width="0" style="372" hidden="1" customWidth="1"/>
    <col min="10007" max="10008" width="9.140625" style="372"/>
    <col min="10009" max="10009" width="10.7109375" style="372" bestFit="1" customWidth="1"/>
    <col min="10010" max="10240" width="9.140625" style="372"/>
    <col min="10241" max="10241" width="3.5703125" style="372" customWidth="1"/>
    <col min="10242" max="10242" width="20.28515625" style="372" customWidth="1"/>
    <col min="10243" max="10244" width="13.5703125" style="372" customWidth="1"/>
    <col min="10245" max="10245" width="0" style="372" hidden="1" customWidth="1"/>
    <col min="10246" max="10246" width="13.5703125" style="372" customWidth="1"/>
    <col min="10247" max="10251" width="11.85546875" style="372" customWidth="1"/>
    <col min="10252" max="10252" width="13.5703125" style="372" customWidth="1"/>
    <col min="10253" max="10255" width="11.85546875" style="372" customWidth="1"/>
    <col min="10256" max="10256" width="10.7109375" style="372" customWidth="1"/>
    <col min="10257" max="10262" width="0" style="372" hidden="1" customWidth="1"/>
    <col min="10263" max="10264" width="9.140625" style="372"/>
    <col min="10265" max="10265" width="10.7109375" style="372" bestFit="1" customWidth="1"/>
    <col min="10266" max="10496" width="9.140625" style="372"/>
    <col min="10497" max="10497" width="3.5703125" style="372" customWidth="1"/>
    <col min="10498" max="10498" width="20.28515625" style="372" customWidth="1"/>
    <col min="10499" max="10500" width="13.5703125" style="372" customWidth="1"/>
    <col min="10501" max="10501" width="0" style="372" hidden="1" customWidth="1"/>
    <col min="10502" max="10502" width="13.5703125" style="372" customWidth="1"/>
    <col min="10503" max="10507" width="11.85546875" style="372" customWidth="1"/>
    <col min="10508" max="10508" width="13.5703125" style="372" customWidth="1"/>
    <col min="10509" max="10511" width="11.85546875" style="372" customWidth="1"/>
    <col min="10512" max="10512" width="10.7109375" style="372" customWidth="1"/>
    <col min="10513" max="10518" width="0" style="372" hidden="1" customWidth="1"/>
    <col min="10519" max="10520" width="9.140625" style="372"/>
    <col min="10521" max="10521" width="10.7109375" style="372" bestFit="1" customWidth="1"/>
    <col min="10522" max="10752" width="9.140625" style="372"/>
    <col min="10753" max="10753" width="3.5703125" style="372" customWidth="1"/>
    <col min="10754" max="10754" width="20.28515625" style="372" customWidth="1"/>
    <col min="10755" max="10756" width="13.5703125" style="372" customWidth="1"/>
    <col min="10757" max="10757" width="0" style="372" hidden="1" customWidth="1"/>
    <col min="10758" max="10758" width="13.5703125" style="372" customWidth="1"/>
    <col min="10759" max="10763" width="11.85546875" style="372" customWidth="1"/>
    <col min="10764" max="10764" width="13.5703125" style="372" customWidth="1"/>
    <col min="10765" max="10767" width="11.85546875" style="372" customWidth="1"/>
    <col min="10768" max="10768" width="10.7109375" style="372" customWidth="1"/>
    <col min="10769" max="10774" width="0" style="372" hidden="1" customWidth="1"/>
    <col min="10775" max="10776" width="9.140625" style="372"/>
    <col min="10777" max="10777" width="10.7109375" style="372" bestFit="1" customWidth="1"/>
    <col min="10778" max="11008" width="9.140625" style="372"/>
    <col min="11009" max="11009" width="3.5703125" style="372" customWidth="1"/>
    <col min="11010" max="11010" width="20.28515625" style="372" customWidth="1"/>
    <col min="11011" max="11012" width="13.5703125" style="372" customWidth="1"/>
    <col min="11013" max="11013" width="0" style="372" hidden="1" customWidth="1"/>
    <col min="11014" max="11014" width="13.5703125" style="372" customWidth="1"/>
    <col min="11015" max="11019" width="11.85546875" style="372" customWidth="1"/>
    <col min="11020" max="11020" width="13.5703125" style="372" customWidth="1"/>
    <col min="11021" max="11023" width="11.85546875" style="372" customWidth="1"/>
    <col min="11024" max="11024" width="10.7109375" style="372" customWidth="1"/>
    <col min="11025" max="11030" width="0" style="372" hidden="1" customWidth="1"/>
    <col min="11031" max="11032" width="9.140625" style="372"/>
    <col min="11033" max="11033" width="10.7109375" style="372" bestFit="1" customWidth="1"/>
    <col min="11034" max="11264" width="9.140625" style="372"/>
    <col min="11265" max="11265" width="3.5703125" style="372" customWidth="1"/>
    <col min="11266" max="11266" width="20.28515625" style="372" customWidth="1"/>
    <col min="11267" max="11268" width="13.5703125" style="372" customWidth="1"/>
    <col min="11269" max="11269" width="0" style="372" hidden="1" customWidth="1"/>
    <col min="11270" max="11270" width="13.5703125" style="372" customWidth="1"/>
    <col min="11271" max="11275" width="11.85546875" style="372" customWidth="1"/>
    <col min="11276" max="11276" width="13.5703125" style="372" customWidth="1"/>
    <col min="11277" max="11279" width="11.85546875" style="372" customWidth="1"/>
    <col min="11280" max="11280" width="10.7109375" style="372" customWidth="1"/>
    <col min="11281" max="11286" width="0" style="372" hidden="1" customWidth="1"/>
    <col min="11287" max="11288" width="9.140625" style="372"/>
    <col min="11289" max="11289" width="10.7109375" style="372" bestFit="1" customWidth="1"/>
    <col min="11290" max="11520" width="9.140625" style="372"/>
    <col min="11521" max="11521" width="3.5703125" style="372" customWidth="1"/>
    <col min="11522" max="11522" width="20.28515625" style="372" customWidth="1"/>
    <col min="11523" max="11524" width="13.5703125" style="372" customWidth="1"/>
    <col min="11525" max="11525" width="0" style="372" hidden="1" customWidth="1"/>
    <col min="11526" max="11526" width="13.5703125" style="372" customWidth="1"/>
    <col min="11527" max="11531" width="11.85546875" style="372" customWidth="1"/>
    <col min="11532" max="11532" width="13.5703125" style="372" customWidth="1"/>
    <col min="11533" max="11535" width="11.85546875" style="372" customWidth="1"/>
    <col min="11536" max="11536" width="10.7109375" style="372" customWidth="1"/>
    <col min="11537" max="11542" width="0" style="372" hidden="1" customWidth="1"/>
    <col min="11543" max="11544" width="9.140625" style="372"/>
    <col min="11545" max="11545" width="10.7109375" style="372" bestFit="1" customWidth="1"/>
    <col min="11546" max="11776" width="9.140625" style="372"/>
    <col min="11777" max="11777" width="3.5703125" style="372" customWidth="1"/>
    <col min="11778" max="11778" width="20.28515625" style="372" customWidth="1"/>
    <col min="11779" max="11780" width="13.5703125" style="372" customWidth="1"/>
    <col min="11781" max="11781" width="0" style="372" hidden="1" customWidth="1"/>
    <col min="11782" max="11782" width="13.5703125" style="372" customWidth="1"/>
    <col min="11783" max="11787" width="11.85546875" style="372" customWidth="1"/>
    <col min="11788" max="11788" width="13.5703125" style="372" customWidth="1"/>
    <col min="11789" max="11791" width="11.85546875" style="372" customWidth="1"/>
    <col min="11792" max="11792" width="10.7109375" style="372" customWidth="1"/>
    <col min="11793" max="11798" width="0" style="372" hidden="1" customWidth="1"/>
    <col min="11799" max="11800" width="9.140625" style="372"/>
    <col min="11801" max="11801" width="10.7109375" style="372" bestFit="1" customWidth="1"/>
    <col min="11802" max="12032" width="9.140625" style="372"/>
    <col min="12033" max="12033" width="3.5703125" style="372" customWidth="1"/>
    <col min="12034" max="12034" width="20.28515625" style="372" customWidth="1"/>
    <col min="12035" max="12036" width="13.5703125" style="372" customWidth="1"/>
    <col min="12037" max="12037" width="0" style="372" hidden="1" customWidth="1"/>
    <col min="12038" max="12038" width="13.5703125" style="372" customWidth="1"/>
    <col min="12039" max="12043" width="11.85546875" style="372" customWidth="1"/>
    <col min="12044" max="12044" width="13.5703125" style="372" customWidth="1"/>
    <col min="12045" max="12047" width="11.85546875" style="372" customWidth="1"/>
    <col min="12048" max="12048" width="10.7109375" style="372" customWidth="1"/>
    <col min="12049" max="12054" width="0" style="372" hidden="1" customWidth="1"/>
    <col min="12055" max="12056" width="9.140625" style="372"/>
    <col min="12057" max="12057" width="10.7109375" style="372" bestFit="1" customWidth="1"/>
    <col min="12058" max="12288" width="9.140625" style="372"/>
    <col min="12289" max="12289" width="3.5703125" style="372" customWidth="1"/>
    <col min="12290" max="12290" width="20.28515625" style="372" customWidth="1"/>
    <col min="12291" max="12292" width="13.5703125" style="372" customWidth="1"/>
    <col min="12293" max="12293" width="0" style="372" hidden="1" customWidth="1"/>
    <col min="12294" max="12294" width="13.5703125" style="372" customWidth="1"/>
    <col min="12295" max="12299" width="11.85546875" style="372" customWidth="1"/>
    <col min="12300" max="12300" width="13.5703125" style="372" customWidth="1"/>
    <col min="12301" max="12303" width="11.85546875" style="372" customWidth="1"/>
    <col min="12304" max="12304" width="10.7109375" style="372" customWidth="1"/>
    <col min="12305" max="12310" width="0" style="372" hidden="1" customWidth="1"/>
    <col min="12311" max="12312" width="9.140625" style="372"/>
    <col min="12313" max="12313" width="10.7109375" style="372" bestFit="1" customWidth="1"/>
    <col min="12314" max="12544" width="9.140625" style="372"/>
    <col min="12545" max="12545" width="3.5703125" style="372" customWidth="1"/>
    <col min="12546" max="12546" width="20.28515625" style="372" customWidth="1"/>
    <col min="12547" max="12548" width="13.5703125" style="372" customWidth="1"/>
    <col min="12549" max="12549" width="0" style="372" hidden="1" customWidth="1"/>
    <col min="12550" max="12550" width="13.5703125" style="372" customWidth="1"/>
    <col min="12551" max="12555" width="11.85546875" style="372" customWidth="1"/>
    <col min="12556" max="12556" width="13.5703125" style="372" customWidth="1"/>
    <col min="12557" max="12559" width="11.85546875" style="372" customWidth="1"/>
    <col min="12560" max="12560" width="10.7109375" style="372" customWidth="1"/>
    <col min="12561" max="12566" width="0" style="372" hidden="1" customWidth="1"/>
    <col min="12567" max="12568" width="9.140625" style="372"/>
    <col min="12569" max="12569" width="10.7109375" style="372" bestFit="1" customWidth="1"/>
    <col min="12570" max="12800" width="9.140625" style="372"/>
    <col min="12801" max="12801" width="3.5703125" style="372" customWidth="1"/>
    <col min="12802" max="12802" width="20.28515625" style="372" customWidth="1"/>
    <col min="12803" max="12804" width="13.5703125" style="372" customWidth="1"/>
    <col min="12805" max="12805" width="0" style="372" hidden="1" customWidth="1"/>
    <col min="12806" max="12806" width="13.5703125" style="372" customWidth="1"/>
    <col min="12807" max="12811" width="11.85546875" style="372" customWidth="1"/>
    <col min="12812" max="12812" width="13.5703125" style="372" customWidth="1"/>
    <col min="12813" max="12815" width="11.85546875" style="372" customWidth="1"/>
    <col min="12816" max="12816" width="10.7109375" style="372" customWidth="1"/>
    <col min="12817" max="12822" width="0" style="372" hidden="1" customWidth="1"/>
    <col min="12823" max="12824" width="9.140625" style="372"/>
    <col min="12825" max="12825" width="10.7109375" style="372" bestFit="1" customWidth="1"/>
    <col min="12826" max="13056" width="9.140625" style="372"/>
    <col min="13057" max="13057" width="3.5703125" style="372" customWidth="1"/>
    <col min="13058" max="13058" width="20.28515625" style="372" customWidth="1"/>
    <col min="13059" max="13060" width="13.5703125" style="372" customWidth="1"/>
    <col min="13061" max="13061" width="0" style="372" hidden="1" customWidth="1"/>
    <col min="13062" max="13062" width="13.5703125" style="372" customWidth="1"/>
    <col min="13063" max="13067" width="11.85546875" style="372" customWidth="1"/>
    <col min="13068" max="13068" width="13.5703125" style="372" customWidth="1"/>
    <col min="13069" max="13071" width="11.85546875" style="372" customWidth="1"/>
    <col min="13072" max="13072" width="10.7109375" style="372" customWidth="1"/>
    <col min="13073" max="13078" width="0" style="372" hidden="1" customWidth="1"/>
    <col min="13079" max="13080" width="9.140625" style="372"/>
    <col min="13081" max="13081" width="10.7109375" style="372" bestFit="1" customWidth="1"/>
    <col min="13082" max="13312" width="9.140625" style="372"/>
    <col min="13313" max="13313" width="3.5703125" style="372" customWidth="1"/>
    <col min="13314" max="13314" width="20.28515625" style="372" customWidth="1"/>
    <col min="13315" max="13316" width="13.5703125" style="372" customWidth="1"/>
    <col min="13317" max="13317" width="0" style="372" hidden="1" customWidth="1"/>
    <col min="13318" max="13318" width="13.5703125" style="372" customWidth="1"/>
    <col min="13319" max="13323" width="11.85546875" style="372" customWidth="1"/>
    <col min="13324" max="13324" width="13.5703125" style="372" customWidth="1"/>
    <col min="13325" max="13327" width="11.85546875" style="372" customWidth="1"/>
    <col min="13328" max="13328" width="10.7109375" style="372" customWidth="1"/>
    <col min="13329" max="13334" width="0" style="372" hidden="1" customWidth="1"/>
    <col min="13335" max="13336" width="9.140625" style="372"/>
    <col min="13337" max="13337" width="10.7109375" style="372" bestFit="1" customWidth="1"/>
    <col min="13338" max="13568" width="9.140625" style="372"/>
    <col min="13569" max="13569" width="3.5703125" style="372" customWidth="1"/>
    <col min="13570" max="13570" width="20.28515625" style="372" customWidth="1"/>
    <col min="13571" max="13572" width="13.5703125" style="372" customWidth="1"/>
    <col min="13573" max="13573" width="0" style="372" hidden="1" customWidth="1"/>
    <col min="13574" max="13574" width="13.5703125" style="372" customWidth="1"/>
    <col min="13575" max="13579" width="11.85546875" style="372" customWidth="1"/>
    <col min="13580" max="13580" width="13.5703125" style="372" customWidth="1"/>
    <col min="13581" max="13583" width="11.85546875" style="372" customWidth="1"/>
    <col min="13584" max="13584" width="10.7109375" style="372" customWidth="1"/>
    <col min="13585" max="13590" width="0" style="372" hidden="1" customWidth="1"/>
    <col min="13591" max="13592" width="9.140625" style="372"/>
    <col min="13593" max="13593" width="10.7109375" style="372" bestFit="1" customWidth="1"/>
    <col min="13594" max="13824" width="9.140625" style="372"/>
    <col min="13825" max="13825" width="3.5703125" style="372" customWidth="1"/>
    <col min="13826" max="13826" width="20.28515625" style="372" customWidth="1"/>
    <col min="13827" max="13828" width="13.5703125" style="372" customWidth="1"/>
    <col min="13829" max="13829" width="0" style="372" hidden="1" customWidth="1"/>
    <col min="13830" max="13830" width="13.5703125" style="372" customWidth="1"/>
    <col min="13831" max="13835" width="11.85546875" style="372" customWidth="1"/>
    <col min="13836" max="13836" width="13.5703125" style="372" customWidth="1"/>
    <col min="13837" max="13839" width="11.85546875" style="372" customWidth="1"/>
    <col min="13840" max="13840" width="10.7109375" style="372" customWidth="1"/>
    <col min="13841" max="13846" width="0" style="372" hidden="1" customWidth="1"/>
    <col min="13847" max="13848" width="9.140625" style="372"/>
    <col min="13849" max="13849" width="10.7109375" style="372" bestFit="1" customWidth="1"/>
    <col min="13850" max="14080" width="9.140625" style="372"/>
    <col min="14081" max="14081" width="3.5703125" style="372" customWidth="1"/>
    <col min="14082" max="14082" width="20.28515625" style="372" customWidth="1"/>
    <col min="14083" max="14084" width="13.5703125" style="372" customWidth="1"/>
    <col min="14085" max="14085" width="0" style="372" hidden="1" customWidth="1"/>
    <col min="14086" max="14086" width="13.5703125" style="372" customWidth="1"/>
    <col min="14087" max="14091" width="11.85546875" style="372" customWidth="1"/>
    <col min="14092" max="14092" width="13.5703125" style="372" customWidth="1"/>
    <col min="14093" max="14095" width="11.85546875" style="372" customWidth="1"/>
    <col min="14096" max="14096" width="10.7109375" style="372" customWidth="1"/>
    <col min="14097" max="14102" width="0" style="372" hidden="1" customWidth="1"/>
    <col min="14103" max="14104" width="9.140625" style="372"/>
    <col min="14105" max="14105" width="10.7109375" style="372" bestFit="1" customWidth="1"/>
    <col min="14106" max="14336" width="9.140625" style="372"/>
    <col min="14337" max="14337" width="3.5703125" style="372" customWidth="1"/>
    <col min="14338" max="14338" width="20.28515625" style="372" customWidth="1"/>
    <col min="14339" max="14340" width="13.5703125" style="372" customWidth="1"/>
    <col min="14341" max="14341" width="0" style="372" hidden="1" customWidth="1"/>
    <col min="14342" max="14342" width="13.5703125" style="372" customWidth="1"/>
    <col min="14343" max="14347" width="11.85546875" style="372" customWidth="1"/>
    <col min="14348" max="14348" width="13.5703125" style="372" customWidth="1"/>
    <col min="14349" max="14351" width="11.85546875" style="372" customWidth="1"/>
    <col min="14352" max="14352" width="10.7109375" style="372" customWidth="1"/>
    <col min="14353" max="14358" width="0" style="372" hidden="1" customWidth="1"/>
    <col min="14359" max="14360" width="9.140625" style="372"/>
    <col min="14361" max="14361" width="10.7109375" style="372" bestFit="1" customWidth="1"/>
    <col min="14362" max="14592" width="9.140625" style="372"/>
    <col min="14593" max="14593" width="3.5703125" style="372" customWidth="1"/>
    <col min="14594" max="14594" width="20.28515625" style="372" customWidth="1"/>
    <col min="14595" max="14596" width="13.5703125" style="372" customWidth="1"/>
    <col min="14597" max="14597" width="0" style="372" hidden="1" customWidth="1"/>
    <col min="14598" max="14598" width="13.5703125" style="372" customWidth="1"/>
    <col min="14599" max="14603" width="11.85546875" style="372" customWidth="1"/>
    <col min="14604" max="14604" width="13.5703125" style="372" customWidth="1"/>
    <col min="14605" max="14607" width="11.85546875" style="372" customWidth="1"/>
    <col min="14608" max="14608" width="10.7109375" style="372" customWidth="1"/>
    <col min="14609" max="14614" width="0" style="372" hidden="1" customWidth="1"/>
    <col min="14615" max="14616" width="9.140625" style="372"/>
    <col min="14617" max="14617" width="10.7109375" style="372" bestFit="1" customWidth="1"/>
    <col min="14618" max="14848" width="9.140625" style="372"/>
    <col min="14849" max="14849" width="3.5703125" style="372" customWidth="1"/>
    <col min="14850" max="14850" width="20.28515625" style="372" customWidth="1"/>
    <col min="14851" max="14852" width="13.5703125" style="372" customWidth="1"/>
    <col min="14853" max="14853" width="0" style="372" hidden="1" customWidth="1"/>
    <col min="14854" max="14854" width="13.5703125" style="372" customWidth="1"/>
    <col min="14855" max="14859" width="11.85546875" style="372" customWidth="1"/>
    <col min="14860" max="14860" width="13.5703125" style="372" customWidth="1"/>
    <col min="14861" max="14863" width="11.85546875" style="372" customWidth="1"/>
    <col min="14864" max="14864" width="10.7109375" style="372" customWidth="1"/>
    <col min="14865" max="14870" width="0" style="372" hidden="1" customWidth="1"/>
    <col min="14871" max="14872" width="9.140625" style="372"/>
    <col min="14873" max="14873" width="10.7109375" style="372" bestFit="1" customWidth="1"/>
    <col min="14874" max="15104" width="9.140625" style="372"/>
    <col min="15105" max="15105" width="3.5703125" style="372" customWidth="1"/>
    <col min="15106" max="15106" width="20.28515625" style="372" customWidth="1"/>
    <col min="15107" max="15108" width="13.5703125" style="372" customWidth="1"/>
    <col min="15109" max="15109" width="0" style="372" hidden="1" customWidth="1"/>
    <col min="15110" max="15110" width="13.5703125" style="372" customWidth="1"/>
    <col min="15111" max="15115" width="11.85546875" style="372" customWidth="1"/>
    <col min="15116" max="15116" width="13.5703125" style="372" customWidth="1"/>
    <col min="15117" max="15119" width="11.85546875" style="372" customWidth="1"/>
    <col min="15120" max="15120" width="10.7109375" style="372" customWidth="1"/>
    <col min="15121" max="15126" width="0" style="372" hidden="1" customWidth="1"/>
    <col min="15127" max="15128" width="9.140625" style="372"/>
    <col min="15129" max="15129" width="10.7109375" style="372" bestFit="1" customWidth="1"/>
    <col min="15130" max="15360" width="9.140625" style="372"/>
    <col min="15361" max="15361" width="3.5703125" style="372" customWidth="1"/>
    <col min="15362" max="15362" width="20.28515625" style="372" customWidth="1"/>
    <col min="15363" max="15364" width="13.5703125" style="372" customWidth="1"/>
    <col min="15365" max="15365" width="0" style="372" hidden="1" customWidth="1"/>
    <col min="15366" max="15366" width="13.5703125" style="372" customWidth="1"/>
    <col min="15367" max="15371" width="11.85546875" style="372" customWidth="1"/>
    <col min="15372" max="15372" width="13.5703125" style="372" customWidth="1"/>
    <col min="15373" max="15375" width="11.85546875" style="372" customWidth="1"/>
    <col min="15376" max="15376" width="10.7109375" style="372" customWidth="1"/>
    <col min="15377" max="15382" width="0" style="372" hidden="1" customWidth="1"/>
    <col min="15383" max="15384" width="9.140625" style="372"/>
    <col min="15385" max="15385" width="10.7109375" style="372" bestFit="1" customWidth="1"/>
    <col min="15386" max="15616" width="9.140625" style="372"/>
    <col min="15617" max="15617" width="3.5703125" style="372" customWidth="1"/>
    <col min="15618" max="15618" width="20.28515625" style="372" customWidth="1"/>
    <col min="15619" max="15620" width="13.5703125" style="372" customWidth="1"/>
    <col min="15621" max="15621" width="0" style="372" hidden="1" customWidth="1"/>
    <col min="15622" max="15622" width="13.5703125" style="372" customWidth="1"/>
    <col min="15623" max="15627" width="11.85546875" style="372" customWidth="1"/>
    <col min="15628" max="15628" width="13.5703125" style="372" customWidth="1"/>
    <col min="15629" max="15631" width="11.85546875" style="372" customWidth="1"/>
    <col min="15632" max="15632" width="10.7109375" style="372" customWidth="1"/>
    <col min="15633" max="15638" width="0" style="372" hidden="1" customWidth="1"/>
    <col min="15639" max="15640" width="9.140625" style="372"/>
    <col min="15641" max="15641" width="10.7109375" style="372" bestFit="1" customWidth="1"/>
    <col min="15642" max="15872" width="9.140625" style="372"/>
    <col min="15873" max="15873" width="3.5703125" style="372" customWidth="1"/>
    <col min="15874" max="15874" width="20.28515625" style="372" customWidth="1"/>
    <col min="15875" max="15876" width="13.5703125" style="372" customWidth="1"/>
    <col min="15877" max="15877" width="0" style="372" hidden="1" customWidth="1"/>
    <col min="15878" max="15878" width="13.5703125" style="372" customWidth="1"/>
    <col min="15879" max="15883" width="11.85546875" style="372" customWidth="1"/>
    <col min="15884" max="15884" width="13.5703125" style="372" customWidth="1"/>
    <col min="15885" max="15887" width="11.85546875" style="372" customWidth="1"/>
    <col min="15888" max="15888" width="10.7109375" style="372" customWidth="1"/>
    <col min="15889" max="15894" width="0" style="372" hidden="1" customWidth="1"/>
    <col min="15895" max="15896" width="9.140625" style="372"/>
    <col min="15897" max="15897" width="10.7109375" style="372" bestFit="1" customWidth="1"/>
    <col min="15898" max="16128" width="9.140625" style="372"/>
    <col min="16129" max="16129" width="3.5703125" style="372" customWidth="1"/>
    <col min="16130" max="16130" width="20.28515625" style="372" customWidth="1"/>
    <col min="16131" max="16132" width="13.5703125" style="372" customWidth="1"/>
    <col min="16133" max="16133" width="0" style="372" hidden="1" customWidth="1"/>
    <col min="16134" max="16134" width="13.5703125" style="372" customWidth="1"/>
    <col min="16135" max="16139" width="11.85546875" style="372" customWidth="1"/>
    <col min="16140" max="16140" width="13.5703125" style="372" customWidth="1"/>
    <col min="16141" max="16143" width="11.85546875" style="372" customWidth="1"/>
    <col min="16144" max="16144" width="10.7109375" style="372" customWidth="1"/>
    <col min="16145" max="16150" width="0" style="372" hidden="1" customWidth="1"/>
    <col min="16151" max="16152" width="9.140625" style="372"/>
    <col min="16153" max="16153" width="10.7109375" style="372" bestFit="1" customWidth="1"/>
    <col min="16154" max="16384" width="9.140625" style="372"/>
  </cols>
  <sheetData>
    <row r="1" spans="1:25" s="369" customFormat="1" ht="12.75" customHeight="1">
      <c r="A1" s="368"/>
    </row>
    <row r="2" spans="1:25" s="369" customFormat="1" ht="12.75" customHeight="1">
      <c r="A2" s="368"/>
      <c r="M2" s="370"/>
      <c r="N2" s="371"/>
      <c r="O2" s="370"/>
      <c r="P2" s="371"/>
    </row>
    <row r="3" spans="1:25" s="369" customFormat="1" ht="12.75" customHeight="1">
      <c r="A3" s="368"/>
      <c r="M3" s="1759" t="s">
        <v>1654</v>
      </c>
      <c r="N3" s="1759"/>
      <c r="O3" s="1759"/>
      <c r="P3" s="1759"/>
    </row>
    <row r="4" spans="1:25" s="369" customFormat="1" ht="12.75" customHeight="1">
      <c r="A4" s="368"/>
      <c r="M4" s="370"/>
      <c r="N4" s="371"/>
      <c r="O4" s="370"/>
      <c r="P4" s="371"/>
    </row>
    <row r="5" spans="1:25" ht="18" customHeight="1">
      <c r="A5" s="1760" t="s">
        <v>1655</v>
      </c>
      <c r="B5" s="1760"/>
      <c r="C5" s="1760"/>
      <c r="D5" s="1760"/>
      <c r="E5" s="1760"/>
      <c r="F5" s="1760"/>
      <c r="G5" s="1760"/>
      <c r="H5" s="1760"/>
      <c r="I5" s="1760"/>
      <c r="J5" s="1760"/>
      <c r="K5" s="1760"/>
      <c r="L5" s="1760"/>
      <c r="M5" s="1760"/>
      <c r="N5" s="1760"/>
      <c r="O5" s="1760"/>
      <c r="P5" s="1760"/>
    </row>
    <row r="6" spans="1:25" s="373" customFormat="1" ht="18" customHeight="1">
      <c r="A6" s="1761" t="s">
        <v>1656</v>
      </c>
      <c r="B6" s="1761"/>
      <c r="C6" s="1761"/>
      <c r="D6" s="1761"/>
      <c r="E6" s="1761"/>
      <c r="F6" s="1761"/>
      <c r="G6" s="1761"/>
      <c r="H6" s="1761"/>
      <c r="I6" s="1761"/>
      <c r="J6" s="1761"/>
      <c r="K6" s="1761"/>
      <c r="L6" s="1761"/>
      <c r="M6" s="1761"/>
      <c r="N6" s="1761"/>
      <c r="O6" s="1761"/>
      <c r="P6" s="1761"/>
    </row>
    <row r="7" spans="1:25" s="344" customFormat="1" ht="14.25" customHeight="1">
      <c r="A7" s="374"/>
      <c r="C7" s="375">
        <f>+C14-'[3]Biểu số 10 (nhập)'!B10</f>
        <v>0</v>
      </c>
      <c r="G7" s="375"/>
      <c r="M7" s="345"/>
      <c r="N7" s="1762" t="s">
        <v>1657</v>
      </c>
      <c r="O7" s="1762"/>
      <c r="P7" s="1762"/>
    </row>
    <row r="8" spans="1:25" s="376" customFormat="1" ht="21.75" customHeight="1">
      <c r="A8" s="1763" t="s">
        <v>1658</v>
      </c>
      <c r="B8" s="1764" t="s">
        <v>1659</v>
      </c>
      <c r="C8" s="1763" t="s">
        <v>1660</v>
      </c>
      <c r="D8" s="1763" t="s">
        <v>1661</v>
      </c>
      <c r="E8" s="1763" t="s">
        <v>1662</v>
      </c>
      <c r="F8" s="1763" t="s">
        <v>1663</v>
      </c>
      <c r="G8" s="1765" t="s">
        <v>1664</v>
      </c>
      <c r="H8" s="1766"/>
      <c r="I8" s="1766"/>
      <c r="J8" s="1767"/>
      <c r="K8" s="1763" t="s">
        <v>1665</v>
      </c>
      <c r="L8" s="1745" t="s">
        <v>1666</v>
      </c>
      <c r="M8" s="1746"/>
      <c r="N8" s="1746"/>
      <c r="O8" s="1746"/>
      <c r="P8" s="1747"/>
    </row>
    <row r="9" spans="1:25" s="376" customFormat="1" ht="14.25" customHeight="1">
      <c r="A9" s="1751"/>
      <c r="B9" s="1751"/>
      <c r="C9" s="1751"/>
      <c r="D9" s="1751"/>
      <c r="E9" s="1751"/>
      <c r="F9" s="1687"/>
      <c r="G9" s="1687" t="s">
        <v>1662</v>
      </c>
      <c r="H9" s="1687" t="s">
        <v>1667</v>
      </c>
      <c r="I9" s="1770" t="s">
        <v>1668</v>
      </c>
      <c r="J9" s="1756" t="s">
        <v>1669</v>
      </c>
      <c r="K9" s="1687"/>
      <c r="L9" s="1748"/>
      <c r="M9" s="1749"/>
      <c r="N9" s="1749"/>
      <c r="O9" s="1749"/>
      <c r="P9" s="1750"/>
    </row>
    <row r="10" spans="1:25" s="376" customFormat="1" ht="21.75" customHeight="1">
      <c r="A10" s="1751"/>
      <c r="B10" s="1751"/>
      <c r="C10" s="1751"/>
      <c r="D10" s="1751"/>
      <c r="E10" s="1751"/>
      <c r="F10" s="1687"/>
      <c r="G10" s="1751"/>
      <c r="H10" s="1751"/>
      <c r="I10" s="1771"/>
      <c r="J10" s="1687"/>
      <c r="K10" s="1687"/>
      <c r="L10" s="1687" t="s">
        <v>1670</v>
      </c>
      <c r="M10" s="1753" t="s">
        <v>1671</v>
      </c>
      <c r="N10" s="1753" t="s">
        <v>1672</v>
      </c>
      <c r="O10" s="1753" t="s">
        <v>1673</v>
      </c>
      <c r="P10" s="1756" t="s">
        <v>1674</v>
      </c>
    </row>
    <row r="11" spans="1:25" s="376" customFormat="1" ht="18" customHeight="1">
      <c r="A11" s="1751"/>
      <c r="B11" s="1751"/>
      <c r="C11" s="1751"/>
      <c r="D11" s="1751"/>
      <c r="E11" s="1751"/>
      <c r="F11" s="1687"/>
      <c r="G11" s="1751"/>
      <c r="H11" s="1751"/>
      <c r="I11" s="1771"/>
      <c r="J11" s="1687"/>
      <c r="K11" s="1687"/>
      <c r="L11" s="1751"/>
      <c r="M11" s="1754"/>
      <c r="N11" s="1754"/>
      <c r="O11" s="1754"/>
      <c r="P11" s="1768"/>
    </row>
    <row r="12" spans="1:25" s="377" customFormat="1" ht="2.25" hidden="1" customHeight="1">
      <c r="A12" s="1752"/>
      <c r="B12" s="1752"/>
      <c r="C12" s="1752"/>
      <c r="D12" s="1752"/>
      <c r="E12" s="1752"/>
      <c r="F12" s="1688"/>
      <c r="G12" s="1752"/>
      <c r="H12" s="1752"/>
      <c r="I12" s="1772"/>
      <c r="J12" s="1688"/>
      <c r="K12" s="1688"/>
      <c r="L12" s="1752"/>
      <c r="M12" s="1755"/>
      <c r="N12" s="1755"/>
      <c r="O12" s="1755"/>
      <c r="P12" s="1769"/>
    </row>
    <row r="13" spans="1:25" s="377" customFormat="1" ht="21" customHeight="1">
      <c r="A13" s="378">
        <v>1</v>
      </c>
      <c r="B13" s="378">
        <v>2</v>
      </c>
      <c r="C13" s="378">
        <v>3</v>
      </c>
      <c r="D13" s="378">
        <v>4</v>
      </c>
      <c r="E13" s="378">
        <v>5</v>
      </c>
      <c r="F13" s="379" t="s">
        <v>1675</v>
      </c>
      <c r="G13" s="378">
        <v>6</v>
      </c>
      <c r="H13" s="378">
        <v>7</v>
      </c>
      <c r="I13" s="378">
        <v>8</v>
      </c>
      <c r="J13" s="378">
        <v>9</v>
      </c>
      <c r="K13" s="380">
        <v>10</v>
      </c>
      <c r="L13" s="378" t="s">
        <v>1676</v>
      </c>
      <c r="M13" s="381" t="s">
        <v>1677</v>
      </c>
      <c r="N13" s="381" t="s">
        <v>1678</v>
      </c>
      <c r="O13" s="381">
        <v>14</v>
      </c>
      <c r="P13" s="382">
        <v>15</v>
      </c>
    </row>
    <row r="14" spans="1:25" s="377" customFormat="1" ht="14.25" customHeight="1">
      <c r="A14" s="1757" t="s">
        <v>762</v>
      </c>
      <c r="B14" s="1758"/>
      <c r="C14" s="383">
        <f>SUM(C15:C37)</f>
        <v>67736500</v>
      </c>
      <c r="D14" s="383">
        <f t="shared" ref="D14:K14" si="0">SUM(D15:D37)</f>
        <v>42450400</v>
      </c>
      <c r="E14" s="383">
        <f t="shared" si="0"/>
        <v>380000</v>
      </c>
      <c r="F14" s="383">
        <f>SUM(F15:F37)</f>
        <v>182352952.91450003</v>
      </c>
      <c r="G14" s="384">
        <f t="shared" si="0"/>
        <v>380000</v>
      </c>
      <c r="H14" s="383">
        <f t="shared" si="0"/>
        <v>178779117.91450003</v>
      </c>
      <c r="I14" s="383">
        <f t="shared" si="0"/>
        <v>1787792</v>
      </c>
      <c r="J14" s="383">
        <f t="shared" si="0"/>
        <v>5415039</v>
      </c>
      <c r="K14" s="383">
        <f t="shared" si="0"/>
        <v>4008996</v>
      </c>
      <c r="L14" s="383">
        <f>SUM(L15:L37)</f>
        <v>193372892.56350002</v>
      </c>
      <c r="M14" s="383">
        <f>F14-D14</f>
        <v>139902552.91450003</v>
      </c>
      <c r="N14" s="383">
        <f>O14+P14</f>
        <v>53470339.649000004</v>
      </c>
      <c r="O14" s="383">
        <f>SUM(O15:O37)</f>
        <v>53470339.649000004</v>
      </c>
      <c r="P14" s="383">
        <v>0</v>
      </c>
      <c r="S14" s="383">
        <f>SUM(S15:S37)</f>
        <v>1069406.7929800004</v>
      </c>
    </row>
    <row r="15" spans="1:25" s="394" customFormat="1" ht="24.95" customHeight="1">
      <c r="A15" s="338">
        <v>1</v>
      </c>
      <c r="B15" s="385" t="s">
        <v>1631</v>
      </c>
      <c r="C15" s="386">
        <f>'[3]Biểu số 10 (nhập)'!C10</f>
        <v>9516000</v>
      </c>
      <c r="D15" s="387">
        <f>'[3]Biểu 12'!C14</f>
        <v>2861950</v>
      </c>
      <c r="E15" s="388">
        <f>'[3]Biểu số 10 (nhập)'!C37</f>
        <v>0</v>
      </c>
      <c r="F15" s="388">
        <f>+G15+H15+I15+J15-K15</f>
        <v>6466815.9715</v>
      </c>
      <c r="G15" s="389">
        <f>'[3]Biểu số 10 (nhập)'!C37</f>
        <v>0</v>
      </c>
      <c r="H15" s="388">
        <f>'[3]Biểu số 13 (Nhập)'!G16</f>
        <v>6309778.9715</v>
      </c>
      <c r="I15" s="388">
        <f>+'[3]Biểu số 13 (Nhập)'!BK16</f>
        <v>63098</v>
      </c>
      <c r="J15" s="388">
        <f>+'[3]Biểu số 13 (Nhập)'!BL16</f>
        <v>197713</v>
      </c>
      <c r="K15" s="388">
        <f>+'[3]Biểu số 13 (Nhập)'!BM16</f>
        <v>103774</v>
      </c>
      <c r="L15" s="386">
        <f t="shared" ref="L15:L38" si="1">M15+N15</f>
        <v>5790981.9715</v>
      </c>
      <c r="M15" s="390">
        <f>F15-D15</f>
        <v>3604865.9715</v>
      </c>
      <c r="N15" s="391">
        <f>O15+P15</f>
        <v>2186116</v>
      </c>
      <c r="O15" s="391">
        <f>+'[3]Biểu 09'!E9</f>
        <v>2186116</v>
      </c>
      <c r="P15" s="390"/>
      <c r="Q15" s="392">
        <f t="shared" ref="Q15:Q37" si="2">F15+N15</f>
        <v>8652931.9715</v>
      </c>
      <c r="R15" s="392">
        <f t="shared" ref="R15:R37" si="3">Q15+E15</f>
        <v>8652931.9715</v>
      </c>
      <c r="S15" s="393">
        <f>O15*2%</f>
        <v>43722.32</v>
      </c>
      <c r="Y15" s="393"/>
    </row>
    <row r="16" spans="1:25" s="394" customFormat="1" ht="24.95" customHeight="1">
      <c r="A16" s="346">
        <v>2</v>
      </c>
      <c r="B16" s="395" t="s">
        <v>1632</v>
      </c>
      <c r="C16" s="396">
        <f>'[3]Biểu số 10 (nhập)'!D10</f>
        <v>6420000</v>
      </c>
      <c r="D16" s="397">
        <f>'[3]Biểu 12'!C15</f>
        <v>3986750</v>
      </c>
      <c r="E16" s="396">
        <f>'[3]Biểu số 10 (nhập)'!D37</f>
        <v>0</v>
      </c>
      <c r="F16" s="388">
        <f t="shared" ref="F16:F37" si="4">+G16+H16+I16+J16-K16</f>
        <v>7246805.0690000011</v>
      </c>
      <c r="G16" s="398">
        <f>'[3]Biểu số 10 (nhập)'!D37</f>
        <v>0</v>
      </c>
      <c r="H16" s="396">
        <f>'[3]Biểu số 13 (Nhập)'!G17</f>
        <v>7086261.0690000011</v>
      </c>
      <c r="I16" s="396">
        <f>+'[3]Biểu số 13 (Nhập)'!BK17</f>
        <v>70863</v>
      </c>
      <c r="J16" s="396">
        <f>+'[3]Biểu số 13 (Nhập)'!BL17</f>
        <v>219869</v>
      </c>
      <c r="K16" s="396">
        <f>+'[3]Biểu số 13 (Nhập)'!BM17</f>
        <v>130188</v>
      </c>
      <c r="L16" s="399">
        <f t="shared" si="1"/>
        <v>5621058.9690000014</v>
      </c>
      <c r="M16" s="400">
        <f t="shared" ref="M16:M37" si="5">F16-D16</f>
        <v>3260055.0690000011</v>
      </c>
      <c r="N16" s="401">
        <f>O16+P16</f>
        <v>2361003.9000000004</v>
      </c>
      <c r="O16" s="401">
        <f>+'[3]Biểu 09'!E10</f>
        <v>2361003.9000000004</v>
      </c>
      <c r="P16" s="400"/>
      <c r="Q16" s="392">
        <f t="shared" si="2"/>
        <v>9607808.9690000005</v>
      </c>
      <c r="R16" s="392">
        <f t="shared" si="3"/>
        <v>9607808.9690000005</v>
      </c>
      <c r="S16" s="393">
        <f t="shared" ref="S16:S37" si="6">O16*2%</f>
        <v>47220.078000000009</v>
      </c>
    </row>
    <row r="17" spans="1:19" s="394" customFormat="1" ht="24.95" customHeight="1">
      <c r="A17" s="346">
        <v>3</v>
      </c>
      <c r="B17" s="395" t="s">
        <v>1633</v>
      </c>
      <c r="C17" s="396">
        <f>'[3]Biểu số 10 (nhập)'!E10</f>
        <v>3457000</v>
      </c>
      <c r="D17" s="397">
        <f>'[3]Biểu 12'!C16</f>
        <v>2925050</v>
      </c>
      <c r="E17" s="396">
        <f>'[3]Biểu số 10 (nhập)'!E37</f>
        <v>0</v>
      </c>
      <c r="F17" s="388">
        <f t="shared" si="4"/>
        <v>9757042.5474999994</v>
      </c>
      <c r="G17" s="398">
        <f>'[3]Biểu số 10 (nhập)'!E37</f>
        <v>0</v>
      </c>
      <c r="H17" s="396">
        <f>'[3]Biểu số 13 (Nhập)'!G18</f>
        <v>9615625.5474999994</v>
      </c>
      <c r="I17" s="396">
        <f>+'[3]Biểu số 13 (Nhập)'!BK18</f>
        <v>96156</v>
      </c>
      <c r="J17" s="396">
        <f>+'[3]Biểu số 13 (Nhập)'!BL18</f>
        <v>298493</v>
      </c>
      <c r="K17" s="396">
        <f>+'[3]Biểu số 13 (Nhập)'!BM18</f>
        <v>253232</v>
      </c>
      <c r="L17" s="399">
        <f t="shared" si="1"/>
        <v>10041997.747499999</v>
      </c>
      <c r="M17" s="400">
        <f t="shared" si="5"/>
        <v>6831992.5474999994</v>
      </c>
      <c r="N17" s="401">
        <f t="shared" ref="N17:N38" si="7">O17+P17</f>
        <v>3210005.2</v>
      </c>
      <c r="O17" s="401">
        <f>+'[3]Biểu 09'!E11</f>
        <v>3210005.2</v>
      </c>
      <c r="P17" s="400"/>
      <c r="Q17" s="392">
        <f t="shared" si="2"/>
        <v>12967047.747499999</v>
      </c>
      <c r="R17" s="392">
        <f t="shared" si="3"/>
        <v>12967047.747499999</v>
      </c>
      <c r="S17" s="393">
        <f t="shared" si="6"/>
        <v>64200.104000000007</v>
      </c>
    </row>
    <row r="18" spans="1:19" s="394" customFormat="1" ht="24.95" customHeight="1">
      <c r="A18" s="346">
        <v>4</v>
      </c>
      <c r="B18" s="395" t="s">
        <v>1634</v>
      </c>
      <c r="C18" s="396">
        <f>'[3]Biểu số 10 (nhập)'!F10</f>
        <v>6621000</v>
      </c>
      <c r="D18" s="397">
        <f>'[3]Biểu 12'!C17</f>
        <v>4233400</v>
      </c>
      <c r="E18" s="396">
        <f>'[3]Biểu số 10 (nhập)'!F37</f>
        <v>0</v>
      </c>
      <c r="F18" s="388">
        <f t="shared" si="4"/>
        <v>9223076.5194999985</v>
      </c>
      <c r="G18" s="398">
        <f>'[3]Biểu số 10 (nhập)'!F37</f>
        <v>0</v>
      </c>
      <c r="H18" s="396">
        <f>'[3]Biểu số 13 (Nhập)'!G19</f>
        <v>9087941.5194999985</v>
      </c>
      <c r="I18" s="396">
        <f>+'[3]Biểu số 13 (Nhập)'!BK19</f>
        <v>90879</v>
      </c>
      <c r="J18" s="396">
        <f>+'[3]Biểu số 13 (Nhập)'!BL19</f>
        <v>280414</v>
      </c>
      <c r="K18" s="396">
        <f>+'[3]Biểu số 13 (Nhập)'!BM19</f>
        <v>236158</v>
      </c>
      <c r="L18" s="399">
        <f t="shared" si="1"/>
        <v>7950005.0194999985</v>
      </c>
      <c r="M18" s="400">
        <f t="shared" si="5"/>
        <v>4989676.5194999985</v>
      </c>
      <c r="N18" s="401">
        <f t="shared" si="7"/>
        <v>2960328.5</v>
      </c>
      <c r="O18" s="401">
        <f>+'[3]Biểu 09'!E12</f>
        <v>2960328.5</v>
      </c>
      <c r="P18" s="400"/>
      <c r="Q18" s="392">
        <f t="shared" si="2"/>
        <v>12183405.019499999</v>
      </c>
      <c r="R18" s="392">
        <f t="shared" si="3"/>
        <v>12183405.019499999</v>
      </c>
      <c r="S18" s="393">
        <f t="shared" si="6"/>
        <v>59206.57</v>
      </c>
    </row>
    <row r="19" spans="1:19" s="394" customFormat="1" ht="24.95" customHeight="1">
      <c r="A19" s="346">
        <v>5</v>
      </c>
      <c r="B19" s="395" t="s">
        <v>1635</v>
      </c>
      <c r="C19" s="396">
        <f>'[3]Biểu số 10 (nhập)'!G10</f>
        <v>5383000</v>
      </c>
      <c r="D19" s="397">
        <f>'[3]Biểu 12'!C18</f>
        <v>1990450</v>
      </c>
      <c r="E19" s="396">
        <f>'[3]Biểu số 10 (nhập)'!G37</f>
        <v>0</v>
      </c>
      <c r="F19" s="388">
        <f t="shared" si="4"/>
        <v>7876839.2499999991</v>
      </c>
      <c r="G19" s="398">
        <f>'[3]Biểu số 10 (nhập)'!G37</f>
        <v>0</v>
      </c>
      <c r="H19" s="396">
        <f>'[3]Biểu số 13 (Nhập)'!G20</f>
        <v>7678855.2499999991</v>
      </c>
      <c r="I19" s="396">
        <f>+'[3]Biểu số 13 (Nhập)'!BK20</f>
        <v>76789</v>
      </c>
      <c r="J19" s="396">
        <f>+'[3]Biểu số 13 (Nhập)'!BL20</f>
        <v>231829</v>
      </c>
      <c r="K19" s="396">
        <f>+'[3]Biểu số 13 (Nhập)'!BM20</f>
        <v>110634</v>
      </c>
      <c r="L19" s="399">
        <f t="shared" si="1"/>
        <v>8166644.5499999989</v>
      </c>
      <c r="M19" s="400">
        <f t="shared" si="5"/>
        <v>5886389.2499999991</v>
      </c>
      <c r="N19" s="401">
        <f t="shared" si="7"/>
        <v>2280255.2999999998</v>
      </c>
      <c r="O19" s="401">
        <f>+'[3]Biểu 09'!E13</f>
        <v>2280255.2999999998</v>
      </c>
      <c r="P19" s="400"/>
      <c r="Q19" s="392">
        <f t="shared" si="2"/>
        <v>10157094.549999999</v>
      </c>
      <c r="R19" s="392">
        <f t="shared" si="3"/>
        <v>10157094.549999999</v>
      </c>
      <c r="S19" s="393">
        <f t="shared" si="6"/>
        <v>45605.106</v>
      </c>
    </row>
    <row r="20" spans="1:19" s="394" customFormat="1" ht="24.95" customHeight="1">
      <c r="A20" s="346">
        <v>6</v>
      </c>
      <c r="B20" s="395" t="s">
        <v>1636</v>
      </c>
      <c r="C20" s="396">
        <f>'[3]Biểu số 10 (nhập)'!H10</f>
        <v>6817000</v>
      </c>
      <c r="D20" s="397">
        <f>'[3]Biểu 12'!C19</f>
        <v>4175000</v>
      </c>
      <c r="E20" s="396">
        <f>'[3]Biểu số 10 (nhập)'!H37</f>
        <v>0</v>
      </c>
      <c r="F20" s="388">
        <f t="shared" si="4"/>
        <v>8439124.5429999996</v>
      </c>
      <c r="G20" s="398">
        <f>'[3]Biểu số 10 (nhập)'!H37</f>
        <v>0</v>
      </c>
      <c r="H20" s="396">
        <f>'[3]Biểu số 13 (Nhập)'!G21</f>
        <v>8294258.5429999996</v>
      </c>
      <c r="I20" s="396">
        <f>+'[3]Biểu số 13 (Nhập)'!BK21</f>
        <v>82943</v>
      </c>
      <c r="J20" s="396">
        <f>+'[3]Biểu số 13 (Nhập)'!BL21</f>
        <v>257612</v>
      </c>
      <c r="K20" s="396">
        <f>+'[3]Biểu số 13 (Nhập)'!BM21</f>
        <v>195689</v>
      </c>
      <c r="L20" s="399">
        <f t="shared" si="1"/>
        <v>7038940.5429999996</v>
      </c>
      <c r="M20" s="400">
        <f t="shared" si="5"/>
        <v>4264124.5429999996</v>
      </c>
      <c r="N20" s="401">
        <f t="shared" si="7"/>
        <v>2774816</v>
      </c>
      <c r="O20" s="401">
        <f>+'[3]Biểu 09'!E14</f>
        <v>2774816</v>
      </c>
      <c r="P20" s="400"/>
      <c r="Q20" s="392">
        <f t="shared" si="2"/>
        <v>11213940.543</v>
      </c>
      <c r="R20" s="392">
        <f t="shared" si="3"/>
        <v>11213940.543</v>
      </c>
      <c r="S20" s="393">
        <f t="shared" si="6"/>
        <v>55496.32</v>
      </c>
    </row>
    <row r="21" spans="1:19" s="394" customFormat="1" ht="24.95" customHeight="1">
      <c r="A21" s="346">
        <v>7</v>
      </c>
      <c r="B21" s="395" t="s">
        <v>1637</v>
      </c>
      <c r="C21" s="396">
        <f>'[3]Biểu số 10 (nhập)'!I10</f>
        <v>7518000</v>
      </c>
      <c r="D21" s="397">
        <f>'[3]Biểu 12'!C20</f>
        <v>4888800</v>
      </c>
      <c r="E21" s="396">
        <f>'[3]Biểu số 10 (nhập)'!I37</f>
        <v>0</v>
      </c>
      <c r="F21" s="388">
        <f t="shared" si="4"/>
        <v>9220043.8870000001</v>
      </c>
      <c r="G21" s="398">
        <f>'[3]Biểu số 10 (nhập)'!I37</f>
        <v>0</v>
      </c>
      <c r="H21" s="396">
        <f>'[3]Biểu số 13 (Nhập)'!G22</f>
        <v>9048013.8870000001</v>
      </c>
      <c r="I21" s="396">
        <f>+'[3]Biểu số 13 (Nhập)'!BK22</f>
        <v>90480</v>
      </c>
      <c r="J21" s="396">
        <f>+'[3]Biểu số 13 (Nhập)'!BL22</f>
        <v>274837</v>
      </c>
      <c r="K21" s="396">
        <f>+'[3]Biểu số 13 (Nhập)'!BM22</f>
        <v>193287</v>
      </c>
      <c r="L21" s="399">
        <f t="shared" si="1"/>
        <v>7090436.9869999997</v>
      </c>
      <c r="M21" s="400">
        <f t="shared" si="5"/>
        <v>4331243.8870000001</v>
      </c>
      <c r="N21" s="401">
        <f t="shared" si="7"/>
        <v>2759193.1</v>
      </c>
      <c r="O21" s="401">
        <f>+'[3]Biểu 09'!E15</f>
        <v>2759193.1</v>
      </c>
      <c r="P21" s="400"/>
      <c r="Q21" s="392">
        <f t="shared" si="2"/>
        <v>11979236.987</v>
      </c>
      <c r="R21" s="392">
        <f t="shared" si="3"/>
        <v>11979236.987</v>
      </c>
      <c r="S21" s="393">
        <f t="shared" si="6"/>
        <v>55183.862000000001</v>
      </c>
    </row>
    <row r="22" spans="1:19" s="394" customFormat="1" ht="24.95" customHeight="1">
      <c r="A22" s="346">
        <v>8</v>
      </c>
      <c r="B22" s="395" t="s">
        <v>1638</v>
      </c>
      <c r="C22" s="396">
        <f>'[3]Biểu số 10 (nhập)'!J10</f>
        <v>6869000</v>
      </c>
      <c r="D22" s="397">
        <f>'[3]Biểu 12'!C21</f>
        <v>3518450</v>
      </c>
      <c r="E22" s="396">
        <f>'[3]Biểu số 10 (nhập)'!J37</f>
        <v>0</v>
      </c>
      <c r="F22" s="388">
        <f t="shared" si="4"/>
        <v>9785665.4674999993</v>
      </c>
      <c r="G22" s="398">
        <f>'[3]Biểu số 10 (nhập)'!J37</f>
        <v>0</v>
      </c>
      <c r="H22" s="396">
        <f>'[3]Biểu số 13 (Nhập)'!G23</f>
        <v>9622821.4674999993</v>
      </c>
      <c r="I22" s="396">
        <f>+'[3]Biểu số 13 (Nhập)'!BK23</f>
        <v>96228</v>
      </c>
      <c r="J22" s="396">
        <f>+'[3]Biểu số 13 (Nhập)'!BL23</f>
        <v>300726</v>
      </c>
      <c r="K22" s="396">
        <f>+'[3]Biểu số 13 (Nhập)'!BM23</f>
        <v>234110</v>
      </c>
      <c r="L22" s="399">
        <f t="shared" si="1"/>
        <v>9566588.9674999993</v>
      </c>
      <c r="M22" s="400">
        <f t="shared" si="5"/>
        <v>6267215.4674999993</v>
      </c>
      <c r="N22" s="401">
        <f t="shared" si="7"/>
        <v>3299373.5</v>
      </c>
      <c r="O22" s="401">
        <f>+'[3]Biểu 09'!E16</f>
        <v>3299373.5</v>
      </c>
      <c r="P22" s="400"/>
      <c r="Q22" s="392">
        <f t="shared" si="2"/>
        <v>13085038.967499999</v>
      </c>
      <c r="R22" s="392">
        <f t="shared" si="3"/>
        <v>13085038.967499999</v>
      </c>
      <c r="S22" s="393">
        <f t="shared" si="6"/>
        <v>65987.47</v>
      </c>
    </row>
    <row r="23" spans="1:19" s="394" customFormat="1" ht="24.95" customHeight="1">
      <c r="A23" s="346">
        <v>9</v>
      </c>
      <c r="B23" s="395" t="s">
        <v>1639</v>
      </c>
      <c r="C23" s="396">
        <f>'[3]Biểu số 10 (nhập)'!K10</f>
        <v>4738000</v>
      </c>
      <c r="D23" s="397">
        <f>'[3]Biểu 12'!C22</f>
        <v>4056250</v>
      </c>
      <c r="E23" s="396">
        <f>'[3]Biểu số 10 (nhập)'!K37</f>
        <v>0</v>
      </c>
      <c r="F23" s="388">
        <f t="shared" si="4"/>
        <v>9591667.8490000013</v>
      </c>
      <c r="G23" s="398">
        <f>'[3]Biểu số 10 (nhập)'!K37</f>
        <v>0</v>
      </c>
      <c r="H23" s="396">
        <f>'[3]Biểu số 13 (Nhập)'!G24</f>
        <v>9413900.8490000013</v>
      </c>
      <c r="I23" s="396">
        <f>+'[3]Biểu số 13 (Nhập)'!BK24</f>
        <v>94139</v>
      </c>
      <c r="J23" s="396">
        <f>+'[3]Biểu số 13 (Nhập)'!BL24</f>
        <v>296295</v>
      </c>
      <c r="K23" s="396">
        <f>+'[3]Biểu số 13 (Nhập)'!BM24</f>
        <v>212667</v>
      </c>
      <c r="L23" s="399">
        <f t="shared" si="1"/>
        <v>8854014.6490000002</v>
      </c>
      <c r="M23" s="400">
        <f t="shared" si="5"/>
        <v>5535417.8490000013</v>
      </c>
      <c r="N23" s="401">
        <f t="shared" si="7"/>
        <v>3318596.8</v>
      </c>
      <c r="O23" s="401">
        <f>+'[3]Biểu 09'!E17</f>
        <v>3318596.8</v>
      </c>
      <c r="P23" s="400"/>
      <c r="Q23" s="392">
        <f t="shared" si="2"/>
        <v>12910264.649</v>
      </c>
      <c r="R23" s="392">
        <f t="shared" si="3"/>
        <v>12910264.649</v>
      </c>
      <c r="S23" s="393">
        <f t="shared" si="6"/>
        <v>66371.936000000002</v>
      </c>
    </row>
    <row r="24" spans="1:19" s="394" customFormat="1" ht="24.95" customHeight="1">
      <c r="A24" s="346">
        <v>10</v>
      </c>
      <c r="B24" s="395" t="s">
        <v>1640</v>
      </c>
      <c r="C24" s="396">
        <f>'[3]Biểu số 10 (nhập)'!L10</f>
        <v>1041000</v>
      </c>
      <c r="D24" s="397">
        <f>'[3]Biểu 12'!C23</f>
        <v>967400</v>
      </c>
      <c r="E24" s="396">
        <f>'[3]Biểu số 10 (nhập)'!L37</f>
        <v>80000</v>
      </c>
      <c r="F24" s="388">
        <f t="shared" si="4"/>
        <v>6596307.7544999998</v>
      </c>
      <c r="G24" s="402">
        <f>'[3]Biểu số 10 (nhập)'!L37</f>
        <v>80000</v>
      </c>
      <c r="H24" s="396">
        <f>'[3]Biểu số 13 (Nhập)'!G25</f>
        <v>6377827.7544999998</v>
      </c>
      <c r="I24" s="396">
        <f>+'[3]Biểu số 13 (Nhập)'!BK25</f>
        <v>63778</v>
      </c>
      <c r="J24" s="396">
        <f>+'[3]Biểu số 13 (Nhập)'!BL25</f>
        <v>196424</v>
      </c>
      <c r="K24" s="396">
        <f>+'[3]Biểu số 13 (Nhập)'!BM25</f>
        <v>121722</v>
      </c>
      <c r="L24" s="399">
        <f t="shared" si="1"/>
        <v>7610486.4545</v>
      </c>
      <c r="M24" s="400">
        <f t="shared" si="5"/>
        <v>5628907.7544999998</v>
      </c>
      <c r="N24" s="401">
        <f t="shared" si="7"/>
        <v>1981578.7</v>
      </c>
      <c r="O24" s="401">
        <f>+'[3]Biểu 09'!E18</f>
        <v>1981578.7</v>
      </c>
      <c r="P24" s="400"/>
      <c r="Q24" s="392">
        <f t="shared" si="2"/>
        <v>8577886.4544999991</v>
      </c>
      <c r="R24" s="392">
        <f t="shared" si="3"/>
        <v>8657886.4544999991</v>
      </c>
      <c r="S24" s="393">
        <f t="shared" si="6"/>
        <v>39631.574000000001</v>
      </c>
    </row>
    <row r="25" spans="1:19" s="394" customFormat="1" ht="24.95" customHeight="1">
      <c r="A25" s="346">
        <v>11</v>
      </c>
      <c r="B25" s="395" t="s">
        <v>1641</v>
      </c>
      <c r="C25" s="396">
        <f>'[3]Biểu số 10 (nhập)'!M10</f>
        <v>976000</v>
      </c>
      <c r="D25" s="397">
        <f>'[3]Biểu 12'!C24</f>
        <v>2117050</v>
      </c>
      <c r="E25" s="396">
        <f>'[3]Biểu số 10 (nhập)'!M37</f>
        <v>0</v>
      </c>
      <c r="F25" s="388">
        <f t="shared" si="4"/>
        <v>7073432.0899999999</v>
      </c>
      <c r="G25" s="398">
        <f>'[3]Biểu số 10 (nhập)'!M37</f>
        <v>0</v>
      </c>
      <c r="H25" s="396">
        <f>'[3]Biểu số 13 (Nhập)'!G26</f>
        <v>6913767.0899999999</v>
      </c>
      <c r="I25" s="396">
        <f>+'[3]Biểu số 13 (Nhập)'!BK26</f>
        <v>69138</v>
      </c>
      <c r="J25" s="396">
        <f>+'[3]Biểu số 13 (Nhập)'!BL26</f>
        <v>208448</v>
      </c>
      <c r="K25" s="396">
        <f>+'[3]Biểu số 13 (Nhập)'!BM26</f>
        <v>117921</v>
      </c>
      <c r="L25" s="396">
        <f t="shared" si="1"/>
        <v>6997197.5899999999</v>
      </c>
      <c r="M25" s="400">
        <f t="shared" si="5"/>
        <v>4956382.09</v>
      </c>
      <c r="N25" s="401">
        <f t="shared" si="7"/>
        <v>2040815.5</v>
      </c>
      <c r="O25" s="401">
        <f>+'[3]Biểu 09'!E19</f>
        <v>2040815.5</v>
      </c>
      <c r="P25" s="400"/>
      <c r="Q25" s="392">
        <f t="shared" si="2"/>
        <v>9114247.5899999999</v>
      </c>
      <c r="R25" s="392">
        <f t="shared" si="3"/>
        <v>9114247.5899999999</v>
      </c>
      <c r="S25" s="393">
        <f t="shared" si="6"/>
        <v>40816.31</v>
      </c>
    </row>
    <row r="26" spans="1:19" s="394" customFormat="1" ht="24.95" customHeight="1">
      <c r="A26" s="346">
        <v>12</v>
      </c>
      <c r="B26" s="395" t="s">
        <v>1642</v>
      </c>
      <c r="C26" s="396">
        <f>'[3]Biểu số 10 (nhập)'!N10</f>
        <v>1357000</v>
      </c>
      <c r="D26" s="397">
        <f>'[3]Biểu 12'!C25</f>
        <v>773850</v>
      </c>
      <c r="E26" s="396">
        <f>'[3]Biểu số 10 (nhập)'!N37</f>
        <v>0</v>
      </c>
      <c r="F26" s="388">
        <f t="shared" si="4"/>
        <v>7101480.4385000002</v>
      </c>
      <c r="G26" s="389">
        <f>'[3]Biểu số 10 (nhập)'!N37</f>
        <v>0</v>
      </c>
      <c r="H26" s="396">
        <f>'[3]Biểu số 13 (Nhập)'!G27</f>
        <v>6959724.4385000002</v>
      </c>
      <c r="I26" s="396">
        <f>+'[3]Biểu số 13 (Nhập)'!BK27</f>
        <v>69597</v>
      </c>
      <c r="J26" s="396">
        <f>+'[3]Biểu số 13 (Nhập)'!BL27</f>
        <v>208657</v>
      </c>
      <c r="K26" s="396">
        <f>+'[3]Biểu số 13 (Nhập)'!BM27</f>
        <v>136498</v>
      </c>
      <c r="L26" s="396">
        <f t="shared" si="1"/>
        <v>8331097.5384999998</v>
      </c>
      <c r="M26" s="400">
        <f t="shared" si="5"/>
        <v>6327630.4385000002</v>
      </c>
      <c r="N26" s="401">
        <f t="shared" si="7"/>
        <v>2003467.1</v>
      </c>
      <c r="O26" s="401">
        <f>+'[3]Biểu 09'!E20</f>
        <v>2003467.1</v>
      </c>
      <c r="P26" s="400"/>
      <c r="Q26" s="392">
        <f t="shared" si="2"/>
        <v>9104947.5384999998</v>
      </c>
      <c r="R26" s="392">
        <f t="shared" si="3"/>
        <v>9104947.5384999998</v>
      </c>
      <c r="S26" s="393">
        <f t="shared" si="6"/>
        <v>40069.342000000004</v>
      </c>
    </row>
    <row r="27" spans="1:19" s="394" customFormat="1" ht="24.95" customHeight="1">
      <c r="A27" s="346">
        <v>13</v>
      </c>
      <c r="B27" s="395" t="s">
        <v>1643</v>
      </c>
      <c r="C27" s="396">
        <f>'[3]Biểu số 10 (nhập)'!O10</f>
        <v>257000</v>
      </c>
      <c r="D27" s="397">
        <f>'[3]Biểu 12'!C26</f>
        <v>752300</v>
      </c>
      <c r="E27" s="396">
        <f>'[3]Biểu số 10 (nhập)'!O37</f>
        <v>0</v>
      </c>
      <c r="F27" s="388">
        <f t="shared" si="4"/>
        <v>7010108.3154999996</v>
      </c>
      <c r="G27" s="398">
        <f>'[3]Biểu số 10 (nhập)'!O37</f>
        <v>0</v>
      </c>
      <c r="H27" s="396">
        <f>'[3]Biểu số 13 (Nhập)'!G28</f>
        <v>6835350.3154999996</v>
      </c>
      <c r="I27" s="396">
        <f>+'[3]Biểu số 13 (Nhập)'!BK28</f>
        <v>68354</v>
      </c>
      <c r="J27" s="396">
        <f>+'[3]Biểu số 13 (Nhập)'!BL28</f>
        <v>203628</v>
      </c>
      <c r="K27" s="396">
        <f>+'[3]Biểu số 13 (Nhập)'!BM28</f>
        <v>97224</v>
      </c>
      <c r="L27" s="396">
        <f t="shared" si="1"/>
        <v>8169150.8355</v>
      </c>
      <c r="M27" s="400">
        <f t="shared" si="5"/>
        <v>6257808.3154999996</v>
      </c>
      <c r="N27" s="401">
        <f t="shared" si="7"/>
        <v>1911342.52</v>
      </c>
      <c r="O27" s="401">
        <f>+'[3]Biểu 09'!E21</f>
        <v>1911342.52</v>
      </c>
      <c r="P27" s="400"/>
      <c r="Q27" s="392">
        <f t="shared" si="2"/>
        <v>8921450.8355</v>
      </c>
      <c r="R27" s="392">
        <f t="shared" si="3"/>
        <v>8921450.8355</v>
      </c>
      <c r="S27" s="393">
        <f t="shared" si="6"/>
        <v>38226.850400000003</v>
      </c>
    </row>
    <row r="28" spans="1:19" s="394" customFormat="1" ht="24.95" customHeight="1">
      <c r="A28" s="346">
        <v>14</v>
      </c>
      <c r="B28" s="395" t="s">
        <v>1644</v>
      </c>
      <c r="C28" s="396">
        <f>'[3]Biểu số 10 (nhập)'!P10</f>
        <v>949000</v>
      </c>
      <c r="D28" s="397">
        <f>'[3]Biểu 12'!C27</f>
        <v>503350</v>
      </c>
      <c r="E28" s="396">
        <f>'[3]Biểu số 10 (nhập)'!P37</f>
        <v>0</v>
      </c>
      <c r="F28" s="388">
        <f t="shared" si="4"/>
        <v>6241289.8485000003</v>
      </c>
      <c r="G28" s="398">
        <f>'[3]Biểu số 10 (nhập)'!P37</f>
        <v>0</v>
      </c>
      <c r="H28" s="396">
        <f>'[3]Biểu số 13 (Nhập)'!G29</f>
        <v>6115706.8485000003</v>
      </c>
      <c r="I28" s="396">
        <f>+'[3]Biểu số 13 (Nhập)'!BK29</f>
        <v>61157</v>
      </c>
      <c r="J28" s="396">
        <f>+'[3]Biểu số 13 (Nhập)'!BL29</f>
        <v>181705</v>
      </c>
      <c r="K28" s="396">
        <f>+'[3]Biểu số 13 (Nhập)'!BM29</f>
        <v>117279</v>
      </c>
      <c r="L28" s="396">
        <f t="shared" si="1"/>
        <v>7427109.7485000007</v>
      </c>
      <c r="M28" s="400">
        <f t="shared" si="5"/>
        <v>5737939.8485000003</v>
      </c>
      <c r="N28" s="401">
        <f t="shared" si="7"/>
        <v>1689169.9000000001</v>
      </c>
      <c r="O28" s="401">
        <f>+'[3]Biểu 09'!E22</f>
        <v>1689169.9000000001</v>
      </c>
      <c r="P28" s="400"/>
      <c r="Q28" s="392">
        <f t="shared" si="2"/>
        <v>7930459.7485000007</v>
      </c>
      <c r="R28" s="392">
        <f t="shared" si="3"/>
        <v>7930459.7485000007</v>
      </c>
      <c r="S28" s="393">
        <f t="shared" si="6"/>
        <v>33783.398000000001</v>
      </c>
    </row>
    <row r="29" spans="1:19" s="394" customFormat="1" ht="24.95" customHeight="1">
      <c r="A29" s="346">
        <v>15</v>
      </c>
      <c r="B29" s="395" t="s">
        <v>1645</v>
      </c>
      <c r="C29" s="396">
        <f>'[3]Biểu số 10 (nhập)'!Q10</f>
        <v>1013000</v>
      </c>
      <c r="D29" s="397">
        <f>'[3]Biểu 12'!C28</f>
        <v>905050</v>
      </c>
      <c r="E29" s="396">
        <f>'[3]Biểu số 10 (nhập)'!Q37</f>
        <v>0</v>
      </c>
      <c r="F29" s="388">
        <f t="shared" si="4"/>
        <v>6593599.1044999994</v>
      </c>
      <c r="G29" s="398">
        <f>'[3]Biểu số 10 (nhập)'!Q37</f>
        <v>0</v>
      </c>
      <c r="H29" s="396">
        <f>'[3]Biểu số 13 (Nhập)'!G30</f>
        <v>6449680.1044999994</v>
      </c>
      <c r="I29" s="396">
        <f>+'[3]Biểu số 13 (Nhập)'!BK30</f>
        <v>64497</v>
      </c>
      <c r="J29" s="396">
        <f>+'[3]Biểu số 13 (Nhập)'!BL30</f>
        <v>188867</v>
      </c>
      <c r="K29" s="396">
        <f>+'[3]Biểu số 13 (Nhập)'!BM30</f>
        <v>109445</v>
      </c>
      <c r="L29" s="396">
        <f t="shared" si="1"/>
        <v>7350424.7044999991</v>
      </c>
      <c r="M29" s="400">
        <f t="shared" si="5"/>
        <v>5688549.1044999994</v>
      </c>
      <c r="N29" s="401">
        <f t="shared" si="7"/>
        <v>1661875.5999999999</v>
      </c>
      <c r="O29" s="401">
        <f>+'[3]Biểu 09'!E23</f>
        <v>1661875.5999999999</v>
      </c>
      <c r="P29" s="400"/>
      <c r="Q29" s="392">
        <f t="shared" si="2"/>
        <v>8255474.7044999991</v>
      </c>
      <c r="R29" s="392">
        <f t="shared" si="3"/>
        <v>8255474.7044999991</v>
      </c>
      <c r="S29" s="393">
        <f t="shared" si="6"/>
        <v>33237.511999999995</v>
      </c>
    </row>
    <row r="30" spans="1:19" s="394" customFormat="1" ht="24.95" customHeight="1">
      <c r="A30" s="346">
        <v>16</v>
      </c>
      <c r="B30" s="395" t="s">
        <v>1646</v>
      </c>
      <c r="C30" s="396">
        <f>'[3]Biểu số 10 (nhập)'!R10</f>
        <v>476000</v>
      </c>
      <c r="D30" s="397">
        <f>'[3]Biểu 12'!C29</f>
        <v>377000</v>
      </c>
      <c r="E30" s="396">
        <f>'[3]Biểu số 10 (nhập)'!R37</f>
        <v>0</v>
      </c>
      <c r="F30" s="388">
        <f t="shared" si="4"/>
        <v>6764489.8635</v>
      </c>
      <c r="G30" s="398">
        <f>'[3]Biểu số 10 (nhập)'!R37</f>
        <v>0</v>
      </c>
      <c r="H30" s="396">
        <f>'[3]Biểu số 13 (Nhập)'!G31</f>
        <v>6618988.8635</v>
      </c>
      <c r="I30" s="396">
        <f>+'[3]Biểu số 13 (Nhập)'!BK31</f>
        <v>66190</v>
      </c>
      <c r="J30" s="396">
        <f>+'[3]Biểu số 13 (Nhập)'!BL31</f>
        <v>195180</v>
      </c>
      <c r="K30" s="396">
        <f>+'[3]Biểu số 13 (Nhập)'!BM31</f>
        <v>115869</v>
      </c>
      <c r="L30" s="396">
        <f t="shared" si="1"/>
        <v>8151651.2634999994</v>
      </c>
      <c r="M30" s="400">
        <f t="shared" si="5"/>
        <v>6387489.8635</v>
      </c>
      <c r="N30" s="401">
        <f t="shared" si="7"/>
        <v>1764161.4</v>
      </c>
      <c r="O30" s="401">
        <f>+'[3]Biểu 09'!E24</f>
        <v>1764161.4</v>
      </c>
      <c r="P30" s="400"/>
      <c r="Q30" s="392">
        <f t="shared" si="2"/>
        <v>8528651.2634999994</v>
      </c>
      <c r="R30" s="392">
        <f t="shared" si="3"/>
        <v>8528651.2634999994</v>
      </c>
      <c r="S30" s="393">
        <f t="shared" si="6"/>
        <v>35283.227999999996</v>
      </c>
    </row>
    <row r="31" spans="1:19" s="394" customFormat="1" ht="24.95" customHeight="1">
      <c r="A31" s="346">
        <v>17</v>
      </c>
      <c r="B31" s="395" t="s">
        <v>1647</v>
      </c>
      <c r="C31" s="396">
        <f>'[3]Biểu số 10 (nhập)'!S10</f>
        <v>394000</v>
      </c>
      <c r="D31" s="397">
        <f>'[3]Biểu 12'!C30</f>
        <v>311500</v>
      </c>
      <c r="E31" s="396">
        <f>'[3]Biểu số 10 (nhập)'!S37</f>
        <v>100000</v>
      </c>
      <c r="F31" s="388">
        <f t="shared" si="4"/>
        <v>6959747.8684999999</v>
      </c>
      <c r="G31" s="398">
        <f>'[3]Biểu số 10 (nhập)'!S37</f>
        <v>100000</v>
      </c>
      <c r="H31" s="396">
        <f>'[3]Biểu số 13 (Nhập)'!G32</f>
        <v>6691223.8684999999</v>
      </c>
      <c r="I31" s="396">
        <f>+'[3]Biểu số 13 (Nhập)'!BK32</f>
        <v>66912</v>
      </c>
      <c r="J31" s="396">
        <f>+'[3]Biểu số 13 (Nhập)'!BL32</f>
        <v>205889</v>
      </c>
      <c r="K31" s="396">
        <f>+'[3]Biểu số 13 (Nhập)'!BM32</f>
        <v>104277</v>
      </c>
      <c r="L31" s="396">
        <f t="shared" si="1"/>
        <v>8703056.4754999988</v>
      </c>
      <c r="M31" s="400">
        <f t="shared" si="5"/>
        <v>6648247.8684999999</v>
      </c>
      <c r="N31" s="401">
        <f t="shared" si="7"/>
        <v>2054808.6069999998</v>
      </c>
      <c r="O31" s="401">
        <f>+'[3]Biểu 09'!E25</f>
        <v>2054808.6069999998</v>
      </c>
      <c r="P31" s="400"/>
      <c r="Q31" s="392">
        <f t="shared" si="2"/>
        <v>9014556.4754999988</v>
      </c>
      <c r="R31" s="392">
        <f t="shared" si="3"/>
        <v>9114556.4754999988</v>
      </c>
      <c r="S31" s="393">
        <f t="shared" si="6"/>
        <v>41096.172139999995</v>
      </c>
    </row>
    <row r="32" spans="1:19" s="394" customFormat="1" ht="24.95" customHeight="1">
      <c r="A32" s="346">
        <v>18</v>
      </c>
      <c r="B32" s="395" t="s">
        <v>1648</v>
      </c>
      <c r="C32" s="396">
        <f>'[3]Biểu số 10 (nhập)'!T10</f>
        <v>1472000</v>
      </c>
      <c r="D32" s="397">
        <f>'[3]Biểu 12'!C31</f>
        <v>978500</v>
      </c>
      <c r="E32" s="396">
        <f>'[3]Biểu số 10 (nhập)'!T37</f>
        <v>0</v>
      </c>
      <c r="F32" s="388">
        <f t="shared" si="4"/>
        <v>9320467.959499998</v>
      </c>
      <c r="G32" s="398">
        <f>'[3]Biểu số 10 (nhập)'!T37</f>
        <v>0</v>
      </c>
      <c r="H32" s="396">
        <f>'[3]Biểu số 13 (Nhập)'!G33</f>
        <v>9229329.959499998</v>
      </c>
      <c r="I32" s="396">
        <f>+'[3]Biểu số 13 (Nhập)'!BK33</f>
        <v>92293</v>
      </c>
      <c r="J32" s="396">
        <f>+'[3]Biểu số 13 (Nhập)'!BL33</f>
        <v>271384</v>
      </c>
      <c r="K32" s="396">
        <f>+'[3]Biểu số 13 (Nhập)'!BM33</f>
        <v>272539</v>
      </c>
      <c r="L32" s="396">
        <f t="shared" si="1"/>
        <v>10768575.631499998</v>
      </c>
      <c r="M32" s="400">
        <f t="shared" si="5"/>
        <v>8341967.959499998</v>
      </c>
      <c r="N32" s="401">
        <f t="shared" si="7"/>
        <v>2426607.6720000003</v>
      </c>
      <c r="O32" s="401">
        <f>+'[3]Biểu 09'!E26</f>
        <v>2426607.6720000003</v>
      </c>
      <c r="P32" s="400"/>
      <c r="Q32" s="392">
        <f t="shared" si="2"/>
        <v>11747075.631499998</v>
      </c>
      <c r="R32" s="392">
        <f t="shared" si="3"/>
        <v>11747075.631499998</v>
      </c>
      <c r="S32" s="393">
        <f t="shared" si="6"/>
        <v>48532.153440000009</v>
      </c>
    </row>
    <row r="33" spans="1:19" s="394" customFormat="1" ht="24.95" customHeight="1">
      <c r="A33" s="346">
        <v>19</v>
      </c>
      <c r="B33" s="395" t="s">
        <v>1649</v>
      </c>
      <c r="C33" s="396">
        <f>'[3]Biểu số 10 (nhập)'!U10</f>
        <v>329000</v>
      </c>
      <c r="D33" s="397">
        <f>'[3]Biểu 12'!C32</f>
        <v>232000</v>
      </c>
      <c r="E33" s="396">
        <f>'[3]Biểu số 10 (nhập)'!U37</f>
        <v>0</v>
      </c>
      <c r="F33" s="388">
        <f t="shared" si="4"/>
        <v>8201896.3375000004</v>
      </c>
      <c r="G33" s="398">
        <f>'[3]Biểu số 10 (nhập)'!U37</f>
        <v>0</v>
      </c>
      <c r="H33" s="396">
        <f>'[3]Biểu số 13 (Nhập)'!G34</f>
        <v>8101624.3375000004</v>
      </c>
      <c r="I33" s="396">
        <f>+'[3]Biểu số 13 (Nhập)'!BK34</f>
        <v>81016</v>
      </c>
      <c r="J33" s="396">
        <f>+'[3]Biểu số 13 (Nhập)'!BL34</f>
        <v>244597</v>
      </c>
      <c r="K33" s="396">
        <f>+'[3]Biểu số 13 (Nhập)'!BM34</f>
        <v>225341</v>
      </c>
      <c r="L33" s="396">
        <f t="shared" si="1"/>
        <v>10375859.787500001</v>
      </c>
      <c r="M33" s="400">
        <f t="shared" si="5"/>
        <v>7969896.3375000004</v>
      </c>
      <c r="N33" s="401">
        <f t="shared" si="7"/>
        <v>2405963.4500000002</v>
      </c>
      <c r="O33" s="401">
        <f>+'[3]Biểu 09'!E27</f>
        <v>2405963.4500000002</v>
      </c>
      <c r="P33" s="400"/>
      <c r="Q33" s="392">
        <f t="shared" si="2"/>
        <v>10607859.787500001</v>
      </c>
      <c r="R33" s="392">
        <f t="shared" si="3"/>
        <v>10607859.787500001</v>
      </c>
      <c r="S33" s="393">
        <f t="shared" si="6"/>
        <v>48119.269000000008</v>
      </c>
    </row>
    <row r="34" spans="1:19" s="394" customFormat="1" ht="24.95" customHeight="1">
      <c r="A34" s="346">
        <v>20</v>
      </c>
      <c r="B34" s="395" t="s">
        <v>1650</v>
      </c>
      <c r="C34" s="396">
        <f>'[3]Biểu số 10 (nhập)'!V10</f>
        <v>637000</v>
      </c>
      <c r="D34" s="397">
        <f>'[3]Biểu 12'!C33</f>
        <v>301000</v>
      </c>
      <c r="E34" s="396">
        <f>'[3]Biểu số 10 (nhập)'!V37</f>
        <v>0</v>
      </c>
      <c r="F34" s="388">
        <f t="shared" si="4"/>
        <v>7232197.949000001</v>
      </c>
      <c r="G34" s="398">
        <f>'[3]Biểu số 10 (nhập)'!V37</f>
        <v>0</v>
      </c>
      <c r="H34" s="396">
        <f>'[3]Biểu số 13 (Nhập)'!G35</f>
        <v>7186860.949000001</v>
      </c>
      <c r="I34" s="396">
        <f>+'[3]Biểu số 13 (Nhập)'!BK35</f>
        <v>71869</v>
      </c>
      <c r="J34" s="396">
        <f>+'[3]Biểu số 13 (Nhập)'!BL35</f>
        <v>205621</v>
      </c>
      <c r="K34" s="396">
        <f>+'[3]Biểu số 13 (Nhập)'!BM35</f>
        <v>232153</v>
      </c>
      <c r="L34" s="396">
        <f t="shared" si="1"/>
        <v>8573828.1490000002</v>
      </c>
      <c r="M34" s="400">
        <f t="shared" si="5"/>
        <v>6931197.949000001</v>
      </c>
      <c r="N34" s="401">
        <f t="shared" si="7"/>
        <v>1642630.2</v>
      </c>
      <c r="O34" s="401">
        <f>+'[3]Biểu 09'!E28</f>
        <v>1642630.2</v>
      </c>
      <c r="P34" s="400"/>
      <c r="Q34" s="392">
        <f t="shared" si="2"/>
        <v>8874828.1490000002</v>
      </c>
      <c r="R34" s="392">
        <f t="shared" si="3"/>
        <v>8874828.1490000002</v>
      </c>
      <c r="S34" s="393">
        <f t="shared" si="6"/>
        <v>32852.603999999999</v>
      </c>
    </row>
    <row r="35" spans="1:19" s="394" customFormat="1" ht="24.95" customHeight="1">
      <c r="A35" s="346">
        <v>21</v>
      </c>
      <c r="B35" s="395" t="s">
        <v>1651</v>
      </c>
      <c r="C35" s="396">
        <f>'[3]Biểu số 10 (nhập)'!W10</f>
        <v>390000</v>
      </c>
      <c r="D35" s="397">
        <f>'[3]Biểu 12'!C34</f>
        <v>581250</v>
      </c>
      <c r="E35" s="396">
        <f>'[3]Biểu số 10 (nhập)'!W37</f>
        <v>0</v>
      </c>
      <c r="F35" s="388">
        <f t="shared" si="4"/>
        <v>7777299.6404999997</v>
      </c>
      <c r="G35" s="398">
        <f>'[3]Biểu số 10 (nhập)'!W37</f>
        <v>0</v>
      </c>
      <c r="H35" s="396">
        <f>'[3]Biểu số 13 (Nhập)'!G36</f>
        <v>7690017.6404999997</v>
      </c>
      <c r="I35" s="396">
        <f>+'[3]Biểu số 13 (Nhập)'!BK36</f>
        <v>76900</v>
      </c>
      <c r="J35" s="396">
        <f>+'[3]Biểu số 13 (Nhập)'!BL36</f>
        <v>216878</v>
      </c>
      <c r="K35" s="396">
        <f>+'[3]Biểu số 13 (Nhập)'!BM36</f>
        <v>206496</v>
      </c>
      <c r="L35" s="396">
        <f t="shared" si="1"/>
        <v>8817799.9405000005</v>
      </c>
      <c r="M35" s="400">
        <f t="shared" si="5"/>
        <v>7196049.6404999997</v>
      </c>
      <c r="N35" s="401">
        <f t="shared" si="7"/>
        <v>1621750.3</v>
      </c>
      <c r="O35" s="401">
        <f>+'[3]Biểu 09'!E29</f>
        <v>1621750.3</v>
      </c>
      <c r="P35" s="400"/>
      <c r="Q35" s="392">
        <f t="shared" si="2"/>
        <v>9399049.9405000005</v>
      </c>
      <c r="R35" s="392">
        <f t="shared" si="3"/>
        <v>9399049.9405000005</v>
      </c>
      <c r="S35" s="393">
        <f t="shared" si="6"/>
        <v>32435.006000000001</v>
      </c>
    </row>
    <row r="36" spans="1:19" s="394" customFormat="1" ht="24.95" customHeight="1">
      <c r="A36" s="346">
        <v>22</v>
      </c>
      <c r="B36" s="395" t="s">
        <v>1652</v>
      </c>
      <c r="C36" s="396">
        <f>'[3]Biểu số 10 (nhập)'!X10</f>
        <v>798000</v>
      </c>
      <c r="D36" s="397">
        <f>'[3]Biểu 12'!C35</f>
        <v>734450</v>
      </c>
      <c r="E36" s="396">
        <f>'[3]Biểu số 10 (nhập)'!X37</f>
        <v>200000</v>
      </c>
      <c r="F36" s="388">
        <f t="shared" si="4"/>
        <v>8846510.9930000007</v>
      </c>
      <c r="G36" s="398">
        <f>'[3]Biểu số 10 (nhập)'!X37</f>
        <v>200000</v>
      </c>
      <c r="H36" s="396">
        <f>'[3]Biểu số 13 (Nhập)'!G37</f>
        <v>8457179.9930000007</v>
      </c>
      <c r="I36" s="396">
        <f>+'[3]Biểu số 13 (Nhập)'!BK37</f>
        <v>84572</v>
      </c>
      <c r="J36" s="396">
        <f>+'[3]Biểu số 13 (Nhập)'!BL37</f>
        <v>267691</v>
      </c>
      <c r="K36" s="396">
        <f>+'[3]Biểu số 13 (Nhập)'!BM37</f>
        <v>162932</v>
      </c>
      <c r="L36" s="396">
        <f t="shared" si="1"/>
        <v>10958682.993000001</v>
      </c>
      <c r="M36" s="400">
        <f t="shared" si="5"/>
        <v>8112060.9930000007</v>
      </c>
      <c r="N36" s="401">
        <f t="shared" si="7"/>
        <v>2846622</v>
      </c>
      <c r="O36" s="401">
        <f>+'[3]Biểu 09'!E30</f>
        <v>2846622</v>
      </c>
      <c r="P36" s="400"/>
      <c r="Q36" s="392">
        <f t="shared" si="2"/>
        <v>11693132.993000001</v>
      </c>
      <c r="R36" s="392">
        <f t="shared" si="3"/>
        <v>11893132.993000001</v>
      </c>
      <c r="S36" s="393">
        <f t="shared" si="6"/>
        <v>56932.44</v>
      </c>
    </row>
    <row r="37" spans="1:19" s="394" customFormat="1" ht="24.95" customHeight="1">
      <c r="A37" s="354">
        <v>23</v>
      </c>
      <c r="B37" s="403" t="s">
        <v>1653</v>
      </c>
      <c r="C37" s="404">
        <f>'[3]Biểu số 10 (nhập)'!Y10</f>
        <v>308500</v>
      </c>
      <c r="D37" s="405">
        <f>'[3]Biểu 12'!C36</f>
        <v>279600</v>
      </c>
      <c r="E37" s="404">
        <f>'[3]Biểu số 10 (nhập)'!Y37</f>
        <v>0</v>
      </c>
      <c r="F37" s="388">
        <f t="shared" si="4"/>
        <v>9027043.6475000009</v>
      </c>
      <c r="G37" s="406">
        <f>'[3]Biểu số 10 (nhập)'!Y37</f>
        <v>0</v>
      </c>
      <c r="H37" s="404">
        <f>'[3]Biểu số 13 (Nhập)'!G38</f>
        <v>8994378.6475000009</v>
      </c>
      <c r="I37" s="404">
        <f>+'[3]Biểu số 13 (Nhập)'!BK38</f>
        <v>89944</v>
      </c>
      <c r="J37" s="404">
        <f>+'[3]Biểu số 13 (Nhập)'!BL38</f>
        <v>262282</v>
      </c>
      <c r="K37" s="404">
        <f>+'[3]Biểu số 13 (Nhập)'!BM38</f>
        <v>319561</v>
      </c>
      <c r="L37" s="404">
        <f t="shared" si="1"/>
        <v>11017302.047500001</v>
      </c>
      <c r="M37" s="407">
        <f t="shared" si="5"/>
        <v>8747443.6475000009</v>
      </c>
      <c r="N37" s="408">
        <f t="shared" si="7"/>
        <v>2269858.4</v>
      </c>
      <c r="O37" s="401">
        <f>+'[3]Biểu 09'!E31</f>
        <v>2269858.4</v>
      </c>
      <c r="P37" s="407"/>
      <c r="Q37" s="392">
        <f t="shared" si="2"/>
        <v>11296902.047500001</v>
      </c>
      <c r="R37" s="392">
        <f t="shared" si="3"/>
        <v>11296902.047500001</v>
      </c>
      <c r="S37" s="393">
        <f t="shared" si="6"/>
        <v>45397.167999999998</v>
      </c>
    </row>
    <row r="38" spans="1:19" s="377" customFormat="1" ht="24.95" hidden="1" customHeight="1">
      <c r="A38" s="1757" t="s">
        <v>762</v>
      </c>
      <c r="B38" s="1758"/>
      <c r="C38" s="409">
        <f>SUM(C15:C37)</f>
        <v>67736500</v>
      </c>
      <c r="D38" s="409">
        <f>SUM(D15:D37)</f>
        <v>42450400</v>
      </c>
      <c r="E38" s="409">
        <f>SUM(E15:E37)</f>
        <v>380000</v>
      </c>
      <c r="F38" s="409">
        <f>SUM(F15:F37)+3</f>
        <v>182352955.91450003</v>
      </c>
      <c r="G38" s="409">
        <f>SUM(G15:G37)</f>
        <v>380000</v>
      </c>
      <c r="H38" s="388">
        <f>'[3]Biểu số 13 (Nhập)'!G39</f>
        <v>0</v>
      </c>
      <c r="I38" s="409">
        <f>SUM(I15:I37)-1</f>
        <v>1787791</v>
      </c>
      <c r="J38" s="409">
        <f>SUM(J15:J37)</f>
        <v>5415039</v>
      </c>
      <c r="K38" s="409">
        <f>SUM(K15:K37)-1</f>
        <v>4008995</v>
      </c>
      <c r="L38" s="409">
        <f t="shared" si="1"/>
        <v>200392895.56349999</v>
      </c>
      <c r="M38" s="384">
        <f>SUM(M15:M37)+3</f>
        <v>139902555.9145</v>
      </c>
      <c r="N38" s="384">
        <f t="shared" si="7"/>
        <v>60490339.649000004</v>
      </c>
      <c r="O38" s="384">
        <f>SUM(O15:O37)</f>
        <v>53470339.649000004</v>
      </c>
      <c r="P38" s="384">
        <v>7020000</v>
      </c>
      <c r="Q38" s="410">
        <f>SUM(Q15:Q37)</f>
        <v>235823292.56349996</v>
      </c>
      <c r="R38" s="410">
        <f>SUM(R15:R37)</f>
        <v>236203292.56349996</v>
      </c>
    </row>
    <row r="39" spans="1:19" ht="18" customHeight="1">
      <c r="F39" s="412"/>
      <c r="J39" s="413"/>
      <c r="L39" s="414"/>
      <c r="M39" s="415"/>
      <c r="N39" s="1775"/>
      <c r="O39" s="1775"/>
    </row>
    <row r="40" spans="1:19" s="336" customFormat="1" ht="21.75" customHeight="1">
      <c r="A40" s="1776"/>
      <c r="B40" s="1777"/>
      <c r="C40" s="1776"/>
      <c r="D40" s="1776"/>
      <c r="E40" s="1777"/>
      <c r="F40" s="1777"/>
      <c r="G40" s="1777"/>
      <c r="H40" s="1777"/>
      <c r="I40" s="1777"/>
      <c r="J40" s="417"/>
      <c r="K40" s="1776"/>
      <c r="L40" s="1776"/>
      <c r="M40" s="1777"/>
      <c r="N40" s="1777"/>
      <c r="O40" s="1777"/>
      <c r="P40" s="418"/>
    </row>
    <row r="41" spans="1:19" s="336" customFormat="1" ht="14.25" customHeight="1">
      <c r="A41" s="1777"/>
      <c r="B41" s="1777"/>
      <c r="C41" s="1777"/>
      <c r="D41" s="1777"/>
      <c r="E41" s="1776"/>
      <c r="F41" s="419"/>
      <c r="G41" s="419"/>
      <c r="H41" s="1776"/>
      <c r="I41" s="1776"/>
      <c r="J41" s="420"/>
      <c r="K41" s="1776"/>
      <c r="L41" s="1777"/>
      <c r="M41" s="1777"/>
      <c r="N41" s="1777"/>
      <c r="O41" s="1777"/>
      <c r="P41" s="418"/>
    </row>
    <row r="42" spans="1:19" s="336" customFormat="1" ht="21.75" customHeight="1">
      <c r="A42" s="1777"/>
      <c r="B42" s="1777"/>
      <c r="C42" s="1777"/>
      <c r="D42" s="1777"/>
      <c r="E42" s="1777"/>
      <c r="F42" s="421"/>
      <c r="G42" s="421"/>
      <c r="H42" s="1777"/>
      <c r="I42" s="1777"/>
      <c r="J42" s="422"/>
      <c r="K42" s="1776"/>
      <c r="L42" s="1776"/>
      <c r="M42" s="1773"/>
      <c r="N42" s="1773"/>
      <c r="O42" s="423"/>
      <c r="P42" s="418"/>
    </row>
    <row r="43" spans="1:19" s="336" customFormat="1" ht="21.75" customHeight="1">
      <c r="A43" s="1777"/>
      <c r="B43" s="1777"/>
      <c r="C43" s="1777"/>
      <c r="D43" s="1777"/>
      <c r="E43" s="1777"/>
      <c r="F43" s="417"/>
      <c r="G43" s="422"/>
      <c r="H43" s="1777"/>
      <c r="I43" s="1777"/>
      <c r="J43" s="422"/>
      <c r="K43" s="1776"/>
      <c r="L43" s="1777"/>
      <c r="M43" s="1774"/>
      <c r="N43" s="1774"/>
      <c r="O43" s="1773"/>
      <c r="P43" s="418"/>
    </row>
    <row r="44" spans="1:19" s="336" customFormat="1" ht="7.5" customHeight="1">
      <c r="A44" s="1777"/>
      <c r="B44" s="1777"/>
      <c r="C44" s="1777"/>
      <c r="D44" s="1777"/>
      <c r="E44" s="1777"/>
      <c r="F44" s="422"/>
      <c r="G44" s="422"/>
      <c r="H44" s="1777"/>
      <c r="I44" s="1777"/>
      <c r="J44" s="422"/>
      <c r="K44" s="1776"/>
      <c r="L44" s="1777"/>
      <c r="M44" s="1774"/>
      <c r="N44" s="1774"/>
      <c r="O44" s="1774"/>
      <c r="P44" s="418"/>
    </row>
    <row r="45" spans="1:19" s="336" customFormat="1" ht="14.25" customHeight="1">
      <c r="A45" s="422"/>
      <c r="B45" s="422"/>
      <c r="C45" s="422"/>
      <c r="D45" s="422"/>
      <c r="E45" s="422"/>
      <c r="F45" s="422"/>
      <c r="G45" s="422"/>
      <c r="H45" s="422"/>
      <c r="I45" s="422"/>
      <c r="J45" s="422"/>
      <c r="K45" s="420"/>
      <c r="L45" s="424"/>
      <c r="M45" s="423"/>
      <c r="N45" s="423"/>
      <c r="O45" s="423"/>
      <c r="P45" s="418"/>
    </row>
    <row r="46" spans="1:19" s="344" customFormat="1" ht="16.5" customHeight="1">
      <c r="A46" s="374"/>
      <c r="B46" s="336"/>
      <c r="C46" s="425"/>
      <c r="D46" s="425"/>
      <c r="E46" s="425"/>
      <c r="F46" s="425"/>
      <c r="G46" s="425"/>
      <c r="H46" s="425"/>
      <c r="I46" s="425"/>
      <c r="J46" s="425"/>
      <c r="K46" s="425"/>
      <c r="L46" s="425"/>
      <c r="M46" s="426"/>
      <c r="N46" s="426"/>
      <c r="O46" s="426"/>
      <c r="P46" s="375"/>
    </row>
    <row r="47" spans="1:19" s="344" customFormat="1" ht="16.5" customHeight="1">
      <c r="A47" s="374"/>
      <c r="B47" s="336"/>
      <c r="C47" s="425"/>
      <c r="D47" s="425"/>
      <c r="E47" s="425"/>
      <c r="F47" s="425"/>
      <c r="G47" s="425"/>
      <c r="H47" s="425"/>
      <c r="I47" s="425"/>
      <c r="J47" s="425"/>
      <c r="K47" s="425"/>
      <c r="L47" s="425"/>
      <c r="M47" s="426"/>
      <c r="N47" s="426"/>
      <c r="O47" s="426"/>
      <c r="P47" s="375"/>
    </row>
    <row r="48" spans="1:19" s="344" customFormat="1" ht="16.5" customHeight="1">
      <c r="A48" s="374"/>
      <c r="B48" s="336"/>
      <c r="C48" s="425"/>
      <c r="D48" s="425"/>
      <c r="E48" s="425"/>
      <c r="F48" s="425"/>
      <c r="G48" s="425"/>
      <c r="H48" s="425"/>
      <c r="I48" s="425"/>
      <c r="J48" s="425"/>
      <c r="K48" s="425"/>
      <c r="L48" s="425"/>
      <c r="M48" s="426"/>
      <c r="N48" s="426"/>
      <c r="O48" s="426"/>
      <c r="P48" s="375"/>
    </row>
    <row r="49" spans="1:16" s="344" customFormat="1" ht="16.5" customHeight="1">
      <c r="A49" s="374"/>
      <c r="B49" s="336"/>
      <c r="C49" s="425"/>
      <c r="D49" s="425"/>
      <c r="E49" s="425"/>
      <c r="F49" s="425"/>
      <c r="G49" s="425"/>
      <c r="H49" s="425"/>
      <c r="I49" s="425"/>
      <c r="J49" s="425"/>
      <c r="K49" s="425"/>
      <c r="L49" s="425"/>
      <c r="M49" s="426"/>
      <c r="N49" s="426"/>
      <c r="O49" s="426"/>
      <c r="P49" s="375"/>
    </row>
    <row r="50" spans="1:16" s="344" customFormat="1" ht="16.5" customHeight="1">
      <c r="A50" s="374"/>
      <c r="B50" s="336"/>
      <c r="C50" s="425"/>
      <c r="D50" s="425"/>
      <c r="E50" s="425"/>
      <c r="F50" s="425"/>
      <c r="G50" s="425"/>
      <c r="H50" s="425"/>
      <c r="I50" s="425"/>
      <c r="J50" s="425"/>
      <c r="K50" s="425"/>
      <c r="L50" s="425"/>
      <c r="M50" s="426"/>
      <c r="N50" s="426"/>
      <c r="O50" s="426"/>
      <c r="P50" s="375"/>
    </row>
    <row r="51" spans="1:16" s="344" customFormat="1" ht="16.5" customHeight="1">
      <c r="A51" s="374"/>
      <c r="B51" s="336"/>
      <c r="C51" s="425"/>
      <c r="D51" s="425"/>
      <c r="E51" s="425"/>
      <c r="F51" s="425"/>
      <c r="G51" s="425"/>
      <c r="H51" s="425"/>
      <c r="I51" s="425"/>
      <c r="J51" s="425"/>
      <c r="K51" s="425"/>
      <c r="L51" s="425"/>
      <c r="M51" s="426"/>
      <c r="N51" s="426"/>
      <c r="O51" s="426"/>
      <c r="P51" s="375"/>
    </row>
    <row r="52" spans="1:16" s="344" customFormat="1" ht="16.5" customHeight="1">
      <c r="A52" s="374"/>
      <c r="B52" s="336"/>
      <c r="C52" s="425"/>
      <c r="D52" s="425"/>
      <c r="E52" s="425"/>
      <c r="F52" s="425"/>
      <c r="G52" s="425"/>
      <c r="H52" s="425"/>
      <c r="I52" s="425"/>
      <c r="J52" s="425"/>
      <c r="K52" s="425"/>
      <c r="L52" s="425"/>
      <c r="M52" s="426"/>
      <c r="N52" s="426"/>
      <c r="O52" s="426"/>
      <c r="P52" s="375"/>
    </row>
    <row r="53" spans="1:16" s="344" customFormat="1" ht="16.5" customHeight="1">
      <c r="A53" s="374"/>
      <c r="B53" s="336"/>
      <c r="C53" s="425"/>
      <c r="D53" s="425"/>
      <c r="E53" s="425"/>
      <c r="F53" s="425"/>
      <c r="G53" s="425"/>
      <c r="H53" s="425"/>
      <c r="I53" s="425"/>
      <c r="J53" s="425"/>
      <c r="K53" s="425"/>
      <c r="L53" s="425"/>
      <c r="M53" s="426"/>
      <c r="N53" s="426"/>
      <c r="O53" s="426"/>
      <c r="P53" s="375"/>
    </row>
    <row r="54" spans="1:16" s="344" customFormat="1" ht="16.5" customHeight="1">
      <c r="A54" s="374"/>
      <c r="B54" s="336"/>
      <c r="C54" s="425"/>
      <c r="D54" s="425"/>
      <c r="E54" s="425"/>
      <c r="F54" s="425"/>
      <c r="G54" s="425"/>
      <c r="H54" s="425"/>
      <c r="I54" s="425"/>
      <c r="J54" s="425"/>
      <c r="K54" s="425"/>
      <c r="L54" s="425"/>
      <c r="M54" s="426"/>
      <c r="N54" s="426"/>
      <c r="O54" s="426"/>
      <c r="P54" s="375"/>
    </row>
    <row r="55" spans="1:16" s="344" customFormat="1" ht="16.5" customHeight="1">
      <c r="A55" s="374"/>
      <c r="B55" s="336"/>
      <c r="C55" s="425"/>
      <c r="D55" s="425"/>
      <c r="E55" s="425"/>
      <c r="F55" s="425"/>
      <c r="G55" s="425"/>
      <c r="H55" s="425"/>
      <c r="I55" s="425"/>
      <c r="J55" s="425"/>
      <c r="K55" s="425"/>
      <c r="L55" s="425"/>
      <c r="M55" s="426"/>
      <c r="N55" s="426"/>
      <c r="O55" s="426"/>
      <c r="P55" s="375"/>
    </row>
    <row r="56" spans="1:16" s="344" customFormat="1" ht="16.5" customHeight="1">
      <c r="A56" s="374"/>
      <c r="B56" s="336"/>
      <c r="C56" s="425"/>
      <c r="D56" s="425"/>
      <c r="E56" s="425"/>
      <c r="F56" s="425"/>
      <c r="G56" s="425"/>
      <c r="H56" s="425"/>
      <c r="I56" s="425"/>
      <c r="J56" s="425"/>
      <c r="K56" s="425"/>
      <c r="L56" s="425"/>
      <c r="M56" s="426"/>
      <c r="N56" s="426"/>
      <c r="O56" s="426"/>
      <c r="P56" s="375"/>
    </row>
    <row r="57" spans="1:16" s="344" customFormat="1" ht="16.5" customHeight="1">
      <c r="A57" s="374"/>
      <c r="B57" s="336"/>
      <c r="C57" s="425"/>
      <c r="D57" s="425"/>
      <c r="E57" s="425"/>
      <c r="F57" s="425"/>
      <c r="G57" s="425"/>
      <c r="H57" s="425"/>
      <c r="I57" s="425"/>
      <c r="J57" s="425"/>
      <c r="K57" s="425"/>
      <c r="L57" s="425"/>
      <c r="M57" s="426"/>
      <c r="N57" s="427"/>
      <c r="O57" s="426"/>
      <c r="P57" s="375"/>
    </row>
    <row r="58" spans="1:16" s="344" customFormat="1" ht="16.5" customHeight="1">
      <c r="A58" s="374"/>
      <c r="B58" s="336"/>
      <c r="C58" s="425"/>
      <c r="D58" s="425"/>
      <c r="E58" s="425"/>
      <c r="F58" s="425"/>
      <c r="G58" s="425"/>
      <c r="H58" s="425"/>
      <c r="I58" s="425"/>
      <c r="J58" s="425"/>
      <c r="K58" s="425"/>
      <c r="L58" s="425"/>
      <c r="M58" s="426"/>
      <c r="N58" s="426"/>
      <c r="O58" s="426"/>
      <c r="P58" s="375"/>
    </row>
    <row r="59" spans="1:16" s="336" customFormat="1" ht="16.5" customHeight="1">
      <c r="A59" s="1777"/>
      <c r="B59" s="1777"/>
      <c r="C59" s="428"/>
      <c r="D59" s="428"/>
      <c r="E59" s="428"/>
      <c r="F59" s="428"/>
      <c r="G59" s="428"/>
      <c r="H59" s="428"/>
      <c r="I59" s="428"/>
      <c r="J59" s="428"/>
      <c r="K59" s="428"/>
      <c r="L59" s="428"/>
      <c r="M59" s="429"/>
      <c r="N59" s="429"/>
      <c r="O59" s="429"/>
      <c r="P59" s="418"/>
    </row>
    <row r="60" spans="1:16">
      <c r="E60" s="412"/>
      <c r="F60" s="412"/>
      <c r="G60" s="412"/>
      <c r="M60" s="415"/>
      <c r="N60" s="415"/>
      <c r="O60" s="415"/>
    </row>
    <row r="61" spans="1:16">
      <c r="E61" s="412"/>
      <c r="F61" s="412"/>
      <c r="G61" s="412"/>
      <c r="M61" s="415"/>
      <c r="N61" s="415"/>
      <c r="O61" s="415"/>
    </row>
    <row r="62" spans="1:16">
      <c r="E62" s="412"/>
      <c r="F62" s="412"/>
      <c r="G62" s="412"/>
      <c r="M62" s="415"/>
      <c r="N62" s="415"/>
      <c r="O62" s="415"/>
    </row>
    <row r="63" spans="1:16">
      <c r="E63" s="412"/>
      <c r="F63" s="412"/>
      <c r="G63" s="412"/>
      <c r="M63" s="415"/>
      <c r="N63" s="415"/>
      <c r="O63" s="415"/>
    </row>
    <row r="64" spans="1:16">
      <c r="M64" s="415"/>
      <c r="N64" s="415"/>
      <c r="O64" s="415"/>
    </row>
    <row r="65" spans="5:15">
      <c r="M65" s="415"/>
      <c r="N65" s="415"/>
      <c r="O65" s="415"/>
    </row>
    <row r="66" spans="5:15">
      <c r="M66" s="415"/>
      <c r="N66" s="415"/>
      <c r="O66" s="415"/>
    </row>
    <row r="67" spans="5:15">
      <c r="M67" s="415"/>
      <c r="N67" s="415"/>
      <c r="O67" s="415"/>
    </row>
    <row r="68" spans="5:15">
      <c r="E68" s="412"/>
      <c r="F68" s="412"/>
      <c r="G68" s="412"/>
      <c r="M68" s="415"/>
      <c r="N68" s="415"/>
      <c r="O68" s="415"/>
    </row>
    <row r="69" spans="5:15">
      <c r="M69" s="415"/>
      <c r="N69" s="415"/>
      <c r="O69" s="415"/>
    </row>
    <row r="70" spans="5:15">
      <c r="M70" s="415"/>
      <c r="N70" s="415"/>
      <c r="O70" s="415"/>
    </row>
    <row r="71" spans="5:15">
      <c r="M71" s="415"/>
      <c r="N71" s="415"/>
      <c r="O71" s="415"/>
    </row>
    <row r="72" spans="5:15">
      <c r="M72" s="415"/>
      <c r="N72" s="415"/>
      <c r="O72" s="415"/>
    </row>
    <row r="73" spans="5:15">
      <c r="M73" s="415"/>
      <c r="N73" s="415"/>
      <c r="O73" s="415"/>
    </row>
    <row r="74" spans="5:15">
      <c r="M74" s="415"/>
      <c r="N74" s="415"/>
      <c r="O74" s="415"/>
    </row>
    <row r="75" spans="5:15">
      <c r="M75" s="415"/>
      <c r="N75" s="415"/>
      <c r="O75" s="415"/>
    </row>
    <row r="76" spans="5:15">
      <c r="M76" s="415"/>
      <c r="N76" s="415"/>
      <c r="O76" s="415"/>
    </row>
    <row r="77" spans="5:15">
      <c r="M77" s="415"/>
      <c r="N77" s="415"/>
      <c r="O77" s="415"/>
    </row>
    <row r="78" spans="5:15">
      <c r="M78" s="415"/>
      <c r="N78" s="415"/>
      <c r="O78" s="415"/>
    </row>
    <row r="79" spans="5:15">
      <c r="M79" s="415"/>
      <c r="N79" s="415"/>
      <c r="O79" s="415"/>
    </row>
    <row r="80" spans="5:15">
      <c r="M80" s="415"/>
      <c r="N80" s="415"/>
      <c r="O80" s="415"/>
    </row>
    <row r="81" spans="13:15">
      <c r="M81" s="415"/>
      <c r="N81" s="415"/>
      <c r="O81" s="415"/>
    </row>
    <row r="82" spans="13:15">
      <c r="M82" s="415"/>
      <c r="N82" s="415"/>
      <c r="O82" s="415"/>
    </row>
    <row r="83" spans="13:15">
      <c r="M83" s="415"/>
      <c r="N83" s="415"/>
      <c r="O83" s="415"/>
    </row>
    <row r="84" spans="13:15">
      <c r="M84" s="415"/>
      <c r="N84" s="415"/>
      <c r="O84" s="415"/>
    </row>
    <row r="85" spans="13:15">
      <c r="M85" s="415"/>
      <c r="N85" s="415"/>
      <c r="O85" s="415"/>
    </row>
    <row r="86" spans="13:15">
      <c r="M86" s="415"/>
      <c r="N86" s="415"/>
      <c r="O86" s="415"/>
    </row>
    <row r="87" spans="13:15">
      <c r="M87" s="415"/>
      <c r="N87" s="415"/>
      <c r="O87" s="415"/>
    </row>
    <row r="88" spans="13:15">
      <c r="M88" s="415"/>
      <c r="N88" s="415"/>
      <c r="O88" s="415"/>
    </row>
    <row r="89" spans="13:15">
      <c r="M89" s="415"/>
      <c r="N89" s="415"/>
      <c r="O89" s="415"/>
    </row>
    <row r="90" spans="13:15">
      <c r="M90" s="415"/>
      <c r="N90" s="415"/>
      <c r="O90" s="415"/>
    </row>
    <row r="91" spans="13:15">
      <c r="M91" s="415"/>
      <c r="N91" s="415"/>
      <c r="O91" s="415"/>
    </row>
    <row r="92" spans="13:15">
      <c r="M92" s="415"/>
      <c r="N92" s="415"/>
      <c r="O92" s="415"/>
    </row>
    <row r="93" spans="13:15">
      <c r="M93" s="415"/>
      <c r="N93" s="415"/>
      <c r="O93" s="415"/>
    </row>
    <row r="94" spans="13:15">
      <c r="M94" s="415"/>
      <c r="N94" s="415"/>
      <c r="O94" s="415"/>
    </row>
    <row r="95" spans="13:15">
      <c r="M95" s="415"/>
      <c r="N95" s="415"/>
      <c r="O95" s="415"/>
    </row>
    <row r="96" spans="13:15">
      <c r="M96" s="415"/>
      <c r="N96" s="415"/>
      <c r="O96" s="415"/>
    </row>
    <row r="97" spans="13:15">
      <c r="M97" s="415"/>
      <c r="N97" s="415"/>
      <c r="O97" s="415"/>
    </row>
    <row r="98" spans="13:15">
      <c r="M98" s="415"/>
      <c r="N98" s="415"/>
      <c r="O98" s="415"/>
    </row>
    <row r="99" spans="13:15">
      <c r="M99" s="415"/>
      <c r="N99" s="415"/>
      <c r="O99" s="415"/>
    </row>
    <row r="100" spans="13:15">
      <c r="M100" s="415"/>
      <c r="N100" s="415"/>
      <c r="O100" s="415"/>
    </row>
    <row r="101" spans="13:15">
      <c r="M101" s="415"/>
      <c r="N101" s="415"/>
      <c r="O101" s="415"/>
    </row>
    <row r="102" spans="13:15">
      <c r="M102" s="415"/>
      <c r="N102" s="415"/>
      <c r="O102" s="415"/>
    </row>
    <row r="103" spans="13:15">
      <c r="M103" s="415"/>
      <c r="N103" s="415"/>
      <c r="O103" s="415"/>
    </row>
    <row r="104" spans="13:15">
      <c r="M104" s="415"/>
      <c r="N104" s="415"/>
      <c r="O104" s="415"/>
    </row>
    <row r="105" spans="13:15">
      <c r="M105" s="415"/>
      <c r="N105" s="415"/>
      <c r="O105" s="415"/>
    </row>
    <row r="106" spans="13:15">
      <c r="M106" s="415"/>
      <c r="N106" s="415"/>
      <c r="O106" s="415"/>
    </row>
  </sheetData>
  <mergeCells count="40">
    <mergeCell ref="A59:B59"/>
    <mergeCell ref="H41:H44"/>
    <mergeCell ref="I41:I44"/>
    <mergeCell ref="L42:L44"/>
    <mergeCell ref="M42:M44"/>
    <mergeCell ref="N42:N44"/>
    <mergeCell ref="O43:O44"/>
    <mergeCell ref="A38:B38"/>
    <mergeCell ref="N39:O39"/>
    <mergeCell ref="A40:A44"/>
    <mergeCell ref="B40:B44"/>
    <mergeCell ref="C40:C44"/>
    <mergeCell ref="D40:D44"/>
    <mergeCell ref="E40:I40"/>
    <mergeCell ref="K40:K44"/>
    <mergeCell ref="L40:O41"/>
    <mergeCell ref="E41:E44"/>
    <mergeCell ref="A14:B14"/>
    <mergeCell ref="M3:P3"/>
    <mergeCell ref="A5:P5"/>
    <mergeCell ref="A6:P6"/>
    <mergeCell ref="N7:P7"/>
    <mergeCell ref="A8:A12"/>
    <mergeCell ref="B8:B12"/>
    <mergeCell ref="C8:C12"/>
    <mergeCell ref="D8:D12"/>
    <mergeCell ref="E8:E12"/>
    <mergeCell ref="F8:F12"/>
    <mergeCell ref="G8:J8"/>
    <mergeCell ref="K8:K12"/>
    <mergeCell ref="O10:O12"/>
    <mergeCell ref="P10:P12"/>
    <mergeCell ref="I9:I12"/>
    <mergeCell ref="L8:P9"/>
    <mergeCell ref="G9:G12"/>
    <mergeCell ref="H9:H12"/>
    <mergeCell ref="L10:L12"/>
    <mergeCell ref="M10:M12"/>
    <mergeCell ref="N10:N12"/>
    <mergeCell ref="J9:J1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63"/>
  <sheetViews>
    <sheetView zoomScale="85" zoomScaleNormal="85" workbookViewId="0">
      <selection activeCell="X56" sqref="X56"/>
    </sheetView>
  </sheetViews>
  <sheetFormatPr defaultRowHeight="18.75"/>
  <cols>
    <col min="1" max="1" width="7.140625" style="319" customWidth="1"/>
    <col min="2" max="2" width="47" style="319" customWidth="1"/>
    <col min="3" max="3" width="19.28515625" style="319" customWidth="1"/>
    <col min="4" max="5" width="21.140625" style="319" customWidth="1"/>
    <col min="6" max="6" width="19.42578125" style="319" customWidth="1"/>
    <col min="7" max="7" width="12.42578125" style="319" customWidth="1"/>
    <col min="8" max="8" width="9.140625" style="319"/>
    <col min="9" max="9" width="0" style="319" hidden="1" customWidth="1"/>
    <col min="10" max="10" width="19.5703125" style="319" hidden="1" customWidth="1"/>
    <col min="11" max="11" width="15.140625" style="319" hidden="1" customWidth="1"/>
    <col min="12" max="12" width="0" style="319" hidden="1" customWidth="1"/>
    <col min="13" max="260" width="9.140625" style="319"/>
    <col min="261" max="261" width="7.140625" style="319" customWidth="1"/>
    <col min="262" max="262" width="47.7109375" style="319" customWidth="1"/>
    <col min="263" max="263" width="19.28515625" style="319" customWidth="1"/>
    <col min="264" max="516" width="9.140625" style="319"/>
    <col min="517" max="517" width="7.140625" style="319" customWidth="1"/>
    <col min="518" max="518" width="47.7109375" style="319" customWidth="1"/>
    <col min="519" max="519" width="19.28515625" style="319" customWidth="1"/>
    <col min="520" max="772" width="9.140625" style="319"/>
    <col min="773" max="773" width="7.140625" style="319" customWidth="1"/>
    <col min="774" max="774" width="47.7109375" style="319" customWidth="1"/>
    <col min="775" max="775" width="19.28515625" style="319" customWidth="1"/>
    <col min="776" max="1028" width="9.140625" style="319"/>
    <col min="1029" max="1029" width="7.140625" style="319" customWidth="1"/>
    <col min="1030" max="1030" width="47.7109375" style="319" customWidth="1"/>
    <col min="1031" max="1031" width="19.28515625" style="319" customWidth="1"/>
    <col min="1032" max="1284" width="9.140625" style="319"/>
    <col min="1285" max="1285" width="7.140625" style="319" customWidth="1"/>
    <col min="1286" max="1286" width="47.7109375" style="319" customWidth="1"/>
    <col min="1287" max="1287" width="19.28515625" style="319" customWidth="1"/>
    <col min="1288" max="1540" width="9.140625" style="319"/>
    <col min="1541" max="1541" width="7.140625" style="319" customWidth="1"/>
    <col min="1542" max="1542" width="47.7109375" style="319" customWidth="1"/>
    <col min="1543" max="1543" width="19.28515625" style="319" customWidth="1"/>
    <col min="1544" max="1796" width="9.140625" style="319"/>
    <col min="1797" max="1797" width="7.140625" style="319" customWidth="1"/>
    <col min="1798" max="1798" width="47.7109375" style="319" customWidth="1"/>
    <col min="1799" max="1799" width="19.28515625" style="319" customWidth="1"/>
    <col min="1800" max="2052" width="9.140625" style="319"/>
    <col min="2053" max="2053" width="7.140625" style="319" customWidth="1"/>
    <col min="2054" max="2054" width="47.7109375" style="319" customWidth="1"/>
    <col min="2055" max="2055" width="19.28515625" style="319" customWidth="1"/>
    <col min="2056" max="2308" width="9.140625" style="319"/>
    <col min="2309" max="2309" width="7.140625" style="319" customWidth="1"/>
    <col min="2310" max="2310" width="47.7109375" style="319" customWidth="1"/>
    <col min="2311" max="2311" width="19.28515625" style="319" customWidth="1"/>
    <col min="2312" max="2564" width="9.140625" style="319"/>
    <col min="2565" max="2565" width="7.140625" style="319" customWidth="1"/>
    <col min="2566" max="2566" width="47.7109375" style="319" customWidth="1"/>
    <col min="2567" max="2567" width="19.28515625" style="319" customWidth="1"/>
    <col min="2568" max="2820" width="9.140625" style="319"/>
    <col min="2821" max="2821" width="7.140625" style="319" customWidth="1"/>
    <col min="2822" max="2822" width="47.7109375" style="319" customWidth="1"/>
    <col min="2823" max="2823" width="19.28515625" style="319" customWidth="1"/>
    <col min="2824" max="3076" width="9.140625" style="319"/>
    <col min="3077" max="3077" width="7.140625" style="319" customWidth="1"/>
    <col min="3078" max="3078" width="47.7109375" style="319" customWidth="1"/>
    <col min="3079" max="3079" width="19.28515625" style="319" customWidth="1"/>
    <col min="3080" max="3332" width="9.140625" style="319"/>
    <col min="3333" max="3333" width="7.140625" style="319" customWidth="1"/>
    <col min="3334" max="3334" width="47.7109375" style="319" customWidth="1"/>
    <col min="3335" max="3335" width="19.28515625" style="319" customWidth="1"/>
    <col min="3336" max="3588" width="9.140625" style="319"/>
    <col min="3589" max="3589" width="7.140625" style="319" customWidth="1"/>
    <col min="3590" max="3590" width="47.7109375" style="319" customWidth="1"/>
    <col min="3591" max="3591" width="19.28515625" style="319" customWidth="1"/>
    <col min="3592" max="3844" width="9.140625" style="319"/>
    <col min="3845" max="3845" width="7.140625" style="319" customWidth="1"/>
    <col min="3846" max="3846" width="47.7109375" style="319" customWidth="1"/>
    <col min="3847" max="3847" width="19.28515625" style="319" customWidth="1"/>
    <col min="3848" max="4100" width="9.140625" style="319"/>
    <col min="4101" max="4101" width="7.140625" style="319" customWidth="1"/>
    <col min="4102" max="4102" width="47.7109375" style="319" customWidth="1"/>
    <col min="4103" max="4103" width="19.28515625" style="319" customWidth="1"/>
    <col min="4104" max="4356" width="9.140625" style="319"/>
    <col min="4357" max="4357" width="7.140625" style="319" customWidth="1"/>
    <col min="4358" max="4358" width="47.7109375" style="319" customWidth="1"/>
    <col min="4359" max="4359" width="19.28515625" style="319" customWidth="1"/>
    <col min="4360" max="4612" width="9.140625" style="319"/>
    <col min="4613" max="4613" width="7.140625" style="319" customWidth="1"/>
    <col min="4614" max="4614" width="47.7109375" style="319" customWidth="1"/>
    <col min="4615" max="4615" width="19.28515625" style="319" customWidth="1"/>
    <col min="4616" max="4868" width="9.140625" style="319"/>
    <col min="4869" max="4869" width="7.140625" style="319" customWidth="1"/>
    <col min="4870" max="4870" width="47.7109375" style="319" customWidth="1"/>
    <col min="4871" max="4871" width="19.28515625" style="319" customWidth="1"/>
    <col min="4872" max="5124" width="9.140625" style="319"/>
    <col min="5125" max="5125" width="7.140625" style="319" customWidth="1"/>
    <col min="5126" max="5126" width="47.7109375" style="319" customWidth="1"/>
    <col min="5127" max="5127" width="19.28515625" style="319" customWidth="1"/>
    <col min="5128" max="5380" width="9.140625" style="319"/>
    <col min="5381" max="5381" width="7.140625" style="319" customWidth="1"/>
    <col min="5382" max="5382" width="47.7109375" style="319" customWidth="1"/>
    <col min="5383" max="5383" width="19.28515625" style="319" customWidth="1"/>
    <col min="5384" max="5636" width="9.140625" style="319"/>
    <col min="5637" max="5637" width="7.140625" style="319" customWidth="1"/>
    <col min="5638" max="5638" width="47.7109375" style="319" customWidth="1"/>
    <col min="5639" max="5639" width="19.28515625" style="319" customWidth="1"/>
    <col min="5640" max="5892" width="9.140625" style="319"/>
    <col min="5893" max="5893" width="7.140625" style="319" customWidth="1"/>
    <col min="5894" max="5894" width="47.7109375" style="319" customWidth="1"/>
    <col min="5895" max="5895" width="19.28515625" style="319" customWidth="1"/>
    <col min="5896" max="6148" width="9.140625" style="319"/>
    <col min="6149" max="6149" width="7.140625" style="319" customWidth="1"/>
    <col min="6150" max="6150" width="47.7109375" style="319" customWidth="1"/>
    <col min="6151" max="6151" width="19.28515625" style="319" customWidth="1"/>
    <col min="6152" max="6404" width="9.140625" style="319"/>
    <col min="6405" max="6405" width="7.140625" style="319" customWidth="1"/>
    <col min="6406" max="6406" width="47.7109375" style="319" customWidth="1"/>
    <col min="6407" max="6407" width="19.28515625" style="319" customWidth="1"/>
    <col min="6408" max="6660" width="9.140625" style="319"/>
    <col min="6661" max="6661" width="7.140625" style="319" customWidth="1"/>
    <col min="6662" max="6662" width="47.7109375" style="319" customWidth="1"/>
    <col min="6663" max="6663" width="19.28515625" style="319" customWidth="1"/>
    <col min="6664" max="6916" width="9.140625" style="319"/>
    <col min="6917" max="6917" width="7.140625" style="319" customWidth="1"/>
    <col min="6918" max="6918" width="47.7109375" style="319" customWidth="1"/>
    <col min="6919" max="6919" width="19.28515625" style="319" customWidth="1"/>
    <col min="6920" max="7172" width="9.140625" style="319"/>
    <col min="7173" max="7173" width="7.140625" style="319" customWidth="1"/>
    <col min="7174" max="7174" width="47.7109375" style="319" customWidth="1"/>
    <col min="7175" max="7175" width="19.28515625" style="319" customWidth="1"/>
    <col min="7176" max="7428" width="9.140625" style="319"/>
    <col min="7429" max="7429" width="7.140625" style="319" customWidth="1"/>
    <col min="7430" max="7430" width="47.7109375" style="319" customWidth="1"/>
    <col min="7431" max="7431" width="19.28515625" style="319" customWidth="1"/>
    <col min="7432" max="7684" width="9.140625" style="319"/>
    <col min="7685" max="7685" width="7.140625" style="319" customWidth="1"/>
    <col min="7686" max="7686" width="47.7109375" style="319" customWidth="1"/>
    <col min="7687" max="7687" width="19.28515625" style="319" customWidth="1"/>
    <col min="7688" max="7940" width="9.140625" style="319"/>
    <col min="7941" max="7941" width="7.140625" style="319" customWidth="1"/>
    <col min="7942" max="7942" width="47.7109375" style="319" customWidth="1"/>
    <col min="7943" max="7943" width="19.28515625" style="319" customWidth="1"/>
    <col min="7944" max="8196" width="9.140625" style="319"/>
    <col min="8197" max="8197" width="7.140625" style="319" customWidth="1"/>
    <col min="8198" max="8198" width="47.7109375" style="319" customWidth="1"/>
    <col min="8199" max="8199" width="19.28515625" style="319" customWidth="1"/>
    <col min="8200" max="8452" width="9.140625" style="319"/>
    <col min="8453" max="8453" width="7.140625" style="319" customWidth="1"/>
    <col min="8454" max="8454" width="47.7109375" style="319" customWidth="1"/>
    <col min="8455" max="8455" width="19.28515625" style="319" customWidth="1"/>
    <col min="8456" max="8708" width="9.140625" style="319"/>
    <col min="8709" max="8709" width="7.140625" style="319" customWidth="1"/>
    <col min="8710" max="8710" width="47.7109375" style="319" customWidth="1"/>
    <col min="8711" max="8711" width="19.28515625" style="319" customWidth="1"/>
    <col min="8712" max="8964" width="9.140625" style="319"/>
    <col min="8965" max="8965" width="7.140625" style="319" customWidth="1"/>
    <col min="8966" max="8966" width="47.7109375" style="319" customWidth="1"/>
    <col min="8967" max="8967" width="19.28515625" style="319" customWidth="1"/>
    <col min="8968" max="9220" width="9.140625" style="319"/>
    <col min="9221" max="9221" width="7.140625" style="319" customWidth="1"/>
    <col min="9222" max="9222" width="47.7109375" style="319" customWidth="1"/>
    <col min="9223" max="9223" width="19.28515625" style="319" customWidth="1"/>
    <col min="9224" max="9476" width="9.140625" style="319"/>
    <col min="9477" max="9477" width="7.140625" style="319" customWidth="1"/>
    <col min="9478" max="9478" width="47.7109375" style="319" customWidth="1"/>
    <col min="9479" max="9479" width="19.28515625" style="319" customWidth="1"/>
    <col min="9480" max="9732" width="9.140625" style="319"/>
    <col min="9733" max="9733" width="7.140625" style="319" customWidth="1"/>
    <col min="9734" max="9734" width="47.7109375" style="319" customWidth="1"/>
    <col min="9735" max="9735" width="19.28515625" style="319" customWidth="1"/>
    <col min="9736" max="9988" width="9.140625" style="319"/>
    <col min="9989" max="9989" width="7.140625" style="319" customWidth="1"/>
    <col min="9990" max="9990" width="47.7109375" style="319" customWidth="1"/>
    <col min="9991" max="9991" width="19.28515625" style="319" customWidth="1"/>
    <col min="9992" max="10244" width="9.140625" style="319"/>
    <col min="10245" max="10245" width="7.140625" style="319" customWidth="1"/>
    <col min="10246" max="10246" width="47.7109375" style="319" customWidth="1"/>
    <col min="10247" max="10247" width="19.28515625" style="319" customWidth="1"/>
    <col min="10248" max="10500" width="9.140625" style="319"/>
    <col min="10501" max="10501" width="7.140625" style="319" customWidth="1"/>
    <col min="10502" max="10502" width="47.7109375" style="319" customWidth="1"/>
    <col min="10503" max="10503" width="19.28515625" style="319" customWidth="1"/>
    <col min="10504" max="10756" width="9.140625" style="319"/>
    <col min="10757" max="10757" width="7.140625" style="319" customWidth="1"/>
    <col min="10758" max="10758" width="47.7109375" style="319" customWidth="1"/>
    <col min="10759" max="10759" width="19.28515625" style="319" customWidth="1"/>
    <col min="10760" max="11012" width="9.140625" style="319"/>
    <col min="11013" max="11013" width="7.140625" style="319" customWidth="1"/>
    <col min="11014" max="11014" width="47.7109375" style="319" customWidth="1"/>
    <col min="11015" max="11015" width="19.28515625" style="319" customWidth="1"/>
    <col min="11016" max="11268" width="9.140625" style="319"/>
    <col min="11269" max="11269" width="7.140625" style="319" customWidth="1"/>
    <col min="11270" max="11270" width="47.7109375" style="319" customWidth="1"/>
    <col min="11271" max="11271" width="19.28515625" style="319" customWidth="1"/>
    <col min="11272" max="11524" width="9.140625" style="319"/>
    <col min="11525" max="11525" width="7.140625" style="319" customWidth="1"/>
    <col min="11526" max="11526" width="47.7109375" style="319" customWidth="1"/>
    <col min="11527" max="11527" width="19.28515625" style="319" customWidth="1"/>
    <col min="11528" max="11780" width="9.140625" style="319"/>
    <col min="11781" max="11781" width="7.140625" style="319" customWidth="1"/>
    <col min="11782" max="11782" width="47.7109375" style="319" customWidth="1"/>
    <col min="11783" max="11783" width="19.28515625" style="319" customWidth="1"/>
    <col min="11784" max="12036" width="9.140625" style="319"/>
    <col min="12037" max="12037" width="7.140625" style="319" customWidth="1"/>
    <col min="12038" max="12038" width="47.7109375" style="319" customWidth="1"/>
    <col min="12039" max="12039" width="19.28515625" style="319" customWidth="1"/>
    <col min="12040" max="12292" width="9.140625" style="319"/>
    <col min="12293" max="12293" width="7.140625" style="319" customWidth="1"/>
    <col min="12294" max="12294" width="47.7109375" style="319" customWidth="1"/>
    <col min="12295" max="12295" width="19.28515625" style="319" customWidth="1"/>
    <col min="12296" max="12548" width="9.140625" style="319"/>
    <col min="12549" max="12549" width="7.140625" style="319" customWidth="1"/>
    <col min="12550" max="12550" width="47.7109375" style="319" customWidth="1"/>
    <col min="12551" max="12551" width="19.28515625" style="319" customWidth="1"/>
    <col min="12552" max="12804" width="9.140625" style="319"/>
    <col min="12805" max="12805" width="7.140625" style="319" customWidth="1"/>
    <col min="12806" max="12806" width="47.7109375" style="319" customWidth="1"/>
    <col min="12807" max="12807" width="19.28515625" style="319" customWidth="1"/>
    <col min="12808" max="13060" width="9.140625" style="319"/>
    <col min="13061" max="13061" width="7.140625" style="319" customWidth="1"/>
    <col min="13062" max="13062" width="47.7109375" style="319" customWidth="1"/>
    <col min="13063" max="13063" width="19.28515625" style="319" customWidth="1"/>
    <col min="13064" max="13316" width="9.140625" style="319"/>
    <col min="13317" max="13317" width="7.140625" style="319" customWidth="1"/>
    <col min="13318" max="13318" width="47.7109375" style="319" customWidth="1"/>
    <col min="13319" max="13319" width="19.28515625" style="319" customWidth="1"/>
    <col min="13320" max="13572" width="9.140625" style="319"/>
    <col min="13573" max="13573" width="7.140625" style="319" customWidth="1"/>
    <col min="13574" max="13574" width="47.7109375" style="319" customWidth="1"/>
    <col min="13575" max="13575" width="19.28515625" style="319" customWidth="1"/>
    <col min="13576" max="13828" width="9.140625" style="319"/>
    <col min="13829" max="13829" width="7.140625" style="319" customWidth="1"/>
    <col min="13830" max="13830" width="47.7109375" style="319" customWidth="1"/>
    <col min="13831" max="13831" width="19.28515625" style="319" customWidth="1"/>
    <col min="13832" max="14084" width="9.140625" style="319"/>
    <col min="14085" max="14085" width="7.140625" style="319" customWidth="1"/>
    <col min="14086" max="14086" width="47.7109375" style="319" customWidth="1"/>
    <col min="14087" max="14087" width="19.28515625" style="319" customWidth="1"/>
    <col min="14088" max="14340" width="9.140625" style="319"/>
    <col min="14341" max="14341" width="7.140625" style="319" customWidth="1"/>
    <col min="14342" max="14342" width="47.7109375" style="319" customWidth="1"/>
    <col min="14343" max="14343" width="19.28515625" style="319" customWidth="1"/>
    <col min="14344" max="14596" width="9.140625" style="319"/>
    <col min="14597" max="14597" width="7.140625" style="319" customWidth="1"/>
    <col min="14598" max="14598" width="47.7109375" style="319" customWidth="1"/>
    <col min="14599" max="14599" width="19.28515625" style="319" customWidth="1"/>
    <col min="14600" max="14852" width="9.140625" style="319"/>
    <col min="14853" max="14853" width="7.140625" style="319" customWidth="1"/>
    <col min="14854" max="14854" width="47.7109375" style="319" customWidth="1"/>
    <col min="14855" max="14855" width="19.28515625" style="319" customWidth="1"/>
    <col min="14856" max="15108" width="9.140625" style="319"/>
    <col min="15109" max="15109" width="7.140625" style="319" customWidth="1"/>
    <col min="15110" max="15110" width="47.7109375" style="319" customWidth="1"/>
    <col min="15111" max="15111" width="19.28515625" style="319" customWidth="1"/>
    <col min="15112" max="15364" width="9.140625" style="319"/>
    <col min="15365" max="15365" width="7.140625" style="319" customWidth="1"/>
    <col min="15366" max="15366" width="47.7109375" style="319" customWidth="1"/>
    <col min="15367" max="15367" width="19.28515625" style="319" customWidth="1"/>
    <col min="15368" max="15620" width="9.140625" style="319"/>
    <col min="15621" max="15621" width="7.140625" style="319" customWidth="1"/>
    <col min="15622" max="15622" width="47.7109375" style="319" customWidth="1"/>
    <col min="15623" max="15623" width="19.28515625" style="319" customWidth="1"/>
    <col min="15624" max="15876" width="9.140625" style="319"/>
    <col min="15877" max="15877" width="7.140625" style="319" customWidth="1"/>
    <col min="15878" max="15878" width="47.7109375" style="319" customWidth="1"/>
    <col min="15879" max="15879" width="19.28515625" style="319" customWidth="1"/>
    <col min="15880" max="16132" width="9.140625" style="319"/>
    <col min="16133" max="16133" width="7.140625" style="319" customWidth="1"/>
    <col min="16134" max="16134" width="47.7109375" style="319" customWidth="1"/>
    <col min="16135" max="16135" width="19.28515625" style="319" customWidth="1"/>
    <col min="16136" max="16384" width="9.140625" style="319"/>
  </cols>
  <sheetData>
    <row r="1" spans="1:11" ht="18.75" customHeight="1">
      <c r="A1" s="1843" t="s">
        <v>1297</v>
      </c>
      <c r="B1" s="1843"/>
      <c r="C1" s="1354"/>
      <c r="G1" s="1355"/>
    </row>
    <row r="2" spans="1:11">
      <c r="A2" s="1667" t="s">
        <v>722</v>
      </c>
      <c r="B2" s="1667"/>
      <c r="C2" s="1356"/>
      <c r="D2" s="1357"/>
      <c r="E2" s="1357"/>
      <c r="F2" s="1357"/>
    </row>
    <row r="3" spans="1:11">
      <c r="A3" s="433"/>
    </row>
    <row r="4" spans="1:11">
      <c r="A4" s="1667" t="str">
        <f>'TTDVNN V '!A4:G4</f>
        <v>DỰ TOÁN THU, CHI NGÂN SÁCH NHÀ NƯỚC NĂM 2025</v>
      </c>
      <c r="B4" s="1667"/>
      <c r="C4" s="1667"/>
      <c r="D4" s="1667"/>
      <c r="E4" s="1667"/>
      <c r="F4" s="1667"/>
      <c r="G4" s="1667"/>
    </row>
    <row r="5" spans="1:11">
      <c r="A5" s="1667" t="s">
        <v>1298</v>
      </c>
      <c r="B5" s="1667"/>
      <c r="C5" s="1667"/>
      <c r="D5" s="1667"/>
      <c r="E5" s="1667"/>
      <c r="F5" s="1667"/>
      <c r="G5" s="1667"/>
    </row>
    <row r="6" spans="1:11">
      <c r="A6" s="1667" t="s">
        <v>1288</v>
      </c>
      <c r="B6" s="1667"/>
      <c r="C6" s="1667"/>
      <c r="D6" s="1667"/>
      <c r="E6" s="1667"/>
      <c r="F6" s="1667"/>
      <c r="G6" s="1667"/>
    </row>
    <row r="7" spans="1:11">
      <c r="A7" s="1667" t="s">
        <v>17</v>
      </c>
      <c r="B7" s="1667"/>
      <c r="C7" s="1667"/>
      <c r="D7" s="1667"/>
      <c r="E7" s="1667"/>
      <c r="F7" s="1667"/>
      <c r="G7" s="1667"/>
    </row>
    <row r="8" spans="1:11">
      <c r="A8" s="1668">
        <f>'TTDVNN V '!A8:G8</f>
        <v>0</v>
      </c>
      <c r="B8" s="1668"/>
      <c r="C8" s="1668"/>
      <c r="D8" s="1668"/>
      <c r="E8" s="1668"/>
      <c r="F8" s="1668"/>
      <c r="G8" s="1668"/>
    </row>
    <row r="9" spans="1:11">
      <c r="G9" s="1199" t="s">
        <v>43</v>
      </c>
    </row>
    <row r="10" spans="1:11" ht="117" customHeight="1">
      <c r="A10" s="282" t="s">
        <v>0</v>
      </c>
      <c r="B10" s="282" t="s">
        <v>1</v>
      </c>
      <c r="C10" s="282" t="str">
        <f>'TTDVNN V '!C11</f>
        <v>Dự toán 
năm 2025</v>
      </c>
      <c r="D10" s="282" t="s">
        <v>18</v>
      </c>
      <c r="E10" s="282" t="str">
        <f>'TTDVNN V '!E11</f>
        <v>Thực hiện cải cách tiền lương từ nguồn tiết kiệm chi 10% của đơn vị</v>
      </c>
      <c r="F10" s="282" t="s">
        <v>117</v>
      </c>
      <c r="G10" s="282" t="s">
        <v>19</v>
      </c>
    </row>
    <row r="11" spans="1:11">
      <c r="A11" s="1358" t="s">
        <v>20</v>
      </c>
      <c r="B11" s="1358" t="s">
        <v>21</v>
      </c>
      <c r="C11" s="1358" t="s">
        <v>22</v>
      </c>
      <c r="D11" s="1358" t="s">
        <v>23</v>
      </c>
      <c r="E11" s="1358" t="str">
        <f>'TTDVNN V '!E12</f>
        <v>(5)</v>
      </c>
      <c r="F11" s="1358" t="str">
        <f>'TTDVNN V '!F12</f>
        <v>(6)=(3)-(4)+(5)</v>
      </c>
      <c r="G11" s="1358" t="s">
        <v>1287</v>
      </c>
    </row>
    <row r="12" spans="1:11">
      <c r="A12" s="282"/>
      <c r="B12" s="1359" t="s">
        <v>84</v>
      </c>
      <c r="C12" s="1360">
        <f>C13</f>
        <v>21729080000</v>
      </c>
      <c r="D12" s="1360">
        <f>D13</f>
        <v>663600000</v>
      </c>
      <c r="E12" s="1360">
        <f>E13</f>
        <v>663600000</v>
      </c>
      <c r="F12" s="1360">
        <f>F13</f>
        <v>21729080000</v>
      </c>
      <c r="G12" s="318"/>
      <c r="J12" s="320">
        <f>C12-D12+E12</f>
        <v>21729080000</v>
      </c>
      <c r="K12" s="320">
        <f>J12-F12</f>
        <v>0</v>
      </c>
    </row>
    <row r="13" spans="1:11" ht="37.5">
      <c r="A13" s="282" t="s">
        <v>2</v>
      </c>
      <c r="B13" s="1359" t="s">
        <v>676</v>
      </c>
      <c r="C13" s="1360">
        <f>C14+C31</f>
        <v>21729080000</v>
      </c>
      <c r="D13" s="1360">
        <f>D14+D31</f>
        <v>663600000</v>
      </c>
      <c r="E13" s="1360">
        <f>E14+E31</f>
        <v>663600000</v>
      </c>
      <c r="F13" s="1360">
        <f>F14+F31</f>
        <v>21729080000</v>
      </c>
      <c r="G13" s="318"/>
      <c r="J13" s="320">
        <f t="shared" ref="J13:J63" si="0">C13-D13+E13</f>
        <v>21729080000</v>
      </c>
      <c r="K13" s="320">
        <f t="shared" ref="K13:K63" si="1">J13-F13</f>
        <v>0</v>
      </c>
    </row>
    <row r="14" spans="1:11" s="1365" customFormat="1" ht="19.5">
      <c r="A14" s="1361">
        <v>1</v>
      </c>
      <c r="B14" s="1362" t="s">
        <v>9</v>
      </c>
      <c r="C14" s="1363">
        <f>C15+C19+C22</f>
        <v>9879380000</v>
      </c>
      <c r="D14" s="1363">
        <f>D15+D19+D22</f>
        <v>89100000</v>
      </c>
      <c r="E14" s="1363">
        <f>E15+E19+E22</f>
        <v>663600000</v>
      </c>
      <c r="F14" s="1363">
        <f>F15+F19+F22</f>
        <v>10453880000</v>
      </c>
      <c r="G14" s="1364"/>
      <c r="J14" s="320">
        <f t="shared" si="0"/>
        <v>10453880000</v>
      </c>
      <c r="K14" s="320">
        <f t="shared" si="1"/>
        <v>0</v>
      </c>
    </row>
    <row r="15" spans="1:11" s="1365" customFormat="1" ht="19.5">
      <c r="A15" s="1361" t="s">
        <v>5</v>
      </c>
      <c r="B15" s="1362" t="s">
        <v>723</v>
      </c>
      <c r="C15" s="1363">
        <f>SUM(C16:C18)</f>
        <v>8030980000</v>
      </c>
      <c r="D15" s="1363">
        <f>SUM(D16:D18)</f>
        <v>89100000</v>
      </c>
      <c r="E15" s="1363">
        <f>SUM(E16:E18)</f>
        <v>663600000</v>
      </c>
      <c r="F15" s="1363">
        <f>SUM(F16:F18)</f>
        <v>8605480000</v>
      </c>
      <c r="G15" s="1364"/>
      <c r="J15" s="320">
        <f t="shared" si="0"/>
        <v>8605480000</v>
      </c>
      <c r="K15" s="320">
        <f t="shared" si="1"/>
        <v>0</v>
      </c>
    </row>
    <row r="16" spans="1:11" ht="37.5">
      <c r="A16" s="315" t="s">
        <v>91</v>
      </c>
      <c r="B16" s="316" t="s">
        <v>26</v>
      </c>
      <c r="C16" s="317">
        <f>'Dự toán Chi tiết 2025'!L852</f>
        <v>4012980000</v>
      </c>
      <c r="D16" s="317"/>
      <c r="E16" s="317"/>
      <c r="F16" s="317">
        <f>C16-D16+E16</f>
        <v>4012980000</v>
      </c>
      <c r="G16" s="318"/>
      <c r="J16" s="320">
        <f t="shared" si="0"/>
        <v>4012980000</v>
      </c>
      <c r="K16" s="320">
        <f t="shared" si="1"/>
        <v>0</v>
      </c>
    </row>
    <row r="17" spans="1:11">
      <c r="A17" s="315" t="s">
        <v>91</v>
      </c>
      <c r="B17" s="316" t="str">
        <f>'TTDVNN V '!B18</f>
        <v>Kinh phí thực hiện cải cách tiền lương</v>
      </c>
      <c r="C17" s="317">
        <f>'Dự toán Chi tiết 2025'!L854</f>
        <v>3127000000</v>
      </c>
      <c r="D17" s="317"/>
      <c r="E17" s="317">
        <f>D13</f>
        <v>663600000</v>
      </c>
      <c r="F17" s="317">
        <f>C17-D17+E17</f>
        <v>3790600000</v>
      </c>
      <c r="G17" s="318"/>
      <c r="J17" s="320">
        <f t="shared" si="0"/>
        <v>3790600000</v>
      </c>
      <c r="K17" s="320">
        <f t="shared" si="1"/>
        <v>0</v>
      </c>
    </row>
    <row r="18" spans="1:11">
      <c r="A18" s="315" t="s">
        <v>91</v>
      </c>
      <c r="B18" s="316" t="s">
        <v>27</v>
      </c>
      <c r="C18" s="317">
        <f>'Dự toán Chi tiết 2025'!L855</f>
        <v>891000000</v>
      </c>
      <c r="D18" s="317">
        <f>C18*10%</f>
        <v>89100000</v>
      </c>
      <c r="E18" s="317"/>
      <c r="F18" s="317">
        <f>C18-D18+E18</f>
        <v>801900000</v>
      </c>
      <c r="G18" s="318"/>
      <c r="J18" s="320">
        <f t="shared" si="0"/>
        <v>801900000</v>
      </c>
      <c r="K18" s="320">
        <f t="shared" si="1"/>
        <v>0</v>
      </c>
    </row>
    <row r="19" spans="1:11" s="1365" customFormat="1" ht="39">
      <c r="A19" s="1361" t="s">
        <v>6</v>
      </c>
      <c r="B19" s="1362" t="s">
        <v>1289</v>
      </c>
      <c r="C19" s="1363">
        <f>'Dự toán Chi tiết 2025'!L856</f>
        <v>540000000</v>
      </c>
      <c r="D19" s="1363"/>
      <c r="E19" s="1363"/>
      <c r="F19" s="1363">
        <f>SUM(F20:F21)</f>
        <v>540000000</v>
      </c>
      <c r="G19" s="1364"/>
      <c r="J19" s="320">
        <f t="shared" si="0"/>
        <v>540000000</v>
      </c>
      <c r="K19" s="320">
        <f t="shared" si="1"/>
        <v>0</v>
      </c>
    </row>
    <row r="20" spans="1:11" ht="37.5" hidden="1">
      <c r="A20" s="315" t="s">
        <v>91</v>
      </c>
      <c r="B20" s="316" t="s">
        <v>26</v>
      </c>
      <c r="C20" s="317">
        <f>'Dự toán Chi tiết 2025'!L856</f>
        <v>540000000</v>
      </c>
      <c r="D20" s="317"/>
      <c r="E20" s="317"/>
      <c r="F20" s="317">
        <f>C20-D20+E20</f>
        <v>540000000</v>
      </c>
      <c r="G20" s="318"/>
      <c r="J20" s="320">
        <f t="shared" si="0"/>
        <v>540000000</v>
      </c>
      <c r="K20" s="320">
        <f t="shared" si="1"/>
        <v>0</v>
      </c>
    </row>
    <row r="21" spans="1:11" hidden="1">
      <c r="A21" s="315" t="s">
        <v>91</v>
      </c>
      <c r="B21" s="316"/>
      <c r="C21" s="317"/>
      <c r="D21" s="317"/>
      <c r="E21" s="317"/>
      <c r="F21" s="317">
        <f>C21-D21</f>
        <v>0</v>
      </c>
      <c r="G21" s="318"/>
      <c r="J21" s="320">
        <f t="shared" si="0"/>
        <v>0</v>
      </c>
      <c r="K21" s="320">
        <f t="shared" si="1"/>
        <v>0</v>
      </c>
    </row>
    <row r="22" spans="1:11" s="1365" customFormat="1" ht="19.5">
      <c r="A22" s="1361" t="s">
        <v>157</v>
      </c>
      <c r="B22" s="1362" t="s">
        <v>724</v>
      </c>
      <c r="C22" s="1363">
        <f>SUM(C23:C30)</f>
        <v>1308400000</v>
      </c>
      <c r="D22" s="1363"/>
      <c r="E22" s="1363"/>
      <c r="F22" s="1363">
        <f>SUM(F23:F30)</f>
        <v>1308400000</v>
      </c>
      <c r="G22" s="1364"/>
      <c r="J22" s="320">
        <f t="shared" si="0"/>
        <v>1308400000</v>
      </c>
      <c r="K22" s="320">
        <f t="shared" si="1"/>
        <v>0</v>
      </c>
    </row>
    <row r="23" spans="1:11" ht="37.5">
      <c r="A23" s="315" t="s">
        <v>91</v>
      </c>
      <c r="B23" s="316" t="s">
        <v>455</v>
      </c>
      <c r="C23" s="317">
        <f>'Dự toán Chi tiết 2025'!L859</f>
        <v>140400000</v>
      </c>
      <c r="D23" s="317"/>
      <c r="E23" s="317"/>
      <c r="F23" s="317">
        <f>C23-D23</f>
        <v>140400000</v>
      </c>
      <c r="G23" s="318"/>
      <c r="J23" s="320">
        <f t="shared" si="0"/>
        <v>140400000</v>
      </c>
      <c r="K23" s="320">
        <f t="shared" si="1"/>
        <v>0</v>
      </c>
    </row>
    <row r="24" spans="1:11" ht="75">
      <c r="A24" s="315" t="s">
        <v>91</v>
      </c>
      <c r="B24" s="316" t="s">
        <v>1152</v>
      </c>
      <c r="C24" s="317">
        <f>'Dự toán Chi tiết 2025'!L860</f>
        <v>155000000</v>
      </c>
      <c r="D24" s="317"/>
      <c r="E24" s="317"/>
      <c r="F24" s="317">
        <f t="shared" ref="F24:F30" si="2">C24-D24</f>
        <v>155000000</v>
      </c>
      <c r="G24" s="318"/>
      <c r="J24" s="320">
        <f t="shared" si="0"/>
        <v>155000000</v>
      </c>
      <c r="K24" s="320">
        <f t="shared" si="1"/>
        <v>0</v>
      </c>
    </row>
    <row r="25" spans="1:11">
      <c r="A25" s="315" t="s">
        <v>91</v>
      </c>
      <c r="B25" s="316" t="s">
        <v>457</v>
      </c>
      <c r="C25" s="317">
        <f>'Dự toán Chi tiết 2025'!L861</f>
        <v>62000000</v>
      </c>
      <c r="D25" s="317"/>
      <c r="E25" s="317"/>
      <c r="F25" s="317">
        <f t="shared" si="2"/>
        <v>62000000</v>
      </c>
      <c r="G25" s="318"/>
      <c r="J25" s="320">
        <f t="shared" si="0"/>
        <v>62000000</v>
      </c>
      <c r="K25" s="320">
        <f t="shared" si="1"/>
        <v>0</v>
      </c>
    </row>
    <row r="26" spans="1:11" ht="56.25">
      <c r="A26" s="315" t="s">
        <v>91</v>
      </c>
      <c r="B26" s="316" t="s">
        <v>458</v>
      </c>
      <c r="C26" s="317">
        <f>'Dự toán Chi tiết 2025'!L862</f>
        <v>370000000</v>
      </c>
      <c r="D26" s="317"/>
      <c r="E26" s="317"/>
      <c r="F26" s="317">
        <f t="shared" si="2"/>
        <v>370000000</v>
      </c>
      <c r="G26" s="318"/>
      <c r="J26" s="320">
        <f t="shared" si="0"/>
        <v>370000000</v>
      </c>
      <c r="K26" s="320">
        <f t="shared" si="1"/>
        <v>0</v>
      </c>
    </row>
    <row r="27" spans="1:11" ht="37.5">
      <c r="A27" s="315" t="s">
        <v>91</v>
      </c>
      <c r="B27" s="316" t="s">
        <v>459</v>
      </c>
      <c r="C27" s="317">
        <f>'Dự toán Chi tiết 2025'!L863</f>
        <v>35000000</v>
      </c>
      <c r="D27" s="317"/>
      <c r="E27" s="317"/>
      <c r="F27" s="317">
        <f t="shared" si="2"/>
        <v>35000000</v>
      </c>
      <c r="G27" s="318"/>
      <c r="J27" s="320">
        <f t="shared" si="0"/>
        <v>35000000</v>
      </c>
      <c r="K27" s="320">
        <f t="shared" si="1"/>
        <v>0</v>
      </c>
    </row>
    <row r="28" spans="1:11">
      <c r="A28" s="315" t="s">
        <v>91</v>
      </c>
      <c r="B28" s="316" t="s">
        <v>460</v>
      </c>
      <c r="C28" s="317">
        <f>'Dự toán Chi tiết 2025'!L864</f>
        <v>461000000</v>
      </c>
      <c r="D28" s="317"/>
      <c r="E28" s="317"/>
      <c r="F28" s="317">
        <f t="shared" si="2"/>
        <v>461000000</v>
      </c>
      <c r="G28" s="318"/>
      <c r="J28" s="320">
        <f t="shared" si="0"/>
        <v>461000000</v>
      </c>
      <c r="K28" s="320">
        <f t="shared" si="1"/>
        <v>0</v>
      </c>
    </row>
    <row r="29" spans="1:11" ht="37.5">
      <c r="A29" s="315" t="s">
        <v>91</v>
      </c>
      <c r="B29" s="316" t="s">
        <v>461</v>
      </c>
      <c r="C29" s="317">
        <f>'Dự toán Chi tiết 2025'!L865</f>
        <v>60000000</v>
      </c>
      <c r="D29" s="317"/>
      <c r="E29" s="317"/>
      <c r="F29" s="317">
        <f t="shared" si="2"/>
        <v>60000000</v>
      </c>
      <c r="G29" s="318"/>
      <c r="J29" s="320">
        <f t="shared" si="0"/>
        <v>60000000</v>
      </c>
      <c r="K29" s="320">
        <f t="shared" si="1"/>
        <v>0</v>
      </c>
    </row>
    <row r="30" spans="1:11" ht="56.25">
      <c r="A30" s="315" t="s">
        <v>91</v>
      </c>
      <c r="B30" s="316" t="s">
        <v>462</v>
      </c>
      <c r="C30" s="317">
        <f>'Dự toán Chi tiết 2025'!L866</f>
        <v>25000000</v>
      </c>
      <c r="D30" s="317"/>
      <c r="E30" s="317"/>
      <c r="F30" s="317">
        <f t="shared" si="2"/>
        <v>25000000</v>
      </c>
      <c r="G30" s="318"/>
      <c r="J30" s="320">
        <f t="shared" si="0"/>
        <v>25000000</v>
      </c>
      <c r="K30" s="320">
        <f t="shared" si="1"/>
        <v>0</v>
      </c>
    </row>
    <row r="31" spans="1:11" s="1365" customFormat="1" ht="39">
      <c r="A31" s="1361">
        <v>2</v>
      </c>
      <c r="B31" s="1362" t="s">
        <v>10</v>
      </c>
      <c r="C31" s="1363">
        <f>SUM(C33:C63)</f>
        <v>11849700000</v>
      </c>
      <c r="D31" s="1363">
        <f>SUM(D33:D63)</f>
        <v>574500000</v>
      </c>
      <c r="E31" s="1363"/>
      <c r="F31" s="1363">
        <f>SUM(F33:F63)</f>
        <v>11275200000</v>
      </c>
      <c r="G31" s="1363"/>
      <c r="J31" s="320">
        <f t="shared" si="0"/>
        <v>11275200000</v>
      </c>
      <c r="K31" s="320">
        <f>J31-F31</f>
        <v>0</v>
      </c>
    </row>
    <row r="32" spans="1:11" s="1365" customFormat="1" ht="39">
      <c r="A32" s="1361"/>
      <c r="B32" s="1362" t="s">
        <v>1547</v>
      </c>
      <c r="C32" s="1363"/>
      <c r="D32" s="1363"/>
      <c r="E32" s="1363"/>
      <c r="F32" s="1363"/>
      <c r="G32" s="1363"/>
      <c r="J32" s="320"/>
      <c r="K32" s="320"/>
    </row>
    <row r="33" spans="1:11" s="1365" customFormat="1" ht="37.5">
      <c r="A33" s="315" t="s">
        <v>91</v>
      </c>
      <c r="B33" s="316" t="str">
        <f>'Dự toán Chi tiết 2025'!B868</f>
        <v>Tổ chức các buổi lễ trao thưởng kèm theo Huy hiệu Đảng</v>
      </c>
      <c r="C33" s="317">
        <f>'Dự toán Chi tiết 2025'!L868</f>
        <v>200000000</v>
      </c>
      <c r="D33" s="317">
        <f>C33*10%</f>
        <v>20000000</v>
      </c>
      <c r="E33" s="317"/>
      <c r="F33" s="317">
        <f>C33-D33</f>
        <v>180000000</v>
      </c>
      <c r="G33" s="318"/>
      <c r="J33" s="320">
        <f t="shared" si="0"/>
        <v>180000000</v>
      </c>
      <c r="K33" s="320">
        <f t="shared" si="1"/>
        <v>0</v>
      </c>
    </row>
    <row r="34" spans="1:11" ht="57.75" customHeight="1">
      <c r="A34" s="315" t="s">
        <v>91</v>
      </c>
      <c r="B34" s="316" t="str">
        <f>'Dự toán Chi tiết 2025'!B869</f>
        <v>Chỉnh lý và số hoá tài liệu lưu trữ của Thành uỷ và các cơ quan tham mưu giúp việc, Mặt trận và các Hội đoàn thể</v>
      </c>
      <c r="C34" s="317">
        <f>'Dự toán Chi tiết 2025'!L869</f>
        <v>700000000</v>
      </c>
      <c r="D34" s="317">
        <f t="shared" ref="D34:D63" si="3">C34*10%</f>
        <v>70000000</v>
      </c>
      <c r="E34" s="317"/>
      <c r="F34" s="317">
        <f t="shared" ref="F34:F38" si="4">C34-D34</f>
        <v>630000000</v>
      </c>
      <c r="G34" s="318"/>
      <c r="J34" s="320">
        <f t="shared" si="0"/>
        <v>630000000</v>
      </c>
      <c r="K34" s="320">
        <f t="shared" si="1"/>
        <v>0</v>
      </c>
    </row>
    <row r="35" spans="1:11" ht="37.5">
      <c r="A35" s="315" t="s">
        <v>91</v>
      </c>
      <c r="B35" s="316" t="s">
        <v>466</v>
      </c>
      <c r="C35" s="317">
        <f>'Dự toán Chi tiết 2025'!L870</f>
        <v>320000000</v>
      </c>
      <c r="D35" s="317"/>
      <c r="E35" s="317"/>
      <c r="F35" s="317">
        <f t="shared" si="4"/>
        <v>320000000</v>
      </c>
      <c r="G35" s="318"/>
      <c r="J35" s="320">
        <f t="shared" si="0"/>
        <v>320000000</v>
      </c>
      <c r="K35" s="320">
        <f t="shared" si="1"/>
        <v>0</v>
      </c>
    </row>
    <row r="36" spans="1:11" ht="105" customHeight="1">
      <c r="A36" s="315" t="s">
        <v>91</v>
      </c>
      <c r="B36" s="316" t="s">
        <v>468</v>
      </c>
      <c r="C36" s="317">
        <f>'Dự toán Chi tiết 2025'!L872</f>
        <v>620000000</v>
      </c>
      <c r="D36" s="317"/>
      <c r="E36" s="317"/>
      <c r="F36" s="317">
        <f t="shared" si="4"/>
        <v>620000000</v>
      </c>
      <c r="G36" s="318"/>
      <c r="J36" s="320">
        <f t="shared" si="0"/>
        <v>620000000</v>
      </c>
      <c r="K36" s="320">
        <f t="shared" si="1"/>
        <v>0</v>
      </c>
    </row>
    <row r="37" spans="1:11" ht="75">
      <c r="A37" s="315" t="s">
        <v>91</v>
      </c>
      <c r="B37" s="316" t="s">
        <v>1155</v>
      </c>
      <c r="C37" s="317">
        <f>'Dự toán Chi tiết 2025'!L873</f>
        <v>700000000</v>
      </c>
      <c r="D37" s="317"/>
      <c r="E37" s="317"/>
      <c r="F37" s="317">
        <f t="shared" si="4"/>
        <v>700000000</v>
      </c>
      <c r="G37" s="318"/>
      <c r="J37" s="320">
        <f t="shared" si="0"/>
        <v>700000000</v>
      </c>
      <c r="K37" s="320">
        <f t="shared" si="1"/>
        <v>0</v>
      </c>
    </row>
    <row r="38" spans="1:11" ht="37.5">
      <c r="A38" s="315" t="s">
        <v>91</v>
      </c>
      <c r="B38" s="316" t="s">
        <v>1156</v>
      </c>
      <c r="C38" s="317">
        <f>'Dự toán Chi tiết 2025'!L874</f>
        <v>150000000</v>
      </c>
      <c r="D38" s="317"/>
      <c r="E38" s="317"/>
      <c r="F38" s="317">
        <f t="shared" si="4"/>
        <v>150000000</v>
      </c>
      <c r="G38" s="318"/>
      <c r="J38" s="320">
        <f t="shared" si="0"/>
        <v>150000000</v>
      </c>
      <c r="K38" s="320">
        <f t="shared" si="1"/>
        <v>0</v>
      </c>
    </row>
    <row r="39" spans="1:11" ht="37.5">
      <c r="A39" s="315" t="s">
        <v>91</v>
      </c>
      <c r="B39" s="316" t="s">
        <v>473</v>
      </c>
      <c r="C39" s="317">
        <f>'Dự toán Chi tiết 2025'!L877</f>
        <v>250000000</v>
      </c>
      <c r="D39" s="317">
        <f>C39*10%</f>
        <v>25000000</v>
      </c>
      <c r="E39" s="317"/>
      <c r="F39" s="317">
        <f>C39-D39</f>
        <v>225000000</v>
      </c>
      <c r="G39" s="318"/>
      <c r="J39" s="320">
        <f>C39-D39+E39</f>
        <v>225000000</v>
      </c>
      <c r="K39" s="320">
        <f>J39-F39</f>
        <v>0</v>
      </c>
    </row>
    <row r="40" spans="1:11" ht="243.75">
      <c r="A40" s="315" t="s">
        <v>91</v>
      </c>
      <c r="B40" s="316" t="s">
        <v>2047</v>
      </c>
      <c r="C40" s="317">
        <f>'Dự toán Chi tiết 2025'!L878</f>
        <v>2100000000</v>
      </c>
      <c r="D40" s="317">
        <f>C40*10%</f>
        <v>210000000</v>
      </c>
      <c r="E40" s="317"/>
      <c r="F40" s="317">
        <f>C40-D40</f>
        <v>1890000000</v>
      </c>
      <c r="G40" s="318"/>
      <c r="J40" s="320">
        <f>C40-D40+E40</f>
        <v>1890000000</v>
      </c>
      <c r="K40" s="320">
        <f>J40-F40</f>
        <v>0</v>
      </c>
    </row>
    <row r="41" spans="1:11" ht="37.5">
      <c r="A41" s="315" t="s">
        <v>91</v>
      </c>
      <c r="B41" s="316" t="s">
        <v>477</v>
      </c>
      <c r="C41" s="317">
        <f>'Dự toán Chi tiết 2025'!L881</f>
        <v>99200000</v>
      </c>
      <c r="D41" s="317"/>
      <c r="E41" s="317"/>
      <c r="F41" s="317">
        <f>C41-D41</f>
        <v>99200000</v>
      </c>
      <c r="G41" s="318"/>
      <c r="J41" s="320">
        <f>C41-D41+E41</f>
        <v>99200000</v>
      </c>
      <c r="K41" s="320">
        <f>J41-F41</f>
        <v>0</v>
      </c>
    </row>
    <row r="42" spans="1:11">
      <c r="A42" s="315"/>
      <c r="B42" s="316" t="str">
        <f>'Dự toán Chi tiết 2025'!B882</f>
        <v>Chi tổ chức Đại hội Chi bộ (5 chi bộ)</v>
      </c>
      <c r="C42" s="317">
        <f>'Dự toán Chi tiết 2025'!L882</f>
        <v>81400000</v>
      </c>
      <c r="D42" s="317"/>
      <c r="E42" s="317"/>
      <c r="F42" s="317">
        <f t="shared" ref="F42:F43" si="5">C42-D42</f>
        <v>81400000</v>
      </c>
      <c r="G42" s="318"/>
      <c r="J42" s="320">
        <f t="shared" ref="J42:J43" si="6">C42-D42+E42</f>
        <v>81400000</v>
      </c>
      <c r="K42" s="320"/>
    </row>
    <row r="43" spans="1:11">
      <c r="A43" s="315"/>
      <c r="B43" s="316" t="str">
        <f>'Dự toán Chi tiết 2025'!B883</f>
        <v>Chi tổ chức Đại hội Đảng bộ thành phố</v>
      </c>
      <c r="C43" s="317">
        <f>'Dự toán Chi tiết 2025'!L883</f>
        <v>3904100000</v>
      </c>
      <c r="D43" s="317"/>
      <c r="E43" s="317"/>
      <c r="F43" s="317">
        <f t="shared" si="5"/>
        <v>3904100000</v>
      </c>
      <c r="G43" s="318"/>
      <c r="J43" s="320">
        <f t="shared" si="6"/>
        <v>3904100000</v>
      </c>
      <c r="K43" s="320"/>
    </row>
    <row r="44" spans="1:11" ht="37.5">
      <c r="A44" s="315" t="s">
        <v>91</v>
      </c>
      <c r="B44" s="316" t="s">
        <v>1159</v>
      </c>
      <c r="C44" s="317">
        <f>'Dự toán Chi tiết 2025'!L890</f>
        <v>80000000</v>
      </c>
      <c r="D44" s="317"/>
      <c r="E44" s="317"/>
      <c r="F44" s="317">
        <f>C44-D44</f>
        <v>80000000</v>
      </c>
      <c r="G44" s="318"/>
      <c r="J44" s="320">
        <f>C44-D44+E44</f>
        <v>80000000</v>
      </c>
      <c r="K44" s="320">
        <f>J44-F44</f>
        <v>0</v>
      </c>
    </row>
    <row r="45" spans="1:11" ht="56.25" hidden="1">
      <c r="A45" s="315" t="s">
        <v>91</v>
      </c>
      <c r="B45" s="316" t="s">
        <v>1162</v>
      </c>
      <c r="C45" s="317">
        <f>'Dự toán Chi tiết 2025'!L895</f>
        <v>0</v>
      </c>
      <c r="D45" s="317">
        <f>C45*10%</f>
        <v>0</v>
      </c>
      <c r="E45" s="317"/>
      <c r="F45" s="317">
        <f>C45-D45</f>
        <v>0</v>
      </c>
      <c r="G45" s="318"/>
      <c r="J45" s="320">
        <f>C45-D45+E45</f>
        <v>0</v>
      </c>
      <c r="K45" s="320">
        <f>J45-F45</f>
        <v>0</v>
      </c>
    </row>
    <row r="46" spans="1:11">
      <c r="A46" s="315" t="s">
        <v>91</v>
      </c>
      <c r="B46" s="316" t="s">
        <v>2045</v>
      </c>
      <c r="C46" s="317">
        <f>'Dự toán Chi tiết 2025'!L884</f>
        <v>50000000</v>
      </c>
      <c r="D46" s="317">
        <f>C46*10%</f>
        <v>5000000</v>
      </c>
      <c r="E46" s="317"/>
      <c r="F46" s="317">
        <f>C46-D46</f>
        <v>45000000</v>
      </c>
      <c r="G46" s="318"/>
      <c r="J46" s="320">
        <f>C46-D46+E46</f>
        <v>45000000</v>
      </c>
      <c r="K46" s="320">
        <f>J46-F46</f>
        <v>0</v>
      </c>
    </row>
    <row r="47" spans="1:11" ht="56.25">
      <c r="A47" s="315" t="s">
        <v>91</v>
      </c>
      <c r="B47" s="316" t="s">
        <v>479</v>
      </c>
      <c r="C47" s="317">
        <f>'Dự toán Chi tiết 2025'!L885</f>
        <v>200000000</v>
      </c>
      <c r="D47" s="317">
        <f>C47*10%</f>
        <v>20000000</v>
      </c>
      <c r="E47" s="317"/>
      <c r="F47" s="317">
        <f>C47-D47</f>
        <v>180000000</v>
      </c>
      <c r="G47" s="318"/>
      <c r="J47" s="320">
        <f>C47-D47+E47</f>
        <v>180000000</v>
      </c>
      <c r="K47" s="320">
        <f>J47-F47</f>
        <v>0</v>
      </c>
    </row>
    <row r="48" spans="1:11" s="1367" customFormat="1">
      <c r="A48" s="282"/>
      <c r="B48" s="1359" t="s">
        <v>2083</v>
      </c>
      <c r="C48" s="1360"/>
      <c r="D48" s="1360"/>
      <c r="E48" s="1360"/>
      <c r="F48" s="1360"/>
      <c r="G48" s="1366"/>
      <c r="J48" s="1368"/>
      <c r="K48" s="1368"/>
    </row>
    <row r="49" spans="1:11">
      <c r="A49" s="315" t="s">
        <v>91</v>
      </c>
      <c r="B49" s="316" t="s">
        <v>467</v>
      </c>
      <c r="C49" s="317">
        <f>'Dự toán Chi tiết 2025'!L871</f>
        <v>95000000</v>
      </c>
      <c r="D49" s="317">
        <f>C49*10%</f>
        <v>9500000</v>
      </c>
      <c r="E49" s="317"/>
      <c r="F49" s="317">
        <f>C49-D49</f>
        <v>85500000</v>
      </c>
      <c r="G49" s="318"/>
      <c r="J49" s="320">
        <f>C49-D49+E49</f>
        <v>85500000</v>
      </c>
      <c r="K49" s="320">
        <f>J49-F49</f>
        <v>0</v>
      </c>
    </row>
    <row r="50" spans="1:11" ht="56.25">
      <c r="A50" s="315" t="s">
        <v>91</v>
      </c>
      <c r="B50" s="316" t="str">
        <f>'Dự toán Chi tiết 2025'!B876</f>
        <v>Phần mềm sổ tay đang viên điện tử (tăng số lượng tin bài và nội dung theo chỉ đạo của Thành ủy)</v>
      </c>
      <c r="C50" s="317">
        <f>'Dự toán Chi tiết 2025'!L876</f>
        <v>300000000</v>
      </c>
      <c r="D50" s="317">
        <f t="shared" si="3"/>
        <v>30000000</v>
      </c>
      <c r="E50" s="317"/>
      <c r="F50" s="317">
        <f t="shared" ref="F50:F63" si="7">C50-D50</f>
        <v>270000000</v>
      </c>
      <c r="G50" s="318"/>
      <c r="J50" s="320">
        <f t="shared" si="0"/>
        <v>270000000</v>
      </c>
      <c r="K50" s="320">
        <f t="shared" si="1"/>
        <v>0</v>
      </c>
    </row>
    <row r="51" spans="1:11" ht="64.5" customHeight="1">
      <c r="A51" s="315" t="s">
        <v>91</v>
      </c>
      <c r="B51" s="316" t="s">
        <v>475</v>
      </c>
      <c r="C51" s="317">
        <f>'Dự toán Chi tiết 2025'!L879</f>
        <v>120000000</v>
      </c>
      <c r="D51" s="317">
        <f t="shared" si="3"/>
        <v>12000000</v>
      </c>
      <c r="E51" s="317"/>
      <c r="F51" s="317">
        <f t="shared" si="7"/>
        <v>108000000</v>
      </c>
      <c r="G51" s="318"/>
      <c r="J51" s="320">
        <f t="shared" si="0"/>
        <v>108000000</v>
      </c>
      <c r="K51" s="320">
        <f t="shared" si="1"/>
        <v>0</v>
      </c>
    </row>
    <row r="52" spans="1:11" ht="66.75" customHeight="1">
      <c r="A52" s="315" t="s">
        <v>91</v>
      </c>
      <c r="B52" s="316" t="s">
        <v>480</v>
      </c>
      <c r="C52" s="317">
        <f>'Dự toán Chi tiết 2025'!L886</f>
        <v>150000000</v>
      </c>
      <c r="D52" s="317">
        <v>0</v>
      </c>
      <c r="E52" s="317"/>
      <c r="F52" s="317">
        <f t="shared" si="7"/>
        <v>150000000</v>
      </c>
      <c r="G52" s="318"/>
      <c r="J52" s="320">
        <f>C52-D52+E52</f>
        <v>150000000</v>
      </c>
      <c r="K52" s="320">
        <f>J52-F52</f>
        <v>0</v>
      </c>
    </row>
    <row r="53" spans="1:11" ht="79.5" customHeight="1">
      <c r="A53" s="315" t="s">
        <v>91</v>
      </c>
      <c r="B53" s="316" t="str">
        <f>'Dự toán Chi tiết 2025'!B888</f>
        <v>In ấn và thẩm định tập sách lịch sử Đảng bộ thành phố Quảng Ngãi giai đoạn 1930 - 2020 theo Kế hoạch số 99-KH/TU ngày 05/12/2018 của BTV Thành ủy</v>
      </c>
      <c r="C53" s="317">
        <f>'Dự toán Chi tiết 2025'!L888</f>
        <v>200000000</v>
      </c>
      <c r="D53" s="317">
        <f>C53*10%</f>
        <v>20000000</v>
      </c>
      <c r="E53" s="317"/>
      <c r="F53" s="317">
        <f t="shared" si="7"/>
        <v>180000000</v>
      </c>
      <c r="G53" s="318"/>
      <c r="J53" s="320">
        <f>C53-D53+E53</f>
        <v>180000000</v>
      </c>
      <c r="K53" s="320">
        <f>J53-F53</f>
        <v>0</v>
      </c>
    </row>
    <row r="54" spans="1:11" s="1367" customFormat="1">
      <c r="A54" s="282"/>
      <c r="B54" s="1359" t="s">
        <v>1549</v>
      </c>
      <c r="C54" s="1360"/>
      <c r="D54" s="1360"/>
      <c r="E54" s="1360"/>
      <c r="F54" s="317"/>
      <c r="G54" s="1366"/>
      <c r="J54" s="1368"/>
      <c r="K54" s="1368"/>
    </row>
    <row r="55" spans="1:11" ht="56.25">
      <c r="A55" s="315" t="s">
        <v>91</v>
      </c>
      <c r="B55" s="316" t="s">
        <v>476</v>
      </c>
      <c r="C55" s="317">
        <f>'Dự toán Chi tiết 2025'!L880</f>
        <v>80000000</v>
      </c>
      <c r="D55" s="317">
        <f t="shared" si="3"/>
        <v>8000000</v>
      </c>
      <c r="E55" s="317"/>
      <c r="F55" s="317">
        <f t="shared" si="7"/>
        <v>72000000</v>
      </c>
      <c r="G55" s="318"/>
      <c r="J55" s="320">
        <f t="shared" si="0"/>
        <v>72000000</v>
      </c>
      <c r="K55" s="320">
        <f t="shared" si="1"/>
        <v>0</v>
      </c>
    </row>
    <row r="56" spans="1:11" ht="99.75" customHeight="1">
      <c r="A56" s="315" t="s">
        <v>91</v>
      </c>
      <c r="B56" s="316" t="s">
        <v>483</v>
      </c>
      <c r="C56" s="317">
        <f>'Dự toán Chi tiết 2025'!L891</f>
        <v>50000000</v>
      </c>
      <c r="D56" s="317">
        <f>C56*10%</f>
        <v>5000000</v>
      </c>
      <c r="E56" s="317"/>
      <c r="F56" s="317">
        <f t="shared" si="7"/>
        <v>45000000</v>
      </c>
      <c r="G56" s="318"/>
      <c r="J56" s="320">
        <f>C56-D56+E56</f>
        <v>45000000</v>
      </c>
      <c r="K56" s="320">
        <f>J56-F56</f>
        <v>0</v>
      </c>
    </row>
    <row r="57" spans="1:11" ht="37.5" hidden="1">
      <c r="A57" s="315" t="s">
        <v>91</v>
      </c>
      <c r="B57" s="316" t="s">
        <v>1158</v>
      </c>
      <c r="C57" s="317">
        <f>'Dự toán Chi tiết 2025'!L889</f>
        <v>0</v>
      </c>
      <c r="D57" s="317">
        <f t="shared" si="3"/>
        <v>0</v>
      </c>
      <c r="E57" s="317"/>
      <c r="F57" s="317">
        <f t="shared" si="7"/>
        <v>0</v>
      </c>
      <c r="G57" s="318"/>
      <c r="J57" s="320">
        <f t="shared" si="0"/>
        <v>0</v>
      </c>
      <c r="K57" s="320">
        <f t="shared" si="1"/>
        <v>0</v>
      </c>
    </row>
    <row r="58" spans="1:11" s="1367" customFormat="1">
      <c r="A58" s="282"/>
      <c r="B58" s="1359" t="s">
        <v>1548</v>
      </c>
      <c r="C58" s="1360"/>
      <c r="D58" s="1360"/>
      <c r="E58" s="1360"/>
      <c r="F58" s="317"/>
      <c r="G58" s="1366"/>
      <c r="J58" s="1368"/>
      <c r="K58" s="1368"/>
    </row>
    <row r="59" spans="1:11" ht="56.25">
      <c r="A59" s="315" t="s">
        <v>91</v>
      </c>
      <c r="B59" s="316" t="s">
        <v>499</v>
      </c>
      <c r="C59" s="317">
        <f>'Dự toán Chi tiết 2025'!L892</f>
        <v>40000000</v>
      </c>
      <c r="D59" s="317">
        <f t="shared" si="3"/>
        <v>4000000</v>
      </c>
      <c r="E59" s="317"/>
      <c r="F59" s="317">
        <f t="shared" si="7"/>
        <v>36000000</v>
      </c>
      <c r="G59" s="318"/>
      <c r="J59" s="320">
        <f t="shared" si="0"/>
        <v>36000000</v>
      </c>
      <c r="K59" s="320">
        <f t="shared" si="1"/>
        <v>0</v>
      </c>
    </row>
    <row r="60" spans="1:11" ht="56.25">
      <c r="A60" s="315" t="s">
        <v>91</v>
      </c>
      <c r="B60" s="316" t="s">
        <v>471</v>
      </c>
      <c r="C60" s="317">
        <f>'Dự toán Chi tiết 2025'!L875</f>
        <v>1250000000</v>
      </c>
      <c r="D60" s="317">
        <f>C60*10%</f>
        <v>125000000</v>
      </c>
      <c r="E60" s="317"/>
      <c r="F60" s="317">
        <f t="shared" si="7"/>
        <v>1125000000</v>
      </c>
      <c r="G60" s="318"/>
      <c r="J60" s="320">
        <f>C60-D60+E60</f>
        <v>1125000000</v>
      </c>
      <c r="K60" s="320">
        <f>J60-F60</f>
        <v>0</v>
      </c>
    </row>
    <row r="61" spans="1:11" s="1367" customFormat="1">
      <c r="A61" s="282"/>
      <c r="B61" s="1359" t="s">
        <v>1550</v>
      </c>
      <c r="C61" s="1360"/>
      <c r="D61" s="1360"/>
      <c r="E61" s="1360"/>
      <c r="F61" s="317">
        <f t="shared" si="7"/>
        <v>0</v>
      </c>
      <c r="G61" s="1366"/>
      <c r="J61" s="1368"/>
      <c r="K61" s="1368"/>
    </row>
    <row r="62" spans="1:11" ht="168.75">
      <c r="A62" s="315" t="s">
        <v>91</v>
      </c>
      <c r="B62" s="316" t="s">
        <v>1160</v>
      </c>
      <c r="C62" s="317">
        <f>'Dự toán Chi tiết 2025'!L893</f>
        <v>90000000</v>
      </c>
      <c r="D62" s="317">
        <f t="shared" si="3"/>
        <v>9000000</v>
      </c>
      <c r="E62" s="317"/>
      <c r="F62" s="317">
        <f t="shared" si="7"/>
        <v>81000000</v>
      </c>
      <c r="G62" s="318"/>
      <c r="J62" s="320">
        <f t="shared" si="0"/>
        <v>81000000</v>
      </c>
      <c r="K62" s="320">
        <f t="shared" si="1"/>
        <v>0</v>
      </c>
    </row>
    <row r="63" spans="1:11" ht="37.5">
      <c r="A63" s="315" t="s">
        <v>91</v>
      </c>
      <c r="B63" s="316" t="s">
        <v>1161</v>
      </c>
      <c r="C63" s="317">
        <f>'Dự toán Chi tiết 2025'!L894</f>
        <v>20000000</v>
      </c>
      <c r="D63" s="317">
        <f t="shared" si="3"/>
        <v>2000000</v>
      </c>
      <c r="E63" s="317"/>
      <c r="F63" s="317">
        <f t="shared" si="7"/>
        <v>18000000</v>
      </c>
      <c r="G63" s="318"/>
      <c r="J63" s="320">
        <f t="shared" si="0"/>
        <v>18000000</v>
      </c>
      <c r="K63" s="320">
        <f t="shared" si="1"/>
        <v>0</v>
      </c>
    </row>
  </sheetData>
  <mergeCells count="7">
    <mergeCell ref="A8:G8"/>
    <mergeCell ref="A1:B1"/>
    <mergeCell ref="A2:B2"/>
    <mergeCell ref="A4:G4"/>
    <mergeCell ref="A5:G5"/>
    <mergeCell ref="A6:G6"/>
    <mergeCell ref="A7:G7"/>
  </mergeCells>
  <pageMargins left="0.59" right="0.56000000000000005" top="0.59055118110236227" bottom="0.53" header="0.31496062992125984" footer="0.31496062992125984"/>
  <pageSetup paperSize="9" scale="61" fitToHeight="0" orientation="portrait" verticalDpi="0" r:id="rId1"/>
  <headerFoot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39"/>
  <sheetViews>
    <sheetView zoomScale="85" zoomScaleNormal="85" workbookViewId="0">
      <selection activeCell="A8" sqref="A8:G8"/>
    </sheetView>
  </sheetViews>
  <sheetFormatPr defaultRowHeight="18.75"/>
  <cols>
    <col min="1" max="1" width="7.140625" style="319" customWidth="1"/>
    <col min="2" max="2" width="38.5703125" style="319" customWidth="1"/>
    <col min="3" max="3" width="19.28515625" style="319" customWidth="1"/>
    <col min="4" max="5" width="21.140625" style="319" customWidth="1"/>
    <col min="6" max="6" width="19.42578125" style="319" customWidth="1"/>
    <col min="7" max="7" width="20" style="319" customWidth="1"/>
    <col min="8" max="9" width="0" style="319" hidden="1" customWidth="1"/>
    <col min="10" max="10" width="18" style="319" hidden="1" customWidth="1"/>
    <col min="11" max="11" width="0" style="319" hidden="1" customWidth="1"/>
    <col min="12" max="12" width="18.85546875" style="319" customWidth="1"/>
    <col min="13" max="260" width="9.140625" style="319"/>
    <col min="261" max="261" width="7.140625" style="319" customWidth="1"/>
    <col min="262" max="262" width="47.7109375" style="319" customWidth="1"/>
    <col min="263" max="263" width="19.28515625" style="319" customWidth="1"/>
    <col min="264" max="516" width="9.140625" style="319"/>
    <col min="517" max="517" width="7.140625" style="319" customWidth="1"/>
    <col min="518" max="518" width="47.7109375" style="319" customWidth="1"/>
    <col min="519" max="519" width="19.28515625" style="319" customWidth="1"/>
    <col min="520" max="772" width="9.140625" style="319"/>
    <col min="773" max="773" width="7.140625" style="319" customWidth="1"/>
    <col min="774" max="774" width="47.7109375" style="319" customWidth="1"/>
    <col min="775" max="775" width="19.28515625" style="319" customWidth="1"/>
    <col min="776" max="1028" width="9.140625" style="319"/>
    <col min="1029" max="1029" width="7.140625" style="319" customWidth="1"/>
    <col min="1030" max="1030" width="47.7109375" style="319" customWidth="1"/>
    <col min="1031" max="1031" width="19.28515625" style="319" customWidth="1"/>
    <col min="1032" max="1284" width="9.140625" style="319"/>
    <col min="1285" max="1285" width="7.140625" style="319" customWidth="1"/>
    <col min="1286" max="1286" width="47.7109375" style="319" customWidth="1"/>
    <col min="1287" max="1287" width="19.28515625" style="319" customWidth="1"/>
    <col min="1288" max="1540" width="9.140625" style="319"/>
    <col min="1541" max="1541" width="7.140625" style="319" customWidth="1"/>
    <col min="1542" max="1542" width="47.7109375" style="319" customWidth="1"/>
    <col min="1543" max="1543" width="19.28515625" style="319" customWidth="1"/>
    <col min="1544" max="1796" width="9.140625" style="319"/>
    <col min="1797" max="1797" width="7.140625" style="319" customWidth="1"/>
    <col min="1798" max="1798" width="47.7109375" style="319" customWidth="1"/>
    <col min="1799" max="1799" width="19.28515625" style="319" customWidth="1"/>
    <col min="1800" max="2052" width="9.140625" style="319"/>
    <col min="2053" max="2053" width="7.140625" style="319" customWidth="1"/>
    <col min="2054" max="2054" width="47.7109375" style="319" customWidth="1"/>
    <col min="2055" max="2055" width="19.28515625" style="319" customWidth="1"/>
    <col min="2056" max="2308" width="9.140625" style="319"/>
    <col min="2309" max="2309" width="7.140625" style="319" customWidth="1"/>
    <col min="2310" max="2310" width="47.7109375" style="319" customWidth="1"/>
    <col min="2311" max="2311" width="19.28515625" style="319" customWidth="1"/>
    <col min="2312" max="2564" width="9.140625" style="319"/>
    <col min="2565" max="2565" width="7.140625" style="319" customWidth="1"/>
    <col min="2566" max="2566" width="47.7109375" style="319" customWidth="1"/>
    <col min="2567" max="2567" width="19.28515625" style="319" customWidth="1"/>
    <col min="2568" max="2820" width="9.140625" style="319"/>
    <col min="2821" max="2821" width="7.140625" style="319" customWidth="1"/>
    <col min="2822" max="2822" width="47.7109375" style="319" customWidth="1"/>
    <col min="2823" max="2823" width="19.28515625" style="319" customWidth="1"/>
    <col min="2824" max="3076" width="9.140625" style="319"/>
    <col min="3077" max="3077" width="7.140625" style="319" customWidth="1"/>
    <col min="3078" max="3078" width="47.7109375" style="319" customWidth="1"/>
    <col min="3079" max="3079" width="19.28515625" style="319" customWidth="1"/>
    <col min="3080" max="3332" width="9.140625" style="319"/>
    <col min="3333" max="3333" width="7.140625" style="319" customWidth="1"/>
    <col min="3334" max="3334" width="47.7109375" style="319" customWidth="1"/>
    <col min="3335" max="3335" width="19.28515625" style="319" customWidth="1"/>
    <col min="3336" max="3588" width="9.140625" style="319"/>
    <col min="3589" max="3589" width="7.140625" style="319" customWidth="1"/>
    <col min="3590" max="3590" width="47.7109375" style="319" customWidth="1"/>
    <col min="3591" max="3591" width="19.28515625" style="319" customWidth="1"/>
    <col min="3592" max="3844" width="9.140625" style="319"/>
    <col min="3845" max="3845" width="7.140625" style="319" customWidth="1"/>
    <col min="3846" max="3846" width="47.7109375" style="319" customWidth="1"/>
    <col min="3847" max="3847" width="19.28515625" style="319" customWidth="1"/>
    <col min="3848" max="4100" width="9.140625" style="319"/>
    <col min="4101" max="4101" width="7.140625" style="319" customWidth="1"/>
    <col min="4102" max="4102" width="47.7109375" style="319" customWidth="1"/>
    <col min="4103" max="4103" width="19.28515625" style="319" customWidth="1"/>
    <col min="4104" max="4356" width="9.140625" style="319"/>
    <col min="4357" max="4357" width="7.140625" style="319" customWidth="1"/>
    <col min="4358" max="4358" width="47.7109375" style="319" customWidth="1"/>
    <col min="4359" max="4359" width="19.28515625" style="319" customWidth="1"/>
    <col min="4360" max="4612" width="9.140625" style="319"/>
    <col min="4613" max="4613" width="7.140625" style="319" customWidth="1"/>
    <col min="4614" max="4614" width="47.7109375" style="319" customWidth="1"/>
    <col min="4615" max="4615" width="19.28515625" style="319" customWidth="1"/>
    <col min="4616" max="4868" width="9.140625" style="319"/>
    <col min="4869" max="4869" width="7.140625" style="319" customWidth="1"/>
    <col min="4870" max="4870" width="47.7109375" style="319" customWidth="1"/>
    <col min="4871" max="4871" width="19.28515625" style="319" customWidth="1"/>
    <col min="4872" max="5124" width="9.140625" style="319"/>
    <col min="5125" max="5125" width="7.140625" style="319" customWidth="1"/>
    <col min="5126" max="5126" width="47.7109375" style="319" customWidth="1"/>
    <col min="5127" max="5127" width="19.28515625" style="319" customWidth="1"/>
    <col min="5128" max="5380" width="9.140625" style="319"/>
    <col min="5381" max="5381" width="7.140625" style="319" customWidth="1"/>
    <col min="5382" max="5382" width="47.7109375" style="319" customWidth="1"/>
    <col min="5383" max="5383" width="19.28515625" style="319" customWidth="1"/>
    <col min="5384" max="5636" width="9.140625" style="319"/>
    <col min="5637" max="5637" width="7.140625" style="319" customWidth="1"/>
    <col min="5638" max="5638" width="47.7109375" style="319" customWidth="1"/>
    <col min="5639" max="5639" width="19.28515625" style="319" customWidth="1"/>
    <col min="5640" max="5892" width="9.140625" style="319"/>
    <col min="5893" max="5893" width="7.140625" style="319" customWidth="1"/>
    <col min="5894" max="5894" width="47.7109375" style="319" customWidth="1"/>
    <col min="5895" max="5895" width="19.28515625" style="319" customWidth="1"/>
    <col min="5896" max="6148" width="9.140625" style="319"/>
    <col min="6149" max="6149" width="7.140625" style="319" customWidth="1"/>
    <col min="6150" max="6150" width="47.7109375" style="319" customWidth="1"/>
    <col min="6151" max="6151" width="19.28515625" style="319" customWidth="1"/>
    <col min="6152" max="6404" width="9.140625" style="319"/>
    <col min="6405" max="6405" width="7.140625" style="319" customWidth="1"/>
    <col min="6406" max="6406" width="47.7109375" style="319" customWidth="1"/>
    <col min="6407" max="6407" width="19.28515625" style="319" customWidth="1"/>
    <col min="6408" max="6660" width="9.140625" style="319"/>
    <col min="6661" max="6661" width="7.140625" style="319" customWidth="1"/>
    <col min="6662" max="6662" width="47.7109375" style="319" customWidth="1"/>
    <col min="6663" max="6663" width="19.28515625" style="319" customWidth="1"/>
    <col min="6664" max="6916" width="9.140625" style="319"/>
    <col min="6917" max="6917" width="7.140625" style="319" customWidth="1"/>
    <col min="6918" max="6918" width="47.7109375" style="319" customWidth="1"/>
    <col min="6919" max="6919" width="19.28515625" style="319" customWidth="1"/>
    <col min="6920" max="7172" width="9.140625" style="319"/>
    <col min="7173" max="7173" width="7.140625" style="319" customWidth="1"/>
    <col min="7174" max="7174" width="47.7109375" style="319" customWidth="1"/>
    <col min="7175" max="7175" width="19.28515625" style="319" customWidth="1"/>
    <col min="7176" max="7428" width="9.140625" style="319"/>
    <col min="7429" max="7429" width="7.140625" style="319" customWidth="1"/>
    <col min="7430" max="7430" width="47.7109375" style="319" customWidth="1"/>
    <col min="7431" max="7431" width="19.28515625" style="319" customWidth="1"/>
    <col min="7432" max="7684" width="9.140625" style="319"/>
    <col min="7685" max="7685" width="7.140625" style="319" customWidth="1"/>
    <col min="7686" max="7686" width="47.7109375" style="319" customWidth="1"/>
    <col min="7687" max="7687" width="19.28515625" style="319" customWidth="1"/>
    <col min="7688" max="7940" width="9.140625" style="319"/>
    <col min="7941" max="7941" width="7.140625" style="319" customWidth="1"/>
    <col min="7942" max="7942" width="47.7109375" style="319" customWidth="1"/>
    <col min="7943" max="7943" width="19.28515625" style="319" customWidth="1"/>
    <col min="7944" max="8196" width="9.140625" style="319"/>
    <col min="8197" max="8197" width="7.140625" style="319" customWidth="1"/>
    <col min="8198" max="8198" width="47.7109375" style="319" customWidth="1"/>
    <col min="8199" max="8199" width="19.28515625" style="319" customWidth="1"/>
    <col min="8200" max="8452" width="9.140625" style="319"/>
    <col min="8453" max="8453" width="7.140625" style="319" customWidth="1"/>
    <col min="8454" max="8454" width="47.7109375" style="319" customWidth="1"/>
    <col min="8455" max="8455" width="19.28515625" style="319" customWidth="1"/>
    <col min="8456" max="8708" width="9.140625" style="319"/>
    <col min="8709" max="8709" width="7.140625" style="319" customWidth="1"/>
    <col min="8710" max="8710" width="47.7109375" style="319" customWidth="1"/>
    <col min="8711" max="8711" width="19.28515625" style="319" customWidth="1"/>
    <col min="8712" max="8964" width="9.140625" style="319"/>
    <col min="8965" max="8965" width="7.140625" style="319" customWidth="1"/>
    <col min="8966" max="8966" width="47.7109375" style="319" customWidth="1"/>
    <col min="8967" max="8967" width="19.28515625" style="319" customWidth="1"/>
    <col min="8968" max="9220" width="9.140625" style="319"/>
    <col min="9221" max="9221" width="7.140625" style="319" customWidth="1"/>
    <col min="9222" max="9222" width="47.7109375" style="319" customWidth="1"/>
    <col min="9223" max="9223" width="19.28515625" style="319" customWidth="1"/>
    <col min="9224" max="9476" width="9.140625" style="319"/>
    <col min="9477" max="9477" width="7.140625" style="319" customWidth="1"/>
    <col min="9478" max="9478" width="47.7109375" style="319" customWidth="1"/>
    <col min="9479" max="9479" width="19.28515625" style="319" customWidth="1"/>
    <col min="9480" max="9732" width="9.140625" style="319"/>
    <col min="9733" max="9733" width="7.140625" style="319" customWidth="1"/>
    <col min="9734" max="9734" width="47.7109375" style="319" customWidth="1"/>
    <col min="9735" max="9735" width="19.28515625" style="319" customWidth="1"/>
    <col min="9736" max="9988" width="9.140625" style="319"/>
    <col min="9989" max="9989" width="7.140625" style="319" customWidth="1"/>
    <col min="9990" max="9990" width="47.7109375" style="319" customWidth="1"/>
    <col min="9991" max="9991" width="19.28515625" style="319" customWidth="1"/>
    <col min="9992" max="10244" width="9.140625" style="319"/>
    <col min="10245" max="10245" width="7.140625" style="319" customWidth="1"/>
    <col min="10246" max="10246" width="47.7109375" style="319" customWidth="1"/>
    <col min="10247" max="10247" width="19.28515625" style="319" customWidth="1"/>
    <col min="10248" max="10500" width="9.140625" style="319"/>
    <col min="10501" max="10501" width="7.140625" style="319" customWidth="1"/>
    <col min="10502" max="10502" width="47.7109375" style="319" customWidth="1"/>
    <col min="10503" max="10503" width="19.28515625" style="319" customWidth="1"/>
    <col min="10504" max="10756" width="9.140625" style="319"/>
    <col min="10757" max="10757" width="7.140625" style="319" customWidth="1"/>
    <col min="10758" max="10758" width="47.7109375" style="319" customWidth="1"/>
    <col min="10759" max="10759" width="19.28515625" style="319" customWidth="1"/>
    <col min="10760" max="11012" width="9.140625" style="319"/>
    <col min="11013" max="11013" width="7.140625" style="319" customWidth="1"/>
    <col min="11014" max="11014" width="47.7109375" style="319" customWidth="1"/>
    <col min="11015" max="11015" width="19.28515625" style="319" customWidth="1"/>
    <col min="11016" max="11268" width="9.140625" style="319"/>
    <col min="11269" max="11269" width="7.140625" style="319" customWidth="1"/>
    <col min="11270" max="11270" width="47.7109375" style="319" customWidth="1"/>
    <col min="11271" max="11271" width="19.28515625" style="319" customWidth="1"/>
    <col min="11272" max="11524" width="9.140625" style="319"/>
    <col min="11525" max="11525" width="7.140625" style="319" customWidth="1"/>
    <col min="11526" max="11526" width="47.7109375" style="319" customWidth="1"/>
    <col min="11527" max="11527" width="19.28515625" style="319" customWidth="1"/>
    <col min="11528" max="11780" width="9.140625" style="319"/>
    <col min="11781" max="11781" width="7.140625" style="319" customWidth="1"/>
    <col min="11782" max="11782" width="47.7109375" style="319" customWidth="1"/>
    <col min="11783" max="11783" width="19.28515625" style="319" customWidth="1"/>
    <col min="11784" max="12036" width="9.140625" style="319"/>
    <col min="12037" max="12037" width="7.140625" style="319" customWidth="1"/>
    <col min="12038" max="12038" width="47.7109375" style="319" customWidth="1"/>
    <col min="12039" max="12039" width="19.28515625" style="319" customWidth="1"/>
    <col min="12040" max="12292" width="9.140625" style="319"/>
    <col min="12293" max="12293" width="7.140625" style="319" customWidth="1"/>
    <col min="12294" max="12294" width="47.7109375" style="319" customWidth="1"/>
    <col min="12295" max="12295" width="19.28515625" style="319" customWidth="1"/>
    <col min="12296" max="12548" width="9.140625" style="319"/>
    <col min="12549" max="12549" width="7.140625" style="319" customWidth="1"/>
    <col min="12550" max="12550" width="47.7109375" style="319" customWidth="1"/>
    <col min="12551" max="12551" width="19.28515625" style="319" customWidth="1"/>
    <col min="12552" max="12804" width="9.140625" style="319"/>
    <col min="12805" max="12805" width="7.140625" style="319" customWidth="1"/>
    <col min="12806" max="12806" width="47.7109375" style="319" customWidth="1"/>
    <col min="12807" max="12807" width="19.28515625" style="319" customWidth="1"/>
    <col min="12808" max="13060" width="9.140625" style="319"/>
    <col min="13061" max="13061" width="7.140625" style="319" customWidth="1"/>
    <col min="13062" max="13062" width="47.7109375" style="319" customWidth="1"/>
    <col min="13063" max="13063" width="19.28515625" style="319" customWidth="1"/>
    <col min="13064" max="13316" width="9.140625" style="319"/>
    <col min="13317" max="13317" width="7.140625" style="319" customWidth="1"/>
    <col min="13318" max="13318" width="47.7109375" style="319" customWidth="1"/>
    <col min="13319" max="13319" width="19.28515625" style="319" customWidth="1"/>
    <col min="13320" max="13572" width="9.140625" style="319"/>
    <col min="13573" max="13573" width="7.140625" style="319" customWidth="1"/>
    <col min="13574" max="13574" width="47.7109375" style="319" customWidth="1"/>
    <col min="13575" max="13575" width="19.28515625" style="319" customWidth="1"/>
    <col min="13576" max="13828" width="9.140625" style="319"/>
    <col min="13829" max="13829" width="7.140625" style="319" customWidth="1"/>
    <col min="13830" max="13830" width="47.7109375" style="319" customWidth="1"/>
    <col min="13831" max="13831" width="19.28515625" style="319" customWidth="1"/>
    <col min="13832" max="14084" width="9.140625" style="319"/>
    <col min="14085" max="14085" width="7.140625" style="319" customWidth="1"/>
    <col min="14086" max="14086" width="47.7109375" style="319" customWidth="1"/>
    <col min="14087" max="14087" width="19.28515625" style="319" customWidth="1"/>
    <col min="14088" max="14340" width="9.140625" style="319"/>
    <col min="14341" max="14341" width="7.140625" style="319" customWidth="1"/>
    <col min="14342" max="14342" width="47.7109375" style="319" customWidth="1"/>
    <col min="14343" max="14343" width="19.28515625" style="319" customWidth="1"/>
    <col min="14344" max="14596" width="9.140625" style="319"/>
    <col min="14597" max="14597" width="7.140625" style="319" customWidth="1"/>
    <col min="14598" max="14598" width="47.7109375" style="319" customWidth="1"/>
    <col min="14599" max="14599" width="19.28515625" style="319" customWidth="1"/>
    <col min="14600" max="14852" width="9.140625" style="319"/>
    <col min="14853" max="14853" width="7.140625" style="319" customWidth="1"/>
    <col min="14854" max="14854" width="47.7109375" style="319" customWidth="1"/>
    <col min="14855" max="14855" width="19.28515625" style="319" customWidth="1"/>
    <col min="14856" max="15108" width="9.140625" style="319"/>
    <col min="15109" max="15109" width="7.140625" style="319" customWidth="1"/>
    <col min="15110" max="15110" width="47.7109375" style="319" customWidth="1"/>
    <col min="15111" max="15111" width="19.28515625" style="319" customWidth="1"/>
    <col min="15112" max="15364" width="9.140625" style="319"/>
    <col min="15365" max="15365" width="7.140625" style="319" customWidth="1"/>
    <col min="15366" max="15366" width="47.7109375" style="319" customWidth="1"/>
    <col min="15367" max="15367" width="19.28515625" style="319" customWidth="1"/>
    <col min="15368" max="15620" width="9.140625" style="319"/>
    <col min="15621" max="15621" width="7.140625" style="319" customWidth="1"/>
    <col min="15622" max="15622" width="47.7109375" style="319" customWidth="1"/>
    <col min="15623" max="15623" width="19.28515625" style="319" customWidth="1"/>
    <col min="15624" max="15876" width="9.140625" style="319"/>
    <col min="15877" max="15877" width="7.140625" style="319" customWidth="1"/>
    <col min="15878" max="15878" width="47.7109375" style="319" customWidth="1"/>
    <col min="15879" max="15879" width="19.28515625" style="319" customWidth="1"/>
    <col min="15880" max="16132" width="9.140625" style="319"/>
    <col min="16133" max="16133" width="7.140625" style="319" customWidth="1"/>
    <col min="16134" max="16134" width="47.7109375" style="319" customWidth="1"/>
    <col min="16135" max="16135" width="19.28515625" style="319" customWidth="1"/>
    <col min="16136" max="16384" width="9.140625" style="319"/>
  </cols>
  <sheetData>
    <row r="1" spans="1:12">
      <c r="A1" s="1843" t="s">
        <v>669</v>
      </c>
      <c r="B1" s="1843"/>
      <c r="C1" s="1843"/>
      <c r="G1" s="1355"/>
    </row>
    <row r="2" spans="1:12">
      <c r="A2" s="1667" t="s">
        <v>670</v>
      </c>
      <c r="B2" s="1667"/>
      <c r="C2" s="1667"/>
      <c r="D2" s="1357"/>
      <c r="E2" s="1357"/>
      <c r="F2" s="1357"/>
    </row>
    <row r="3" spans="1:12">
      <c r="A3" s="1667" t="s">
        <v>2092</v>
      </c>
      <c r="B3" s="1667"/>
      <c r="C3" s="1667"/>
      <c r="D3" s="1667"/>
      <c r="E3" s="1667"/>
      <c r="F3" s="1667"/>
      <c r="G3" s="1667"/>
    </row>
    <row r="4" spans="1:12">
      <c r="A4" s="1667" t="str">
        <f>'TTDVNN V '!A4:G4</f>
        <v>DỰ TOÁN THU, CHI NGÂN SÁCH NHÀ NƯỚC NĂM 2025</v>
      </c>
      <c r="B4" s="1667"/>
      <c r="C4" s="1667"/>
      <c r="D4" s="1667"/>
      <c r="E4" s="1667"/>
      <c r="F4" s="1667"/>
      <c r="G4" s="1667"/>
    </row>
    <row r="5" spans="1:12">
      <c r="A5" s="1667" t="s">
        <v>671</v>
      </c>
      <c r="B5" s="1667"/>
      <c r="C5" s="1667"/>
      <c r="D5" s="1667"/>
      <c r="E5" s="1667"/>
      <c r="F5" s="1667"/>
      <c r="G5" s="1667"/>
    </row>
    <row r="6" spans="1:12">
      <c r="A6" s="1667" t="s">
        <v>672</v>
      </c>
      <c r="B6" s="1667"/>
      <c r="C6" s="1667"/>
      <c r="D6" s="1667"/>
      <c r="E6" s="1667"/>
      <c r="F6" s="1667"/>
      <c r="G6" s="1667"/>
    </row>
    <row r="7" spans="1:12">
      <c r="A7" s="1667" t="s">
        <v>17</v>
      </c>
      <c r="B7" s="1667"/>
      <c r="C7" s="1667"/>
      <c r="D7" s="1667"/>
      <c r="E7" s="1667"/>
      <c r="F7" s="1667"/>
      <c r="G7" s="1667"/>
    </row>
    <row r="8" spans="1:12">
      <c r="A8" s="1668"/>
      <c r="B8" s="1668"/>
      <c r="C8" s="1668"/>
      <c r="D8" s="1668"/>
      <c r="E8" s="1668"/>
      <c r="F8" s="1668"/>
      <c r="G8" s="1668"/>
    </row>
    <row r="9" spans="1:12">
      <c r="G9" s="1456" t="s">
        <v>43</v>
      </c>
    </row>
    <row r="10" spans="1:12" ht="117" customHeight="1">
      <c r="A10" s="1441" t="s">
        <v>0</v>
      </c>
      <c r="B10" s="1441" t="s">
        <v>1</v>
      </c>
      <c r="C10" s="1441" t="str">
        <f>'TTDVNN V '!C11</f>
        <v>Dự toán 
năm 2025</v>
      </c>
      <c r="D10" s="1441" t="s">
        <v>18</v>
      </c>
      <c r="E10" s="1441" t="str">
        <f>'TTDVNN V '!E11</f>
        <v>Thực hiện cải cách tiền lương từ nguồn tiết kiệm chi 10% của đơn vị</v>
      </c>
      <c r="F10" s="1441" t="s">
        <v>117</v>
      </c>
      <c r="G10" s="1441" t="s">
        <v>19</v>
      </c>
    </row>
    <row r="11" spans="1:12">
      <c r="A11" s="1358" t="s">
        <v>20</v>
      </c>
      <c r="B11" s="1358" t="s">
        <v>21</v>
      </c>
      <c r="C11" s="1358" t="s">
        <v>22</v>
      </c>
      <c r="D11" s="1358" t="s">
        <v>23</v>
      </c>
      <c r="E11" s="1358" t="str">
        <f>'TTDVNN V '!E12</f>
        <v>(5)</v>
      </c>
      <c r="F11" s="1358" t="str">
        <f>'TTDVNN V '!F12</f>
        <v>(6)=(3)-(4)+(5)</v>
      </c>
      <c r="G11" s="1358" t="s">
        <v>1287</v>
      </c>
    </row>
    <row r="12" spans="1:12" ht="37.5">
      <c r="A12" s="1441" t="s">
        <v>2</v>
      </c>
      <c r="B12" s="1359" t="s">
        <v>3</v>
      </c>
      <c r="C12" s="1360"/>
      <c r="D12" s="1360"/>
      <c r="E12" s="1360"/>
      <c r="F12" s="1360"/>
      <c r="G12" s="318"/>
    </row>
    <row r="13" spans="1:12">
      <c r="A13" s="315">
        <v>1</v>
      </c>
      <c r="B13" s="316" t="s">
        <v>4</v>
      </c>
      <c r="C13" s="317"/>
      <c r="D13" s="317"/>
      <c r="E13" s="317"/>
      <c r="F13" s="317"/>
      <c r="G13" s="318"/>
    </row>
    <row r="14" spans="1:12">
      <c r="A14" s="315">
        <v>2</v>
      </c>
      <c r="B14" s="316" t="s">
        <v>7</v>
      </c>
      <c r="C14" s="317"/>
      <c r="D14" s="317"/>
      <c r="E14" s="317"/>
      <c r="F14" s="317">
        <f>C14-D14</f>
        <v>0</v>
      </c>
      <c r="G14" s="318"/>
    </row>
    <row r="15" spans="1:12" ht="37.5">
      <c r="A15" s="1441" t="s">
        <v>12</v>
      </c>
      <c r="B15" s="1359" t="s">
        <v>84</v>
      </c>
      <c r="C15" s="1360">
        <f>C16</f>
        <v>3036500000</v>
      </c>
      <c r="D15" s="1360">
        <f>D16</f>
        <v>137900000</v>
      </c>
      <c r="E15" s="1360">
        <f>E16</f>
        <v>137900000</v>
      </c>
      <c r="F15" s="1360">
        <f>F16</f>
        <v>3036500000</v>
      </c>
      <c r="G15" s="318"/>
      <c r="J15" s="320">
        <f>C15-D15+E15</f>
        <v>3036500000</v>
      </c>
      <c r="K15" s="320">
        <f>J15-F15</f>
        <v>0</v>
      </c>
      <c r="L15" s="320">
        <f>F15-'UBMTTQ V'!F15</f>
        <v>376700000</v>
      </c>
    </row>
    <row r="16" spans="1:12" ht="37.5">
      <c r="A16" s="1441"/>
      <c r="B16" s="1359" t="s">
        <v>676</v>
      </c>
      <c r="C16" s="1360">
        <f>C17+C21</f>
        <v>3036500000</v>
      </c>
      <c r="D16" s="1360">
        <f>D17+D21</f>
        <v>137900000</v>
      </c>
      <c r="E16" s="1360">
        <f>E17+E21</f>
        <v>137900000</v>
      </c>
      <c r="F16" s="1360">
        <f>F17+F21</f>
        <v>3036500000</v>
      </c>
      <c r="G16" s="318"/>
      <c r="J16" s="320">
        <f t="shared" ref="J16:J39" si="0">C16-D16+E16</f>
        <v>3036500000</v>
      </c>
      <c r="K16" s="320">
        <f t="shared" ref="K16:K39" si="1">J16-F16</f>
        <v>0</v>
      </c>
      <c r="L16" s="319">
        <f>98+171+27</f>
        <v>296</v>
      </c>
    </row>
    <row r="17" spans="1:14" s="1365" customFormat="1" ht="39">
      <c r="A17" s="1361">
        <v>1</v>
      </c>
      <c r="B17" s="1362" t="s">
        <v>9</v>
      </c>
      <c r="C17" s="1363">
        <f>SUM(C18:C20)</f>
        <v>1713500000</v>
      </c>
      <c r="D17" s="1363">
        <f>SUM(D18:D20)</f>
        <v>18900000</v>
      </c>
      <c r="E17" s="1363">
        <f>SUM(E18:E20)</f>
        <v>137900000</v>
      </c>
      <c r="F17" s="1363">
        <f>SUM(F18:F20)</f>
        <v>1832500000</v>
      </c>
      <c r="G17" s="1364"/>
      <c r="J17" s="320">
        <f t="shared" si="0"/>
        <v>1832500000</v>
      </c>
      <c r="K17" s="320">
        <f t="shared" si="1"/>
        <v>0</v>
      </c>
      <c r="L17" s="1365">
        <v>38</v>
      </c>
      <c r="M17" s="1365">
        <v>30</v>
      </c>
      <c r="N17" s="1365">
        <v>11</v>
      </c>
    </row>
    <row r="18" spans="1:14" ht="37.5">
      <c r="A18" s="315" t="s">
        <v>5</v>
      </c>
      <c r="B18" s="316" t="s">
        <v>26</v>
      </c>
      <c r="C18" s="317">
        <f>'Dự toán Chi tiết 2025'!L942+171000000+25600000</f>
        <v>1056600000</v>
      </c>
      <c r="D18" s="317"/>
      <c r="E18" s="317"/>
      <c r="F18" s="317">
        <f>C18-D18+E18</f>
        <v>1056600000</v>
      </c>
      <c r="G18" s="318"/>
      <c r="J18" s="320">
        <f t="shared" si="0"/>
        <v>1056600000</v>
      </c>
      <c r="K18" s="320">
        <f t="shared" si="1"/>
        <v>0</v>
      </c>
      <c r="L18" s="319" t="s">
        <v>2091</v>
      </c>
    </row>
    <row r="19" spans="1:14" ht="37.5">
      <c r="A19" s="315" t="s">
        <v>6</v>
      </c>
      <c r="B19" s="316" t="str">
        <f>'TTDVNN V '!B18</f>
        <v>Kinh phí thực hiện cải cách tiền lương</v>
      </c>
      <c r="C19" s="317">
        <f>'Dự toán Chi tiết 2025'!L945+98000000+14100000</f>
        <v>467900000</v>
      </c>
      <c r="D19" s="317"/>
      <c r="E19" s="317">
        <f>D15</f>
        <v>137900000</v>
      </c>
      <c r="F19" s="317">
        <f>C19-D19+E19</f>
        <v>605800000</v>
      </c>
      <c r="G19" s="318"/>
      <c r="J19" s="320">
        <f t="shared" si="0"/>
        <v>605800000</v>
      </c>
      <c r="K19" s="320">
        <f t="shared" si="1"/>
        <v>0</v>
      </c>
    </row>
    <row r="20" spans="1:14" ht="37.5">
      <c r="A20" s="315" t="s">
        <v>157</v>
      </c>
      <c r="B20" s="316" t="s">
        <v>27</v>
      </c>
      <c r="C20" s="317">
        <f>'Dự toán Chi tiết 2025'!L944+27000000</f>
        <v>189000000</v>
      </c>
      <c r="D20" s="317">
        <f>C20*10%</f>
        <v>18900000</v>
      </c>
      <c r="E20" s="317"/>
      <c r="F20" s="317">
        <f>C20-D20+E20</f>
        <v>170100000</v>
      </c>
      <c r="G20" s="318"/>
      <c r="J20" s="320">
        <f t="shared" si="0"/>
        <v>170100000</v>
      </c>
      <c r="K20" s="320">
        <f t="shared" si="1"/>
        <v>0</v>
      </c>
    </row>
    <row r="21" spans="1:14" s="1365" customFormat="1" ht="39">
      <c r="A21" s="1361">
        <v>2</v>
      </c>
      <c r="B21" s="1362" t="str">
        <f>'Thành ủy V'!B31</f>
        <v>Kinh phí nhiệm vụ không thường xuyên</v>
      </c>
      <c r="C21" s="1363">
        <f>SUM(C22:C39)</f>
        <v>1323000000</v>
      </c>
      <c r="D21" s="1363">
        <f>SUM(D22:D39)</f>
        <v>119000000</v>
      </c>
      <c r="E21" s="1363">
        <f>SUM(E22:E39)</f>
        <v>0</v>
      </c>
      <c r="F21" s="1363">
        <f>SUM(F22:F39)</f>
        <v>1204000000</v>
      </c>
      <c r="G21" s="1364"/>
      <c r="J21" s="320">
        <f t="shared" si="0"/>
        <v>1204000000</v>
      </c>
      <c r="K21" s="320">
        <f t="shared" si="1"/>
        <v>0</v>
      </c>
    </row>
    <row r="22" spans="1:14" ht="37.5" hidden="1">
      <c r="A22" s="315" t="s">
        <v>8</v>
      </c>
      <c r="B22" s="316" t="s">
        <v>409</v>
      </c>
      <c r="C22" s="317">
        <f>'Dự toán Chi tiết 2025'!L947</f>
        <v>0</v>
      </c>
      <c r="D22" s="317"/>
      <c r="E22" s="317"/>
      <c r="F22" s="317">
        <f>C22-D22</f>
        <v>0</v>
      </c>
      <c r="G22" s="318"/>
      <c r="J22" s="320">
        <f t="shared" si="0"/>
        <v>0</v>
      </c>
      <c r="K22" s="320">
        <f t="shared" si="1"/>
        <v>0</v>
      </c>
    </row>
    <row r="23" spans="1:14">
      <c r="A23" s="315" t="s">
        <v>8</v>
      </c>
      <c r="B23" s="316" t="s">
        <v>518</v>
      </c>
      <c r="C23" s="317">
        <f>'Dự toán Chi tiết 2025'!L949</f>
        <v>36000000</v>
      </c>
      <c r="D23" s="317"/>
      <c r="E23" s="317"/>
      <c r="F23" s="317">
        <f t="shared" ref="F23:F39" si="2">C23-D23</f>
        <v>36000000</v>
      </c>
      <c r="G23" s="1493"/>
      <c r="J23" s="320">
        <f t="shared" si="0"/>
        <v>36000000</v>
      </c>
      <c r="K23" s="320">
        <f t="shared" si="1"/>
        <v>0</v>
      </c>
    </row>
    <row r="24" spans="1:14" ht="150">
      <c r="A24" s="315" t="s">
        <v>11</v>
      </c>
      <c r="B24" s="316" t="s">
        <v>520</v>
      </c>
      <c r="C24" s="317">
        <f>'Dự toán Chi tiết 2025'!L950</f>
        <v>120000000</v>
      </c>
      <c r="D24" s="317">
        <f t="shared" ref="D24:D39" si="3">C24*10%</f>
        <v>12000000</v>
      </c>
      <c r="E24" s="317"/>
      <c r="F24" s="317">
        <f t="shared" si="2"/>
        <v>108000000</v>
      </c>
      <c r="G24" s="1493"/>
      <c r="J24" s="320">
        <f t="shared" si="0"/>
        <v>108000000</v>
      </c>
      <c r="K24" s="320">
        <f t="shared" si="1"/>
        <v>0</v>
      </c>
    </row>
    <row r="25" spans="1:14" ht="37.5">
      <c r="A25" s="315" t="s">
        <v>13</v>
      </c>
      <c r="B25" s="316" t="s">
        <v>521</v>
      </c>
      <c r="C25" s="317">
        <f>'Dự toán Chi tiết 2025'!L952</f>
        <v>150000000</v>
      </c>
      <c r="D25" s="317">
        <f t="shared" si="3"/>
        <v>15000000</v>
      </c>
      <c r="E25" s="317"/>
      <c r="F25" s="317">
        <f t="shared" si="2"/>
        <v>135000000</v>
      </c>
      <c r="G25" s="1493"/>
      <c r="J25" s="320">
        <f t="shared" si="0"/>
        <v>135000000</v>
      </c>
      <c r="K25" s="320">
        <f t="shared" si="1"/>
        <v>0</v>
      </c>
    </row>
    <row r="26" spans="1:14">
      <c r="A26" s="315" t="s">
        <v>28</v>
      </c>
      <c r="B26" s="316" t="str">
        <f>'ĐT_ Nội vụ_ điều chỉnh'!B22</f>
        <v>Hoạt động chi bộ</v>
      </c>
      <c r="C26" s="317">
        <v>11000000</v>
      </c>
      <c r="D26" s="317"/>
      <c r="E26" s="317"/>
      <c r="F26" s="317">
        <f t="shared" si="2"/>
        <v>11000000</v>
      </c>
      <c r="G26" s="1493"/>
      <c r="J26" s="320"/>
      <c r="K26" s="320"/>
    </row>
    <row r="27" spans="1:14">
      <c r="A27" s="315" t="s">
        <v>29</v>
      </c>
      <c r="B27" s="316" t="str">
        <f>'ĐT_ Nội vụ_ điều chỉnh'!B23</f>
        <v>Kinh phí tổ chức Đại hội</v>
      </c>
      <c r="C27" s="317">
        <v>30000000</v>
      </c>
      <c r="D27" s="317"/>
      <c r="E27" s="317"/>
      <c r="F27" s="317">
        <f t="shared" si="2"/>
        <v>30000000</v>
      </c>
      <c r="G27" s="1493"/>
      <c r="J27" s="320"/>
      <c r="K27" s="320"/>
    </row>
    <row r="28" spans="1:14" ht="56.25">
      <c r="A28" s="315" t="s">
        <v>30</v>
      </c>
      <c r="B28" s="316" t="s">
        <v>522</v>
      </c>
      <c r="C28" s="317">
        <f>'Dự toán Chi tiết 2025'!L953</f>
        <v>110000000</v>
      </c>
      <c r="D28" s="317">
        <f t="shared" si="3"/>
        <v>11000000</v>
      </c>
      <c r="E28" s="317"/>
      <c r="F28" s="317">
        <f t="shared" si="2"/>
        <v>99000000</v>
      </c>
      <c r="G28" s="318"/>
      <c r="J28" s="320">
        <f t="shared" si="0"/>
        <v>99000000</v>
      </c>
      <c r="K28" s="320">
        <f t="shared" si="1"/>
        <v>0</v>
      </c>
    </row>
    <row r="29" spans="1:14" ht="173.25" customHeight="1">
      <c r="A29" s="315" t="s">
        <v>31</v>
      </c>
      <c r="B29" s="316" t="str">
        <f>'Dự toán Chi tiết 2025'!B954</f>
        <v>Kinh phí thực hiện đề án 02-212 và tuyên truyền kế hoạch phát triển kinh tế xã hội; KP phối hợp thực hiện nhiệm vụ phát triển kinh tế xã hội, giải quyết những vấn đề bức xúc của nhân dân trên địa bàn thành phố theo QĐ 1856-QĐ/TU ngày 20/10/2011 của Tỉnh ủy Quảng Ngãi</v>
      </c>
      <c r="C29" s="317">
        <f>'Dự toán Chi tiết 2025'!L954</f>
        <v>150000000</v>
      </c>
      <c r="D29" s="317">
        <f t="shared" si="3"/>
        <v>15000000</v>
      </c>
      <c r="E29" s="317"/>
      <c r="F29" s="317">
        <f t="shared" si="2"/>
        <v>135000000</v>
      </c>
      <c r="G29" s="318"/>
      <c r="J29" s="320">
        <f t="shared" si="0"/>
        <v>135000000</v>
      </c>
      <c r="K29" s="320">
        <f t="shared" si="1"/>
        <v>0</v>
      </c>
    </row>
    <row r="30" spans="1:14" ht="56.25">
      <c r="A30" s="315" t="s">
        <v>32</v>
      </c>
      <c r="B30" s="316" t="s">
        <v>524</v>
      </c>
      <c r="C30" s="317">
        <f>'Dự toán Chi tiết 2025'!L955</f>
        <v>36000000</v>
      </c>
      <c r="D30" s="317"/>
      <c r="E30" s="317"/>
      <c r="F30" s="317">
        <f t="shared" si="2"/>
        <v>36000000</v>
      </c>
      <c r="G30" s="318"/>
      <c r="J30" s="320">
        <f t="shared" si="0"/>
        <v>36000000</v>
      </c>
      <c r="K30" s="320">
        <f t="shared" si="1"/>
        <v>0</v>
      </c>
    </row>
    <row r="31" spans="1:14" ht="56.25">
      <c r="A31" s="315" t="s">
        <v>38</v>
      </c>
      <c r="B31" s="316" t="s">
        <v>525</v>
      </c>
      <c r="C31" s="317">
        <f>'Dự toán Chi tiết 2025'!L956</f>
        <v>100000000</v>
      </c>
      <c r="D31" s="317">
        <f t="shared" si="3"/>
        <v>10000000</v>
      </c>
      <c r="E31" s="317"/>
      <c r="F31" s="317">
        <f t="shared" si="2"/>
        <v>90000000</v>
      </c>
      <c r="G31" s="318"/>
      <c r="J31" s="320">
        <f t="shared" si="0"/>
        <v>90000000</v>
      </c>
      <c r="K31" s="320">
        <f t="shared" si="1"/>
        <v>0</v>
      </c>
    </row>
    <row r="32" spans="1:14" ht="74.45" customHeight="1">
      <c r="A32" s="315" t="s">
        <v>39</v>
      </c>
      <c r="B32" s="316" t="str">
        <f>'Dự toán Chi tiết 2025'!B958</f>
        <v>Chi theo Nghị quyết 38/2024/NQ-HĐND ngày 10/12/2024, các hoạt động đặc thù của mặt trận và các nhiệm vụ phát sinh trong năm</v>
      </c>
      <c r="C32" s="317">
        <f>'Dự toán Chi tiết 2025'!L958</f>
        <v>400000000</v>
      </c>
      <c r="D32" s="317">
        <f t="shared" si="3"/>
        <v>40000000</v>
      </c>
      <c r="E32" s="317"/>
      <c r="F32" s="317">
        <f t="shared" si="2"/>
        <v>360000000</v>
      </c>
      <c r="G32" s="318"/>
      <c r="J32" s="320">
        <f t="shared" si="0"/>
        <v>360000000</v>
      </c>
      <c r="K32" s="320">
        <f t="shared" si="1"/>
        <v>0</v>
      </c>
    </row>
    <row r="33" spans="1:11" ht="37.5">
      <c r="A33" s="315" t="s">
        <v>40</v>
      </c>
      <c r="B33" s="316" t="s">
        <v>531</v>
      </c>
      <c r="C33" s="317">
        <f>'Dự toán Chi tiết 2025'!L963</f>
        <v>30000000</v>
      </c>
      <c r="D33" s="317">
        <f t="shared" si="3"/>
        <v>3000000</v>
      </c>
      <c r="E33" s="317"/>
      <c r="F33" s="317">
        <f t="shared" si="2"/>
        <v>27000000</v>
      </c>
      <c r="G33" s="318"/>
      <c r="J33" s="320">
        <f t="shared" si="0"/>
        <v>27000000</v>
      </c>
      <c r="K33" s="320">
        <f t="shared" si="1"/>
        <v>0</v>
      </c>
    </row>
    <row r="34" spans="1:11" ht="37.5">
      <c r="A34" s="315" t="s">
        <v>41</v>
      </c>
      <c r="B34" s="316" t="s">
        <v>534</v>
      </c>
      <c r="C34" s="317">
        <f>'Dự toán Chi tiết 2025'!L967</f>
        <v>100000000</v>
      </c>
      <c r="D34" s="317">
        <f t="shared" si="3"/>
        <v>10000000</v>
      </c>
      <c r="E34" s="317"/>
      <c r="F34" s="317">
        <f t="shared" si="2"/>
        <v>90000000</v>
      </c>
      <c r="G34" s="318"/>
      <c r="J34" s="320">
        <f t="shared" si="0"/>
        <v>90000000</v>
      </c>
      <c r="K34" s="320">
        <f t="shared" si="1"/>
        <v>0</v>
      </c>
    </row>
    <row r="35" spans="1:11" ht="37.5">
      <c r="A35" s="315" t="s">
        <v>714</v>
      </c>
      <c r="B35" s="316" t="s">
        <v>535</v>
      </c>
      <c r="C35" s="317">
        <f>'Dự toán Chi tiết 2025'!L968</f>
        <v>30000000</v>
      </c>
      <c r="D35" s="317">
        <f t="shared" si="3"/>
        <v>3000000</v>
      </c>
      <c r="E35" s="317"/>
      <c r="F35" s="317">
        <f t="shared" si="2"/>
        <v>27000000</v>
      </c>
      <c r="G35" s="318"/>
      <c r="J35" s="320">
        <f t="shared" si="0"/>
        <v>27000000</v>
      </c>
      <c r="K35" s="320">
        <f t="shared" si="1"/>
        <v>0</v>
      </c>
    </row>
    <row r="36" spans="1:11" ht="37.5">
      <c r="A36" s="315" t="s">
        <v>715</v>
      </c>
      <c r="B36" s="316" t="s">
        <v>1181</v>
      </c>
      <c r="C36" s="317">
        <f>'Dự toán Chi tiết 2025'!L969</f>
        <v>20000000</v>
      </c>
      <c r="D36" s="317"/>
      <c r="E36" s="317"/>
      <c r="F36" s="317">
        <f t="shared" si="2"/>
        <v>20000000</v>
      </c>
      <c r="G36" s="318"/>
      <c r="J36" s="320">
        <f t="shared" si="0"/>
        <v>20000000</v>
      </c>
      <c r="K36" s="320">
        <f t="shared" si="1"/>
        <v>0</v>
      </c>
    </row>
    <row r="37" spans="1:11" ht="56.25" hidden="1">
      <c r="A37" s="315" t="s">
        <v>714</v>
      </c>
      <c r="B37" s="316" t="s">
        <v>1182</v>
      </c>
      <c r="C37" s="317">
        <v>0</v>
      </c>
      <c r="D37" s="317">
        <f t="shared" si="3"/>
        <v>0</v>
      </c>
      <c r="E37" s="317"/>
      <c r="F37" s="317">
        <f t="shared" si="2"/>
        <v>0</v>
      </c>
      <c r="G37" s="318"/>
      <c r="J37" s="320">
        <f t="shared" si="0"/>
        <v>0</v>
      </c>
      <c r="K37" s="320">
        <f t="shared" si="1"/>
        <v>0</v>
      </c>
    </row>
    <row r="38" spans="1:11" ht="37.5" hidden="1">
      <c r="A38" s="315" t="s">
        <v>715</v>
      </c>
      <c r="B38" s="316" t="s">
        <v>1183</v>
      </c>
      <c r="C38" s="317">
        <f>'Dự toán Chi tiết 2025'!L971</f>
        <v>0</v>
      </c>
      <c r="D38" s="317">
        <f t="shared" si="3"/>
        <v>0</v>
      </c>
      <c r="E38" s="317"/>
      <c r="F38" s="317">
        <f t="shared" si="2"/>
        <v>0</v>
      </c>
      <c r="G38" s="318"/>
      <c r="J38" s="320">
        <f t="shared" si="0"/>
        <v>0</v>
      </c>
      <c r="K38" s="320">
        <f t="shared" si="1"/>
        <v>0</v>
      </c>
    </row>
    <row r="39" spans="1:11" ht="131.25" hidden="1">
      <c r="A39" s="315" t="s">
        <v>716</v>
      </c>
      <c r="B39" s="316" t="s">
        <v>483</v>
      </c>
      <c r="C39" s="317">
        <v>0</v>
      </c>
      <c r="D39" s="317">
        <f t="shared" si="3"/>
        <v>0</v>
      </c>
      <c r="E39" s="317"/>
      <c r="F39" s="317">
        <f t="shared" si="2"/>
        <v>0</v>
      </c>
      <c r="G39" s="318"/>
      <c r="J39" s="320">
        <f t="shared" si="0"/>
        <v>0</v>
      </c>
      <c r="K39" s="320">
        <f t="shared" si="1"/>
        <v>0</v>
      </c>
    </row>
  </sheetData>
  <mergeCells count="8">
    <mergeCell ref="A8:G8"/>
    <mergeCell ref="A3:G3"/>
    <mergeCell ref="A1:C1"/>
    <mergeCell ref="A2:C2"/>
    <mergeCell ref="A4:G4"/>
    <mergeCell ref="A5:G5"/>
    <mergeCell ref="A6:G6"/>
    <mergeCell ref="A7:G7"/>
  </mergeCells>
  <pageMargins left="0.44" right="0.38" top="0.59055118110236227" bottom="0.74803149606299213" header="0.31496062992125984" footer="0.31496062992125984"/>
  <pageSetup paperSize="9" scale="64" fitToHeight="0" orientation="portrait" verticalDpi="0" r:id="rId1"/>
  <headerFooter>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37"/>
  <sheetViews>
    <sheetView zoomScale="85" zoomScaleNormal="85" workbookViewId="0">
      <selection activeCell="C18" sqref="C18"/>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9" width="0" style="2" hidden="1" customWidth="1"/>
    <col min="10" max="10" width="18" style="2" hidden="1" customWidth="1"/>
    <col min="11" max="11" width="0" style="2" hidden="1" customWidth="1"/>
    <col min="12"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11">
      <c r="A1" s="1838" t="s">
        <v>669</v>
      </c>
      <c r="B1" s="1838"/>
      <c r="C1" s="1838"/>
      <c r="G1" s="3"/>
    </row>
    <row r="2" spans="1:11">
      <c r="A2" s="1798" t="s">
        <v>670</v>
      </c>
      <c r="B2" s="1798"/>
      <c r="C2" s="1798"/>
      <c r="D2" s="4"/>
      <c r="E2" s="4"/>
      <c r="F2" s="4"/>
    </row>
    <row r="3" spans="1:11">
      <c r="A3" s="5"/>
    </row>
    <row r="4" spans="1:11">
      <c r="A4" s="1798" t="str">
        <f>'TTDVNN V '!A4:G4</f>
        <v>DỰ TOÁN THU, CHI NGÂN SÁCH NHÀ NƯỚC NĂM 2025</v>
      </c>
      <c r="B4" s="1798"/>
      <c r="C4" s="1798"/>
      <c r="D4" s="1798"/>
      <c r="E4" s="1798"/>
      <c r="F4" s="1798"/>
      <c r="G4" s="1798"/>
    </row>
    <row r="5" spans="1:11">
      <c r="A5" s="1798" t="s">
        <v>671</v>
      </c>
      <c r="B5" s="1798"/>
      <c r="C5" s="1798"/>
      <c r="D5" s="1798"/>
      <c r="E5" s="1798"/>
      <c r="F5" s="1798"/>
      <c r="G5" s="1798"/>
    </row>
    <row r="6" spans="1:11">
      <c r="A6" s="1798" t="s">
        <v>672</v>
      </c>
      <c r="B6" s="1798"/>
      <c r="C6" s="1798"/>
      <c r="D6" s="1798"/>
      <c r="E6" s="1798"/>
      <c r="F6" s="1798"/>
      <c r="G6" s="1798"/>
    </row>
    <row r="7" spans="1:11">
      <c r="A7" s="1798" t="s">
        <v>17</v>
      </c>
      <c r="B7" s="1798"/>
      <c r="C7" s="1798"/>
      <c r="D7" s="1798"/>
      <c r="E7" s="1798"/>
      <c r="F7" s="1798"/>
      <c r="G7" s="1798"/>
    </row>
    <row r="8" spans="1:11">
      <c r="A8" s="1799">
        <f>'TTDVNN V '!A8:G8</f>
        <v>0</v>
      </c>
      <c r="B8" s="1799"/>
      <c r="C8" s="1799"/>
      <c r="D8" s="1799"/>
      <c r="E8" s="1799"/>
      <c r="F8" s="1799"/>
      <c r="G8" s="1799"/>
    </row>
    <row r="9" spans="1:11">
      <c r="G9" s="6" t="s">
        <v>43</v>
      </c>
    </row>
    <row r="10" spans="1:11"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11">
      <c r="A11" s="8" t="s">
        <v>20</v>
      </c>
      <c r="B11" s="8" t="s">
        <v>21</v>
      </c>
      <c r="C11" s="8" t="s">
        <v>22</v>
      </c>
      <c r="D11" s="8" t="s">
        <v>23</v>
      </c>
      <c r="E11" s="8" t="str">
        <f>'TTDVNN V '!E12</f>
        <v>(5)</v>
      </c>
      <c r="F11" s="8" t="str">
        <f>'TTDVNN V '!F12</f>
        <v>(6)=(3)-(4)+(5)</v>
      </c>
      <c r="G11" s="8" t="s">
        <v>1287</v>
      </c>
    </row>
    <row r="12" spans="1:11" ht="37.5">
      <c r="A12" s="7" t="s">
        <v>2</v>
      </c>
      <c r="B12" s="9" t="s">
        <v>3</v>
      </c>
      <c r="C12" s="10"/>
      <c r="D12" s="10"/>
      <c r="E12" s="10"/>
      <c r="F12" s="10"/>
      <c r="G12" s="11"/>
    </row>
    <row r="13" spans="1:11">
      <c r="A13" s="17">
        <v>1</v>
      </c>
      <c r="B13" s="18" t="s">
        <v>4</v>
      </c>
      <c r="C13" s="19"/>
      <c r="D13" s="19"/>
      <c r="E13" s="19"/>
      <c r="F13" s="19"/>
      <c r="G13" s="11"/>
    </row>
    <row r="14" spans="1:11">
      <c r="A14" s="17">
        <v>2</v>
      </c>
      <c r="B14" s="18" t="s">
        <v>7</v>
      </c>
      <c r="C14" s="19"/>
      <c r="D14" s="19"/>
      <c r="E14" s="19"/>
      <c r="F14" s="19">
        <f>C14-D14</f>
        <v>0</v>
      </c>
      <c r="G14" s="11"/>
    </row>
    <row r="15" spans="1:11" ht="37.5">
      <c r="A15" s="7" t="s">
        <v>12</v>
      </c>
      <c r="B15" s="9" t="s">
        <v>84</v>
      </c>
      <c r="C15" s="10">
        <f>C16</f>
        <v>2659800000</v>
      </c>
      <c r="D15" s="10">
        <f>D16</f>
        <v>135200000</v>
      </c>
      <c r="E15" s="10">
        <f>E16</f>
        <v>135200000</v>
      </c>
      <c r="F15" s="10">
        <f>F16</f>
        <v>2659800000</v>
      </c>
      <c r="G15" s="11"/>
      <c r="J15" s="240">
        <f>C15-D15+E15</f>
        <v>2659800000</v>
      </c>
      <c r="K15" s="240">
        <f>J15-F15</f>
        <v>0</v>
      </c>
    </row>
    <row r="16" spans="1:11" ht="37.5">
      <c r="A16" s="7"/>
      <c r="B16" s="9" t="s">
        <v>676</v>
      </c>
      <c r="C16" s="10">
        <f>C17+C21</f>
        <v>2659800000</v>
      </c>
      <c r="D16" s="10">
        <f>D17+D21</f>
        <v>135200000</v>
      </c>
      <c r="E16" s="10">
        <f>E17+E21</f>
        <v>135200000</v>
      </c>
      <c r="F16" s="10">
        <f>F17+F21</f>
        <v>2659800000</v>
      </c>
      <c r="G16" s="11"/>
      <c r="J16" s="240">
        <f t="shared" ref="J16:J37" si="0">C16-D16+E16</f>
        <v>2659800000</v>
      </c>
      <c r="K16" s="240">
        <f t="shared" ref="K16:K37" si="1">J16-F16</f>
        <v>0</v>
      </c>
    </row>
    <row r="17" spans="1:11" s="16" customFormat="1" ht="39">
      <c r="A17" s="12">
        <v>1</v>
      </c>
      <c r="B17" s="13" t="s">
        <v>9</v>
      </c>
      <c r="C17" s="14">
        <f>SUM(C18:C20)</f>
        <v>1377800000</v>
      </c>
      <c r="D17" s="14">
        <f>SUM(D18:D20)</f>
        <v>16200000</v>
      </c>
      <c r="E17" s="14">
        <f>SUM(E18:E20)</f>
        <v>135200000</v>
      </c>
      <c r="F17" s="14">
        <f>SUM(F18:F20)</f>
        <v>1496800000</v>
      </c>
      <c r="G17" s="15"/>
      <c r="J17" s="240">
        <f t="shared" si="0"/>
        <v>1496800000</v>
      </c>
      <c r="K17" s="240">
        <f t="shared" si="1"/>
        <v>0</v>
      </c>
    </row>
    <row r="18" spans="1:11" ht="37.5">
      <c r="A18" s="17" t="s">
        <v>5</v>
      </c>
      <c r="B18" s="18" t="s">
        <v>26</v>
      </c>
      <c r="C18" s="19">
        <f>'Dự toán Chi tiết 2025'!L942</f>
        <v>860000000</v>
      </c>
      <c r="D18" s="19"/>
      <c r="E18" s="19"/>
      <c r="F18" s="19">
        <f>C18-D18+E18</f>
        <v>860000000</v>
      </c>
      <c r="G18" s="11"/>
      <c r="J18" s="240">
        <f t="shared" si="0"/>
        <v>860000000</v>
      </c>
      <c r="K18" s="240">
        <f t="shared" si="1"/>
        <v>0</v>
      </c>
    </row>
    <row r="19" spans="1:11" ht="37.5">
      <c r="A19" s="17" t="s">
        <v>6</v>
      </c>
      <c r="B19" s="18" t="str">
        <f>'TTDVNN V '!B18</f>
        <v>Kinh phí thực hiện cải cách tiền lương</v>
      </c>
      <c r="C19" s="19">
        <f>'Dự toán Chi tiết 2025'!L945</f>
        <v>355800000</v>
      </c>
      <c r="D19" s="19"/>
      <c r="E19" s="19">
        <f>D15</f>
        <v>135200000</v>
      </c>
      <c r="F19" s="19">
        <f>C19-D19+E19</f>
        <v>491000000</v>
      </c>
      <c r="G19" s="11"/>
      <c r="J19" s="240">
        <f t="shared" si="0"/>
        <v>491000000</v>
      </c>
      <c r="K19" s="240">
        <f t="shared" si="1"/>
        <v>0</v>
      </c>
    </row>
    <row r="20" spans="1:11" ht="37.5">
      <c r="A20" s="17" t="s">
        <v>157</v>
      </c>
      <c r="B20" s="18" t="s">
        <v>27</v>
      </c>
      <c r="C20" s="19">
        <f>'Dự toán Chi tiết 2025'!L944</f>
        <v>162000000</v>
      </c>
      <c r="D20" s="19">
        <f>C20*10%</f>
        <v>16200000</v>
      </c>
      <c r="E20" s="19"/>
      <c r="F20" s="19">
        <f>C20-D20+E20</f>
        <v>145800000</v>
      </c>
      <c r="G20" s="11"/>
      <c r="J20" s="240">
        <f t="shared" si="0"/>
        <v>145800000</v>
      </c>
      <c r="K20" s="240">
        <f t="shared" si="1"/>
        <v>0</v>
      </c>
    </row>
    <row r="21" spans="1:11" s="16" customFormat="1" ht="39">
      <c r="A21" s="12">
        <v>2</v>
      </c>
      <c r="B21" s="13" t="str">
        <f>'Thành ủy V'!B31</f>
        <v>Kinh phí nhiệm vụ không thường xuyên</v>
      </c>
      <c r="C21" s="14">
        <f>SUM(C22:C37)</f>
        <v>1282000000</v>
      </c>
      <c r="D21" s="14">
        <f>SUM(D22:D37)</f>
        <v>119000000</v>
      </c>
      <c r="E21" s="14">
        <f>SUM(E22:E37)</f>
        <v>0</v>
      </c>
      <c r="F21" s="14">
        <f>SUM(F22:F37)</f>
        <v>1163000000</v>
      </c>
      <c r="G21" s="15"/>
      <c r="J21" s="240">
        <f t="shared" si="0"/>
        <v>1163000000</v>
      </c>
      <c r="K21" s="240">
        <f t="shared" si="1"/>
        <v>0</v>
      </c>
    </row>
    <row r="22" spans="1:11" ht="37.5" hidden="1">
      <c r="A22" s="17" t="s">
        <v>8</v>
      </c>
      <c r="B22" s="22" t="s">
        <v>409</v>
      </c>
      <c r="C22" s="19">
        <f>'Dự toán Chi tiết 2025'!L947</f>
        <v>0</v>
      </c>
      <c r="D22" s="19"/>
      <c r="E22" s="19"/>
      <c r="F22" s="19">
        <f>C22-D22</f>
        <v>0</v>
      </c>
      <c r="G22" s="11"/>
      <c r="J22" s="240">
        <f t="shared" si="0"/>
        <v>0</v>
      </c>
      <c r="K22" s="240">
        <f t="shared" si="1"/>
        <v>0</v>
      </c>
    </row>
    <row r="23" spans="1:11">
      <c r="A23" s="17" t="s">
        <v>8</v>
      </c>
      <c r="B23" s="22" t="s">
        <v>518</v>
      </c>
      <c r="C23" s="19">
        <f>'Dự toán Chi tiết 2025'!L949</f>
        <v>36000000</v>
      </c>
      <c r="D23" s="19"/>
      <c r="E23" s="19"/>
      <c r="F23" s="19">
        <f t="shared" ref="F23:F37" si="2">C23-D23</f>
        <v>36000000</v>
      </c>
      <c r="G23" s="20"/>
      <c r="J23" s="240">
        <f t="shared" si="0"/>
        <v>36000000</v>
      </c>
      <c r="K23" s="240">
        <f t="shared" si="1"/>
        <v>0</v>
      </c>
    </row>
    <row r="24" spans="1:11" ht="150">
      <c r="A24" s="17" t="s">
        <v>11</v>
      </c>
      <c r="B24" s="22" t="s">
        <v>520</v>
      </c>
      <c r="C24" s="19">
        <f>'Dự toán Chi tiết 2025'!L950</f>
        <v>120000000</v>
      </c>
      <c r="D24" s="19">
        <f t="shared" ref="D24:D37" si="3">C24*10%</f>
        <v>12000000</v>
      </c>
      <c r="E24" s="19"/>
      <c r="F24" s="19">
        <f t="shared" si="2"/>
        <v>108000000</v>
      </c>
      <c r="G24" s="20"/>
      <c r="J24" s="240">
        <f t="shared" si="0"/>
        <v>108000000</v>
      </c>
      <c r="K24" s="240">
        <f t="shared" si="1"/>
        <v>0</v>
      </c>
    </row>
    <row r="25" spans="1:11" ht="37.5">
      <c r="A25" s="17" t="s">
        <v>13</v>
      </c>
      <c r="B25" s="22" t="s">
        <v>521</v>
      </c>
      <c r="C25" s="19">
        <f>'Dự toán Chi tiết 2025'!L952</f>
        <v>150000000</v>
      </c>
      <c r="D25" s="19">
        <f t="shared" si="3"/>
        <v>15000000</v>
      </c>
      <c r="E25" s="19"/>
      <c r="F25" s="19">
        <f t="shared" si="2"/>
        <v>135000000</v>
      </c>
      <c r="G25" s="20"/>
      <c r="J25" s="240">
        <f t="shared" si="0"/>
        <v>135000000</v>
      </c>
      <c r="K25" s="240">
        <f t="shared" si="1"/>
        <v>0</v>
      </c>
    </row>
    <row r="26" spans="1:11" ht="56.25">
      <c r="A26" s="17" t="s">
        <v>28</v>
      </c>
      <c r="B26" s="22" t="s">
        <v>522</v>
      </c>
      <c r="C26" s="19">
        <f>'Dự toán Chi tiết 2025'!L953</f>
        <v>110000000</v>
      </c>
      <c r="D26" s="19">
        <f t="shared" si="3"/>
        <v>11000000</v>
      </c>
      <c r="E26" s="19"/>
      <c r="F26" s="19">
        <f t="shared" si="2"/>
        <v>99000000</v>
      </c>
      <c r="G26" s="11"/>
      <c r="J26" s="240">
        <f t="shared" si="0"/>
        <v>99000000</v>
      </c>
      <c r="K26" s="240">
        <f t="shared" si="1"/>
        <v>0</v>
      </c>
    </row>
    <row r="27" spans="1:11" ht="173.25" customHeight="1">
      <c r="A27" s="17" t="s">
        <v>29</v>
      </c>
      <c r="B27" s="22" t="str">
        <f>'Dự toán Chi tiết 2025'!B954</f>
        <v>Kinh phí thực hiện đề án 02-212 và tuyên truyền kế hoạch phát triển kinh tế xã hội; KP phối hợp thực hiện nhiệm vụ phát triển kinh tế xã hội, giải quyết những vấn đề bức xúc của nhân dân trên địa bàn thành phố theo QĐ 1856-QĐ/TU ngày 20/10/2011 của Tỉnh ủy Quảng Ngãi</v>
      </c>
      <c r="C27" s="19">
        <f>'Dự toán Chi tiết 2025'!L954</f>
        <v>150000000</v>
      </c>
      <c r="D27" s="19">
        <f t="shared" si="3"/>
        <v>15000000</v>
      </c>
      <c r="E27" s="19"/>
      <c r="F27" s="19">
        <f t="shared" si="2"/>
        <v>135000000</v>
      </c>
      <c r="G27" s="11"/>
      <c r="J27" s="240">
        <f t="shared" si="0"/>
        <v>135000000</v>
      </c>
      <c r="K27" s="240">
        <f t="shared" si="1"/>
        <v>0</v>
      </c>
    </row>
    <row r="28" spans="1:11" ht="56.25">
      <c r="A28" s="17" t="s">
        <v>30</v>
      </c>
      <c r="B28" s="22" t="s">
        <v>524</v>
      </c>
      <c r="C28" s="19">
        <f>'Dự toán Chi tiết 2025'!L955</f>
        <v>36000000</v>
      </c>
      <c r="D28" s="19"/>
      <c r="E28" s="19"/>
      <c r="F28" s="19">
        <f t="shared" si="2"/>
        <v>36000000</v>
      </c>
      <c r="G28" s="11"/>
      <c r="J28" s="240">
        <f t="shared" si="0"/>
        <v>36000000</v>
      </c>
      <c r="K28" s="240">
        <f t="shared" si="1"/>
        <v>0</v>
      </c>
    </row>
    <row r="29" spans="1:11" ht="56.25">
      <c r="A29" s="17" t="s">
        <v>31</v>
      </c>
      <c r="B29" s="22" t="s">
        <v>525</v>
      </c>
      <c r="C29" s="19">
        <f>'Dự toán Chi tiết 2025'!L956</f>
        <v>100000000</v>
      </c>
      <c r="D29" s="19">
        <f t="shared" si="3"/>
        <v>10000000</v>
      </c>
      <c r="E29" s="19"/>
      <c r="F29" s="19">
        <f t="shared" si="2"/>
        <v>90000000</v>
      </c>
      <c r="G29" s="11"/>
      <c r="J29" s="240">
        <f t="shared" si="0"/>
        <v>90000000</v>
      </c>
      <c r="K29" s="240">
        <f t="shared" si="1"/>
        <v>0</v>
      </c>
    </row>
    <row r="30" spans="1:11" ht="74.45" customHeight="1">
      <c r="A30" s="17" t="s">
        <v>32</v>
      </c>
      <c r="B30" s="22" t="str">
        <f>'Dự toán Chi tiết 2025'!B958</f>
        <v>Chi theo Nghị quyết 38/2024/NQ-HĐND ngày 10/12/2024, các hoạt động đặc thù của mặt trận và các nhiệm vụ phát sinh trong năm</v>
      </c>
      <c r="C30" s="19">
        <f>'Dự toán Chi tiết 2025'!L958</f>
        <v>400000000</v>
      </c>
      <c r="D30" s="19">
        <f t="shared" si="3"/>
        <v>40000000</v>
      </c>
      <c r="E30" s="19"/>
      <c r="F30" s="19">
        <f t="shared" si="2"/>
        <v>360000000</v>
      </c>
      <c r="G30" s="11"/>
      <c r="J30" s="240">
        <f t="shared" si="0"/>
        <v>360000000</v>
      </c>
      <c r="K30" s="240">
        <f t="shared" si="1"/>
        <v>0</v>
      </c>
    </row>
    <row r="31" spans="1:11" ht="37.5">
      <c r="A31" s="17" t="s">
        <v>38</v>
      </c>
      <c r="B31" s="22" t="s">
        <v>531</v>
      </c>
      <c r="C31" s="19">
        <f>'Dự toán Chi tiết 2025'!L963</f>
        <v>30000000</v>
      </c>
      <c r="D31" s="19">
        <f t="shared" si="3"/>
        <v>3000000</v>
      </c>
      <c r="E31" s="19"/>
      <c r="F31" s="19">
        <f t="shared" si="2"/>
        <v>27000000</v>
      </c>
      <c r="G31" s="11"/>
      <c r="J31" s="240">
        <f t="shared" si="0"/>
        <v>27000000</v>
      </c>
      <c r="K31" s="240">
        <f t="shared" si="1"/>
        <v>0</v>
      </c>
    </row>
    <row r="32" spans="1:11" ht="37.5">
      <c r="A32" s="17" t="s">
        <v>39</v>
      </c>
      <c r="B32" s="22" t="s">
        <v>534</v>
      </c>
      <c r="C32" s="19">
        <f>'Dự toán Chi tiết 2025'!L967</f>
        <v>100000000</v>
      </c>
      <c r="D32" s="19">
        <f t="shared" si="3"/>
        <v>10000000</v>
      </c>
      <c r="E32" s="19"/>
      <c r="F32" s="19">
        <f t="shared" si="2"/>
        <v>90000000</v>
      </c>
      <c r="G32" s="11"/>
      <c r="J32" s="240">
        <f t="shared" si="0"/>
        <v>90000000</v>
      </c>
      <c r="K32" s="240">
        <f t="shared" si="1"/>
        <v>0</v>
      </c>
    </row>
    <row r="33" spans="1:11" ht="37.5">
      <c r="A33" s="17" t="s">
        <v>40</v>
      </c>
      <c r="B33" s="22" t="s">
        <v>535</v>
      </c>
      <c r="C33" s="19">
        <f>'Dự toán Chi tiết 2025'!L968</f>
        <v>30000000</v>
      </c>
      <c r="D33" s="19">
        <f t="shared" si="3"/>
        <v>3000000</v>
      </c>
      <c r="E33" s="19"/>
      <c r="F33" s="19">
        <f t="shared" si="2"/>
        <v>27000000</v>
      </c>
      <c r="G33" s="11"/>
      <c r="J33" s="240">
        <f t="shared" si="0"/>
        <v>27000000</v>
      </c>
      <c r="K33" s="240">
        <f t="shared" si="1"/>
        <v>0</v>
      </c>
    </row>
    <row r="34" spans="1:11" ht="37.5">
      <c r="A34" s="17" t="s">
        <v>41</v>
      </c>
      <c r="B34" s="22" t="s">
        <v>1181</v>
      </c>
      <c r="C34" s="19">
        <f>'Dự toán Chi tiết 2025'!L969</f>
        <v>20000000</v>
      </c>
      <c r="D34" s="19"/>
      <c r="E34" s="19"/>
      <c r="F34" s="19">
        <f t="shared" si="2"/>
        <v>20000000</v>
      </c>
      <c r="G34" s="11"/>
      <c r="J34" s="240">
        <f t="shared" si="0"/>
        <v>20000000</v>
      </c>
      <c r="K34" s="240">
        <f t="shared" si="1"/>
        <v>0</v>
      </c>
    </row>
    <row r="35" spans="1:11" ht="56.25" hidden="1">
      <c r="A35" s="17" t="s">
        <v>714</v>
      </c>
      <c r="B35" s="22" t="s">
        <v>1182</v>
      </c>
      <c r="C35" s="19">
        <v>0</v>
      </c>
      <c r="D35" s="19">
        <f t="shared" si="3"/>
        <v>0</v>
      </c>
      <c r="E35" s="19"/>
      <c r="F35" s="19">
        <f t="shared" si="2"/>
        <v>0</v>
      </c>
      <c r="G35" s="11"/>
      <c r="J35" s="240">
        <f t="shared" si="0"/>
        <v>0</v>
      </c>
      <c r="K35" s="240">
        <f t="shared" si="1"/>
        <v>0</v>
      </c>
    </row>
    <row r="36" spans="1:11" ht="37.5" hidden="1">
      <c r="A36" s="17" t="s">
        <v>715</v>
      </c>
      <c r="B36" s="22" t="s">
        <v>1183</v>
      </c>
      <c r="C36" s="19">
        <f>'Dự toán Chi tiết 2025'!L971</f>
        <v>0</v>
      </c>
      <c r="D36" s="19">
        <f t="shared" si="3"/>
        <v>0</v>
      </c>
      <c r="E36" s="19"/>
      <c r="F36" s="19">
        <f t="shared" si="2"/>
        <v>0</v>
      </c>
      <c r="G36" s="11"/>
      <c r="J36" s="240">
        <f t="shared" si="0"/>
        <v>0</v>
      </c>
      <c r="K36" s="240">
        <f t="shared" si="1"/>
        <v>0</v>
      </c>
    </row>
    <row r="37" spans="1:11" ht="131.25" hidden="1">
      <c r="A37" s="17" t="s">
        <v>716</v>
      </c>
      <c r="B37" s="22" t="s">
        <v>483</v>
      </c>
      <c r="C37" s="19">
        <v>0</v>
      </c>
      <c r="D37" s="19">
        <f t="shared" si="3"/>
        <v>0</v>
      </c>
      <c r="E37" s="19"/>
      <c r="F37" s="19">
        <f t="shared" si="2"/>
        <v>0</v>
      </c>
      <c r="G37" s="11"/>
      <c r="J37" s="240">
        <f t="shared" si="0"/>
        <v>0</v>
      </c>
      <c r="K37" s="240">
        <f t="shared" si="1"/>
        <v>0</v>
      </c>
    </row>
  </sheetData>
  <mergeCells count="7">
    <mergeCell ref="A8:G8"/>
    <mergeCell ref="A1:C1"/>
    <mergeCell ref="A2:C2"/>
    <mergeCell ref="A4:G4"/>
    <mergeCell ref="A5:G5"/>
    <mergeCell ref="A6:G6"/>
    <mergeCell ref="A7:G7"/>
  </mergeCells>
  <pageMargins left="0.44" right="0.38" top="0.59055118110236227" bottom="0.74803149606299213" header="0.31496062992125984" footer="0.31496062992125984"/>
  <pageSetup paperSize="9" scale="64" fitToHeight="0" orientation="portrait" verticalDpi="0" r:id="rId1"/>
  <headerFooter>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34"/>
  <sheetViews>
    <sheetView topLeftCell="A11" zoomScale="85" zoomScaleNormal="85" workbookViewId="0">
      <selection activeCell="H1" sqref="H1:L1048576"/>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16.85546875" style="2" bestFit="1" customWidth="1"/>
    <col min="8" max="8" width="0" style="2" hidden="1" customWidth="1"/>
    <col min="9" max="9" width="18" style="2" hidden="1" customWidth="1"/>
    <col min="10" max="12" width="0" style="2" hidden="1" customWidth="1"/>
    <col min="13"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10" ht="18.75" customHeight="1">
      <c r="A1" s="1838" t="s">
        <v>673</v>
      </c>
      <c r="B1" s="1838"/>
      <c r="C1" s="224"/>
      <c r="G1" s="3"/>
    </row>
    <row r="2" spans="1:10">
      <c r="A2" s="1798" t="s">
        <v>674</v>
      </c>
      <c r="B2" s="1798"/>
      <c r="C2" s="1"/>
      <c r="D2" s="4"/>
      <c r="E2" s="4"/>
      <c r="F2" s="4"/>
    </row>
    <row r="3" spans="1:10">
      <c r="A3" s="5"/>
    </row>
    <row r="4" spans="1:10">
      <c r="A4" s="1798" t="str">
        <f>'TTDVNN V '!A4:G4</f>
        <v>DỰ TOÁN THU, CHI NGÂN SÁCH NHÀ NƯỚC NĂM 2025</v>
      </c>
      <c r="B4" s="1798"/>
      <c r="C4" s="1798"/>
      <c r="D4" s="1798"/>
      <c r="E4" s="1798"/>
      <c r="F4" s="1798"/>
      <c r="G4" s="1798"/>
    </row>
    <row r="5" spans="1:10">
      <c r="A5" s="1798" t="s">
        <v>675</v>
      </c>
      <c r="B5" s="1798"/>
      <c r="C5" s="1798"/>
      <c r="D5" s="1798"/>
      <c r="E5" s="1798"/>
      <c r="F5" s="1798"/>
      <c r="G5" s="1798"/>
    </row>
    <row r="6" spans="1:10">
      <c r="A6" s="1798" t="s">
        <v>1299</v>
      </c>
      <c r="B6" s="1798"/>
      <c r="C6" s="1798"/>
      <c r="D6" s="1798"/>
      <c r="E6" s="1798"/>
      <c r="F6" s="1798"/>
      <c r="G6" s="1798"/>
    </row>
    <row r="7" spans="1:10">
      <c r="A7" s="1798" t="s">
        <v>17</v>
      </c>
      <c r="B7" s="1798"/>
      <c r="C7" s="1798"/>
      <c r="D7" s="1798"/>
      <c r="E7" s="1798"/>
      <c r="F7" s="1798"/>
      <c r="G7" s="1798"/>
    </row>
    <row r="8" spans="1:10">
      <c r="A8" s="1799">
        <f>'TTDVNN V '!A8:G8</f>
        <v>0</v>
      </c>
      <c r="B8" s="1799"/>
      <c r="C8" s="1799"/>
      <c r="D8" s="1799"/>
      <c r="E8" s="1799"/>
      <c r="F8" s="1799"/>
      <c r="G8" s="1799"/>
    </row>
    <row r="9" spans="1:10">
      <c r="G9" s="6" t="s">
        <v>43</v>
      </c>
    </row>
    <row r="10" spans="1:10"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10">
      <c r="A11" s="8" t="s">
        <v>20</v>
      </c>
      <c r="B11" s="8" t="s">
        <v>21</v>
      </c>
      <c r="C11" s="8" t="s">
        <v>22</v>
      </c>
      <c r="D11" s="8" t="s">
        <v>23</v>
      </c>
      <c r="E11" s="8" t="str">
        <f>'TTDVNN V '!E12</f>
        <v>(5)</v>
      </c>
      <c r="F11" s="8" t="str">
        <f>'TTDVNN V '!F12</f>
        <v>(6)=(3)-(4)+(5)</v>
      </c>
      <c r="G11" s="8" t="s">
        <v>1287</v>
      </c>
    </row>
    <row r="12" spans="1:10" ht="37.5">
      <c r="A12" s="7" t="s">
        <v>2</v>
      </c>
      <c r="B12" s="9" t="s">
        <v>3</v>
      </c>
      <c r="C12" s="10"/>
      <c r="D12" s="10"/>
      <c r="E12" s="10"/>
      <c r="F12" s="10"/>
      <c r="G12" s="11"/>
    </row>
    <row r="13" spans="1:10">
      <c r="A13" s="17">
        <v>1</v>
      </c>
      <c r="B13" s="18" t="s">
        <v>4</v>
      </c>
      <c r="C13" s="19"/>
      <c r="D13" s="19"/>
      <c r="E13" s="19"/>
      <c r="F13" s="19"/>
      <c r="G13" s="11"/>
    </row>
    <row r="14" spans="1:10">
      <c r="A14" s="17">
        <v>2</v>
      </c>
      <c r="B14" s="18" t="s">
        <v>7</v>
      </c>
      <c r="C14" s="19"/>
      <c r="D14" s="19">
        <f>C14*40%</f>
        <v>0</v>
      </c>
      <c r="E14" s="19"/>
      <c r="F14" s="19">
        <f>C14-D14</f>
        <v>0</v>
      </c>
      <c r="G14" s="11"/>
    </row>
    <row r="15" spans="1:10" ht="37.5">
      <c r="A15" s="7" t="s">
        <v>12</v>
      </c>
      <c r="B15" s="9" t="s">
        <v>84</v>
      </c>
      <c r="C15" s="10">
        <f>C16</f>
        <v>1285200000</v>
      </c>
      <c r="D15" s="10">
        <f>D16</f>
        <v>68800000</v>
      </c>
      <c r="E15" s="10">
        <f>E16</f>
        <v>68800000</v>
      </c>
      <c r="F15" s="10">
        <f>F16</f>
        <v>1285200000</v>
      </c>
      <c r="G15" s="11"/>
      <c r="I15" s="240">
        <f>C15-D15+E15</f>
        <v>1285200000</v>
      </c>
      <c r="J15" s="240">
        <f>I15-F15</f>
        <v>0</v>
      </c>
    </row>
    <row r="16" spans="1:10" ht="37.5">
      <c r="A16" s="7"/>
      <c r="B16" s="9" t="s">
        <v>676</v>
      </c>
      <c r="C16" s="10">
        <f>C17+C21</f>
        <v>1285200000</v>
      </c>
      <c r="D16" s="10">
        <f>D17+D21</f>
        <v>68800000</v>
      </c>
      <c r="E16" s="10">
        <f>E17+E21</f>
        <v>68800000</v>
      </c>
      <c r="F16" s="10">
        <f>F17+F21</f>
        <v>1285200000</v>
      </c>
      <c r="G16" s="11"/>
      <c r="I16" s="240">
        <f t="shared" ref="I16:I34" si="0">C16-D16+E16</f>
        <v>1285200000</v>
      </c>
      <c r="J16" s="240">
        <f t="shared" ref="J16:J34" si="1">I16-F16</f>
        <v>0</v>
      </c>
    </row>
    <row r="17" spans="1:10" s="16" customFormat="1" ht="39">
      <c r="A17" s="12">
        <v>1</v>
      </c>
      <c r="B17" s="13" t="s">
        <v>9</v>
      </c>
      <c r="C17" s="14">
        <f>SUM(C18:C20)</f>
        <v>669200000</v>
      </c>
      <c r="D17" s="14">
        <f>SUM(D18:D20)</f>
        <v>10800000</v>
      </c>
      <c r="E17" s="14">
        <f>SUM(E18:E20)</f>
        <v>68800000</v>
      </c>
      <c r="F17" s="14">
        <f>SUM(F18:F20)</f>
        <v>727200000</v>
      </c>
      <c r="G17" s="15"/>
      <c r="I17" s="240">
        <f t="shared" si="0"/>
        <v>727200000</v>
      </c>
      <c r="J17" s="240">
        <f t="shared" si="1"/>
        <v>0</v>
      </c>
    </row>
    <row r="18" spans="1:10" ht="37.5">
      <c r="A18" s="17" t="s">
        <v>5</v>
      </c>
      <c r="B18" s="18" t="s">
        <v>26</v>
      </c>
      <c r="C18" s="19">
        <f>'Dự toán Chi tiết 2025'!L979</f>
        <v>404000000</v>
      </c>
      <c r="D18" s="19"/>
      <c r="E18" s="19"/>
      <c r="F18" s="19">
        <f>C18-D18+E18</f>
        <v>404000000</v>
      </c>
      <c r="G18" s="11"/>
      <c r="I18" s="240">
        <f t="shared" si="0"/>
        <v>404000000</v>
      </c>
      <c r="J18" s="240">
        <f t="shared" si="1"/>
        <v>0</v>
      </c>
    </row>
    <row r="19" spans="1:10" ht="37.5">
      <c r="A19" s="17" t="s">
        <v>6</v>
      </c>
      <c r="B19" s="18" t="str">
        <f>'TTDVNN V '!B18</f>
        <v>Kinh phí thực hiện cải cách tiền lương</v>
      </c>
      <c r="C19" s="19">
        <f>'Dự toán Chi tiết 2025'!L981</f>
        <v>157200000</v>
      </c>
      <c r="D19" s="19"/>
      <c r="E19" s="19">
        <f>D15</f>
        <v>68800000</v>
      </c>
      <c r="F19" s="19">
        <f>C19-D19+E19</f>
        <v>226000000</v>
      </c>
      <c r="G19" s="11"/>
      <c r="I19" s="240">
        <f t="shared" si="0"/>
        <v>226000000</v>
      </c>
      <c r="J19" s="240">
        <f t="shared" si="1"/>
        <v>0</v>
      </c>
    </row>
    <row r="20" spans="1:10" ht="37.5">
      <c r="A20" s="17" t="s">
        <v>157</v>
      </c>
      <c r="B20" s="18" t="s">
        <v>27</v>
      </c>
      <c r="C20" s="19">
        <f>'Dự toán Chi tiết 2025'!L982</f>
        <v>108000000</v>
      </c>
      <c r="D20" s="19">
        <f>C20*10%</f>
        <v>10800000</v>
      </c>
      <c r="E20" s="19"/>
      <c r="F20" s="19">
        <f>C20-D20+E20</f>
        <v>97200000</v>
      </c>
      <c r="G20" s="11"/>
      <c r="I20" s="240">
        <f t="shared" si="0"/>
        <v>97200000</v>
      </c>
      <c r="J20" s="240">
        <f t="shared" si="1"/>
        <v>0</v>
      </c>
    </row>
    <row r="21" spans="1:10" s="16" customFormat="1" ht="43.5" customHeight="1">
      <c r="A21" s="12">
        <v>2</v>
      </c>
      <c r="B21" s="13" t="str">
        <f>'UBMTTQ V'!B21</f>
        <v>Kinh phí nhiệm vụ không thường xuyên</v>
      </c>
      <c r="C21" s="14">
        <f>SUM(C22:C34)</f>
        <v>616000000</v>
      </c>
      <c r="D21" s="14">
        <f>SUM(D22:D34)</f>
        <v>58000000</v>
      </c>
      <c r="E21" s="14">
        <f>SUM(E22:E34)</f>
        <v>0</v>
      </c>
      <c r="F21" s="14">
        <f>SUM(F22:F34)</f>
        <v>558000000</v>
      </c>
      <c r="G21" s="15"/>
      <c r="I21" s="240">
        <f t="shared" si="0"/>
        <v>558000000</v>
      </c>
      <c r="J21" s="240">
        <f t="shared" si="1"/>
        <v>0</v>
      </c>
    </row>
    <row r="22" spans="1:10" ht="37.5">
      <c r="A22" s="17" t="s">
        <v>8</v>
      </c>
      <c r="B22" s="22" t="s">
        <v>1184</v>
      </c>
      <c r="C22" s="19">
        <f>'Dự toán Chi tiết 2025'!L985</f>
        <v>50000000</v>
      </c>
      <c r="D22" s="19">
        <f>C22*10%</f>
        <v>5000000</v>
      </c>
      <c r="E22" s="19"/>
      <c r="F22" s="19">
        <f>C22-D22</f>
        <v>45000000</v>
      </c>
      <c r="G22" s="11"/>
      <c r="I22" s="240">
        <f t="shared" si="0"/>
        <v>45000000</v>
      </c>
      <c r="J22" s="240">
        <f t="shared" si="1"/>
        <v>0</v>
      </c>
    </row>
    <row r="23" spans="1:10" ht="75">
      <c r="A23" s="17" t="s">
        <v>11</v>
      </c>
      <c r="B23" s="22" t="s">
        <v>541</v>
      </c>
      <c r="C23" s="19">
        <f>'Dự toán Chi tiết 2025'!L988</f>
        <v>50000000</v>
      </c>
      <c r="D23" s="19">
        <f t="shared" ref="D23:D33" si="2">C23*10%</f>
        <v>5000000</v>
      </c>
      <c r="E23" s="19"/>
      <c r="F23" s="19">
        <f t="shared" ref="F23:F34" si="3">C23-D23</f>
        <v>45000000</v>
      </c>
      <c r="G23" s="20"/>
      <c r="I23" s="240">
        <f t="shared" si="0"/>
        <v>45000000</v>
      </c>
      <c r="J23" s="240">
        <f t="shared" si="1"/>
        <v>0</v>
      </c>
    </row>
    <row r="24" spans="1:10" ht="108" customHeight="1">
      <c r="A24" s="17" t="s">
        <v>13</v>
      </c>
      <c r="B24" s="22" t="str">
        <f>'Dự toán Chi tiết 2025'!B989</f>
        <v>Tổ chức các Hội thi theo Kế hoạch của Thành Đoàn, Hội LHTN Việt Nam, Hội Đồng đội TP và tham gia các Hội thi do tỉnh tổ chức, các ngày lễ lớn trong năm.</v>
      </c>
      <c r="C24" s="19">
        <f>'Dự toán Chi tiết 2025'!L989</f>
        <v>120000000</v>
      </c>
      <c r="D24" s="19">
        <f t="shared" si="2"/>
        <v>12000000</v>
      </c>
      <c r="E24" s="19"/>
      <c r="F24" s="19">
        <f t="shared" si="3"/>
        <v>108000000</v>
      </c>
      <c r="G24" s="11"/>
      <c r="I24" s="240">
        <f t="shared" si="0"/>
        <v>108000000</v>
      </c>
      <c r="J24" s="240">
        <f t="shared" si="1"/>
        <v>0</v>
      </c>
    </row>
    <row r="25" spans="1:10" ht="37.5">
      <c r="A25" s="17" t="s">
        <v>28</v>
      </c>
      <c r="B25" s="22" t="s">
        <v>547</v>
      </c>
      <c r="C25" s="19">
        <f>'Dự toán Chi tiết 2025'!L996</f>
        <v>50000000</v>
      </c>
      <c r="D25" s="19">
        <f t="shared" si="2"/>
        <v>5000000</v>
      </c>
      <c r="E25" s="19"/>
      <c r="F25" s="19">
        <f t="shared" si="3"/>
        <v>45000000</v>
      </c>
      <c r="G25" s="11"/>
      <c r="I25" s="240">
        <f t="shared" si="0"/>
        <v>45000000</v>
      </c>
      <c r="J25" s="240">
        <f t="shared" si="1"/>
        <v>0</v>
      </c>
    </row>
    <row r="26" spans="1:10" ht="37.5">
      <c r="A26" s="17" t="s">
        <v>29</v>
      </c>
      <c r="B26" s="22" t="s">
        <v>548</v>
      </c>
      <c r="C26" s="19">
        <f>'Dự toán Chi tiết 2025'!L997</f>
        <v>20000000</v>
      </c>
      <c r="D26" s="19">
        <f t="shared" si="2"/>
        <v>2000000</v>
      </c>
      <c r="E26" s="19"/>
      <c r="F26" s="19">
        <f t="shared" si="3"/>
        <v>18000000</v>
      </c>
      <c r="G26" s="11"/>
      <c r="I26" s="240">
        <f t="shared" si="0"/>
        <v>18000000</v>
      </c>
      <c r="J26" s="240">
        <f t="shared" si="1"/>
        <v>0</v>
      </c>
    </row>
    <row r="27" spans="1:10" ht="118.5" customHeight="1">
      <c r="A27" s="17" t="s">
        <v>30</v>
      </c>
      <c r="B27" s="22" t="str">
        <f>'Dự toán Chi tiết 2025'!B998</f>
        <v>Tổ chức hoạt động hè, thực hiện chiến dịch tình nguyện và tổ chức dạy các lớp học miễn phí cho thanh niên và chương trình tư vấn tuyển sinh, tiếp sức mùa thi</v>
      </c>
      <c r="C27" s="19">
        <f>'Dự toán Chi tiết 2025'!L998</f>
        <v>120000000</v>
      </c>
      <c r="D27" s="19">
        <f t="shared" si="2"/>
        <v>12000000</v>
      </c>
      <c r="E27" s="19"/>
      <c r="F27" s="19">
        <f t="shared" si="3"/>
        <v>108000000</v>
      </c>
      <c r="G27" s="11"/>
      <c r="I27" s="240">
        <f t="shared" si="0"/>
        <v>108000000</v>
      </c>
      <c r="J27" s="240">
        <f t="shared" si="1"/>
        <v>0</v>
      </c>
    </row>
    <row r="28" spans="1:10" ht="93.75" hidden="1">
      <c r="A28" s="17" t="s">
        <v>31</v>
      </c>
      <c r="B28" s="22" t="s">
        <v>1190</v>
      </c>
      <c r="C28" s="19">
        <f>'Dự toán Chi tiết 2025'!L1003</f>
        <v>0</v>
      </c>
      <c r="D28" s="19">
        <f t="shared" si="2"/>
        <v>0</v>
      </c>
      <c r="E28" s="19"/>
      <c r="F28" s="19">
        <f t="shared" si="3"/>
        <v>0</v>
      </c>
      <c r="G28" s="11"/>
      <c r="I28" s="240">
        <f t="shared" si="0"/>
        <v>0</v>
      </c>
      <c r="J28" s="240">
        <f t="shared" si="1"/>
        <v>0</v>
      </c>
    </row>
    <row r="29" spans="1:10" ht="56.25">
      <c r="A29" s="17" t="s">
        <v>31</v>
      </c>
      <c r="B29" s="22" t="str">
        <f>'Dự toán Chi tiết 2025'!B1004</f>
        <v>Kinh phí Vui hội trăng rằm cho trẻ em và các nhiệm vụ phát sinh trong năm</v>
      </c>
      <c r="C29" s="19">
        <f>'Dự toán Chi tiết 2025'!L1004</f>
        <v>50000000</v>
      </c>
      <c r="D29" s="19">
        <f t="shared" si="2"/>
        <v>5000000</v>
      </c>
      <c r="E29" s="19"/>
      <c r="F29" s="19">
        <f t="shared" si="3"/>
        <v>45000000</v>
      </c>
      <c r="G29" s="11"/>
      <c r="I29" s="240">
        <f t="shared" si="0"/>
        <v>45000000</v>
      </c>
      <c r="J29" s="240">
        <f t="shared" si="1"/>
        <v>0</v>
      </c>
    </row>
    <row r="30" spans="1:10" ht="112.5">
      <c r="A30" s="17" t="s">
        <v>32</v>
      </c>
      <c r="B30" s="22" t="s">
        <v>1437</v>
      </c>
      <c r="C30" s="19">
        <f>'Dự toán Chi tiết 2025'!L1005</f>
        <v>50000000</v>
      </c>
      <c r="D30" s="19">
        <f t="shared" si="2"/>
        <v>5000000</v>
      </c>
      <c r="E30" s="19"/>
      <c r="F30" s="19">
        <f t="shared" si="3"/>
        <v>45000000</v>
      </c>
      <c r="G30" s="11"/>
      <c r="I30" s="240">
        <f t="shared" si="0"/>
        <v>45000000</v>
      </c>
      <c r="J30" s="240">
        <f t="shared" si="1"/>
        <v>0</v>
      </c>
    </row>
    <row r="31" spans="1:10" ht="56.25" hidden="1">
      <c r="A31" s="17" t="s">
        <v>39</v>
      </c>
      <c r="B31" s="22" t="s">
        <v>1191</v>
      </c>
      <c r="C31" s="19">
        <f>'Dự toán Chi tiết 2025'!L1006</f>
        <v>0</v>
      </c>
      <c r="D31" s="19">
        <f t="shared" si="2"/>
        <v>0</v>
      </c>
      <c r="E31" s="19"/>
      <c r="F31" s="19">
        <f t="shared" si="3"/>
        <v>0</v>
      </c>
      <c r="G31" s="11"/>
      <c r="I31" s="240">
        <f t="shared" si="0"/>
        <v>0</v>
      </c>
      <c r="J31" s="240">
        <f t="shared" si="1"/>
        <v>0</v>
      </c>
    </row>
    <row r="32" spans="1:10" ht="75">
      <c r="A32" s="17" t="s">
        <v>38</v>
      </c>
      <c r="B32" s="22" t="s">
        <v>1192</v>
      </c>
      <c r="C32" s="19">
        <f>'Dự toán Chi tiết 2025'!L1007</f>
        <v>50000000</v>
      </c>
      <c r="D32" s="19">
        <f t="shared" si="2"/>
        <v>5000000</v>
      </c>
      <c r="E32" s="19"/>
      <c r="F32" s="19">
        <f t="shared" si="3"/>
        <v>45000000</v>
      </c>
      <c r="G32" s="11"/>
      <c r="I32" s="240">
        <f t="shared" si="0"/>
        <v>45000000</v>
      </c>
      <c r="J32" s="240">
        <f t="shared" si="1"/>
        <v>0</v>
      </c>
    </row>
    <row r="33" spans="1:10" ht="37.5">
      <c r="A33" s="17" t="s">
        <v>39</v>
      </c>
      <c r="B33" s="22" t="s">
        <v>554</v>
      </c>
      <c r="C33" s="19">
        <f>'Dự toán Chi tiết 2025'!L1009</f>
        <v>20000000</v>
      </c>
      <c r="D33" s="19">
        <f t="shared" si="2"/>
        <v>2000000</v>
      </c>
      <c r="E33" s="19"/>
      <c r="F33" s="19">
        <f t="shared" si="3"/>
        <v>18000000</v>
      </c>
      <c r="G33" s="11"/>
      <c r="I33" s="240">
        <f t="shared" si="0"/>
        <v>18000000</v>
      </c>
      <c r="J33" s="240">
        <f t="shared" si="1"/>
        <v>0</v>
      </c>
    </row>
    <row r="34" spans="1:10">
      <c r="A34" s="17" t="s">
        <v>40</v>
      </c>
      <c r="B34" s="22" t="s">
        <v>79</v>
      </c>
      <c r="C34" s="19">
        <f>'Dự toán Chi tiết 2025'!L1010</f>
        <v>36000000</v>
      </c>
      <c r="D34" s="19"/>
      <c r="E34" s="19"/>
      <c r="F34" s="19">
        <f t="shared" si="3"/>
        <v>36000000</v>
      </c>
      <c r="G34" s="11"/>
      <c r="I34" s="240">
        <f t="shared" si="0"/>
        <v>36000000</v>
      </c>
      <c r="J34" s="240">
        <f t="shared" si="1"/>
        <v>0</v>
      </c>
    </row>
  </sheetData>
  <mergeCells count="7">
    <mergeCell ref="A1:B1"/>
    <mergeCell ref="A2:B2"/>
    <mergeCell ref="A8:G8"/>
    <mergeCell ref="A4:G4"/>
    <mergeCell ref="A5:G5"/>
    <mergeCell ref="A6:G6"/>
    <mergeCell ref="A7:G7"/>
  </mergeCells>
  <pageMargins left="0.39370078740157483" right="0.39370078740157483" top="0.74803149606299213" bottom="0.74803149606299213" header="0.31496062992125984" footer="0.31496062992125984"/>
  <pageSetup paperSize="9" scale="66" fitToHeight="0" orientation="portrait" verticalDpi="0" r:id="rId1"/>
  <headerFoot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29"/>
  <sheetViews>
    <sheetView zoomScale="85" zoomScaleNormal="85" workbookViewId="0">
      <selection activeCell="A8" sqref="A8:G8"/>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16.5703125" style="2" bestFit="1" customWidth="1"/>
    <col min="9"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8">
      <c r="A1" s="1838" t="s">
        <v>677</v>
      </c>
      <c r="B1" s="1838"/>
      <c r="C1" s="1838"/>
      <c r="G1" s="3"/>
    </row>
    <row r="2" spans="1:8">
      <c r="A2" s="1798" t="s">
        <v>678</v>
      </c>
      <c r="B2" s="1798"/>
      <c r="C2" s="1798"/>
      <c r="D2" s="4"/>
      <c r="E2" s="4"/>
      <c r="F2" s="4"/>
    </row>
    <row r="3" spans="1:8">
      <c r="A3" s="5"/>
    </row>
    <row r="4" spans="1:8">
      <c r="A4" s="1667" t="s">
        <v>2093</v>
      </c>
      <c r="B4" s="1667"/>
      <c r="C4" s="1667"/>
      <c r="D4" s="1667"/>
      <c r="E4" s="1667"/>
      <c r="F4" s="1667"/>
      <c r="G4" s="1667"/>
    </row>
    <row r="5" spans="1:8">
      <c r="A5" s="1798" t="s">
        <v>679</v>
      </c>
      <c r="B5" s="1798"/>
      <c r="C5" s="1798"/>
      <c r="D5" s="1798"/>
      <c r="E5" s="1798"/>
      <c r="F5" s="1798"/>
      <c r="G5" s="1798"/>
    </row>
    <row r="6" spans="1:8">
      <c r="A6" s="1798" t="s">
        <v>680</v>
      </c>
      <c r="B6" s="1798"/>
      <c r="C6" s="1798"/>
      <c r="D6" s="1798"/>
      <c r="E6" s="1798"/>
      <c r="F6" s="1798"/>
      <c r="G6" s="1798"/>
    </row>
    <row r="7" spans="1:8">
      <c r="A7" s="1798" t="s">
        <v>17</v>
      </c>
      <c r="B7" s="1798"/>
      <c r="C7" s="1798"/>
      <c r="D7" s="1798"/>
      <c r="E7" s="1798"/>
      <c r="F7" s="1798"/>
      <c r="G7" s="1798"/>
    </row>
    <row r="8" spans="1:8">
      <c r="A8" s="1799"/>
      <c r="B8" s="1799"/>
      <c r="C8" s="1799"/>
      <c r="D8" s="1799"/>
      <c r="E8" s="1799"/>
      <c r="F8" s="1799"/>
      <c r="G8" s="1799"/>
    </row>
    <row r="9" spans="1:8">
      <c r="G9" s="6" t="s">
        <v>43</v>
      </c>
    </row>
    <row r="10" spans="1:8"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8">
      <c r="A11" s="8" t="s">
        <v>20</v>
      </c>
      <c r="B11" s="8" t="s">
        <v>21</v>
      </c>
      <c r="C11" s="8" t="s">
        <v>22</v>
      </c>
      <c r="D11" s="8" t="s">
        <v>23</v>
      </c>
      <c r="E11" s="7" t="str">
        <f>'TTDVNN V '!E12</f>
        <v>(5)</v>
      </c>
      <c r="F11" s="7" t="str">
        <f>'TTDVNN V '!F12</f>
        <v>(6)=(3)-(4)+(5)</v>
      </c>
      <c r="G11" s="8" t="s">
        <v>1287</v>
      </c>
    </row>
    <row r="12" spans="1:8" ht="37.5">
      <c r="A12" s="7" t="s">
        <v>2</v>
      </c>
      <c r="B12" s="9" t="s">
        <v>3</v>
      </c>
      <c r="C12" s="10"/>
      <c r="D12" s="10"/>
      <c r="E12" s="10"/>
      <c r="F12" s="10"/>
      <c r="G12" s="11"/>
    </row>
    <row r="13" spans="1:8">
      <c r="A13" s="17">
        <v>1</v>
      </c>
      <c r="B13" s="18" t="s">
        <v>4</v>
      </c>
      <c r="C13" s="19"/>
      <c r="D13" s="19"/>
      <c r="E13" s="19"/>
      <c r="F13" s="19"/>
      <c r="G13" s="11"/>
    </row>
    <row r="14" spans="1:8">
      <c r="A14" s="17">
        <v>2</v>
      </c>
      <c r="B14" s="18" t="s">
        <v>7</v>
      </c>
      <c r="C14" s="19"/>
      <c r="D14" s="19">
        <f>C14*40%</f>
        <v>0</v>
      </c>
      <c r="E14" s="19"/>
      <c r="F14" s="19">
        <f>C14-D14</f>
        <v>0</v>
      </c>
      <c r="G14" s="11"/>
    </row>
    <row r="15" spans="1:8" ht="37.5">
      <c r="A15" s="7" t="s">
        <v>12</v>
      </c>
      <c r="B15" s="9" t="s">
        <v>84</v>
      </c>
      <c r="C15" s="10">
        <f>C16</f>
        <v>1317000000</v>
      </c>
      <c r="D15" s="10">
        <f>D16</f>
        <v>56300000</v>
      </c>
      <c r="E15" s="10">
        <f>E16</f>
        <v>56300000</v>
      </c>
      <c r="F15" s="10">
        <f>F16</f>
        <v>1317000000</v>
      </c>
      <c r="G15" s="11"/>
      <c r="H15" s="240">
        <f>F15-'Phụ nữ V'!F15</f>
        <v>-34700000</v>
      </c>
    </row>
    <row r="16" spans="1:8" ht="37.5">
      <c r="A16" s="7"/>
      <c r="B16" s="9" t="s">
        <v>676</v>
      </c>
      <c r="C16" s="10">
        <f>C17+C21</f>
        <v>1317000000</v>
      </c>
      <c r="D16" s="10">
        <f>D17+D21</f>
        <v>56300000</v>
      </c>
      <c r="E16" s="10">
        <f>E17+E21</f>
        <v>56300000</v>
      </c>
      <c r="F16" s="10">
        <f>F17+F21</f>
        <v>1317000000</v>
      </c>
      <c r="G16" s="11"/>
    </row>
    <row r="17" spans="1:8" s="16" customFormat="1" ht="39">
      <c r="A17" s="12">
        <v>1</v>
      </c>
      <c r="B17" s="13" t="s">
        <v>9</v>
      </c>
      <c r="C17" s="14">
        <f>SUM(C18:C20)</f>
        <v>862000000</v>
      </c>
      <c r="D17" s="14">
        <f>SUM(D18:D20)</f>
        <v>10800000</v>
      </c>
      <c r="E17" s="14">
        <f>SUM(E18:E20)</f>
        <v>56300000</v>
      </c>
      <c r="F17" s="14">
        <f>SUM(F18:F20)</f>
        <v>907500000</v>
      </c>
      <c r="G17" s="15"/>
    </row>
    <row r="18" spans="1:8" ht="37.5">
      <c r="A18" s="17" t="s">
        <v>5</v>
      </c>
      <c r="B18" s="18" t="s">
        <v>26</v>
      </c>
      <c r="C18" s="19">
        <f>'Dự toán Chi tiết 2025'!L1017</f>
        <v>516000000</v>
      </c>
      <c r="D18" s="19"/>
      <c r="E18" s="19"/>
      <c r="F18" s="19">
        <f>C18-D18+E18</f>
        <v>516000000</v>
      </c>
      <c r="G18" s="11"/>
    </row>
    <row r="19" spans="1:8" ht="37.5">
      <c r="A19" s="17" t="s">
        <v>6</v>
      </c>
      <c r="B19" s="18" t="str">
        <f>'TTDVNN V '!B18</f>
        <v>Kinh phí thực hiện cải cách tiền lương</v>
      </c>
      <c r="C19" s="19">
        <f>'Dự toán Chi tiết 2025'!L1018</f>
        <v>238000000</v>
      </c>
      <c r="D19" s="19"/>
      <c r="E19" s="19">
        <f>D15</f>
        <v>56300000</v>
      </c>
      <c r="F19" s="19">
        <f>C19-D19+E19</f>
        <v>294300000</v>
      </c>
      <c r="G19" s="11"/>
    </row>
    <row r="20" spans="1:8" ht="37.5">
      <c r="A20" s="17" t="s">
        <v>157</v>
      </c>
      <c r="B20" s="18" t="s">
        <v>27</v>
      </c>
      <c r="C20" s="19">
        <f>'Dự toán Chi tiết 2025'!L1020</f>
        <v>108000000</v>
      </c>
      <c r="D20" s="19">
        <f>C20*10%</f>
        <v>10800000</v>
      </c>
      <c r="E20" s="19"/>
      <c r="F20" s="19">
        <f>C20-D20+E20</f>
        <v>97200000</v>
      </c>
      <c r="G20" s="11"/>
    </row>
    <row r="21" spans="1:8" s="16" customFormat="1" ht="39">
      <c r="A21" s="12">
        <f>'Thành đoàn V'!A21</f>
        <v>2</v>
      </c>
      <c r="B21" s="13" t="str">
        <f>'Thành đoàn V'!B21</f>
        <v>Kinh phí nhiệm vụ không thường xuyên</v>
      </c>
      <c r="C21" s="14">
        <f>C22+C27+C28+C29</f>
        <v>455000000</v>
      </c>
      <c r="D21" s="14">
        <f t="shared" ref="D21:E21" si="0">D22+D27+D28+D29</f>
        <v>45500000</v>
      </c>
      <c r="E21" s="14">
        <f t="shared" si="0"/>
        <v>0</v>
      </c>
      <c r="F21" s="14">
        <f>F22+F27+F28+F29</f>
        <v>409500000</v>
      </c>
      <c r="G21" s="15"/>
      <c r="H21" s="311">
        <f>C21-D21</f>
        <v>409500000</v>
      </c>
    </row>
    <row r="22" spans="1:8" ht="93.75">
      <c r="A22" s="17" t="s">
        <v>8</v>
      </c>
      <c r="B22" s="22" t="s">
        <v>556</v>
      </c>
      <c r="C22" s="19">
        <f>'Dự toán Chi tiết 2025'!L1022</f>
        <v>380000000</v>
      </c>
      <c r="D22" s="19">
        <f>SUM(D23:D26)</f>
        <v>38000000</v>
      </c>
      <c r="E22" s="19">
        <f>SUM(E23:E26)</f>
        <v>0</v>
      </c>
      <c r="F22" s="19">
        <f>SUM(F23:F26)</f>
        <v>342000000</v>
      </c>
      <c r="G22" s="11"/>
    </row>
    <row r="23" spans="1:8" s="229" customFormat="1" ht="87" customHeight="1">
      <c r="A23" s="231" t="s">
        <v>91</v>
      </c>
      <c r="B23" s="228" t="str">
        <f>'Dự toán Chi tiết 2025'!B1023</f>
        <v>+ Tổ chức chào mừng các ngày lễ lớn của Hội (Quốc tế Phụ nữ; Gia đình Việt Nam; 20/10), Hội thi trực tuyến,..</v>
      </c>
      <c r="C23" s="232">
        <f>'Dự toán Chi tiết 2025'!L1023</f>
        <v>170000000</v>
      </c>
      <c r="D23" s="19">
        <f t="shared" ref="D23:D29" si="1">C23*10%</f>
        <v>17000000</v>
      </c>
      <c r="E23" s="232"/>
      <c r="F23" s="232">
        <f t="shared" ref="F23:F29" si="2">C23-D23</f>
        <v>153000000</v>
      </c>
      <c r="G23" s="233"/>
    </row>
    <row r="24" spans="1:8" s="229" customFormat="1" ht="37.5">
      <c r="A24" s="17" t="s">
        <v>91</v>
      </c>
      <c r="B24" s="228" t="s">
        <v>1290</v>
      </c>
      <c r="C24" s="232">
        <f>'Dự toán Chi tiết 2025'!L1026</f>
        <v>50000000</v>
      </c>
      <c r="D24" s="19">
        <f t="shared" si="1"/>
        <v>5000000</v>
      </c>
      <c r="E24" s="232"/>
      <c r="F24" s="232">
        <f t="shared" si="2"/>
        <v>45000000</v>
      </c>
      <c r="G24" s="233"/>
    </row>
    <row r="25" spans="1:8" s="229" customFormat="1">
      <c r="A25" s="231" t="s">
        <v>91</v>
      </c>
      <c r="B25" s="228" t="s">
        <v>718</v>
      </c>
      <c r="C25" s="232">
        <f>'Dự toán Chi tiết 2025'!L1027</f>
        <v>60000000</v>
      </c>
      <c r="D25" s="19">
        <f t="shared" si="1"/>
        <v>6000000</v>
      </c>
      <c r="E25" s="232"/>
      <c r="F25" s="232">
        <f t="shared" si="2"/>
        <v>54000000</v>
      </c>
      <c r="G25" s="234"/>
    </row>
    <row r="26" spans="1:8">
      <c r="A26" s="17" t="s">
        <v>91</v>
      </c>
      <c r="B26" s="228" t="s">
        <v>719</v>
      </c>
      <c r="C26" s="19">
        <f>'Dự toán Chi tiết 2025'!L1028</f>
        <v>100000000</v>
      </c>
      <c r="D26" s="19">
        <f t="shared" si="1"/>
        <v>10000000</v>
      </c>
      <c r="E26" s="19"/>
      <c r="F26" s="19">
        <f t="shared" si="2"/>
        <v>90000000</v>
      </c>
      <c r="G26" s="11"/>
    </row>
    <row r="27" spans="1:8" ht="56.25">
      <c r="A27" s="17" t="s">
        <v>11</v>
      </c>
      <c r="B27" s="22" t="s">
        <v>525</v>
      </c>
      <c r="C27" s="19">
        <f>'Dự toán Chi tiết 2025'!L1031</f>
        <v>15000000</v>
      </c>
      <c r="D27" s="19">
        <f t="shared" si="1"/>
        <v>1500000</v>
      </c>
      <c r="E27" s="19"/>
      <c r="F27" s="19">
        <f t="shared" si="2"/>
        <v>13500000</v>
      </c>
      <c r="G27" s="11"/>
    </row>
    <row r="28" spans="1:8" ht="56.25">
      <c r="A28" s="17" t="s">
        <v>13</v>
      </c>
      <c r="B28" s="22" t="s">
        <v>1197</v>
      </c>
      <c r="C28" s="19">
        <f>'Dự toán Chi tiết 2025'!L1033</f>
        <v>30000000</v>
      </c>
      <c r="D28" s="19">
        <f t="shared" si="1"/>
        <v>3000000</v>
      </c>
      <c r="E28" s="19"/>
      <c r="F28" s="19">
        <f t="shared" si="2"/>
        <v>27000000</v>
      </c>
      <c r="G28" s="11"/>
    </row>
    <row r="29" spans="1:8" ht="37.5">
      <c r="A29" s="17" t="s">
        <v>28</v>
      </c>
      <c r="B29" s="22" t="str">
        <f>'Dự toán Chi tiết 2025'!B1034</f>
        <v>Hội nghị Điển hình tiên tiến giai đoạn 2020-2025</v>
      </c>
      <c r="C29" s="19">
        <f>'Dự toán Chi tiết 2025'!L1034</f>
        <v>30000000</v>
      </c>
      <c r="D29" s="19">
        <f t="shared" si="1"/>
        <v>3000000</v>
      </c>
      <c r="E29" s="19"/>
      <c r="F29" s="19">
        <f t="shared" si="2"/>
        <v>27000000</v>
      </c>
      <c r="G29" s="11"/>
    </row>
  </sheetData>
  <mergeCells count="7">
    <mergeCell ref="A8:G8"/>
    <mergeCell ref="A1:C1"/>
    <mergeCell ref="A2:C2"/>
    <mergeCell ref="A4:G4"/>
    <mergeCell ref="A5:G5"/>
    <mergeCell ref="A6:G6"/>
    <mergeCell ref="A7:G7"/>
  </mergeCells>
  <pageMargins left="0.45" right="0.4" top="0.59055118110236227" bottom="0.74803149606299213" header="0.31496062992125984" footer="0.31496062992125984"/>
  <pageSetup paperSize="9" scale="64" fitToHeight="0" orientation="portrait" verticalDpi="0" r:id="rId1"/>
  <headerFooter>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31"/>
  <sheetViews>
    <sheetView topLeftCell="A10" zoomScale="85" zoomScaleNormal="85" workbookViewId="0">
      <selection activeCell="A21" sqref="A21"/>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7">
      <c r="A1" s="1838" t="s">
        <v>677</v>
      </c>
      <c r="B1" s="1838"/>
      <c r="C1" s="1838"/>
      <c r="G1" s="3"/>
    </row>
    <row r="2" spans="1:7">
      <c r="A2" s="1798" t="s">
        <v>678</v>
      </c>
      <c r="B2" s="1798"/>
      <c r="C2" s="1798"/>
      <c r="D2" s="4"/>
      <c r="E2" s="4"/>
      <c r="F2" s="4"/>
    </row>
    <row r="3" spans="1:7">
      <c r="A3" s="5"/>
    </row>
    <row r="4" spans="1:7">
      <c r="A4" s="1798" t="str">
        <f>'TTDVNN V '!A4:G4</f>
        <v>DỰ TOÁN THU, CHI NGÂN SÁCH NHÀ NƯỚC NĂM 2025</v>
      </c>
      <c r="B4" s="1798"/>
      <c r="C4" s="1798"/>
      <c r="D4" s="1798"/>
      <c r="E4" s="1798"/>
      <c r="F4" s="1798"/>
      <c r="G4" s="1798"/>
    </row>
    <row r="5" spans="1:7">
      <c r="A5" s="1798" t="s">
        <v>679</v>
      </c>
      <c r="B5" s="1798"/>
      <c r="C5" s="1798"/>
      <c r="D5" s="1798"/>
      <c r="E5" s="1798"/>
      <c r="F5" s="1798"/>
      <c r="G5" s="1798"/>
    </row>
    <row r="6" spans="1:7">
      <c r="A6" s="1798" t="s">
        <v>680</v>
      </c>
      <c r="B6" s="1798"/>
      <c r="C6" s="1798"/>
      <c r="D6" s="1798"/>
      <c r="E6" s="1798"/>
      <c r="F6" s="1798"/>
      <c r="G6" s="1798"/>
    </row>
    <row r="7" spans="1:7">
      <c r="A7" s="1798" t="s">
        <v>17</v>
      </c>
      <c r="B7" s="1798"/>
      <c r="C7" s="1798"/>
      <c r="D7" s="1798"/>
      <c r="E7" s="1798"/>
      <c r="F7" s="1798"/>
      <c r="G7" s="1798"/>
    </row>
    <row r="8" spans="1:7">
      <c r="A8" s="1799">
        <f>'TTDVNN V '!A8:G8</f>
        <v>0</v>
      </c>
      <c r="B8" s="1799"/>
      <c r="C8" s="1799"/>
      <c r="D8" s="1799"/>
      <c r="E8" s="1799"/>
      <c r="F8" s="1799"/>
      <c r="G8" s="1799"/>
    </row>
    <row r="9" spans="1:7">
      <c r="G9" s="6" t="s">
        <v>43</v>
      </c>
    </row>
    <row r="10" spans="1:7"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7">
      <c r="A11" s="8" t="s">
        <v>20</v>
      </c>
      <c r="B11" s="8" t="s">
        <v>21</v>
      </c>
      <c r="C11" s="8" t="s">
        <v>22</v>
      </c>
      <c r="D11" s="8" t="s">
        <v>23</v>
      </c>
      <c r="E11" s="7" t="str">
        <f>'TTDVNN V '!E12</f>
        <v>(5)</v>
      </c>
      <c r="F11" s="7" t="str">
        <f>'TTDVNN V '!F12</f>
        <v>(6)=(3)-(4)+(5)</v>
      </c>
      <c r="G11" s="8" t="s">
        <v>1287</v>
      </c>
    </row>
    <row r="12" spans="1:7" ht="37.5">
      <c r="A12" s="7" t="s">
        <v>2</v>
      </c>
      <c r="B12" s="9" t="s">
        <v>3</v>
      </c>
      <c r="C12" s="10"/>
      <c r="D12" s="10"/>
      <c r="E12" s="10"/>
      <c r="F12" s="10"/>
      <c r="G12" s="11"/>
    </row>
    <row r="13" spans="1:7">
      <c r="A13" s="17">
        <v>1</v>
      </c>
      <c r="B13" s="18" t="s">
        <v>4</v>
      </c>
      <c r="C13" s="19"/>
      <c r="D13" s="19"/>
      <c r="E13" s="19"/>
      <c r="F13" s="19"/>
      <c r="G13" s="11"/>
    </row>
    <row r="14" spans="1:7">
      <c r="A14" s="17">
        <v>2</v>
      </c>
      <c r="B14" s="18" t="s">
        <v>7</v>
      </c>
      <c r="C14" s="19"/>
      <c r="D14" s="19">
        <f>C14*40%</f>
        <v>0</v>
      </c>
      <c r="E14" s="19"/>
      <c r="F14" s="19">
        <f>C14-D14</f>
        <v>0</v>
      </c>
      <c r="G14" s="11"/>
    </row>
    <row r="15" spans="1:7" ht="37.5">
      <c r="A15" s="7" t="s">
        <v>12</v>
      </c>
      <c r="B15" s="9" t="s">
        <v>84</v>
      </c>
      <c r="C15" s="10">
        <f>C16</f>
        <v>1351700000</v>
      </c>
      <c r="D15" s="10">
        <f>D16</f>
        <v>56300000</v>
      </c>
      <c r="E15" s="10">
        <f>E16</f>
        <v>56300000</v>
      </c>
      <c r="F15" s="10">
        <f>F16</f>
        <v>1351700000</v>
      </c>
      <c r="G15" s="11"/>
    </row>
    <row r="16" spans="1:7" ht="37.5">
      <c r="A16" s="7"/>
      <c r="B16" s="9" t="s">
        <v>676</v>
      </c>
      <c r="C16" s="10">
        <f>C17+C21</f>
        <v>1351700000</v>
      </c>
      <c r="D16" s="10">
        <f>D17+D21</f>
        <v>56300000</v>
      </c>
      <c r="E16" s="10">
        <f>E17+E21</f>
        <v>56300000</v>
      </c>
      <c r="F16" s="10">
        <f>F17+F21</f>
        <v>1351700000</v>
      </c>
      <c r="G16" s="11"/>
    </row>
    <row r="17" spans="1:7" s="16" customFormat="1" ht="39">
      <c r="A17" s="12">
        <v>1</v>
      </c>
      <c r="B17" s="13" t="s">
        <v>9</v>
      </c>
      <c r="C17" s="14">
        <f>SUM(C18:C20)</f>
        <v>862000000</v>
      </c>
      <c r="D17" s="14">
        <f>SUM(D18:D20)</f>
        <v>10800000</v>
      </c>
      <c r="E17" s="14">
        <f>SUM(E18:E20)</f>
        <v>56300000</v>
      </c>
      <c r="F17" s="14">
        <f>SUM(F18:F20)</f>
        <v>907500000</v>
      </c>
      <c r="G17" s="15"/>
    </row>
    <row r="18" spans="1:7" ht="37.5">
      <c r="A18" s="17" t="s">
        <v>5</v>
      </c>
      <c r="B18" s="18" t="s">
        <v>26</v>
      </c>
      <c r="C18" s="19">
        <f>'Dự toán Chi tiết 2025'!L1017</f>
        <v>516000000</v>
      </c>
      <c r="D18" s="19"/>
      <c r="E18" s="19"/>
      <c r="F18" s="19">
        <f>C18-D18+E18</f>
        <v>516000000</v>
      </c>
      <c r="G18" s="11"/>
    </row>
    <row r="19" spans="1:7" ht="37.5">
      <c r="A19" s="17" t="s">
        <v>6</v>
      </c>
      <c r="B19" s="18" t="str">
        <f>'TTDVNN V '!B18</f>
        <v>Kinh phí thực hiện cải cách tiền lương</v>
      </c>
      <c r="C19" s="19">
        <f>'Dự toán Chi tiết 2025'!L1018</f>
        <v>238000000</v>
      </c>
      <c r="D19" s="19"/>
      <c r="E19" s="19">
        <f>D15</f>
        <v>56300000</v>
      </c>
      <c r="F19" s="19">
        <f>C19-D19+E19</f>
        <v>294300000</v>
      </c>
      <c r="G19" s="11"/>
    </row>
    <row r="20" spans="1:7" ht="37.5">
      <c r="A20" s="17" t="s">
        <v>157</v>
      </c>
      <c r="B20" s="18" t="s">
        <v>27</v>
      </c>
      <c r="C20" s="19">
        <f>'Dự toán Chi tiết 2025'!L1020</f>
        <v>108000000</v>
      </c>
      <c r="D20" s="19">
        <f>C20*10%</f>
        <v>10800000</v>
      </c>
      <c r="E20" s="19"/>
      <c r="F20" s="19">
        <f>C20-D20+E20</f>
        <v>97200000</v>
      </c>
      <c r="G20" s="11"/>
    </row>
    <row r="21" spans="1:7" s="16" customFormat="1" ht="39">
      <c r="A21" s="12">
        <f>'Thành đoàn V'!A21</f>
        <v>2</v>
      </c>
      <c r="B21" s="13" t="str">
        <f>'Thành đoàn V'!B21</f>
        <v>Kinh phí nhiệm vụ không thường xuyên</v>
      </c>
      <c r="C21" s="14">
        <f>C22+C27+C28+C29+C31+C30</f>
        <v>489700000</v>
      </c>
      <c r="D21" s="14">
        <f>D22+D27+D28+D29+D31+D30</f>
        <v>45500000</v>
      </c>
      <c r="E21" s="14">
        <f>E22+E27+E28+E29+E31</f>
        <v>0</v>
      </c>
      <c r="F21" s="14">
        <f>F22+F27+F28+F29+F31+F30</f>
        <v>444200000</v>
      </c>
      <c r="G21" s="15"/>
    </row>
    <row r="22" spans="1:7" ht="93.75">
      <c r="A22" s="17" t="s">
        <v>8</v>
      </c>
      <c r="B22" s="22" t="s">
        <v>556</v>
      </c>
      <c r="C22" s="19">
        <f>'Dự toán Chi tiết 2025'!L1022</f>
        <v>380000000</v>
      </c>
      <c r="D22" s="19">
        <f>SUM(D23:D26)</f>
        <v>38000000</v>
      </c>
      <c r="E22" s="19">
        <f>SUM(E23:E26)</f>
        <v>0</v>
      </c>
      <c r="F22" s="19">
        <f>SUM(F23:F26)</f>
        <v>342000000</v>
      </c>
      <c r="G22" s="11"/>
    </row>
    <row r="23" spans="1:7" s="229" customFormat="1" ht="87" customHeight="1">
      <c r="A23" s="231" t="s">
        <v>91</v>
      </c>
      <c r="B23" s="228" t="str">
        <f>'Dự toán Chi tiết 2025'!B1023</f>
        <v>+ Tổ chức chào mừng các ngày lễ lớn của Hội (Quốc tế Phụ nữ; Gia đình Việt Nam; 20/10), Hội thi trực tuyến,..</v>
      </c>
      <c r="C23" s="232">
        <f>'Dự toán Chi tiết 2025'!L1023</f>
        <v>170000000</v>
      </c>
      <c r="D23" s="19">
        <f t="shared" ref="D23:D30" si="0">C23*10%</f>
        <v>17000000</v>
      </c>
      <c r="E23" s="232"/>
      <c r="F23" s="232">
        <f t="shared" ref="F23:F31" si="1">C23-D23</f>
        <v>153000000</v>
      </c>
      <c r="G23" s="233"/>
    </row>
    <row r="24" spans="1:7" s="229" customFormat="1" ht="37.5">
      <c r="A24" s="17" t="s">
        <v>91</v>
      </c>
      <c r="B24" s="228" t="s">
        <v>1290</v>
      </c>
      <c r="C24" s="232">
        <f>'Dự toán Chi tiết 2025'!L1026</f>
        <v>50000000</v>
      </c>
      <c r="D24" s="19">
        <f t="shared" si="0"/>
        <v>5000000</v>
      </c>
      <c r="E24" s="232"/>
      <c r="F24" s="232">
        <f t="shared" si="1"/>
        <v>45000000</v>
      </c>
      <c r="G24" s="233"/>
    </row>
    <row r="25" spans="1:7" s="229" customFormat="1">
      <c r="A25" s="231" t="s">
        <v>91</v>
      </c>
      <c r="B25" s="228" t="s">
        <v>718</v>
      </c>
      <c r="C25" s="232">
        <f>'Dự toán Chi tiết 2025'!L1027</f>
        <v>60000000</v>
      </c>
      <c r="D25" s="19">
        <f t="shared" si="0"/>
        <v>6000000</v>
      </c>
      <c r="E25" s="232"/>
      <c r="F25" s="232">
        <f t="shared" si="1"/>
        <v>54000000</v>
      </c>
      <c r="G25" s="234"/>
    </row>
    <row r="26" spans="1:7">
      <c r="A26" s="17" t="s">
        <v>91</v>
      </c>
      <c r="B26" s="228" t="s">
        <v>719</v>
      </c>
      <c r="C26" s="19">
        <f>'Dự toán Chi tiết 2025'!L1028</f>
        <v>100000000</v>
      </c>
      <c r="D26" s="19">
        <f t="shared" si="0"/>
        <v>10000000</v>
      </c>
      <c r="E26" s="19"/>
      <c r="F26" s="19">
        <f t="shared" si="1"/>
        <v>90000000</v>
      </c>
      <c r="G26" s="11"/>
    </row>
    <row r="27" spans="1:7">
      <c r="A27" s="17" t="s">
        <v>11</v>
      </c>
      <c r="B27" s="22" t="s">
        <v>1439</v>
      </c>
      <c r="C27" s="19">
        <f>'Dự toán Chi tiết 2025'!L1032</f>
        <v>11900000</v>
      </c>
      <c r="D27" s="19">
        <v>0</v>
      </c>
      <c r="E27" s="19"/>
      <c r="F27" s="19">
        <f t="shared" si="1"/>
        <v>11900000</v>
      </c>
      <c r="G27" s="11"/>
    </row>
    <row r="28" spans="1:7" ht="56.25">
      <c r="A28" s="17" t="s">
        <v>13</v>
      </c>
      <c r="B28" s="22" t="s">
        <v>525</v>
      </c>
      <c r="C28" s="19">
        <f>'Dự toán Chi tiết 2025'!L1031</f>
        <v>15000000</v>
      </c>
      <c r="D28" s="19">
        <f t="shared" si="0"/>
        <v>1500000</v>
      </c>
      <c r="E28" s="19"/>
      <c r="F28" s="19">
        <f t="shared" si="1"/>
        <v>13500000</v>
      </c>
      <c r="G28" s="11"/>
    </row>
    <row r="29" spans="1:7" ht="56.25">
      <c r="A29" s="17" t="s">
        <v>28</v>
      </c>
      <c r="B29" s="22" t="s">
        <v>1197</v>
      </c>
      <c r="C29" s="19">
        <f>'Dự toán Chi tiết 2025'!L1033</f>
        <v>30000000</v>
      </c>
      <c r="D29" s="19">
        <f t="shared" si="0"/>
        <v>3000000</v>
      </c>
      <c r="E29" s="19"/>
      <c r="F29" s="19">
        <f t="shared" si="1"/>
        <v>27000000</v>
      </c>
      <c r="G29" s="11"/>
    </row>
    <row r="30" spans="1:7" ht="37.5">
      <c r="A30" s="17" t="s">
        <v>29</v>
      </c>
      <c r="B30" s="22" t="str">
        <f>'Dự toán Chi tiết 2025'!B1034</f>
        <v>Hội nghị Điển hình tiên tiến giai đoạn 2020-2025</v>
      </c>
      <c r="C30" s="19">
        <f>'Dự toán Chi tiết 2025'!L1034</f>
        <v>30000000</v>
      </c>
      <c r="D30" s="19">
        <f t="shared" si="0"/>
        <v>3000000</v>
      </c>
      <c r="E30" s="19"/>
      <c r="F30" s="19">
        <f t="shared" si="1"/>
        <v>27000000</v>
      </c>
      <c r="G30" s="11"/>
    </row>
    <row r="31" spans="1:7" ht="37.5">
      <c r="A31" s="17" t="s">
        <v>30</v>
      </c>
      <c r="B31" s="22" t="s">
        <v>563</v>
      </c>
      <c r="C31" s="19">
        <f>'Dự toán Chi tiết 2025'!L1035</f>
        <v>22800000</v>
      </c>
      <c r="D31" s="19">
        <v>0</v>
      </c>
      <c r="E31" s="19"/>
      <c r="F31" s="19">
        <f t="shared" si="1"/>
        <v>22800000</v>
      </c>
      <c r="G31" s="11"/>
    </row>
  </sheetData>
  <mergeCells count="7">
    <mergeCell ref="A8:G8"/>
    <mergeCell ref="A1:C1"/>
    <mergeCell ref="A2:C2"/>
    <mergeCell ref="A4:G4"/>
    <mergeCell ref="A5:G5"/>
    <mergeCell ref="A6:G6"/>
    <mergeCell ref="A7:G7"/>
  </mergeCells>
  <pageMargins left="0.45" right="0.4" top="0.59055118110236227" bottom="0.74803149606299213" header="0.31496062992125984" footer="0.31496062992125984"/>
  <pageSetup paperSize="9" scale="64" fitToHeight="0" orientation="portrait" verticalDpi="0" r:id="rId1"/>
  <headerFoot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32"/>
  <sheetViews>
    <sheetView topLeftCell="A25" zoomScale="85" zoomScaleNormal="85" workbookViewId="0">
      <selection activeCell="C32" sqref="C32"/>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7">
      <c r="A1" s="1838" t="s">
        <v>681</v>
      </c>
      <c r="B1" s="1838"/>
      <c r="C1" s="1838"/>
      <c r="G1" s="3"/>
    </row>
    <row r="2" spans="1:7">
      <c r="A2" s="1798" t="s">
        <v>682</v>
      </c>
      <c r="B2" s="1798"/>
      <c r="C2" s="1798"/>
      <c r="D2" s="4"/>
      <c r="E2" s="4"/>
      <c r="F2" s="4"/>
    </row>
    <row r="3" spans="1:7">
      <c r="A3" s="5"/>
    </row>
    <row r="4" spans="1:7">
      <c r="A4" s="1798" t="str">
        <f>'TTDVNN V '!A4:G4</f>
        <v>DỰ TOÁN THU, CHI NGÂN SÁCH NHÀ NƯỚC NĂM 2025</v>
      </c>
      <c r="B4" s="1798"/>
      <c r="C4" s="1798"/>
      <c r="D4" s="1798"/>
      <c r="E4" s="1798"/>
      <c r="F4" s="1798"/>
      <c r="G4" s="1798"/>
    </row>
    <row r="5" spans="1:7">
      <c r="A5" s="1798" t="s">
        <v>683</v>
      </c>
      <c r="B5" s="1798"/>
      <c r="C5" s="1798"/>
      <c r="D5" s="1798"/>
      <c r="E5" s="1798"/>
      <c r="F5" s="1798"/>
      <c r="G5" s="1798"/>
    </row>
    <row r="6" spans="1:7">
      <c r="A6" s="1798" t="s">
        <v>684</v>
      </c>
      <c r="B6" s="1798"/>
      <c r="C6" s="1798"/>
      <c r="D6" s="1798"/>
      <c r="E6" s="1798"/>
      <c r="F6" s="1798"/>
      <c r="G6" s="1798"/>
    </row>
    <row r="7" spans="1:7">
      <c r="A7" s="1798" t="s">
        <v>17</v>
      </c>
      <c r="B7" s="1798"/>
      <c r="C7" s="1798"/>
      <c r="D7" s="1798"/>
      <c r="E7" s="1798"/>
      <c r="F7" s="1798"/>
      <c r="G7" s="1798"/>
    </row>
    <row r="8" spans="1:7">
      <c r="A8" s="1799">
        <f>'TTDVNN V '!A8:G8</f>
        <v>0</v>
      </c>
      <c r="B8" s="1799"/>
      <c r="C8" s="1799"/>
      <c r="D8" s="1799"/>
      <c r="E8" s="1799"/>
      <c r="F8" s="1799"/>
      <c r="G8" s="1799"/>
    </row>
    <row r="9" spans="1:7">
      <c r="G9" s="6" t="s">
        <v>43</v>
      </c>
    </row>
    <row r="10" spans="1:7"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7">
      <c r="A11" s="8" t="s">
        <v>20</v>
      </c>
      <c r="B11" s="8" t="s">
        <v>21</v>
      </c>
      <c r="C11" s="8" t="s">
        <v>22</v>
      </c>
      <c r="D11" s="8" t="s">
        <v>23</v>
      </c>
      <c r="E11" s="7" t="str">
        <f>'TTDVNN V '!E12</f>
        <v>(5)</v>
      </c>
      <c r="F11" s="7" t="str">
        <f>'TTDVNN V '!F12</f>
        <v>(6)=(3)-(4)+(5)</v>
      </c>
      <c r="G11" s="8" t="s">
        <v>1287</v>
      </c>
    </row>
    <row r="12" spans="1:7" ht="37.5">
      <c r="A12" s="7" t="s">
        <v>2</v>
      </c>
      <c r="B12" s="9" t="s">
        <v>3</v>
      </c>
      <c r="C12" s="10"/>
      <c r="D12" s="10"/>
      <c r="E12" s="10"/>
      <c r="F12" s="10"/>
      <c r="G12" s="11"/>
    </row>
    <row r="13" spans="1:7">
      <c r="A13" s="17">
        <v>1</v>
      </c>
      <c r="B13" s="18" t="s">
        <v>4</v>
      </c>
      <c r="C13" s="19"/>
      <c r="D13" s="19"/>
      <c r="E13" s="19"/>
      <c r="F13" s="19"/>
      <c r="G13" s="11"/>
    </row>
    <row r="14" spans="1:7">
      <c r="A14" s="17">
        <v>2</v>
      </c>
      <c r="B14" s="18" t="s">
        <v>7</v>
      </c>
      <c r="C14" s="19"/>
      <c r="D14" s="19">
        <f>C14*40%</f>
        <v>0</v>
      </c>
      <c r="E14" s="19"/>
      <c r="F14" s="19">
        <f>C14-D14</f>
        <v>0</v>
      </c>
      <c r="G14" s="11"/>
    </row>
    <row r="15" spans="1:7" ht="37.5">
      <c r="A15" s="7" t="s">
        <v>12</v>
      </c>
      <c r="B15" s="9" t="s">
        <v>84</v>
      </c>
      <c r="C15" s="10">
        <f>C16</f>
        <v>1267000000</v>
      </c>
      <c r="D15" s="10">
        <f>D16</f>
        <v>62100000</v>
      </c>
      <c r="E15" s="10">
        <f>E16</f>
        <v>62100000</v>
      </c>
      <c r="F15" s="10">
        <f>F16</f>
        <v>1267000000</v>
      </c>
      <c r="G15" s="11"/>
    </row>
    <row r="16" spans="1:7" ht="37.5">
      <c r="A16" s="7"/>
      <c r="B16" s="9" t="s">
        <v>676</v>
      </c>
      <c r="C16" s="10">
        <f>C17+C21</f>
        <v>1267000000</v>
      </c>
      <c r="D16" s="10">
        <f>D17+D21</f>
        <v>62100000</v>
      </c>
      <c r="E16" s="10">
        <f>E17+E21</f>
        <v>62100000</v>
      </c>
      <c r="F16" s="10">
        <f>F17+F21</f>
        <v>1267000000</v>
      </c>
      <c r="G16" s="11"/>
    </row>
    <row r="17" spans="1:7" s="16" customFormat="1" ht="39">
      <c r="A17" s="12">
        <v>1</v>
      </c>
      <c r="B17" s="13" t="s">
        <v>9</v>
      </c>
      <c r="C17" s="14">
        <f>SUM(C18:C20)</f>
        <v>727000000</v>
      </c>
      <c r="D17" s="14">
        <f>SUM(D18:D20)</f>
        <v>8100000</v>
      </c>
      <c r="E17" s="14">
        <f>SUM(E18:E20)</f>
        <v>62100000</v>
      </c>
      <c r="F17" s="14">
        <f>SUM(F18:F20)</f>
        <v>781000000</v>
      </c>
      <c r="G17" s="15"/>
    </row>
    <row r="18" spans="1:7" ht="37.5">
      <c r="A18" s="17" t="s">
        <v>5</v>
      </c>
      <c r="B18" s="18" t="s">
        <v>26</v>
      </c>
      <c r="C18" s="19">
        <f>'Dự toán Chi tiết 2025'!L1042</f>
        <v>456000000</v>
      </c>
      <c r="D18" s="19"/>
      <c r="E18" s="19"/>
      <c r="F18" s="19">
        <f>C18-D18+E18</f>
        <v>456000000</v>
      </c>
      <c r="G18" s="11"/>
    </row>
    <row r="19" spans="1:7" ht="37.5">
      <c r="A19" s="17" t="s">
        <v>6</v>
      </c>
      <c r="B19" s="18" t="str">
        <f>'TTDVNN V '!B18</f>
        <v>Kinh phí thực hiện cải cách tiền lương</v>
      </c>
      <c r="C19" s="19">
        <f>'Dự toán Chi tiết 2025'!L1044</f>
        <v>190000000</v>
      </c>
      <c r="D19" s="19"/>
      <c r="E19" s="19">
        <f>D15</f>
        <v>62100000</v>
      </c>
      <c r="F19" s="19">
        <f>C19-D19+E19</f>
        <v>252100000</v>
      </c>
      <c r="G19" s="11"/>
    </row>
    <row r="20" spans="1:7" ht="37.5">
      <c r="A20" s="17" t="s">
        <v>157</v>
      </c>
      <c r="B20" s="18" t="s">
        <v>27</v>
      </c>
      <c r="C20" s="19">
        <f>'Dự toán Chi tiết 2025'!L1045</f>
        <v>81000000</v>
      </c>
      <c r="D20" s="19">
        <f>C20*10%</f>
        <v>8100000</v>
      </c>
      <c r="E20" s="19"/>
      <c r="F20" s="19">
        <f>C20-D20+E20</f>
        <v>72900000</v>
      </c>
      <c r="G20" s="11"/>
    </row>
    <row r="21" spans="1:7" s="16" customFormat="1" ht="39">
      <c r="A21" s="12">
        <f>'Phụ nữ V'!A21</f>
        <v>2</v>
      </c>
      <c r="B21" s="13" t="str">
        <f>'Phụ nữ V'!B21</f>
        <v>Kinh phí nhiệm vụ không thường xuyên</v>
      </c>
      <c r="C21" s="14">
        <f>SUM(C22:C32)</f>
        <v>540000000</v>
      </c>
      <c r="D21" s="14">
        <f>SUM(D22:D32)</f>
        <v>54000000</v>
      </c>
      <c r="E21" s="14">
        <f>SUM(E22:E32)</f>
        <v>0</v>
      </c>
      <c r="F21" s="14">
        <f>SUM(F22:F32)</f>
        <v>486000000</v>
      </c>
      <c r="G21" s="15"/>
    </row>
    <row r="22" spans="1:7" ht="98.25" customHeight="1">
      <c r="A22" s="17" t="s">
        <v>8</v>
      </c>
      <c r="B22" s="22" t="str">
        <f>'Dự toán Chi tiết 2025'!B1047</f>
        <v>Chi phục vụ các hoạt động sơ kết, tổng kết, kiểm tra, khen thưởng của Hội và các hoạt động khác được Thành uỷ và UBND thành phố giao nhiệm vụ</v>
      </c>
      <c r="C22" s="19">
        <f>'Dự toán Chi tiết 2025'!L1047</f>
        <v>210000000</v>
      </c>
      <c r="D22" s="19">
        <f>C22*10%</f>
        <v>21000000</v>
      </c>
      <c r="E22" s="19"/>
      <c r="F22" s="19">
        <f>C22-D22</f>
        <v>189000000</v>
      </c>
      <c r="G22" s="11"/>
    </row>
    <row r="23" spans="1:7" ht="56.25" hidden="1">
      <c r="A23" s="17" t="s">
        <v>11</v>
      </c>
      <c r="B23" s="22" t="s">
        <v>1199</v>
      </c>
      <c r="C23" s="19">
        <f>'Dự toán Chi tiết 2025'!L1048</f>
        <v>0</v>
      </c>
      <c r="D23" s="19">
        <f t="shared" ref="D23:D32" si="0">C23*10%</f>
        <v>0</v>
      </c>
      <c r="E23" s="19"/>
      <c r="F23" s="19">
        <f t="shared" ref="F23:F32" si="1">C23-D23</f>
        <v>0</v>
      </c>
      <c r="G23" s="11"/>
    </row>
    <row r="24" spans="1:7" ht="37.5">
      <c r="A24" s="17" t="s">
        <v>11</v>
      </c>
      <c r="B24" s="22" t="str">
        <f>'Dự toán Chi tiết 2025'!B1059</f>
        <v>Kinh phí thực hiện giám sát phản biện xã hội QĐ 217, QĐ 218</v>
      </c>
      <c r="C24" s="19">
        <f>'Dự toán Chi tiết 2025'!L1059</f>
        <v>20000000</v>
      </c>
      <c r="D24" s="19">
        <f t="shared" si="0"/>
        <v>2000000</v>
      </c>
      <c r="E24" s="19"/>
      <c r="F24" s="19">
        <f t="shared" si="1"/>
        <v>18000000</v>
      </c>
      <c r="G24" s="11"/>
    </row>
    <row r="25" spans="1:7" ht="75">
      <c r="A25" s="17" t="s">
        <v>13</v>
      </c>
      <c r="B25" s="22" t="str">
        <f>'Dự toán Chi tiết 2025'!B1057</f>
        <v>Tổ chức và triển khai các mô hình thực hiện Chỉ thị 05 và Mô hình an ninh trật tự, dân vận khéo, môi trường,..</v>
      </c>
      <c r="C25" s="19">
        <f>'Dự toán Chi tiết 2025'!L1057</f>
        <v>30000000</v>
      </c>
      <c r="D25" s="19">
        <f t="shared" si="0"/>
        <v>3000000</v>
      </c>
      <c r="E25" s="19"/>
      <c r="F25" s="19">
        <f t="shared" si="1"/>
        <v>27000000</v>
      </c>
      <c r="G25" s="11"/>
    </row>
    <row r="26" spans="1:7" ht="56.25">
      <c r="A26" s="17" t="s">
        <v>28</v>
      </c>
      <c r="B26" s="22" t="s">
        <v>1203</v>
      </c>
      <c r="C26" s="19">
        <f>'Dự toán Chi tiết 2025'!L1060</f>
        <v>20000000</v>
      </c>
      <c r="D26" s="19">
        <f t="shared" si="0"/>
        <v>2000000</v>
      </c>
      <c r="E26" s="19"/>
      <c r="F26" s="19">
        <f t="shared" si="1"/>
        <v>18000000</v>
      </c>
      <c r="G26" s="11"/>
    </row>
    <row r="27" spans="1:7" ht="56.25">
      <c r="A27" s="17" t="s">
        <v>29</v>
      </c>
      <c r="B27" s="22" t="s">
        <v>1204</v>
      </c>
      <c r="C27" s="19">
        <f>'Dự toán Chi tiết 2025'!L1061</f>
        <v>30000000</v>
      </c>
      <c r="D27" s="19">
        <f t="shared" si="0"/>
        <v>3000000</v>
      </c>
      <c r="E27" s="19"/>
      <c r="F27" s="19">
        <f t="shared" si="1"/>
        <v>27000000</v>
      </c>
      <c r="G27" s="11"/>
    </row>
    <row r="28" spans="1:7">
      <c r="A28" s="17" t="s">
        <v>30</v>
      </c>
      <c r="B28" s="22" t="s">
        <v>1205</v>
      </c>
      <c r="C28" s="19">
        <f>'Dự toán Chi tiết 2025'!L1062</f>
        <v>30000000</v>
      </c>
      <c r="D28" s="19">
        <f t="shared" si="0"/>
        <v>3000000</v>
      </c>
      <c r="E28" s="19"/>
      <c r="F28" s="19">
        <f t="shared" si="1"/>
        <v>27000000</v>
      </c>
      <c r="G28" s="11"/>
    </row>
    <row r="29" spans="1:7" ht="37.5">
      <c r="A29" s="17" t="s">
        <v>31</v>
      </c>
      <c r="B29" s="22" t="s">
        <v>1206</v>
      </c>
      <c r="C29" s="19">
        <f>'Dự toán Chi tiết 2025'!L1063</f>
        <v>100000000</v>
      </c>
      <c r="D29" s="19">
        <f t="shared" si="0"/>
        <v>10000000</v>
      </c>
      <c r="E29" s="19"/>
      <c r="F29" s="19">
        <f t="shared" si="1"/>
        <v>90000000</v>
      </c>
      <c r="G29" s="11"/>
    </row>
    <row r="30" spans="1:7" ht="56.25">
      <c r="A30" s="17" t="s">
        <v>32</v>
      </c>
      <c r="B30" s="22" t="str">
        <f>'Dự toán Chi tiết 2025'!B1056</f>
        <v>Hội nghị sơ kết công tác phong trào nông dân giữa nhiệm kỳ 2023-2028</v>
      </c>
      <c r="C30" s="19">
        <f>'Dự toán Chi tiết 2025'!L1056</f>
        <v>20000000</v>
      </c>
      <c r="D30" s="19">
        <f t="shared" si="0"/>
        <v>2000000</v>
      </c>
      <c r="E30" s="19"/>
      <c r="F30" s="19">
        <f t="shared" si="1"/>
        <v>18000000</v>
      </c>
      <c r="G30" s="11"/>
    </row>
    <row r="31" spans="1:7" ht="37.5">
      <c r="A31" s="17" t="s">
        <v>38</v>
      </c>
      <c r="B31" s="22" t="str">
        <f>'Dự toán Chi tiết 2025'!B1055</f>
        <v>Hội nghị Điển hình tiên tiến giai đoạn 2020-2025</v>
      </c>
      <c r="C31" s="19">
        <f>'Dự toán Chi tiết 2025'!L1055</f>
        <v>30000000</v>
      </c>
      <c r="D31" s="19">
        <f t="shared" si="0"/>
        <v>3000000</v>
      </c>
      <c r="E31" s="19"/>
      <c r="F31" s="19">
        <f t="shared" si="1"/>
        <v>27000000</v>
      </c>
      <c r="G31" s="11"/>
    </row>
    <row r="32" spans="1:7" ht="150">
      <c r="A32" s="17" t="s">
        <v>39</v>
      </c>
      <c r="B32" s="22" t="s">
        <v>569</v>
      </c>
      <c r="C32" s="19">
        <f>'Dự toán Chi tiết 2025'!L1064</f>
        <v>50000000</v>
      </c>
      <c r="D32" s="19">
        <f t="shared" si="0"/>
        <v>5000000</v>
      </c>
      <c r="E32" s="19"/>
      <c r="F32" s="19">
        <f t="shared" si="1"/>
        <v>45000000</v>
      </c>
      <c r="G32" s="11"/>
    </row>
  </sheetData>
  <mergeCells count="7">
    <mergeCell ref="A8:G8"/>
    <mergeCell ref="A1:C1"/>
    <mergeCell ref="A2:C2"/>
    <mergeCell ref="A4:G4"/>
    <mergeCell ref="A5:G5"/>
    <mergeCell ref="A6:G6"/>
    <mergeCell ref="A7:G7"/>
  </mergeCells>
  <pageMargins left="0.43307086614173229" right="0.47244094488188981" top="0.59055118110236227" bottom="0.59055118110236227" header="0.31496062992125984" footer="0.31496062992125984"/>
  <pageSetup paperSize="9" scale="63" fitToHeight="0"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30"/>
  <sheetViews>
    <sheetView topLeftCell="A31" zoomScale="85" zoomScaleNormal="85" workbookViewId="0">
      <selection activeCell="A8" sqref="A8:G8"/>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15.7109375" style="2" hidden="1" customWidth="1"/>
    <col min="9" max="12" width="0" style="2" hidden="1" customWidth="1"/>
    <col min="13" max="13" width="14.28515625" style="2" bestFit="1" customWidth="1"/>
    <col min="14"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13">
      <c r="A1" s="1838" t="s">
        <v>685</v>
      </c>
      <c r="B1" s="1838"/>
      <c r="C1" s="1838"/>
      <c r="G1" s="3"/>
    </row>
    <row r="2" spans="1:13">
      <c r="A2" s="1798" t="s">
        <v>686</v>
      </c>
      <c r="B2" s="1798"/>
      <c r="C2" s="1798"/>
      <c r="D2" s="4"/>
      <c r="E2" s="4"/>
      <c r="F2" s="4"/>
    </row>
    <row r="3" spans="1:13">
      <c r="A3" s="5"/>
    </row>
    <row r="4" spans="1:13">
      <c r="A4" s="1667" t="s">
        <v>2093</v>
      </c>
      <c r="B4" s="1667"/>
      <c r="C4" s="1667"/>
      <c r="D4" s="1667"/>
      <c r="E4" s="1667"/>
      <c r="F4" s="1667"/>
      <c r="G4" s="1667"/>
    </row>
    <row r="5" spans="1:13">
      <c r="A5" s="1798" t="s">
        <v>687</v>
      </c>
      <c r="B5" s="1798"/>
      <c r="C5" s="1798"/>
      <c r="D5" s="1798"/>
      <c r="E5" s="1798"/>
      <c r="F5" s="1798"/>
      <c r="G5" s="1798"/>
    </row>
    <row r="6" spans="1:13">
      <c r="A6" s="1798" t="s">
        <v>688</v>
      </c>
      <c r="B6" s="1798"/>
      <c r="C6" s="1798"/>
      <c r="D6" s="1798"/>
      <c r="E6" s="1798"/>
      <c r="F6" s="1798"/>
      <c r="G6" s="1798"/>
    </row>
    <row r="7" spans="1:13">
      <c r="A7" s="1798" t="s">
        <v>17</v>
      </c>
      <c r="B7" s="1798"/>
      <c r="C7" s="1798"/>
      <c r="D7" s="1798"/>
      <c r="E7" s="1798"/>
      <c r="F7" s="1798"/>
      <c r="G7" s="1798"/>
    </row>
    <row r="8" spans="1:13">
      <c r="A8" s="1799"/>
      <c r="B8" s="1799"/>
      <c r="C8" s="1799"/>
      <c r="D8" s="1799"/>
      <c r="E8" s="1799"/>
      <c r="F8" s="1799"/>
      <c r="G8" s="1799"/>
    </row>
    <row r="9" spans="1:13">
      <c r="G9" s="6" t="s">
        <v>43</v>
      </c>
    </row>
    <row r="10" spans="1:13"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13">
      <c r="A11" s="8" t="s">
        <v>20</v>
      </c>
      <c r="B11" s="8" t="s">
        <v>21</v>
      </c>
      <c r="C11" s="8" t="s">
        <v>22</v>
      </c>
      <c r="D11" s="8" t="s">
        <v>23</v>
      </c>
      <c r="E11" s="7" t="str">
        <f>'TTDVNN V '!E12</f>
        <v>(5)</v>
      </c>
      <c r="F11" s="7" t="str">
        <f>'TTDVNN V '!F12</f>
        <v>(6)=(3)-(4)+(5)</v>
      </c>
      <c r="G11" s="8" t="s">
        <v>1287</v>
      </c>
    </row>
    <row r="12" spans="1:13" ht="37.5">
      <c r="A12" s="7" t="s">
        <v>2</v>
      </c>
      <c r="B12" s="9" t="s">
        <v>3</v>
      </c>
      <c r="C12" s="10"/>
      <c r="D12" s="10"/>
      <c r="E12" s="10"/>
      <c r="F12" s="10"/>
      <c r="G12" s="11"/>
    </row>
    <row r="13" spans="1:13">
      <c r="A13" s="17">
        <v>1</v>
      </c>
      <c r="B13" s="18" t="s">
        <v>4</v>
      </c>
      <c r="C13" s="19"/>
      <c r="D13" s="19"/>
      <c r="E13" s="19"/>
      <c r="F13" s="19"/>
      <c r="G13" s="11"/>
    </row>
    <row r="14" spans="1:13">
      <c r="A14" s="17">
        <v>2</v>
      </c>
      <c r="B14" s="18" t="s">
        <v>7</v>
      </c>
      <c r="C14" s="19"/>
      <c r="D14" s="19"/>
      <c r="E14" s="19"/>
      <c r="F14" s="19"/>
      <c r="G14" s="11"/>
    </row>
    <row r="15" spans="1:13" ht="37.5">
      <c r="A15" s="7" t="s">
        <v>12</v>
      </c>
      <c r="B15" s="9" t="s">
        <v>84</v>
      </c>
      <c r="C15" s="10">
        <f>C16</f>
        <v>931000000</v>
      </c>
      <c r="D15" s="10">
        <f>D16</f>
        <v>28600000</v>
      </c>
      <c r="E15" s="10">
        <f>E16</f>
        <v>28600000</v>
      </c>
      <c r="F15" s="10">
        <f>F16</f>
        <v>931000000</v>
      </c>
      <c r="G15" s="11"/>
      <c r="H15" s="240">
        <f>C15+E15-D15</f>
        <v>931000000</v>
      </c>
      <c r="I15" s="240">
        <f>H15-F15</f>
        <v>0</v>
      </c>
      <c r="M15" s="240">
        <f>'Cựu chiến binh V'!F15-'Cựu chiến binh V-điều chỉnh'!F15</f>
        <v>36000000</v>
      </c>
    </row>
    <row r="16" spans="1:13" ht="37.5">
      <c r="A16" s="7"/>
      <c r="B16" s="9" t="s">
        <v>676</v>
      </c>
      <c r="C16" s="10">
        <f>C17+C21</f>
        <v>931000000</v>
      </c>
      <c r="D16" s="10">
        <f>D17+D21</f>
        <v>28600000</v>
      </c>
      <c r="E16" s="10">
        <f>E17+E21</f>
        <v>28600000</v>
      </c>
      <c r="F16" s="10">
        <f>F17+F21</f>
        <v>931000000</v>
      </c>
      <c r="G16" s="11"/>
      <c r="H16" s="240">
        <f t="shared" ref="H16:H30" si="0">C16+E16-D16</f>
        <v>931000000</v>
      </c>
      <c r="I16" s="240">
        <f t="shared" ref="I16:I30" si="1">H16-F16</f>
        <v>0</v>
      </c>
    </row>
    <row r="17" spans="1:9" s="16" customFormat="1" ht="39">
      <c r="A17" s="12">
        <v>1</v>
      </c>
      <c r="B17" s="13" t="s">
        <v>9</v>
      </c>
      <c r="C17" s="14">
        <f>SUM(C18:C20)</f>
        <v>726000000</v>
      </c>
      <c r="D17" s="14">
        <f>SUM(D18:D20)</f>
        <v>8100000</v>
      </c>
      <c r="E17" s="14">
        <f>SUM(E18:E20)</f>
        <v>28600000</v>
      </c>
      <c r="F17" s="14">
        <f>SUM(F18:F20)</f>
        <v>746500000</v>
      </c>
      <c r="G17" s="15"/>
      <c r="H17" s="240">
        <f t="shared" si="0"/>
        <v>746500000</v>
      </c>
      <c r="I17" s="240">
        <f t="shared" si="1"/>
        <v>0</v>
      </c>
    </row>
    <row r="18" spans="1:9" ht="37.5">
      <c r="A18" s="17" t="s">
        <v>5</v>
      </c>
      <c r="B18" s="18" t="s">
        <v>26</v>
      </c>
      <c r="C18" s="19">
        <f>'Dự toán Chi tiết 2025'!L1071</f>
        <v>429000000</v>
      </c>
      <c r="D18" s="19"/>
      <c r="E18" s="19"/>
      <c r="F18" s="19">
        <f>C18-D18+E18</f>
        <v>429000000</v>
      </c>
      <c r="G18" s="11"/>
      <c r="H18" s="240">
        <f t="shared" si="0"/>
        <v>429000000</v>
      </c>
      <c r="I18" s="240">
        <f t="shared" si="1"/>
        <v>0</v>
      </c>
    </row>
    <row r="19" spans="1:9" ht="37.5">
      <c r="A19" s="17" t="s">
        <v>6</v>
      </c>
      <c r="B19" s="18" t="str">
        <f>'TTDVNN V '!B18</f>
        <v>Kinh phí thực hiện cải cách tiền lương</v>
      </c>
      <c r="C19" s="19">
        <f>'Dự toán Chi tiết 2025'!L1073</f>
        <v>216000000</v>
      </c>
      <c r="D19" s="19"/>
      <c r="E19" s="19">
        <f>D15</f>
        <v>28600000</v>
      </c>
      <c r="F19" s="19">
        <f>C19-D19+E19</f>
        <v>244600000</v>
      </c>
      <c r="G19" s="11"/>
      <c r="H19" s="240">
        <f t="shared" si="0"/>
        <v>244600000</v>
      </c>
      <c r="I19" s="240">
        <f t="shared" si="1"/>
        <v>0</v>
      </c>
    </row>
    <row r="20" spans="1:9" ht="37.5">
      <c r="A20" s="17" t="s">
        <v>157</v>
      </c>
      <c r="B20" s="18" t="s">
        <v>27</v>
      </c>
      <c r="C20" s="19">
        <f>'Dự toán Chi tiết 2025'!L1074</f>
        <v>81000000</v>
      </c>
      <c r="D20" s="19">
        <f>C20*10%</f>
        <v>8100000</v>
      </c>
      <c r="E20" s="19"/>
      <c r="F20" s="19">
        <f>C20-D20+E20</f>
        <v>72900000</v>
      </c>
      <c r="G20" s="11"/>
      <c r="H20" s="240">
        <f t="shared" si="0"/>
        <v>72900000</v>
      </c>
      <c r="I20" s="240">
        <f t="shared" si="1"/>
        <v>0</v>
      </c>
    </row>
    <row r="21" spans="1:9" s="16" customFormat="1" ht="39">
      <c r="A21" s="12">
        <f>'Nông dân V'!A21</f>
        <v>2</v>
      </c>
      <c r="B21" s="13" t="str">
        <f>'Nông dân V'!B21</f>
        <v>Kinh phí nhiệm vụ không thường xuyên</v>
      </c>
      <c r="C21" s="14">
        <f>SUM(C22:C30)</f>
        <v>205000000</v>
      </c>
      <c r="D21" s="14">
        <f>SUM(D22:D30)</f>
        <v>20500000</v>
      </c>
      <c r="E21" s="14"/>
      <c r="F21" s="14">
        <f>SUM(F22:F30)</f>
        <v>184500000</v>
      </c>
      <c r="G21" s="15"/>
      <c r="H21" s="240">
        <f t="shared" si="0"/>
        <v>184500000</v>
      </c>
      <c r="I21" s="240">
        <f t="shared" si="1"/>
        <v>0</v>
      </c>
    </row>
    <row r="22" spans="1:9" ht="37.5" hidden="1">
      <c r="A22" s="17" t="s">
        <v>8</v>
      </c>
      <c r="B22" s="22" t="s">
        <v>409</v>
      </c>
      <c r="C22" s="19"/>
      <c r="D22" s="19"/>
      <c r="E22" s="19"/>
      <c r="F22" s="19">
        <f>C22-D22</f>
        <v>0</v>
      </c>
      <c r="G22" s="11"/>
      <c r="H22" s="240">
        <f t="shared" si="0"/>
        <v>0</v>
      </c>
      <c r="I22" s="240">
        <f t="shared" si="1"/>
        <v>0</v>
      </c>
    </row>
    <row r="23" spans="1:9" hidden="1">
      <c r="A23" s="17" t="s">
        <v>11</v>
      </c>
      <c r="B23" s="22" t="str">
        <f>'Dự toán Chi tiết 2025'!B1081</f>
        <v>Chi Đại hội Chi bộ</v>
      </c>
      <c r="C23" s="19"/>
      <c r="D23" s="19"/>
      <c r="E23" s="19"/>
      <c r="F23" s="19">
        <f>C23-D23</f>
        <v>0</v>
      </c>
      <c r="G23" s="11"/>
      <c r="H23" s="240"/>
      <c r="I23" s="240"/>
    </row>
    <row r="24" spans="1:9" ht="37.5" hidden="1">
      <c r="A24" s="17" t="s">
        <v>13</v>
      </c>
      <c r="B24" s="22" t="s">
        <v>1210</v>
      </c>
      <c r="C24" s="19">
        <f>'Dự toán Chi tiết 2025'!L1077</f>
        <v>0</v>
      </c>
      <c r="D24" s="19"/>
      <c r="E24" s="19"/>
      <c r="F24" s="19">
        <f t="shared" ref="F24:F30" si="2">C24-D24</f>
        <v>0</v>
      </c>
      <c r="G24" s="11"/>
      <c r="H24" s="240">
        <f t="shared" si="0"/>
        <v>0</v>
      </c>
      <c r="I24" s="240">
        <f t="shared" si="1"/>
        <v>0</v>
      </c>
    </row>
    <row r="25" spans="1:9" ht="75">
      <c r="A25" s="17" t="s">
        <v>8</v>
      </c>
      <c r="B25" s="22" t="s">
        <v>1440</v>
      </c>
      <c r="C25" s="19">
        <f>'Dự toán Chi tiết 2025'!L1078</f>
        <v>100000000</v>
      </c>
      <c r="D25" s="19">
        <f t="shared" ref="D25:D30" si="3">C25*10%</f>
        <v>10000000</v>
      </c>
      <c r="E25" s="19"/>
      <c r="F25" s="19">
        <f t="shared" si="2"/>
        <v>90000000</v>
      </c>
      <c r="G25" s="20"/>
      <c r="H25" s="240">
        <f t="shared" si="0"/>
        <v>90000000</v>
      </c>
      <c r="I25" s="240">
        <f t="shared" si="1"/>
        <v>0</v>
      </c>
    </row>
    <row r="26" spans="1:9" ht="67.5" customHeight="1">
      <c r="A26" s="17" t="s">
        <v>11</v>
      </c>
      <c r="B26" s="22" t="str">
        <f>'Dự toán Chi tiết 2025'!B1080</f>
        <v>Tổ chức Hội thi Chi Hội Cựu chiến binh cơ sở giỏi ở cấp thành phố và xã, phường</v>
      </c>
      <c r="C26" s="19">
        <f>'Dự toán Chi tiết 2025'!L1080</f>
        <v>80000000</v>
      </c>
      <c r="D26" s="19">
        <f t="shared" si="3"/>
        <v>8000000</v>
      </c>
      <c r="E26" s="19"/>
      <c r="F26" s="19">
        <f t="shared" si="2"/>
        <v>72000000</v>
      </c>
      <c r="G26" s="20"/>
      <c r="H26" s="240">
        <f t="shared" si="0"/>
        <v>72000000</v>
      </c>
      <c r="I26" s="240">
        <f t="shared" si="1"/>
        <v>0</v>
      </c>
    </row>
    <row r="27" spans="1:9" ht="56.25">
      <c r="A27" s="17" t="s">
        <v>13</v>
      </c>
      <c r="B27" s="22" t="str">
        <f>'Dự toán Chi tiết 2025'!B1086</f>
        <v>Chi tổ chức gặp mặt Cựu chiến binh tiêu biểu tham gia các cuộc kháng chiến chống Mỹ cứu nước</v>
      </c>
      <c r="C27" s="19">
        <f>'Dự toán Chi tiết 2025'!L1086</f>
        <v>25000000</v>
      </c>
      <c r="D27" s="19">
        <f t="shared" si="3"/>
        <v>2500000</v>
      </c>
      <c r="E27" s="19"/>
      <c r="F27" s="19">
        <f t="shared" si="2"/>
        <v>22500000</v>
      </c>
      <c r="G27" s="11"/>
      <c r="H27" s="240">
        <f t="shared" si="0"/>
        <v>22500000</v>
      </c>
      <c r="I27" s="240">
        <f t="shared" si="1"/>
        <v>0</v>
      </c>
    </row>
    <row r="28" spans="1:9" ht="37.5" hidden="1">
      <c r="A28" s="17" t="s">
        <v>30</v>
      </c>
      <c r="B28" s="22" t="s">
        <v>1212</v>
      </c>
      <c r="C28" s="19">
        <f>'Dự toán Chi tiết 2025'!L1082</f>
        <v>0</v>
      </c>
      <c r="D28" s="19">
        <f t="shared" si="3"/>
        <v>0</v>
      </c>
      <c r="E28" s="19"/>
      <c r="F28" s="19">
        <f t="shared" si="2"/>
        <v>0</v>
      </c>
      <c r="G28" s="11"/>
      <c r="H28" s="240">
        <f t="shared" si="0"/>
        <v>0</v>
      </c>
      <c r="I28" s="240">
        <f t="shared" si="1"/>
        <v>0</v>
      </c>
    </row>
    <row r="29" spans="1:9" ht="37.5" hidden="1">
      <c r="A29" s="17" t="s">
        <v>31</v>
      </c>
      <c r="B29" s="22" t="s">
        <v>1441</v>
      </c>
      <c r="C29" s="19">
        <f>'Dự toán Chi tiết 2025'!L1084</f>
        <v>0</v>
      </c>
      <c r="D29" s="19">
        <f t="shared" si="3"/>
        <v>0</v>
      </c>
      <c r="E29" s="19"/>
      <c r="F29" s="19">
        <f t="shared" si="2"/>
        <v>0</v>
      </c>
      <c r="G29" s="11"/>
      <c r="H29" s="240">
        <f t="shared" si="0"/>
        <v>0</v>
      </c>
      <c r="I29" s="240">
        <f t="shared" si="1"/>
        <v>0</v>
      </c>
    </row>
    <row r="30" spans="1:9" ht="93.75" hidden="1">
      <c r="A30" s="17" t="s">
        <v>32</v>
      </c>
      <c r="B30" s="22" t="s">
        <v>1213</v>
      </c>
      <c r="C30" s="19"/>
      <c r="D30" s="19">
        <f t="shared" si="3"/>
        <v>0</v>
      </c>
      <c r="E30" s="19"/>
      <c r="F30" s="19">
        <f t="shared" si="2"/>
        <v>0</v>
      </c>
      <c r="G30" s="11"/>
      <c r="H30" s="240">
        <f t="shared" si="0"/>
        <v>0</v>
      </c>
      <c r="I30" s="240">
        <f t="shared" si="1"/>
        <v>0</v>
      </c>
    </row>
  </sheetData>
  <mergeCells count="7">
    <mergeCell ref="A8:G8"/>
    <mergeCell ref="A1:C1"/>
    <mergeCell ref="A2:C2"/>
    <mergeCell ref="A4:G4"/>
    <mergeCell ref="A5:G5"/>
    <mergeCell ref="A6:G6"/>
    <mergeCell ref="A7:G7"/>
  </mergeCells>
  <pageMargins left="0.5" right="0.44" top="0.6" bottom="0.74803149606299213" header="0.31496062992125984" footer="0.31496062992125984"/>
  <pageSetup paperSize="9" scale="63" fitToHeight="0"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30"/>
  <sheetViews>
    <sheetView zoomScale="85" zoomScaleNormal="85" workbookViewId="0">
      <selection activeCell="C3" sqref="C3"/>
    </sheetView>
  </sheetViews>
  <sheetFormatPr defaultRowHeight="18.75"/>
  <cols>
    <col min="1" max="1" width="7.140625" style="2" customWidth="1"/>
    <col min="2" max="2" width="38.5703125" style="2" customWidth="1"/>
    <col min="3" max="3" width="19.28515625" style="2" customWidth="1"/>
    <col min="4" max="5" width="21.140625" style="2" customWidth="1"/>
    <col min="6" max="6" width="19.42578125" style="2" customWidth="1"/>
    <col min="7" max="7" width="20" style="2" customWidth="1"/>
    <col min="8" max="8" width="15.7109375" style="2" hidden="1" customWidth="1"/>
    <col min="9" max="12" width="0" style="2" hidden="1" customWidth="1"/>
    <col min="13"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9">
      <c r="A1" s="1838" t="s">
        <v>685</v>
      </c>
      <c r="B1" s="1838"/>
      <c r="C1" s="1838"/>
      <c r="G1" s="3"/>
    </row>
    <row r="2" spans="1:9">
      <c r="A2" s="1798" t="s">
        <v>686</v>
      </c>
      <c r="B2" s="1798"/>
      <c r="C2" s="1798"/>
      <c r="D2" s="4"/>
      <c r="E2" s="4"/>
      <c r="F2" s="4"/>
    </row>
    <row r="3" spans="1:9">
      <c r="A3" s="1402">
        <f>'TTDVNN V '!A3:G3</f>
        <v>0</v>
      </c>
      <c r="B3" s="1402"/>
      <c r="C3" s="1402"/>
      <c r="D3" s="1402"/>
      <c r="E3" s="1402"/>
      <c r="F3" s="1402"/>
      <c r="G3" s="1402"/>
    </row>
    <row r="4" spans="1:9">
      <c r="A4" s="1798" t="str">
        <f>'TTDVNN V '!A4:G4</f>
        <v>DỰ TOÁN THU, CHI NGÂN SÁCH NHÀ NƯỚC NĂM 2025</v>
      </c>
      <c r="B4" s="1798"/>
      <c r="C4" s="1798"/>
      <c r="D4" s="1798"/>
      <c r="E4" s="1798"/>
      <c r="F4" s="1798"/>
      <c r="G4" s="1798"/>
    </row>
    <row r="5" spans="1:9">
      <c r="A5" s="1798" t="s">
        <v>687</v>
      </c>
      <c r="B5" s="1798"/>
      <c r="C5" s="1798"/>
      <c r="D5" s="1798"/>
      <c r="E5" s="1798"/>
      <c r="F5" s="1798"/>
      <c r="G5" s="1798"/>
    </row>
    <row r="6" spans="1:9">
      <c r="A6" s="1798" t="s">
        <v>688</v>
      </c>
      <c r="B6" s="1798"/>
      <c r="C6" s="1798"/>
      <c r="D6" s="1798"/>
      <c r="E6" s="1798"/>
      <c r="F6" s="1798"/>
      <c r="G6" s="1798"/>
    </row>
    <row r="7" spans="1:9">
      <c r="A7" s="1798" t="s">
        <v>17</v>
      </c>
      <c r="B7" s="1798"/>
      <c r="C7" s="1798"/>
      <c r="D7" s="1798"/>
      <c r="E7" s="1798"/>
      <c r="F7" s="1798"/>
      <c r="G7" s="1798"/>
    </row>
    <row r="8" spans="1:9">
      <c r="A8" s="1799">
        <f>'TTDVNN V '!A8:G8</f>
        <v>0</v>
      </c>
      <c r="B8" s="1799"/>
      <c r="C8" s="1799"/>
      <c r="D8" s="1799"/>
      <c r="E8" s="1799"/>
      <c r="F8" s="1799"/>
      <c r="G8" s="1799"/>
    </row>
    <row r="9" spans="1:9">
      <c r="G9" s="6" t="s">
        <v>43</v>
      </c>
    </row>
    <row r="10" spans="1:9"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9">
      <c r="A11" s="8" t="s">
        <v>20</v>
      </c>
      <c r="B11" s="8" t="s">
        <v>21</v>
      </c>
      <c r="C11" s="8" t="s">
        <v>22</v>
      </c>
      <c r="D11" s="8" t="s">
        <v>23</v>
      </c>
      <c r="E11" s="7" t="str">
        <f>'TTDVNN V '!E12</f>
        <v>(5)</v>
      </c>
      <c r="F11" s="7" t="str">
        <f>'TTDVNN V '!F12</f>
        <v>(6)=(3)-(4)+(5)</v>
      </c>
      <c r="G11" s="8" t="s">
        <v>1287</v>
      </c>
    </row>
    <row r="12" spans="1:9" ht="37.5">
      <c r="A12" s="7" t="s">
        <v>2</v>
      </c>
      <c r="B12" s="9" t="s">
        <v>3</v>
      </c>
      <c r="C12" s="10"/>
      <c r="D12" s="10"/>
      <c r="E12" s="10"/>
      <c r="F12" s="10"/>
      <c r="G12" s="11"/>
    </row>
    <row r="13" spans="1:9">
      <c r="A13" s="17">
        <v>1</v>
      </c>
      <c r="B13" s="18" t="s">
        <v>4</v>
      </c>
      <c r="C13" s="19"/>
      <c r="D13" s="19"/>
      <c r="E13" s="19"/>
      <c r="F13" s="19"/>
      <c r="G13" s="11"/>
    </row>
    <row r="14" spans="1:9">
      <c r="A14" s="17">
        <v>2</v>
      </c>
      <c r="B14" s="18" t="s">
        <v>7</v>
      </c>
      <c r="C14" s="19"/>
      <c r="D14" s="19"/>
      <c r="E14" s="19"/>
      <c r="F14" s="19"/>
      <c r="G14" s="11"/>
    </row>
    <row r="15" spans="1:9" ht="37.5">
      <c r="A15" s="7" t="s">
        <v>12</v>
      </c>
      <c r="B15" s="9" t="s">
        <v>84</v>
      </c>
      <c r="C15" s="10">
        <f>C16</f>
        <v>967000000</v>
      </c>
      <c r="D15" s="10">
        <f>D16</f>
        <v>28600000</v>
      </c>
      <c r="E15" s="10">
        <f>E16</f>
        <v>28600000</v>
      </c>
      <c r="F15" s="10">
        <f>F16</f>
        <v>967000000</v>
      </c>
      <c r="G15" s="11"/>
      <c r="H15" s="240">
        <f>C15+E15-D15</f>
        <v>967000000</v>
      </c>
      <c r="I15" s="240">
        <f>H15-F15</f>
        <v>0</v>
      </c>
    </row>
    <row r="16" spans="1:9" ht="37.5">
      <c r="A16" s="7"/>
      <c r="B16" s="9" t="s">
        <v>676</v>
      </c>
      <c r="C16" s="10">
        <f>C17+C21</f>
        <v>967000000</v>
      </c>
      <c r="D16" s="10">
        <f>D17+D21</f>
        <v>28600000</v>
      </c>
      <c r="E16" s="10">
        <f>E17+E21</f>
        <v>28600000</v>
      </c>
      <c r="F16" s="10">
        <f>F17+F21</f>
        <v>967000000</v>
      </c>
      <c r="G16" s="11"/>
      <c r="H16" s="240">
        <f t="shared" ref="H16:H30" si="0">C16+E16-D16</f>
        <v>967000000</v>
      </c>
      <c r="I16" s="240">
        <f t="shared" ref="I16:I30" si="1">H16-F16</f>
        <v>0</v>
      </c>
    </row>
    <row r="17" spans="1:9" s="16" customFormat="1" ht="39">
      <c r="A17" s="12">
        <v>1</v>
      </c>
      <c r="B17" s="13" t="s">
        <v>9</v>
      </c>
      <c r="C17" s="14">
        <f>SUM(C18:C20)</f>
        <v>726000000</v>
      </c>
      <c r="D17" s="14">
        <f>SUM(D18:D20)</f>
        <v>8100000</v>
      </c>
      <c r="E17" s="14">
        <f>SUM(E18:E20)</f>
        <v>28600000</v>
      </c>
      <c r="F17" s="14">
        <f>SUM(F18:F20)</f>
        <v>746500000</v>
      </c>
      <c r="G17" s="15"/>
      <c r="H17" s="240">
        <f t="shared" si="0"/>
        <v>746500000</v>
      </c>
      <c r="I17" s="240">
        <f t="shared" si="1"/>
        <v>0</v>
      </c>
    </row>
    <row r="18" spans="1:9" ht="37.5">
      <c r="A18" s="17" t="s">
        <v>5</v>
      </c>
      <c r="B18" s="18" t="s">
        <v>26</v>
      </c>
      <c r="C18" s="19">
        <f>'Dự toán Chi tiết 2025'!L1071</f>
        <v>429000000</v>
      </c>
      <c r="D18" s="19"/>
      <c r="E18" s="19"/>
      <c r="F18" s="19">
        <f>C18-D18+E18</f>
        <v>429000000</v>
      </c>
      <c r="G18" s="11"/>
      <c r="H18" s="240">
        <f t="shared" si="0"/>
        <v>429000000</v>
      </c>
      <c r="I18" s="240">
        <f t="shared" si="1"/>
        <v>0</v>
      </c>
    </row>
    <row r="19" spans="1:9" ht="37.5">
      <c r="A19" s="17" t="s">
        <v>6</v>
      </c>
      <c r="B19" s="18" t="str">
        <f>'TTDVNN V '!B18</f>
        <v>Kinh phí thực hiện cải cách tiền lương</v>
      </c>
      <c r="C19" s="19">
        <f>'Dự toán Chi tiết 2025'!L1073</f>
        <v>216000000</v>
      </c>
      <c r="D19" s="19"/>
      <c r="E19" s="19">
        <f>D15</f>
        <v>28600000</v>
      </c>
      <c r="F19" s="19">
        <f>C19-D19+E19</f>
        <v>244600000</v>
      </c>
      <c r="G19" s="11"/>
      <c r="H19" s="240">
        <f t="shared" si="0"/>
        <v>244600000</v>
      </c>
      <c r="I19" s="240">
        <f t="shared" si="1"/>
        <v>0</v>
      </c>
    </row>
    <row r="20" spans="1:9" ht="37.5">
      <c r="A20" s="17" t="s">
        <v>157</v>
      </c>
      <c r="B20" s="18" t="s">
        <v>27</v>
      </c>
      <c r="C20" s="19">
        <f>'Dự toán Chi tiết 2025'!L1074</f>
        <v>81000000</v>
      </c>
      <c r="D20" s="19">
        <f>C20*10%</f>
        <v>8100000</v>
      </c>
      <c r="E20" s="19"/>
      <c r="F20" s="19">
        <f>C20-D20+E20</f>
        <v>72900000</v>
      </c>
      <c r="G20" s="11"/>
      <c r="H20" s="240">
        <f t="shared" si="0"/>
        <v>72900000</v>
      </c>
      <c r="I20" s="240">
        <f t="shared" si="1"/>
        <v>0</v>
      </c>
    </row>
    <row r="21" spans="1:9" s="16" customFormat="1" ht="39">
      <c r="A21" s="12">
        <f>'Nông dân V'!A21</f>
        <v>2</v>
      </c>
      <c r="B21" s="13" t="str">
        <f>'Nông dân V'!B21</f>
        <v>Kinh phí nhiệm vụ không thường xuyên</v>
      </c>
      <c r="C21" s="14">
        <f>SUM(C22:C30)</f>
        <v>241000000</v>
      </c>
      <c r="D21" s="14">
        <f>SUM(D22:D30)</f>
        <v>20500000</v>
      </c>
      <c r="E21" s="14"/>
      <c r="F21" s="14">
        <f>SUM(F22:F30)</f>
        <v>220500000</v>
      </c>
      <c r="G21" s="15"/>
      <c r="H21" s="240">
        <f t="shared" si="0"/>
        <v>220500000</v>
      </c>
      <c r="I21" s="240">
        <f t="shared" si="1"/>
        <v>0</v>
      </c>
    </row>
    <row r="22" spans="1:9" ht="37.5">
      <c r="A22" s="17" t="s">
        <v>8</v>
      </c>
      <c r="B22" s="22" t="s">
        <v>409</v>
      </c>
      <c r="C22" s="19">
        <f>'Dự toán Chi tiết 2025'!L1076</f>
        <v>20200000</v>
      </c>
      <c r="D22" s="19"/>
      <c r="E22" s="19"/>
      <c r="F22" s="19">
        <f>C22-D22</f>
        <v>20200000</v>
      </c>
      <c r="G22" s="11"/>
      <c r="H22" s="240">
        <f t="shared" si="0"/>
        <v>20200000</v>
      </c>
      <c r="I22" s="240">
        <f t="shared" si="1"/>
        <v>0</v>
      </c>
    </row>
    <row r="23" spans="1:9">
      <c r="A23" s="17" t="s">
        <v>11</v>
      </c>
      <c r="B23" s="22" t="str">
        <f>'Dự toán Chi tiết 2025'!B1081</f>
        <v>Chi Đại hội Chi bộ</v>
      </c>
      <c r="C23" s="19">
        <f>'Dự toán Chi tiết 2025'!L1081</f>
        <v>15800000</v>
      </c>
      <c r="D23" s="19"/>
      <c r="E23" s="19"/>
      <c r="F23" s="19">
        <f>C23-D23</f>
        <v>15800000</v>
      </c>
      <c r="G23" s="11"/>
      <c r="H23" s="240"/>
      <c r="I23" s="240"/>
    </row>
    <row r="24" spans="1:9" ht="56.25" hidden="1">
      <c r="A24" s="17" t="s">
        <v>13</v>
      </c>
      <c r="B24" s="22" t="s">
        <v>1210</v>
      </c>
      <c r="C24" s="19">
        <f>'Dự toán Chi tiết 2025'!L1077</f>
        <v>0</v>
      </c>
      <c r="D24" s="19"/>
      <c r="E24" s="19"/>
      <c r="F24" s="19">
        <f t="shared" ref="F24:F30" si="2">C24-D24</f>
        <v>0</v>
      </c>
      <c r="G24" s="11"/>
      <c r="H24" s="240">
        <f t="shared" si="0"/>
        <v>0</v>
      </c>
      <c r="I24" s="240">
        <f t="shared" si="1"/>
        <v>0</v>
      </c>
    </row>
    <row r="25" spans="1:9" ht="75">
      <c r="A25" s="17" t="s">
        <v>13</v>
      </c>
      <c r="B25" s="22" t="s">
        <v>1440</v>
      </c>
      <c r="C25" s="19">
        <f>'Dự toán Chi tiết 2025'!L1078</f>
        <v>100000000</v>
      </c>
      <c r="D25" s="19">
        <f t="shared" ref="D25:D30" si="3">C25*10%</f>
        <v>10000000</v>
      </c>
      <c r="E25" s="19"/>
      <c r="F25" s="19">
        <f t="shared" si="2"/>
        <v>90000000</v>
      </c>
      <c r="G25" s="20"/>
      <c r="H25" s="240">
        <f t="shared" si="0"/>
        <v>90000000</v>
      </c>
      <c r="I25" s="240">
        <f t="shared" si="1"/>
        <v>0</v>
      </c>
    </row>
    <row r="26" spans="1:9" ht="67.5" customHeight="1">
      <c r="A26" s="17" t="s">
        <v>28</v>
      </c>
      <c r="B26" s="22" t="str">
        <f>'Dự toán Chi tiết 2025'!B1080</f>
        <v>Tổ chức Hội thi Chi Hội Cựu chiến binh cơ sở giỏi ở cấp thành phố và xã, phường</v>
      </c>
      <c r="C26" s="19">
        <f>'Dự toán Chi tiết 2025'!L1080</f>
        <v>80000000</v>
      </c>
      <c r="D26" s="19">
        <f t="shared" si="3"/>
        <v>8000000</v>
      </c>
      <c r="E26" s="19"/>
      <c r="F26" s="19">
        <f t="shared" si="2"/>
        <v>72000000</v>
      </c>
      <c r="G26" s="20"/>
      <c r="H26" s="240">
        <f t="shared" si="0"/>
        <v>72000000</v>
      </c>
      <c r="I26" s="240">
        <f t="shared" si="1"/>
        <v>0</v>
      </c>
    </row>
    <row r="27" spans="1:9" ht="56.25">
      <c r="A27" s="17" t="s">
        <v>29</v>
      </c>
      <c r="B27" s="22" t="str">
        <f>'Dự toán Chi tiết 2025'!B1086</f>
        <v>Chi tổ chức gặp mặt Cựu chiến binh tiêu biểu tham gia các cuộc kháng chiến chống Mỹ cứu nước</v>
      </c>
      <c r="C27" s="19">
        <f>'Dự toán Chi tiết 2025'!L1086</f>
        <v>25000000</v>
      </c>
      <c r="D27" s="19">
        <f t="shared" si="3"/>
        <v>2500000</v>
      </c>
      <c r="E27" s="19"/>
      <c r="F27" s="19">
        <f t="shared" si="2"/>
        <v>22500000</v>
      </c>
      <c r="G27" s="11"/>
      <c r="H27" s="240">
        <f t="shared" si="0"/>
        <v>22500000</v>
      </c>
      <c r="I27" s="240">
        <f t="shared" si="1"/>
        <v>0</v>
      </c>
    </row>
    <row r="28" spans="1:9" ht="37.5" hidden="1">
      <c r="A28" s="17" t="s">
        <v>30</v>
      </c>
      <c r="B28" s="22" t="s">
        <v>1212</v>
      </c>
      <c r="C28" s="19">
        <f>'Dự toán Chi tiết 2025'!L1082</f>
        <v>0</v>
      </c>
      <c r="D28" s="19">
        <f t="shared" si="3"/>
        <v>0</v>
      </c>
      <c r="E28" s="19"/>
      <c r="F28" s="19">
        <f t="shared" si="2"/>
        <v>0</v>
      </c>
      <c r="G28" s="11"/>
      <c r="H28" s="240">
        <f t="shared" si="0"/>
        <v>0</v>
      </c>
      <c r="I28" s="240">
        <f t="shared" si="1"/>
        <v>0</v>
      </c>
    </row>
    <row r="29" spans="1:9" ht="37.5" hidden="1">
      <c r="A29" s="17" t="s">
        <v>31</v>
      </c>
      <c r="B29" s="22" t="s">
        <v>1441</v>
      </c>
      <c r="C29" s="19">
        <f>'Dự toán Chi tiết 2025'!L1084</f>
        <v>0</v>
      </c>
      <c r="D29" s="19">
        <f t="shared" si="3"/>
        <v>0</v>
      </c>
      <c r="E29" s="19"/>
      <c r="F29" s="19">
        <f t="shared" si="2"/>
        <v>0</v>
      </c>
      <c r="G29" s="11"/>
      <c r="H29" s="240">
        <f t="shared" si="0"/>
        <v>0</v>
      </c>
      <c r="I29" s="240">
        <f t="shared" si="1"/>
        <v>0</v>
      </c>
    </row>
    <row r="30" spans="1:9" ht="93.75" hidden="1">
      <c r="A30" s="17" t="s">
        <v>32</v>
      </c>
      <c r="B30" s="22" t="s">
        <v>1213</v>
      </c>
      <c r="C30" s="19"/>
      <c r="D30" s="19">
        <f t="shared" si="3"/>
        <v>0</v>
      </c>
      <c r="E30" s="19"/>
      <c r="F30" s="19">
        <f t="shared" si="2"/>
        <v>0</v>
      </c>
      <c r="G30" s="11"/>
      <c r="H30" s="240">
        <f t="shared" si="0"/>
        <v>0</v>
      </c>
      <c r="I30" s="240">
        <f t="shared" si="1"/>
        <v>0</v>
      </c>
    </row>
  </sheetData>
  <mergeCells count="7">
    <mergeCell ref="A8:G8"/>
    <mergeCell ref="A1:C1"/>
    <mergeCell ref="A2:C2"/>
    <mergeCell ref="A4:G4"/>
    <mergeCell ref="A5:G5"/>
    <mergeCell ref="A6:G6"/>
    <mergeCell ref="A7:G7"/>
  </mergeCells>
  <pageMargins left="0.5" right="0.44" top="0.6" bottom="0.74803149606299213" header="0.31496062992125984" footer="0.31496062992125984"/>
  <pageSetup paperSize="9" scale="63" fitToHeight="0"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25"/>
  <sheetViews>
    <sheetView zoomScale="85" zoomScaleNormal="85" workbookViewId="0">
      <selection activeCell="B13" sqref="B13"/>
    </sheetView>
  </sheetViews>
  <sheetFormatPr defaultRowHeight="18.75"/>
  <cols>
    <col min="1" max="1" width="7.140625" style="27" customWidth="1"/>
    <col min="2" max="2" width="41.5703125" style="27" customWidth="1"/>
    <col min="3" max="3" width="52.140625" style="27" bestFit="1" customWidth="1"/>
    <col min="4" max="4" width="22" style="27" customWidth="1"/>
    <col min="5" max="5" width="64" style="27" customWidth="1"/>
    <col min="6" max="6" width="9.140625" style="27"/>
    <col min="7" max="7" width="20" style="27" customWidth="1"/>
    <col min="8" max="258" width="9.140625" style="27"/>
    <col min="259" max="259" width="7.140625" style="27" customWidth="1"/>
    <col min="260" max="260" width="47.7109375" style="27" customWidth="1"/>
    <col min="261" max="261" width="19.28515625" style="27" customWidth="1"/>
    <col min="262" max="514" width="9.140625" style="27"/>
    <col min="515" max="515" width="7.140625" style="27" customWidth="1"/>
    <col min="516" max="516" width="47.7109375" style="27" customWidth="1"/>
    <col min="517" max="517" width="19.28515625" style="27" customWidth="1"/>
    <col min="518" max="770" width="9.140625" style="27"/>
    <col min="771" max="771" width="7.140625" style="27" customWidth="1"/>
    <col min="772" max="772" width="47.7109375" style="27" customWidth="1"/>
    <col min="773" max="773" width="19.28515625" style="27" customWidth="1"/>
    <col min="774" max="1026" width="9.140625" style="27"/>
    <col min="1027" max="1027" width="7.140625" style="27" customWidth="1"/>
    <col min="1028" max="1028" width="47.7109375" style="27" customWidth="1"/>
    <col min="1029" max="1029" width="19.28515625" style="27" customWidth="1"/>
    <col min="1030" max="1282" width="9.140625" style="27"/>
    <col min="1283" max="1283" width="7.140625" style="27" customWidth="1"/>
    <col min="1284" max="1284" width="47.7109375" style="27" customWidth="1"/>
    <col min="1285" max="1285" width="19.28515625" style="27" customWidth="1"/>
    <col min="1286" max="1538" width="9.140625" style="27"/>
    <col min="1539" max="1539" width="7.140625" style="27" customWidth="1"/>
    <col min="1540" max="1540" width="47.7109375" style="27" customWidth="1"/>
    <col min="1541" max="1541" width="19.28515625" style="27" customWidth="1"/>
    <col min="1542" max="1794" width="9.140625" style="27"/>
    <col min="1795" max="1795" width="7.140625" style="27" customWidth="1"/>
    <col min="1796" max="1796" width="47.7109375" style="27" customWidth="1"/>
    <col min="1797" max="1797" width="19.28515625" style="27" customWidth="1"/>
    <col min="1798" max="2050" width="9.140625" style="27"/>
    <col min="2051" max="2051" width="7.140625" style="27" customWidth="1"/>
    <col min="2052" max="2052" width="47.7109375" style="27" customWidth="1"/>
    <col min="2053" max="2053" width="19.28515625" style="27" customWidth="1"/>
    <col min="2054" max="2306" width="9.140625" style="27"/>
    <col min="2307" max="2307" width="7.140625" style="27" customWidth="1"/>
    <col min="2308" max="2308" width="47.7109375" style="27" customWidth="1"/>
    <col min="2309" max="2309" width="19.28515625" style="27" customWidth="1"/>
    <col min="2310" max="2562" width="9.140625" style="27"/>
    <col min="2563" max="2563" width="7.140625" style="27" customWidth="1"/>
    <col min="2564" max="2564" width="47.7109375" style="27" customWidth="1"/>
    <col min="2565" max="2565" width="19.28515625" style="27" customWidth="1"/>
    <col min="2566" max="2818" width="9.140625" style="27"/>
    <col min="2819" max="2819" width="7.140625" style="27" customWidth="1"/>
    <col min="2820" max="2820" width="47.7109375" style="27" customWidth="1"/>
    <col min="2821" max="2821" width="19.28515625" style="27" customWidth="1"/>
    <col min="2822" max="3074" width="9.140625" style="27"/>
    <col min="3075" max="3075" width="7.140625" style="27" customWidth="1"/>
    <col min="3076" max="3076" width="47.7109375" style="27" customWidth="1"/>
    <col min="3077" max="3077" width="19.28515625" style="27" customWidth="1"/>
    <col min="3078" max="3330" width="9.140625" style="27"/>
    <col min="3331" max="3331" width="7.140625" style="27" customWidth="1"/>
    <col min="3332" max="3332" width="47.7109375" style="27" customWidth="1"/>
    <col min="3333" max="3333" width="19.28515625" style="27" customWidth="1"/>
    <col min="3334" max="3586" width="9.140625" style="27"/>
    <col min="3587" max="3587" width="7.140625" style="27" customWidth="1"/>
    <col min="3588" max="3588" width="47.7109375" style="27" customWidth="1"/>
    <col min="3589" max="3589" width="19.28515625" style="27" customWidth="1"/>
    <col min="3590" max="3842" width="9.140625" style="27"/>
    <col min="3843" max="3843" width="7.140625" style="27" customWidth="1"/>
    <col min="3844" max="3844" width="47.7109375" style="27" customWidth="1"/>
    <col min="3845" max="3845" width="19.28515625" style="27" customWidth="1"/>
    <col min="3846" max="4098" width="9.140625" style="27"/>
    <col min="4099" max="4099" width="7.140625" style="27" customWidth="1"/>
    <col min="4100" max="4100" width="47.7109375" style="27" customWidth="1"/>
    <col min="4101" max="4101" width="19.28515625" style="27" customWidth="1"/>
    <col min="4102" max="4354" width="9.140625" style="27"/>
    <col min="4355" max="4355" width="7.140625" style="27" customWidth="1"/>
    <col min="4356" max="4356" width="47.7109375" style="27" customWidth="1"/>
    <col min="4357" max="4357" width="19.28515625" style="27" customWidth="1"/>
    <col min="4358" max="4610" width="9.140625" style="27"/>
    <col min="4611" max="4611" width="7.140625" style="27" customWidth="1"/>
    <col min="4612" max="4612" width="47.7109375" style="27" customWidth="1"/>
    <col min="4613" max="4613" width="19.28515625" style="27" customWidth="1"/>
    <col min="4614" max="4866" width="9.140625" style="27"/>
    <col min="4867" max="4867" width="7.140625" style="27" customWidth="1"/>
    <col min="4868" max="4868" width="47.7109375" style="27" customWidth="1"/>
    <col min="4869" max="4869" width="19.28515625" style="27" customWidth="1"/>
    <col min="4870" max="5122" width="9.140625" style="27"/>
    <col min="5123" max="5123" width="7.140625" style="27" customWidth="1"/>
    <col min="5124" max="5124" width="47.7109375" style="27" customWidth="1"/>
    <col min="5125" max="5125" width="19.28515625" style="27" customWidth="1"/>
    <col min="5126" max="5378" width="9.140625" style="27"/>
    <col min="5379" max="5379" width="7.140625" style="27" customWidth="1"/>
    <col min="5380" max="5380" width="47.7109375" style="27" customWidth="1"/>
    <col min="5381" max="5381" width="19.28515625" style="27" customWidth="1"/>
    <col min="5382" max="5634" width="9.140625" style="27"/>
    <col min="5635" max="5635" width="7.140625" style="27" customWidth="1"/>
    <col min="5636" max="5636" width="47.7109375" style="27" customWidth="1"/>
    <col min="5637" max="5637" width="19.28515625" style="27" customWidth="1"/>
    <col min="5638" max="5890" width="9.140625" style="27"/>
    <col min="5891" max="5891" width="7.140625" style="27" customWidth="1"/>
    <col min="5892" max="5892" width="47.7109375" style="27" customWidth="1"/>
    <col min="5893" max="5893" width="19.28515625" style="27" customWidth="1"/>
    <col min="5894" max="6146" width="9.140625" style="27"/>
    <col min="6147" max="6147" width="7.140625" style="27" customWidth="1"/>
    <col min="6148" max="6148" width="47.7109375" style="27" customWidth="1"/>
    <col min="6149" max="6149" width="19.28515625" style="27" customWidth="1"/>
    <col min="6150" max="6402" width="9.140625" style="27"/>
    <col min="6403" max="6403" width="7.140625" style="27" customWidth="1"/>
    <col min="6404" max="6404" width="47.7109375" style="27" customWidth="1"/>
    <col min="6405" max="6405" width="19.28515625" style="27" customWidth="1"/>
    <col min="6406" max="6658" width="9.140625" style="27"/>
    <col min="6659" max="6659" width="7.140625" style="27" customWidth="1"/>
    <col min="6660" max="6660" width="47.7109375" style="27" customWidth="1"/>
    <col min="6661" max="6661" width="19.28515625" style="27" customWidth="1"/>
    <col min="6662" max="6914" width="9.140625" style="27"/>
    <col min="6915" max="6915" width="7.140625" style="27" customWidth="1"/>
    <col min="6916" max="6916" width="47.7109375" style="27" customWidth="1"/>
    <col min="6917" max="6917" width="19.28515625" style="27" customWidth="1"/>
    <col min="6918" max="7170" width="9.140625" style="27"/>
    <col min="7171" max="7171" width="7.140625" style="27" customWidth="1"/>
    <col min="7172" max="7172" width="47.7109375" style="27" customWidth="1"/>
    <col min="7173" max="7173" width="19.28515625" style="27" customWidth="1"/>
    <col min="7174" max="7426" width="9.140625" style="27"/>
    <col min="7427" max="7427" width="7.140625" style="27" customWidth="1"/>
    <col min="7428" max="7428" width="47.7109375" style="27" customWidth="1"/>
    <col min="7429" max="7429" width="19.28515625" style="27" customWidth="1"/>
    <col min="7430" max="7682" width="9.140625" style="27"/>
    <col min="7683" max="7683" width="7.140625" style="27" customWidth="1"/>
    <col min="7684" max="7684" width="47.7109375" style="27" customWidth="1"/>
    <col min="7685" max="7685" width="19.28515625" style="27" customWidth="1"/>
    <col min="7686" max="7938" width="9.140625" style="27"/>
    <col min="7939" max="7939" width="7.140625" style="27" customWidth="1"/>
    <col min="7940" max="7940" width="47.7109375" style="27" customWidth="1"/>
    <col min="7941" max="7941" width="19.28515625" style="27" customWidth="1"/>
    <col min="7942" max="8194" width="9.140625" style="27"/>
    <col min="8195" max="8195" width="7.140625" style="27" customWidth="1"/>
    <col min="8196" max="8196" width="47.7109375" style="27" customWidth="1"/>
    <col min="8197" max="8197" width="19.28515625" style="27" customWidth="1"/>
    <col min="8198" max="8450" width="9.140625" style="27"/>
    <col min="8451" max="8451" width="7.140625" style="27" customWidth="1"/>
    <col min="8452" max="8452" width="47.7109375" style="27" customWidth="1"/>
    <col min="8453" max="8453" width="19.28515625" style="27" customWidth="1"/>
    <col min="8454" max="8706" width="9.140625" style="27"/>
    <col min="8707" max="8707" width="7.140625" style="27" customWidth="1"/>
    <col min="8708" max="8708" width="47.7109375" style="27" customWidth="1"/>
    <col min="8709" max="8709" width="19.28515625" style="27" customWidth="1"/>
    <col min="8710" max="8962" width="9.140625" style="27"/>
    <col min="8963" max="8963" width="7.140625" style="27" customWidth="1"/>
    <col min="8964" max="8964" width="47.7109375" style="27" customWidth="1"/>
    <col min="8965" max="8965" width="19.28515625" style="27" customWidth="1"/>
    <col min="8966" max="9218" width="9.140625" style="27"/>
    <col min="9219" max="9219" width="7.140625" style="27" customWidth="1"/>
    <col min="9220" max="9220" width="47.7109375" style="27" customWidth="1"/>
    <col min="9221" max="9221" width="19.28515625" style="27" customWidth="1"/>
    <col min="9222" max="9474" width="9.140625" style="27"/>
    <col min="9475" max="9475" width="7.140625" style="27" customWidth="1"/>
    <col min="9476" max="9476" width="47.7109375" style="27" customWidth="1"/>
    <col min="9477" max="9477" width="19.28515625" style="27" customWidth="1"/>
    <col min="9478" max="9730" width="9.140625" style="27"/>
    <col min="9731" max="9731" width="7.140625" style="27" customWidth="1"/>
    <col min="9732" max="9732" width="47.7109375" style="27" customWidth="1"/>
    <col min="9733" max="9733" width="19.28515625" style="27" customWidth="1"/>
    <col min="9734" max="9986" width="9.140625" style="27"/>
    <col min="9987" max="9987" width="7.140625" style="27" customWidth="1"/>
    <col min="9988" max="9988" width="47.7109375" style="27" customWidth="1"/>
    <col min="9989" max="9989" width="19.28515625" style="27" customWidth="1"/>
    <col min="9990" max="10242" width="9.140625" style="27"/>
    <col min="10243" max="10243" width="7.140625" style="27" customWidth="1"/>
    <col min="10244" max="10244" width="47.7109375" style="27" customWidth="1"/>
    <col min="10245" max="10245" width="19.28515625" style="27" customWidth="1"/>
    <col min="10246" max="10498" width="9.140625" style="27"/>
    <col min="10499" max="10499" width="7.140625" style="27" customWidth="1"/>
    <col min="10500" max="10500" width="47.7109375" style="27" customWidth="1"/>
    <col min="10501" max="10501" width="19.28515625" style="27" customWidth="1"/>
    <col min="10502" max="10754" width="9.140625" style="27"/>
    <col min="10755" max="10755" width="7.140625" style="27" customWidth="1"/>
    <col min="10756" max="10756" width="47.7109375" style="27" customWidth="1"/>
    <col min="10757" max="10757" width="19.28515625" style="27" customWidth="1"/>
    <col min="10758" max="11010" width="9.140625" style="27"/>
    <col min="11011" max="11011" width="7.140625" style="27" customWidth="1"/>
    <col min="11012" max="11012" width="47.7109375" style="27" customWidth="1"/>
    <col min="11013" max="11013" width="19.28515625" style="27" customWidth="1"/>
    <col min="11014" max="11266" width="9.140625" style="27"/>
    <col min="11267" max="11267" width="7.140625" style="27" customWidth="1"/>
    <col min="11268" max="11268" width="47.7109375" style="27" customWidth="1"/>
    <col min="11269" max="11269" width="19.28515625" style="27" customWidth="1"/>
    <col min="11270" max="11522" width="9.140625" style="27"/>
    <col min="11523" max="11523" width="7.140625" style="27" customWidth="1"/>
    <col min="11524" max="11524" width="47.7109375" style="27" customWidth="1"/>
    <col min="11525" max="11525" width="19.28515625" style="27" customWidth="1"/>
    <col min="11526" max="11778" width="9.140625" style="27"/>
    <col min="11779" max="11779" width="7.140625" style="27" customWidth="1"/>
    <col min="11780" max="11780" width="47.7109375" style="27" customWidth="1"/>
    <col min="11781" max="11781" width="19.28515625" style="27" customWidth="1"/>
    <col min="11782" max="12034" width="9.140625" style="27"/>
    <col min="12035" max="12035" width="7.140625" style="27" customWidth="1"/>
    <col min="12036" max="12036" width="47.7109375" style="27" customWidth="1"/>
    <col min="12037" max="12037" width="19.28515625" style="27" customWidth="1"/>
    <col min="12038" max="12290" width="9.140625" style="27"/>
    <col min="12291" max="12291" width="7.140625" style="27" customWidth="1"/>
    <col min="12292" max="12292" width="47.7109375" style="27" customWidth="1"/>
    <col min="12293" max="12293" width="19.28515625" style="27" customWidth="1"/>
    <col min="12294" max="12546" width="9.140625" style="27"/>
    <col min="12547" max="12547" width="7.140625" style="27" customWidth="1"/>
    <col min="12548" max="12548" width="47.7109375" style="27" customWidth="1"/>
    <col min="12549" max="12549" width="19.28515625" style="27" customWidth="1"/>
    <col min="12550" max="12802" width="9.140625" style="27"/>
    <col min="12803" max="12803" width="7.140625" style="27" customWidth="1"/>
    <col min="12804" max="12804" width="47.7109375" style="27" customWidth="1"/>
    <col min="12805" max="12805" width="19.28515625" style="27" customWidth="1"/>
    <col min="12806" max="13058" width="9.140625" style="27"/>
    <col min="13059" max="13059" width="7.140625" style="27" customWidth="1"/>
    <col min="13060" max="13060" width="47.7109375" style="27" customWidth="1"/>
    <col min="13061" max="13061" width="19.28515625" style="27" customWidth="1"/>
    <col min="13062" max="13314" width="9.140625" style="27"/>
    <col min="13315" max="13315" width="7.140625" style="27" customWidth="1"/>
    <col min="13316" max="13316" width="47.7109375" style="27" customWidth="1"/>
    <col min="13317" max="13317" width="19.28515625" style="27" customWidth="1"/>
    <col min="13318" max="13570" width="9.140625" style="27"/>
    <col min="13571" max="13571" width="7.140625" style="27" customWidth="1"/>
    <col min="13572" max="13572" width="47.7109375" style="27" customWidth="1"/>
    <col min="13573" max="13573" width="19.28515625" style="27" customWidth="1"/>
    <col min="13574" max="13826" width="9.140625" style="27"/>
    <col min="13827" max="13827" width="7.140625" style="27" customWidth="1"/>
    <col min="13828" max="13828" width="47.7109375" style="27" customWidth="1"/>
    <col min="13829" max="13829" width="19.28515625" style="27" customWidth="1"/>
    <col min="13830" max="14082" width="9.140625" style="27"/>
    <col min="14083" max="14083" width="7.140625" style="27" customWidth="1"/>
    <col min="14084" max="14084" width="47.7109375" style="27" customWidth="1"/>
    <col min="14085" max="14085" width="19.28515625" style="27" customWidth="1"/>
    <col min="14086" max="14338" width="9.140625" style="27"/>
    <col min="14339" max="14339" width="7.140625" style="27" customWidth="1"/>
    <col min="14340" max="14340" width="47.7109375" style="27" customWidth="1"/>
    <col min="14341" max="14341" width="19.28515625" style="27" customWidth="1"/>
    <col min="14342" max="14594" width="9.140625" style="27"/>
    <col min="14595" max="14595" width="7.140625" style="27" customWidth="1"/>
    <col min="14596" max="14596" width="47.7109375" style="27" customWidth="1"/>
    <col min="14597" max="14597" width="19.28515625" style="27" customWidth="1"/>
    <col min="14598" max="14850" width="9.140625" style="27"/>
    <col min="14851" max="14851" width="7.140625" style="27" customWidth="1"/>
    <col min="14852" max="14852" width="47.7109375" style="27" customWidth="1"/>
    <col min="14853" max="14853" width="19.28515625" style="27" customWidth="1"/>
    <col min="14854" max="15106" width="9.140625" style="27"/>
    <col min="15107" max="15107" width="7.140625" style="27" customWidth="1"/>
    <col min="15108" max="15108" width="47.7109375" style="27" customWidth="1"/>
    <col min="15109" max="15109" width="19.28515625" style="27" customWidth="1"/>
    <col min="15110" max="15362" width="9.140625" style="27"/>
    <col min="15363" max="15363" width="7.140625" style="27" customWidth="1"/>
    <col min="15364" max="15364" width="47.7109375" style="27" customWidth="1"/>
    <col min="15365" max="15365" width="19.28515625" style="27" customWidth="1"/>
    <col min="15366" max="15618" width="9.140625" style="27"/>
    <col min="15619" max="15619" width="7.140625" style="27" customWidth="1"/>
    <col min="15620" max="15620" width="47.7109375" style="27" customWidth="1"/>
    <col min="15621" max="15621" width="19.28515625" style="27" customWidth="1"/>
    <col min="15622" max="15874" width="9.140625" style="27"/>
    <col min="15875" max="15875" width="7.140625" style="27" customWidth="1"/>
    <col min="15876" max="15876" width="47.7109375" style="27" customWidth="1"/>
    <col min="15877" max="15877" width="19.28515625" style="27" customWidth="1"/>
    <col min="15878" max="16130" width="9.140625" style="27"/>
    <col min="16131" max="16131" width="7.140625" style="27" customWidth="1"/>
    <col min="16132" max="16132" width="47.7109375" style="27" customWidth="1"/>
    <col min="16133" max="16133" width="19.28515625" style="27" customWidth="1"/>
    <col min="16134" max="16384" width="9.140625" style="27"/>
  </cols>
  <sheetData>
    <row r="1" spans="1:5">
      <c r="A1" s="5"/>
    </row>
    <row r="2" spans="1:5">
      <c r="A2" s="1798" t="s">
        <v>1450</v>
      </c>
      <c r="B2" s="1798"/>
      <c r="C2" s="1798"/>
      <c r="D2" s="1798"/>
      <c r="E2" s="1798"/>
    </row>
    <row r="3" spans="1:5">
      <c r="A3" s="1799">
        <f>'TTDVNN V '!A8:G8</f>
        <v>0</v>
      </c>
      <c r="B3" s="1799"/>
      <c r="C3" s="1799"/>
      <c r="D3" s="1799"/>
      <c r="E3" s="1799"/>
    </row>
    <row r="4" spans="1:5">
      <c r="E4" s="6" t="s">
        <v>43</v>
      </c>
    </row>
    <row r="5" spans="1:5" ht="117" customHeight="1">
      <c r="A5" s="7" t="s">
        <v>0</v>
      </c>
      <c r="B5" s="7" t="s">
        <v>1</v>
      </c>
      <c r="C5" s="7" t="s">
        <v>690</v>
      </c>
      <c r="D5" s="7" t="s">
        <v>1451</v>
      </c>
      <c r="E5" s="7" t="s">
        <v>19</v>
      </c>
    </row>
    <row r="6" spans="1:5">
      <c r="A6" s="8" t="s">
        <v>20</v>
      </c>
      <c r="B6" s="8" t="s">
        <v>21</v>
      </c>
      <c r="C6" s="8" t="s">
        <v>22</v>
      </c>
      <c r="D6" s="8" t="s">
        <v>23</v>
      </c>
      <c r="E6" s="8" t="s">
        <v>695</v>
      </c>
    </row>
    <row r="7" spans="1:5">
      <c r="A7" s="8">
        <v>1</v>
      </c>
      <c r="B7" s="235" t="s">
        <v>1291</v>
      </c>
      <c r="C7" s="235"/>
      <c r="D7" s="236">
        <f>SUM(D8:D10)</f>
        <v>13550000000</v>
      </c>
      <c r="E7" s="8"/>
    </row>
    <row r="8" spans="1:5">
      <c r="A8" s="241" t="s">
        <v>5</v>
      </c>
      <c r="B8" s="226" t="s">
        <v>689</v>
      </c>
      <c r="C8" s="227" t="s">
        <v>691</v>
      </c>
      <c r="D8" s="242">
        <v>550000000</v>
      </c>
      <c r="E8" s="226"/>
    </row>
    <row r="9" spans="1:5">
      <c r="A9" s="72" t="s">
        <v>6</v>
      </c>
      <c r="B9" s="227" t="s">
        <v>693</v>
      </c>
      <c r="C9" s="227" t="s">
        <v>692</v>
      </c>
      <c r="D9" s="112">
        <v>5000000000</v>
      </c>
      <c r="E9" s="22"/>
    </row>
    <row r="10" spans="1:5" ht="56.25">
      <c r="A10" s="72" t="s">
        <v>157</v>
      </c>
      <c r="B10" s="48" t="s">
        <v>1293</v>
      </c>
      <c r="C10" s="227"/>
      <c r="D10" s="242">
        <v>8000000000</v>
      </c>
      <c r="E10" s="227" t="s">
        <v>1292</v>
      </c>
    </row>
    <row r="20" spans="1:6">
      <c r="F20" s="27">
        <f>SUM(F21:F27)</f>
        <v>0</v>
      </c>
    </row>
    <row r="21" spans="1:6">
      <c r="A21" s="27" t="s">
        <v>91</v>
      </c>
    </row>
    <row r="23" spans="1:6">
      <c r="A23" s="27" t="s">
        <v>91</v>
      </c>
    </row>
    <row r="25" spans="1:6">
      <c r="A25" s="27" t="s">
        <v>91</v>
      </c>
    </row>
  </sheetData>
  <mergeCells count="2">
    <mergeCell ref="A3:E3"/>
    <mergeCell ref="A2:E2"/>
  </mergeCells>
  <pageMargins left="0.47" right="0.41" top="0.6" bottom="0.74803149606299213" header="0.31496062992125984" footer="0.31496062992125984"/>
  <pageSetup paperSize="9" scale="73" fitToHeight="0" orientation="landscape"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IW1285"/>
  <sheetViews>
    <sheetView zoomScaleNormal="100" workbookViewId="0">
      <pane ySplit="3" topLeftCell="A825" activePane="bottomLeft" state="frozen"/>
      <selection pane="bottomLeft" activeCell="L847" sqref="L847"/>
    </sheetView>
  </sheetViews>
  <sheetFormatPr defaultColWidth="8.85546875" defaultRowHeight="15.75"/>
  <cols>
    <col min="1" max="1" width="5.7109375" style="1193" customWidth="1"/>
    <col min="2" max="2" width="73.140625" style="1193" customWidth="1"/>
    <col min="3" max="3" width="9.42578125" style="1193" hidden="1" customWidth="1"/>
    <col min="4" max="4" width="6.42578125" style="1193" hidden="1" customWidth="1"/>
    <col min="5" max="5" width="13.28515625" style="1193" hidden="1" customWidth="1"/>
    <col min="6" max="6" width="21.85546875" style="1193" hidden="1" customWidth="1"/>
    <col min="7" max="7" width="41.5703125" style="1193" hidden="1" customWidth="1"/>
    <col min="8" max="8" width="17.7109375" style="1193" hidden="1" customWidth="1"/>
    <col min="9" max="9" width="13.140625" style="1193" hidden="1" customWidth="1"/>
    <col min="10" max="10" width="19.5703125" style="1193" hidden="1" customWidth="1"/>
    <col min="11" max="11" width="21.42578125" style="1193" customWidth="1"/>
    <col min="12" max="12" width="21.28515625" style="1333" customWidth="1"/>
    <col min="13" max="13" width="47.5703125" style="1193" customWidth="1"/>
    <col min="14" max="15" width="24.7109375" style="1193" customWidth="1"/>
    <col min="16" max="16" width="72.85546875" style="1193" customWidth="1"/>
    <col min="17" max="17" width="9.28515625" style="1193" customWidth="1"/>
    <col min="18" max="18" width="35.85546875" style="1192" customWidth="1"/>
    <col min="19" max="19" width="24.7109375" style="1192" customWidth="1"/>
    <col min="20" max="20" width="17.42578125" style="579" customWidth="1"/>
    <col min="21" max="21" width="17.85546875" style="1192" customWidth="1"/>
    <col min="22" max="22" width="18.28515625" style="1190" customWidth="1"/>
    <col min="23" max="23" width="19.42578125" style="1190" customWidth="1"/>
    <col min="24" max="24" width="14.7109375" style="1191" customWidth="1"/>
    <col min="25" max="25" width="12.140625" style="1192" customWidth="1"/>
    <col min="26" max="26" width="13.5703125" style="1192" customWidth="1"/>
    <col min="27" max="27" width="19.42578125" style="1192" customWidth="1"/>
    <col min="28" max="28" width="14.85546875" style="1192" customWidth="1"/>
    <col min="29" max="29" width="13.5703125" style="1192" customWidth="1"/>
    <col min="30" max="257" width="8.85546875" style="1192"/>
    <col min="258" max="258" width="5.7109375" style="1192" customWidth="1"/>
    <col min="259" max="259" width="66.7109375" style="1192" customWidth="1"/>
    <col min="260" max="262" width="0" style="1192" hidden="1" customWidth="1"/>
    <col min="263" max="263" width="21.85546875" style="1192" customWidth="1"/>
    <col min="264" max="266" width="0" style="1192" hidden="1" customWidth="1"/>
    <col min="267" max="267" width="19.5703125" style="1192" customWidth="1"/>
    <col min="268" max="268" width="21.42578125" style="1192" customWidth="1"/>
    <col min="269" max="269" width="37.85546875" style="1192" customWidth="1"/>
    <col min="270" max="273" width="0" style="1192" hidden="1" customWidth="1"/>
    <col min="274" max="274" width="35.85546875" style="1192" customWidth="1"/>
    <col min="275" max="275" width="24.7109375" style="1192" customWidth="1"/>
    <col min="276" max="276" width="9.28515625" style="1192" customWidth="1"/>
    <col min="277" max="277" width="16.140625" style="1192" customWidth="1"/>
    <col min="278" max="278" width="18.28515625" style="1192" customWidth="1"/>
    <col min="279" max="279" width="15.5703125" style="1192" customWidth="1"/>
    <col min="280" max="280" width="14.7109375" style="1192" customWidth="1"/>
    <col min="281" max="281" width="12.140625" style="1192" customWidth="1"/>
    <col min="282" max="282" width="13.5703125" style="1192" customWidth="1"/>
    <col min="283" max="283" width="19.42578125" style="1192" customWidth="1"/>
    <col min="284" max="284" width="8.85546875" style="1192" customWidth="1"/>
    <col min="285" max="285" width="13.5703125" style="1192" customWidth="1"/>
    <col min="286" max="513" width="8.85546875" style="1192"/>
    <col min="514" max="514" width="5.7109375" style="1192" customWidth="1"/>
    <col min="515" max="515" width="66.7109375" style="1192" customWidth="1"/>
    <col min="516" max="518" width="0" style="1192" hidden="1" customWidth="1"/>
    <col min="519" max="519" width="21.85546875" style="1192" customWidth="1"/>
    <col min="520" max="522" width="0" style="1192" hidden="1" customWidth="1"/>
    <col min="523" max="523" width="19.5703125" style="1192" customWidth="1"/>
    <col min="524" max="524" width="21.42578125" style="1192" customWidth="1"/>
    <col min="525" max="525" width="37.85546875" style="1192" customWidth="1"/>
    <col min="526" max="529" width="0" style="1192" hidden="1" customWidth="1"/>
    <col min="530" max="530" width="35.85546875" style="1192" customWidth="1"/>
    <col min="531" max="531" width="24.7109375" style="1192" customWidth="1"/>
    <col min="532" max="532" width="9.28515625" style="1192" customWidth="1"/>
    <col min="533" max="533" width="16.140625" style="1192" customWidth="1"/>
    <col min="534" max="534" width="18.28515625" style="1192" customWidth="1"/>
    <col min="535" max="535" width="15.5703125" style="1192" customWidth="1"/>
    <col min="536" max="536" width="14.7109375" style="1192" customWidth="1"/>
    <col min="537" max="537" width="12.140625" style="1192" customWidth="1"/>
    <col min="538" max="538" width="13.5703125" style="1192" customWidth="1"/>
    <col min="539" max="539" width="19.42578125" style="1192" customWidth="1"/>
    <col min="540" max="540" width="8.85546875" style="1192" customWidth="1"/>
    <col min="541" max="541" width="13.5703125" style="1192" customWidth="1"/>
    <col min="542" max="769" width="8.85546875" style="1192"/>
    <col min="770" max="770" width="5.7109375" style="1192" customWidth="1"/>
    <col min="771" max="771" width="66.7109375" style="1192" customWidth="1"/>
    <col min="772" max="774" width="0" style="1192" hidden="1" customWidth="1"/>
    <col min="775" max="775" width="21.85546875" style="1192" customWidth="1"/>
    <col min="776" max="778" width="0" style="1192" hidden="1" customWidth="1"/>
    <col min="779" max="779" width="19.5703125" style="1192" customWidth="1"/>
    <col min="780" max="780" width="21.42578125" style="1192" customWidth="1"/>
    <col min="781" max="781" width="37.85546875" style="1192" customWidth="1"/>
    <col min="782" max="785" width="0" style="1192" hidden="1" customWidth="1"/>
    <col min="786" max="786" width="35.85546875" style="1192" customWidth="1"/>
    <col min="787" max="787" width="24.7109375" style="1192" customWidth="1"/>
    <col min="788" max="788" width="9.28515625" style="1192" customWidth="1"/>
    <col min="789" max="789" width="16.140625" style="1192" customWidth="1"/>
    <col min="790" max="790" width="18.28515625" style="1192" customWidth="1"/>
    <col min="791" max="791" width="15.5703125" style="1192" customWidth="1"/>
    <col min="792" max="792" width="14.7109375" style="1192" customWidth="1"/>
    <col min="793" max="793" width="12.140625" style="1192" customWidth="1"/>
    <col min="794" max="794" width="13.5703125" style="1192" customWidth="1"/>
    <col min="795" max="795" width="19.42578125" style="1192" customWidth="1"/>
    <col min="796" max="796" width="8.85546875" style="1192" customWidth="1"/>
    <col min="797" max="797" width="13.5703125" style="1192" customWidth="1"/>
    <col min="798" max="1025" width="8.85546875" style="1192"/>
    <col min="1026" max="1026" width="5.7109375" style="1192" customWidth="1"/>
    <col min="1027" max="1027" width="66.7109375" style="1192" customWidth="1"/>
    <col min="1028" max="1030" width="0" style="1192" hidden="1" customWidth="1"/>
    <col min="1031" max="1031" width="21.85546875" style="1192" customWidth="1"/>
    <col min="1032" max="1034" width="0" style="1192" hidden="1" customWidth="1"/>
    <col min="1035" max="1035" width="19.5703125" style="1192" customWidth="1"/>
    <col min="1036" max="1036" width="21.42578125" style="1192" customWidth="1"/>
    <col min="1037" max="1037" width="37.85546875" style="1192" customWidth="1"/>
    <col min="1038" max="1041" width="0" style="1192" hidden="1" customWidth="1"/>
    <col min="1042" max="1042" width="35.85546875" style="1192" customWidth="1"/>
    <col min="1043" max="1043" width="24.7109375" style="1192" customWidth="1"/>
    <col min="1044" max="1044" width="9.28515625" style="1192" customWidth="1"/>
    <col min="1045" max="1045" width="16.140625" style="1192" customWidth="1"/>
    <col min="1046" max="1046" width="18.28515625" style="1192" customWidth="1"/>
    <col min="1047" max="1047" width="15.5703125" style="1192" customWidth="1"/>
    <col min="1048" max="1048" width="14.7109375" style="1192" customWidth="1"/>
    <col min="1049" max="1049" width="12.140625" style="1192" customWidth="1"/>
    <col min="1050" max="1050" width="13.5703125" style="1192" customWidth="1"/>
    <col min="1051" max="1051" width="19.42578125" style="1192" customWidth="1"/>
    <col min="1052" max="1052" width="8.85546875" style="1192" customWidth="1"/>
    <col min="1053" max="1053" width="13.5703125" style="1192" customWidth="1"/>
    <col min="1054" max="1281" width="8.85546875" style="1192"/>
    <col min="1282" max="1282" width="5.7109375" style="1192" customWidth="1"/>
    <col min="1283" max="1283" width="66.7109375" style="1192" customWidth="1"/>
    <col min="1284" max="1286" width="0" style="1192" hidden="1" customWidth="1"/>
    <col min="1287" max="1287" width="21.85546875" style="1192" customWidth="1"/>
    <col min="1288" max="1290" width="0" style="1192" hidden="1" customWidth="1"/>
    <col min="1291" max="1291" width="19.5703125" style="1192" customWidth="1"/>
    <col min="1292" max="1292" width="21.42578125" style="1192" customWidth="1"/>
    <col min="1293" max="1293" width="37.85546875" style="1192" customWidth="1"/>
    <col min="1294" max="1297" width="0" style="1192" hidden="1" customWidth="1"/>
    <col min="1298" max="1298" width="35.85546875" style="1192" customWidth="1"/>
    <col min="1299" max="1299" width="24.7109375" style="1192" customWidth="1"/>
    <col min="1300" max="1300" width="9.28515625" style="1192" customWidth="1"/>
    <col min="1301" max="1301" width="16.140625" style="1192" customWidth="1"/>
    <col min="1302" max="1302" width="18.28515625" style="1192" customWidth="1"/>
    <col min="1303" max="1303" width="15.5703125" style="1192" customWidth="1"/>
    <col min="1304" max="1304" width="14.7109375" style="1192" customWidth="1"/>
    <col min="1305" max="1305" width="12.140625" style="1192" customWidth="1"/>
    <col min="1306" max="1306" width="13.5703125" style="1192" customWidth="1"/>
    <col min="1307" max="1307" width="19.42578125" style="1192" customWidth="1"/>
    <col min="1308" max="1308" width="8.85546875" style="1192" customWidth="1"/>
    <col min="1309" max="1309" width="13.5703125" style="1192" customWidth="1"/>
    <col min="1310" max="1537" width="8.85546875" style="1192"/>
    <col min="1538" max="1538" width="5.7109375" style="1192" customWidth="1"/>
    <col min="1539" max="1539" width="66.7109375" style="1192" customWidth="1"/>
    <col min="1540" max="1542" width="0" style="1192" hidden="1" customWidth="1"/>
    <col min="1543" max="1543" width="21.85546875" style="1192" customWidth="1"/>
    <col min="1544" max="1546" width="0" style="1192" hidden="1" customWidth="1"/>
    <col min="1547" max="1547" width="19.5703125" style="1192" customWidth="1"/>
    <col min="1548" max="1548" width="21.42578125" style="1192" customWidth="1"/>
    <col min="1549" max="1549" width="37.85546875" style="1192" customWidth="1"/>
    <col min="1550" max="1553" width="0" style="1192" hidden="1" customWidth="1"/>
    <col min="1554" max="1554" width="35.85546875" style="1192" customWidth="1"/>
    <col min="1555" max="1555" width="24.7109375" style="1192" customWidth="1"/>
    <col min="1556" max="1556" width="9.28515625" style="1192" customWidth="1"/>
    <col min="1557" max="1557" width="16.140625" style="1192" customWidth="1"/>
    <col min="1558" max="1558" width="18.28515625" style="1192" customWidth="1"/>
    <col min="1559" max="1559" width="15.5703125" style="1192" customWidth="1"/>
    <col min="1560" max="1560" width="14.7109375" style="1192" customWidth="1"/>
    <col min="1561" max="1561" width="12.140625" style="1192" customWidth="1"/>
    <col min="1562" max="1562" width="13.5703125" style="1192" customWidth="1"/>
    <col min="1563" max="1563" width="19.42578125" style="1192" customWidth="1"/>
    <col min="1564" max="1564" width="8.85546875" style="1192" customWidth="1"/>
    <col min="1565" max="1565" width="13.5703125" style="1192" customWidth="1"/>
    <col min="1566" max="1793" width="8.85546875" style="1192"/>
    <col min="1794" max="1794" width="5.7109375" style="1192" customWidth="1"/>
    <col min="1795" max="1795" width="66.7109375" style="1192" customWidth="1"/>
    <col min="1796" max="1798" width="0" style="1192" hidden="1" customWidth="1"/>
    <col min="1799" max="1799" width="21.85546875" style="1192" customWidth="1"/>
    <col min="1800" max="1802" width="0" style="1192" hidden="1" customWidth="1"/>
    <col min="1803" max="1803" width="19.5703125" style="1192" customWidth="1"/>
    <col min="1804" max="1804" width="21.42578125" style="1192" customWidth="1"/>
    <col min="1805" max="1805" width="37.85546875" style="1192" customWidth="1"/>
    <col min="1806" max="1809" width="0" style="1192" hidden="1" customWidth="1"/>
    <col min="1810" max="1810" width="35.85546875" style="1192" customWidth="1"/>
    <col min="1811" max="1811" width="24.7109375" style="1192" customWidth="1"/>
    <col min="1812" max="1812" width="9.28515625" style="1192" customWidth="1"/>
    <col min="1813" max="1813" width="16.140625" style="1192" customWidth="1"/>
    <col min="1814" max="1814" width="18.28515625" style="1192" customWidth="1"/>
    <col min="1815" max="1815" width="15.5703125" style="1192" customWidth="1"/>
    <col min="1816" max="1816" width="14.7109375" style="1192" customWidth="1"/>
    <col min="1817" max="1817" width="12.140625" style="1192" customWidth="1"/>
    <col min="1818" max="1818" width="13.5703125" style="1192" customWidth="1"/>
    <col min="1819" max="1819" width="19.42578125" style="1192" customWidth="1"/>
    <col min="1820" max="1820" width="8.85546875" style="1192" customWidth="1"/>
    <col min="1821" max="1821" width="13.5703125" style="1192" customWidth="1"/>
    <col min="1822" max="2049" width="8.85546875" style="1192"/>
    <col min="2050" max="2050" width="5.7109375" style="1192" customWidth="1"/>
    <col min="2051" max="2051" width="66.7109375" style="1192" customWidth="1"/>
    <col min="2052" max="2054" width="0" style="1192" hidden="1" customWidth="1"/>
    <col min="2055" max="2055" width="21.85546875" style="1192" customWidth="1"/>
    <col min="2056" max="2058" width="0" style="1192" hidden="1" customWidth="1"/>
    <col min="2059" max="2059" width="19.5703125" style="1192" customWidth="1"/>
    <col min="2060" max="2060" width="21.42578125" style="1192" customWidth="1"/>
    <col min="2061" max="2061" width="37.85546875" style="1192" customWidth="1"/>
    <col min="2062" max="2065" width="0" style="1192" hidden="1" customWidth="1"/>
    <col min="2066" max="2066" width="35.85546875" style="1192" customWidth="1"/>
    <col min="2067" max="2067" width="24.7109375" style="1192" customWidth="1"/>
    <col min="2068" max="2068" width="9.28515625" style="1192" customWidth="1"/>
    <col min="2069" max="2069" width="16.140625" style="1192" customWidth="1"/>
    <col min="2070" max="2070" width="18.28515625" style="1192" customWidth="1"/>
    <col min="2071" max="2071" width="15.5703125" style="1192" customWidth="1"/>
    <col min="2072" max="2072" width="14.7109375" style="1192" customWidth="1"/>
    <col min="2073" max="2073" width="12.140625" style="1192" customWidth="1"/>
    <col min="2074" max="2074" width="13.5703125" style="1192" customWidth="1"/>
    <col min="2075" max="2075" width="19.42578125" style="1192" customWidth="1"/>
    <col min="2076" max="2076" width="8.85546875" style="1192" customWidth="1"/>
    <col min="2077" max="2077" width="13.5703125" style="1192" customWidth="1"/>
    <col min="2078" max="2305" width="8.85546875" style="1192"/>
    <col min="2306" max="2306" width="5.7109375" style="1192" customWidth="1"/>
    <col min="2307" max="2307" width="66.7109375" style="1192" customWidth="1"/>
    <col min="2308" max="2310" width="0" style="1192" hidden="1" customWidth="1"/>
    <col min="2311" max="2311" width="21.85546875" style="1192" customWidth="1"/>
    <col min="2312" max="2314" width="0" style="1192" hidden="1" customWidth="1"/>
    <col min="2315" max="2315" width="19.5703125" style="1192" customWidth="1"/>
    <col min="2316" max="2316" width="21.42578125" style="1192" customWidth="1"/>
    <col min="2317" max="2317" width="37.85546875" style="1192" customWidth="1"/>
    <col min="2318" max="2321" width="0" style="1192" hidden="1" customWidth="1"/>
    <col min="2322" max="2322" width="35.85546875" style="1192" customWidth="1"/>
    <col min="2323" max="2323" width="24.7109375" style="1192" customWidth="1"/>
    <col min="2324" max="2324" width="9.28515625" style="1192" customWidth="1"/>
    <col min="2325" max="2325" width="16.140625" style="1192" customWidth="1"/>
    <col min="2326" max="2326" width="18.28515625" style="1192" customWidth="1"/>
    <col min="2327" max="2327" width="15.5703125" style="1192" customWidth="1"/>
    <col min="2328" max="2328" width="14.7109375" style="1192" customWidth="1"/>
    <col min="2329" max="2329" width="12.140625" style="1192" customWidth="1"/>
    <col min="2330" max="2330" width="13.5703125" style="1192" customWidth="1"/>
    <col min="2331" max="2331" width="19.42578125" style="1192" customWidth="1"/>
    <col min="2332" max="2332" width="8.85546875" style="1192" customWidth="1"/>
    <col min="2333" max="2333" width="13.5703125" style="1192" customWidth="1"/>
    <col min="2334" max="2561" width="8.85546875" style="1192"/>
    <col min="2562" max="2562" width="5.7109375" style="1192" customWidth="1"/>
    <col min="2563" max="2563" width="66.7109375" style="1192" customWidth="1"/>
    <col min="2564" max="2566" width="0" style="1192" hidden="1" customWidth="1"/>
    <col min="2567" max="2567" width="21.85546875" style="1192" customWidth="1"/>
    <col min="2568" max="2570" width="0" style="1192" hidden="1" customWidth="1"/>
    <col min="2571" max="2571" width="19.5703125" style="1192" customWidth="1"/>
    <col min="2572" max="2572" width="21.42578125" style="1192" customWidth="1"/>
    <col min="2573" max="2573" width="37.85546875" style="1192" customWidth="1"/>
    <col min="2574" max="2577" width="0" style="1192" hidden="1" customWidth="1"/>
    <col min="2578" max="2578" width="35.85546875" style="1192" customWidth="1"/>
    <col min="2579" max="2579" width="24.7109375" style="1192" customWidth="1"/>
    <col min="2580" max="2580" width="9.28515625" style="1192" customWidth="1"/>
    <col min="2581" max="2581" width="16.140625" style="1192" customWidth="1"/>
    <col min="2582" max="2582" width="18.28515625" style="1192" customWidth="1"/>
    <col min="2583" max="2583" width="15.5703125" style="1192" customWidth="1"/>
    <col min="2584" max="2584" width="14.7109375" style="1192" customWidth="1"/>
    <col min="2585" max="2585" width="12.140625" style="1192" customWidth="1"/>
    <col min="2586" max="2586" width="13.5703125" style="1192" customWidth="1"/>
    <col min="2587" max="2587" width="19.42578125" style="1192" customWidth="1"/>
    <col min="2588" max="2588" width="8.85546875" style="1192" customWidth="1"/>
    <col min="2589" max="2589" width="13.5703125" style="1192" customWidth="1"/>
    <col min="2590" max="2817" width="8.85546875" style="1192"/>
    <col min="2818" max="2818" width="5.7109375" style="1192" customWidth="1"/>
    <col min="2819" max="2819" width="66.7109375" style="1192" customWidth="1"/>
    <col min="2820" max="2822" width="0" style="1192" hidden="1" customWidth="1"/>
    <col min="2823" max="2823" width="21.85546875" style="1192" customWidth="1"/>
    <col min="2824" max="2826" width="0" style="1192" hidden="1" customWidth="1"/>
    <col min="2827" max="2827" width="19.5703125" style="1192" customWidth="1"/>
    <col min="2828" max="2828" width="21.42578125" style="1192" customWidth="1"/>
    <col min="2829" max="2829" width="37.85546875" style="1192" customWidth="1"/>
    <col min="2830" max="2833" width="0" style="1192" hidden="1" customWidth="1"/>
    <col min="2834" max="2834" width="35.85546875" style="1192" customWidth="1"/>
    <col min="2835" max="2835" width="24.7109375" style="1192" customWidth="1"/>
    <col min="2836" max="2836" width="9.28515625" style="1192" customWidth="1"/>
    <col min="2837" max="2837" width="16.140625" style="1192" customWidth="1"/>
    <col min="2838" max="2838" width="18.28515625" style="1192" customWidth="1"/>
    <col min="2839" max="2839" width="15.5703125" style="1192" customWidth="1"/>
    <col min="2840" max="2840" width="14.7109375" style="1192" customWidth="1"/>
    <col min="2841" max="2841" width="12.140625" style="1192" customWidth="1"/>
    <col min="2842" max="2842" width="13.5703125" style="1192" customWidth="1"/>
    <col min="2843" max="2843" width="19.42578125" style="1192" customWidth="1"/>
    <col min="2844" max="2844" width="8.85546875" style="1192" customWidth="1"/>
    <col min="2845" max="2845" width="13.5703125" style="1192" customWidth="1"/>
    <col min="2846" max="3073" width="8.85546875" style="1192"/>
    <col min="3074" max="3074" width="5.7109375" style="1192" customWidth="1"/>
    <col min="3075" max="3075" width="66.7109375" style="1192" customWidth="1"/>
    <col min="3076" max="3078" width="0" style="1192" hidden="1" customWidth="1"/>
    <col min="3079" max="3079" width="21.85546875" style="1192" customWidth="1"/>
    <col min="3080" max="3082" width="0" style="1192" hidden="1" customWidth="1"/>
    <col min="3083" max="3083" width="19.5703125" style="1192" customWidth="1"/>
    <col min="3084" max="3084" width="21.42578125" style="1192" customWidth="1"/>
    <col min="3085" max="3085" width="37.85546875" style="1192" customWidth="1"/>
    <col min="3086" max="3089" width="0" style="1192" hidden="1" customWidth="1"/>
    <col min="3090" max="3090" width="35.85546875" style="1192" customWidth="1"/>
    <col min="3091" max="3091" width="24.7109375" style="1192" customWidth="1"/>
    <col min="3092" max="3092" width="9.28515625" style="1192" customWidth="1"/>
    <col min="3093" max="3093" width="16.140625" style="1192" customWidth="1"/>
    <col min="3094" max="3094" width="18.28515625" style="1192" customWidth="1"/>
    <col min="3095" max="3095" width="15.5703125" style="1192" customWidth="1"/>
    <col min="3096" max="3096" width="14.7109375" style="1192" customWidth="1"/>
    <col min="3097" max="3097" width="12.140625" style="1192" customWidth="1"/>
    <col min="3098" max="3098" width="13.5703125" style="1192" customWidth="1"/>
    <col min="3099" max="3099" width="19.42578125" style="1192" customWidth="1"/>
    <col min="3100" max="3100" width="8.85546875" style="1192" customWidth="1"/>
    <col min="3101" max="3101" width="13.5703125" style="1192" customWidth="1"/>
    <col min="3102" max="3329" width="8.85546875" style="1192"/>
    <col min="3330" max="3330" width="5.7109375" style="1192" customWidth="1"/>
    <col min="3331" max="3331" width="66.7109375" style="1192" customWidth="1"/>
    <col min="3332" max="3334" width="0" style="1192" hidden="1" customWidth="1"/>
    <col min="3335" max="3335" width="21.85546875" style="1192" customWidth="1"/>
    <col min="3336" max="3338" width="0" style="1192" hidden="1" customWidth="1"/>
    <col min="3339" max="3339" width="19.5703125" style="1192" customWidth="1"/>
    <col min="3340" max="3340" width="21.42578125" style="1192" customWidth="1"/>
    <col min="3341" max="3341" width="37.85546875" style="1192" customWidth="1"/>
    <col min="3342" max="3345" width="0" style="1192" hidden="1" customWidth="1"/>
    <col min="3346" max="3346" width="35.85546875" style="1192" customWidth="1"/>
    <col min="3347" max="3347" width="24.7109375" style="1192" customWidth="1"/>
    <col min="3348" max="3348" width="9.28515625" style="1192" customWidth="1"/>
    <col min="3349" max="3349" width="16.140625" style="1192" customWidth="1"/>
    <col min="3350" max="3350" width="18.28515625" style="1192" customWidth="1"/>
    <col min="3351" max="3351" width="15.5703125" style="1192" customWidth="1"/>
    <col min="3352" max="3352" width="14.7109375" style="1192" customWidth="1"/>
    <col min="3353" max="3353" width="12.140625" style="1192" customWidth="1"/>
    <col min="3354" max="3354" width="13.5703125" style="1192" customWidth="1"/>
    <col min="3355" max="3355" width="19.42578125" style="1192" customWidth="1"/>
    <col min="3356" max="3356" width="8.85546875" style="1192" customWidth="1"/>
    <col min="3357" max="3357" width="13.5703125" style="1192" customWidth="1"/>
    <col min="3358" max="3585" width="8.85546875" style="1192"/>
    <col min="3586" max="3586" width="5.7109375" style="1192" customWidth="1"/>
    <col min="3587" max="3587" width="66.7109375" style="1192" customWidth="1"/>
    <col min="3588" max="3590" width="0" style="1192" hidden="1" customWidth="1"/>
    <col min="3591" max="3591" width="21.85546875" style="1192" customWidth="1"/>
    <col min="3592" max="3594" width="0" style="1192" hidden="1" customWidth="1"/>
    <col min="3595" max="3595" width="19.5703125" style="1192" customWidth="1"/>
    <col min="3596" max="3596" width="21.42578125" style="1192" customWidth="1"/>
    <col min="3597" max="3597" width="37.85546875" style="1192" customWidth="1"/>
    <col min="3598" max="3601" width="0" style="1192" hidden="1" customWidth="1"/>
    <col min="3602" max="3602" width="35.85546875" style="1192" customWidth="1"/>
    <col min="3603" max="3603" width="24.7109375" style="1192" customWidth="1"/>
    <col min="3604" max="3604" width="9.28515625" style="1192" customWidth="1"/>
    <col min="3605" max="3605" width="16.140625" style="1192" customWidth="1"/>
    <col min="3606" max="3606" width="18.28515625" style="1192" customWidth="1"/>
    <col min="3607" max="3607" width="15.5703125" style="1192" customWidth="1"/>
    <col min="3608" max="3608" width="14.7109375" style="1192" customWidth="1"/>
    <col min="3609" max="3609" width="12.140625" style="1192" customWidth="1"/>
    <col min="3610" max="3610" width="13.5703125" style="1192" customWidth="1"/>
    <col min="3611" max="3611" width="19.42578125" style="1192" customWidth="1"/>
    <col min="3612" max="3612" width="8.85546875" style="1192" customWidth="1"/>
    <col min="3613" max="3613" width="13.5703125" style="1192" customWidth="1"/>
    <col min="3614" max="3841" width="8.85546875" style="1192"/>
    <col min="3842" max="3842" width="5.7109375" style="1192" customWidth="1"/>
    <col min="3843" max="3843" width="66.7109375" style="1192" customWidth="1"/>
    <col min="3844" max="3846" width="0" style="1192" hidden="1" customWidth="1"/>
    <col min="3847" max="3847" width="21.85546875" style="1192" customWidth="1"/>
    <col min="3848" max="3850" width="0" style="1192" hidden="1" customWidth="1"/>
    <col min="3851" max="3851" width="19.5703125" style="1192" customWidth="1"/>
    <col min="3852" max="3852" width="21.42578125" style="1192" customWidth="1"/>
    <col min="3853" max="3853" width="37.85546875" style="1192" customWidth="1"/>
    <col min="3854" max="3857" width="0" style="1192" hidden="1" customWidth="1"/>
    <col min="3858" max="3858" width="35.85546875" style="1192" customWidth="1"/>
    <col min="3859" max="3859" width="24.7109375" style="1192" customWidth="1"/>
    <col min="3860" max="3860" width="9.28515625" style="1192" customWidth="1"/>
    <col min="3861" max="3861" width="16.140625" style="1192" customWidth="1"/>
    <col min="3862" max="3862" width="18.28515625" style="1192" customWidth="1"/>
    <col min="3863" max="3863" width="15.5703125" style="1192" customWidth="1"/>
    <col min="3864" max="3864" width="14.7109375" style="1192" customWidth="1"/>
    <col min="3865" max="3865" width="12.140625" style="1192" customWidth="1"/>
    <col min="3866" max="3866" width="13.5703125" style="1192" customWidth="1"/>
    <col min="3867" max="3867" width="19.42578125" style="1192" customWidth="1"/>
    <col min="3868" max="3868" width="8.85546875" style="1192" customWidth="1"/>
    <col min="3869" max="3869" width="13.5703125" style="1192" customWidth="1"/>
    <col min="3870" max="4097" width="8.85546875" style="1192"/>
    <col min="4098" max="4098" width="5.7109375" style="1192" customWidth="1"/>
    <col min="4099" max="4099" width="66.7109375" style="1192" customWidth="1"/>
    <col min="4100" max="4102" width="0" style="1192" hidden="1" customWidth="1"/>
    <col min="4103" max="4103" width="21.85546875" style="1192" customWidth="1"/>
    <col min="4104" max="4106" width="0" style="1192" hidden="1" customWidth="1"/>
    <col min="4107" max="4107" width="19.5703125" style="1192" customWidth="1"/>
    <col min="4108" max="4108" width="21.42578125" style="1192" customWidth="1"/>
    <col min="4109" max="4109" width="37.85546875" style="1192" customWidth="1"/>
    <col min="4110" max="4113" width="0" style="1192" hidden="1" customWidth="1"/>
    <col min="4114" max="4114" width="35.85546875" style="1192" customWidth="1"/>
    <col min="4115" max="4115" width="24.7109375" style="1192" customWidth="1"/>
    <col min="4116" max="4116" width="9.28515625" style="1192" customWidth="1"/>
    <col min="4117" max="4117" width="16.140625" style="1192" customWidth="1"/>
    <col min="4118" max="4118" width="18.28515625" style="1192" customWidth="1"/>
    <col min="4119" max="4119" width="15.5703125" style="1192" customWidth="1"/>
    <col min="4120" max="4120" width="14.7109375" style="1192" customWidth="1"/>
    <col min="4121" max="4121" width="12.140625" style="1192" customWidth="1"/>
    <col min="4122" max="4122" width="13.5703125" style="1192" customWidth="1"/>
    <col min="4123" max="4123" width="19.42578125" style="1192" customWidth="1"/>
    <col min="4124" max="4124" width="8.85546875" style="1192" customWidth="1"/>
    <col min="4125" max="4125" width="13.5703125" style="1192" customWidth="1"/>
    <col min="4126" max="4353" width="8.85546875" style="1192"/>
    <col min="4354" max="4354" width="5.7109375" style="1192" customWidth="1"/>
    <col min="4355" max="4355" width="66.7109375" style="1192" customWidth="1"/>
    <col min="4356" max="4358" width="0" style="1192" hidden="1" customWidth="1"/>
    <col min="4359" max="4359" width="21.85546875" style="1192" customWidth="1"/>
    <col min="4360" max="4362" width="0" style="1192" hidden="1" customWidth="1"/>
    <col min="4363" max="4363" width="19.5703125" style="1192" customWidth="1"/>
    <col min="4364" max="4364" width="21.42578125" style="1192" customWidth="1"/>
    <col min="4365" max="4365" width="37.85546875" style="1192" customWidth="1"/>
    <col min="4366" max="4369" width="0" style="1192" hidden="1" customWidth="1"/>
    <col min="4370" max="4370" width="35.85546875" style="1192" customWidth="1"/>
    <col min="4371" max="4371" width="24.7109375" style="1192" customWidth="1"/>
    <col min="4372" max="4372" width="9.28515625" style="1192" customWidth="1"/>
    <col min="4373" max="4373" width="16.140625" style="1192" customWidth="1"/>
    <col min="4374" max="4374" width="18.28515625" style="1192" customWidth="1"/>
    <col min="4375" max="4375" width="15.5703125" style="1192" customWidth="1"/>
    <col min="4376" max="4376" width="14.7109375" style="1192" customWidth="1"/>
    <col min="4377" max="4377" width="12.140625" style="1192" customWidth="1"/>
    <col min="4378" max="4378" width="13.5703125" style="1192" customWidth="1"/>
    <col min="4379" max="4379" width="19.42578125" style="1192" customWidth="1"/>
    <col min="4380" max="4380" width="8.85546875" style="1192" customWidth="1"/>
    <col min="4381" max="4381" width="13.5703125" style="1192" customWidth="1"/>
    <col min="4382" max="4609" width="8.85546875" style="1192"/>
    <col min="4610" max="4610" width="5.7109375" style="1192" customWidth="1"/>
    <col min="4611" max="4611" width="66.7109375" style="1192" customWidth="1"/>
    <col min="4612" max="4614" width="0" style="1192" hidden="1" customWidth="1"/>
    <col min="4615" max="4615" width="21.85546875" style="1192" customWidth="1"/>
    <col min="4616" max="4618" width="0" style="1192" hidden="1" customWidth="1"/>
    <col min="4619" max="4619" width="19.5703125" style="1192" customWidth="1"/>
    <col min="4620" max="4620" width="21.42578125" style="1192" customWidth="1"/>
    <col min="4621" max="4621" width="37.85546875" style="1192" customWidth="1"/>
    <col min="4622" max="4625" width="0" style="1192" hidden="1" customWidth="1"/>
    <col min="4626" max="4626" width="35.85546875" style="1192" customWidth="1"/>
    <col min="4627" max="4627" width="24.7109375" style="1192" customWidth="1"/>
    <col min="4628" max="4628" width="9.28515625" style="1192" customWidth="1"/>
    <col min="4629" max="4629" width="16.140625" style="1192" customWidth="1"/>
    <col min="4630" max="4630" width="18.28515625" style="1192" customWidth="1"/>
    <col min="4631" max="4631" width="15.5703125" style="1192" customWidth="1"/>
    <col min="4632" max="4632" width="14.7109375" style="1192" customWidth="1"/>
    <col min="4633" max="4633" width="12.140625" style="1192" customWidth="1"/>
    <col min="4634" max="4634" width="13.5703125" style="1192" customWidth="1"/>
    <col min="4635" max="4635" width="19.42578125" style="1192" customWidth="1"/>
    <col min="4636" max="4636" width="8.85546875" style="1192" customWidth="1"/>
    <col min="4637" max="4637" width="13.5703125" style="1192" customWidth="1"/>
    <col min="4638" max="4865" width="8.85546875" style="1192"/>
    <col min="4866" max="4866" width="5.7109375" style="1192" customWidth="1"/>
    <col min="4867" max="4867" width="66.7109375" style="1192" customWidth="1"/>
    <col min="4868" max="4870" width="0" style="1192" hidden="1" customWidth="1"/>
    <col min="4871" max="4871" width="21.85546875" style="1192" customWidth="1"/>
    <col min="4872" max="4874" width="0" style="1192" hidden="1" customWidth="1"/>
    <col min="4875" max="4875" width="19.5703125" style="1192" customWidth="1"/>
    <col min="4876" max="4876" width="21.42578125" style="1192" customWidth="1"/>
    <col min="4877" max="4877" width="37.85546875" style="1192" customWidth="1"/>
    <col min="4878" max="4881" width="0" style="1192" hidden="1" customWidth="1"/>
    <col min="4882" max="4882" width="35.85546875" style="1192" customWidth="1"/>
    <col min="4883" max="4883" width="24.7109375" style="1192" customWidth="1"/>
    <col min="4884" max="4884" width="9.28515625" style="1192" customWidth="1"/>
    <col min="4885" max="4885" width="16.140625" style="1192" customWidth="1"/>
    <col min="4886" max="4886" width="18.28515625" style="1192" customWidth="1"/>
    <col min="4887" max="4887" width="15.5703125" style="1192" customWidth="1"/>
    <col min="4888" max="4888" width="14.7109375" style="1192" customWidth="1"/>
    <col min="4889" max="4889" width="12.140625" style="1192" customWidth="1"/>
    <col min="4890" max="4890" width="13.5703125" style="1192" customWidth="1"/>
    <col min="4891" max="4891" width="19.42578125" style="1192" customWidth="1"/>
    <col min="4892" max="4892" width="8.85546875" style="1192" customWidth="1"/>
    <col min="4893" max="4893" width="13.5703125" style="1192" customWidth="1"/>
    <col min="4894" max="5121" width="8.85546875" style="1192"/>
    <col min="5122" max="5122" width="5.7109375" style="1192" customWidth="1"/>
    <col min="5123" max="5123" width="66.7109375" style="1192" customWidth="1"/>
    <col min="5124" max="5126" width="0" style="1192" hidden="1" customWidth="1"/>
    <col min="5127" max="5127" width="21.85546875" style="1192" customWidth="1"/>
    <col min="5128" max="5130" width="0" style="1192" hidden="1" customWidth="1"/>
    <col min="5131" max="5131" width="19.5703125" style="1192" customWidth="1"/>
    <col min="5132" max="5132" width="21.42578125" style="1192" customWidth="1"/>
    <col min="5133" max="5133" width="37.85546875" style="1192" customWidth="1"/>
    <col min="5134" max="5137" width="0" style="1192" hidden="1" customWidth="1"/>
    <col min="5138" max="5138" width="35.85546875" style="1192" customWidth="1"/>
    <col min="5139" max="5139" width="24.7109375" style="1192" customWidth="1"/>
    <col min="5140" max="5140" width="9.28515625" style="1192" customWidth="1"/>
    <col min="5141" max="5141" width="16.140625" style="1192" customWidth="1"/>
    <col min="5142" max="5142" width="18.28515625" style="1192" customWidth="1"/>
    <col min="5143" max="5143" width="15.5703125" style="1192" customWidth="1"/>
    <col min="5144" max="5144" width="14.7109375" style="1192" customWidth="1"/>
    <col min="5145" max="5145" width="12.140625" style="1192" customWidth="1"/>
    <col min="5146" max="5146" width="13.5703125" style="1192" customWidth="1"/>
    <col min="5147" max="5147" width="19.42578125" style="1192" customWidth="1"/>
    <col min="5148" max="5148" width="8.85546875" style="1192" customWidth="1"/>
    <col min="5149" max="5149" width="13.5703125" style="1192" customWidth="1"/>
    <col min="5150" max="5377" width="8.85546875" style="1192"/>
    <col min="5378" max="5378" width="5.7109375" style="1192" customWidth="1"/>
    <col min="5379" max="5379" width="66.7109375" style="1192" customWidth="1"/>
    <col min="5380" max="5382" width="0" style="1192" hidden="1" customWidth="1"/>
    <col min="5383" max="5383" width="21.85546875" style="1192" customWidth="1"/>
    <col min="5384" max="5386" width="0" style="1192" hidden="1" customWidth="1"/>
    <col min="5387" max="5387" width="19.5703125" style="1192" customWidth="1"/>
    <col min="5388" max="5388" width="21.42578125" style="1192" customWidth="1"/>
    <col min="5389" max="5389" width="37.85546875" style="1192" customWidth="1"/>
    <col min="5390" max="5393" width="0" style="1192" hidden="1" customWidth="1"/>
    <col min="5394" max="5394" width="35.85546875" style="1192" customWidth="1"/>
    <col min="5395" max="5395" width="24.7109375" style="1192" customWidth="1"/>
    <col min="5396" max="5396" width="9.28515625" style="1192" customWidth="1"/>
    <col min="5397" max="5397" width="16.140625" style="1192" customWidth="1"/>
    <col min="5398" max="5398" width="18.28515625" style="1192" customWidth="1"/>
    <col min="5399" max="5399" width="15.5703125" style="1192" customWidth="1"/>
    <col min="5400" max="5400" width="14.7109375" style="1192" customWidth="1"/>
    <col min="5401" max="5401" width="12.140625" style="1192" customWidth="1"/>
    <col min="5402" max="5402" width="13.5703125" style="1192" customWidth="1"/>
    <col min="5403" max="5403" width="19.42578125" style="1192" customWidth="1"/>
    <col min="5404" max="5404" width="8.85546875" style="1192" customWidth="1"/>
    <col min="5405" max="5405" width="13.5703125" style="1192" customWidth="1"/>
    <col min="5406" max="5633" width="8.85546875" style="1192"/>
    <col min="5634" max="5634" width="5.7109375" style="1192" customWidth="1"/>
    <col min="5635" max="5635" width="66.7109375" style="1192" customWidth="1"/>
    <col min="5636" max="5638" width="0" style="1192" hidden="1" customWidth="1"/>
    <col min="5639" max="5639" width="21.85546875" style="1192" customWidth="1"/>
    <col min="5640" max="5642" width="0" style="1192" hidden="1" customWidth="1"/>
    <col min="5643" max="5643" width="19.5703125" style="1192" customWidth="1"/>
    <col min="5644" max="5644" width="21.42578125" style="1192" customWidth="1"/>
    <col min="5645" max="5645" width="37.85546875" style="1192" customWidth="1"/>
    <col min="5646" max="5649" width="0" style="1192" hidden="1" customWidth="1"/>
    <col min="5650" max="5650" width="35.85546875" style="1192" customWidth="1"/>
    <col min="5651" max="5651" width="24.7109375" style="1192" customWidth="1"/>
    <col min="5652" max="5652" width="9.28515625" style="1192" customWidth="1"/>
    <col min="5653" max="5653" width="16.140625" style="1192" customWidth="1"/>
    <col min="5654" max="5654" width="18.28515625" style="1192" customWidth="1"/>
    <col min="5655" max="5655" width="15.5703125" style="1192" customWidth="1"/>
    <col min="5656" max="5656" width="14.7109375" style="1192" customWidth="1"/>
    <col min="5657" max="5657" width="12.140625" style="1192" customWidth="1"/>
    <col min="5658" max="5658" width="13.5703125" style="1192" customWidth="1"/>
    <col min="5659" max="5659" width="19.42578125" style="1192" customWidth="1"/>
    <col min="5660" max="5660" width="8.85546875" style="1192" customWidth="1"/>
    <col min="5661" max="5661" width="13.5703125" style="1192" customWidth="1"/>
    <col min="5662" max="5889" width="8.85546875" style="1192"/>
    <col min="5890" max="5890" width="5.7109375" style="1192" customWidth="1"/>
    <col min="5891" max="5891" width="66.7109375" style="1192" customWidth="1"/>
    <col min="5892" max="5894" width="0" style="1192" hidden="1" customWidth="1"/>
    <col min="5895" max="5895" width="21.85546875" style="1192" customWidth="1"/>
    <col min="5896" max="5898" width="0" style="1192" hidden="1" customWidth="1"/>
    <col min="5899" max="5899" width="19.5703125" style="1192" customWidth="1"/>
    <col min="5900" max="5900" width="21.42578125" style="1192" customWidth="1"/>
    <col min="5901" max="5901" width="37.85546875" style="1192" customWidth="1"/>
    <col min="5902" max="5905" width="0" style="1192" hidden="1" customWidth="1"/>
    <col min="5906" max="5906" width="35.85546875" style="1192" customWidth="1"/>
    <col min="5907" max="5907" width="24.7109375" style="1192" customWidth="1"/>
    <col min="5908" max="5908" width="9.28515625" style="1192" customWidth="1"/>
    <col min="5909" max="5909" width="16.140625" style="1192" customWidth="1"/>
    <col min="5910" max="5910" width="18.28515625" style="1192" customWidth="1"/>
    <col min="5911" max="5911" width="15.5703125" style="1192" customWidth="1"/>
    <col min="5912" max="5912" width="14.7109375" style="1192" customWidth="1"/>
    <col min="5913" max="5913" width="12.140625" style="1192" customWidth="1"/>
    <col min="5914" max="5914" width="13.5703125" style="1192" customWidth="1"/>
    <col min="5915" max="5915" width="19.42578125" style="1192" customWidth="1"/>
    <col min="5916" max="5916" width="8.85546875" style="1192" customWidth="1"/>
    <col min="5917" max="5917" width="13.5703125" style="1192" customWidth="1"/>
    <col min="5918" max="6145" width="8.85546875" style="1192"/>
    <col min="6146" max="6146" width="5.7109375" style="1192" customWidth="1"/>
    <col min="6147" max="6147" width="66.7109375" style="1192" customWidth="1"/>
    <col min="6148" max="6150" width="0" style="1192" hidden="1" customWidth="1"/>
    <col min="6151" max="6151" width="21.85546875" style="1192" customWidth="1"/>
    <col min="6152" max="6154" width="0" style="1192" hidden="1" customWidth="1"/>
    <col min="6155" max="6155" width="19.5703125" style="1192" customWidth="1"/>
    <col min="6156" max="6156" width="21.42578125" style="1192" customWidth="1"/>
    <col min="6157" max="6157" width="37.85546875" style="1192" customWidth="1"/>
    <col min="6158" max="6161" width="0" style="1192" hidden="1" customWidth="1"/>
    <col min="6162" max="6162" width="35.85546875" style="1192" customWidth="1"/>
    <col min="6163" max="6163" width="24.7109375" style="1192" customWidth="1"/>
    <col min="6164" max="6164" width="9.28515625" style="1192" customWidth="1"/>
    <col min="6165" max="6165" width="16.140625" style="1192" customWidth="1"/>
    <col min="6166" max="6166" width="18.28515625" style="1192" customWidth="1"/>
    <col min="6167" max="6167" width="15.5703125" style="1192" customWidth="1"/>
    <col min="6168" max="6168" width="14.7109375" style="1192" customWidth="1"/>
    <col min="6169" max="6169" width="12.140625" style="1192" customWidth="1"/>
    <col min="6170" max="6170" width="13.5703125" style="1192" customWidth="1"/>
    <col min="6171" max="6171" width="19.42578125" style="1192" customWidth="1"/>
    <col min="6172" max="6172" width="8.85546875" style="1192" customWidth="1"/>
    <col min="6173" max="6173" width="13.5703125" style="1192" customWidth="1"/>
    <col min="6174" max="6401" width="8.85546875" style="1192"/>
    <col min="6402" max="6402" width="5.7109375" style="1192" customWidth="1"/>
    <col min="6403" max="6403" width="66.7109375" style="1192" customWidth="1"/>
    <col min="6404" max="6406" width="0" style="1192" hidden="1" customWidth="1"/>
    <col min="6407" max="6407" width="21.85546875" style="1192" customWidth="1"/>
    <col min="6408" max="6410" width="0" style="1192" hidden="1" customWidth="1"/>
    <col min="6411" max="6411" width="19.5703125" style="1192" customWidth="1"/>
    <col min="6412" max="6412" width="21.42578125" style="1192" customWidth="1"/>
    <col min="6413" max="6413" width="37.85546875" style="1192" customWidth="1"/>
    <col min="6414" max="6417" width="0" style="1192" hidden="1" customWidth="1"/>
    <col min="6418" max="6418" width="35.85546875" style="1192" customWidth="1"/>
    <col min="6419" max="6419" width="24.7109375" style="1192" customWidth="1"/>
    <col min="6420" max="6420" width="9.28515625" style="1192" customWidth="1"/>
    <col min="6421" max="6421" width="16.140625" style="1192" customWidth="1"/>
    <col min="6422" max="6422" width="18.28515625" style="1192" customWidth="1"/>
    <col min="6423" max="6423" width="15.5703125" style="1192" customWidth="1"/>
    <col min="6424" max="6424" width="14.7109375" style="1192" customWidth="1"/>
    <col min="6425" max="6425" width="12.140625" style="1192" customWidth="1"/>
    <col min="6426" max="6426" width="13.5703125" style="1192" customWidth="1"/>
    <col min="6427" max="6427" width="19.42578125" style="1192" customWidth="1"/>
    <col min="6428" max="6428" width="8.85546875" style="1192" customWidth="1"/>
    <col min="6429" max="6429" width="13.5703125" style="1192" customWidth="1"/>
    <col min="6430" max="6657" width="8.85546875" style="1192"/>
    <col min="6658" max="6658" width="5.7109375" style="1192" customWidth="1"/>
    <col min="6659" max="6659" width="66.7109375" style="1192" customWidth="1"/>
    <col min="6660" max="6662" width="0" style="1192" hidden="1" customWidth="1"/>
    <col min="6663" max="6663" width="21.85546875" style="1192" customWidth="1"/>
    <col min="6664" max="6666" width="0" style="1192" hidden="1" customWidth="1"/>
    <col min="6667" max="6667" width="19.5703125" style="1192" customWidth="1"/>
    <col min="6668" max="6668" width="21.42578125" style="1192" customWidth="1"/>
    <col min="6669" max="6669" width="37.85546875" style="1192" customWidth="1"/>
    <col min="6670" max="6673" width="0" style="1192" hidden="1" customWidth="1"/>
    <col min="6674" max="6674" width="35.85546875" style="1192" customWidth="1"/>
    <col min="6675" max="6675" width="24.7109375" style="1192" customWidth="1"/>
    <col min="6676" max="6676" width="9.28515625" style="1192" customWidth="1"/>
    <col min="6677" max="6677" width="16.140625" style="1192" customWidth="1"/>
    <col min="6678" max="6678" width="18.28515625" style="1192" customWidth="1"/>
    <col min="6679" max="6679" width="15.5703125" style="1192" customWidth="1"/>
    <col min="6680" max="6680" width="14.7109375" style="1192" customWidth="1"/>
    <col min="6681" max="6681" width="12.140625" style="1192" customWidth="1"/>
    <col min="6682" max="6682" width="13.5703125" style="1192" customWidth="1"/>
    <col min="6683" max="6683" width="19.42578125" style="1192" customWidth="1"/>
    <col min="6684" max="6684" width="8.85546875" style="1192" customWidth="1"/>
    <col min="6685" max="6685" width="13.5703125" style="1192" customWidth="1"/>
    <col min="6686" max="6913" width="8.85546875" style="1192"/>
    <col min="6914" max="6914" width="5.7109375" style="1192" customWidth="1"/>
    <col min="6915" max="6915" width="66.7109375" style="1192" customWidth="1"/>
    <col min="6916" max="6918" width="0" style="1192" hidden="1" customWidth="1"/>
    <col min="6919" max="6919" width="21.85546875" style="1192" customWidth="1"/>
    <col min="6920" max="6922" width="0" style="1192" hidden="1" customWidth="1"/>
    <col min="6923" max="6923" width="19.5703125" style="1192" customWidth="1"/>
    <col min="6924" max="6924" width="21.42578125" style="1192" customWidth="1"/>
    <col min="6925" max="6925" width="37.85546875" style="1192" customWidth="1"/>
    <col min="6926" max="6929" width="0" style="1192" hidden="1" customWidth="1"/>
    <col min="6930" max="6930" width="35.85546875" style="1192" customWidth="1"/>
    <col min="6931" max="6931" width="24.7109375" style="1192" customWidth="1"/>
    <col min="6932" max="6932" width="9.28515625" style="1192" customWidth="1"/>
    <col min="6933" max="6933" width="16.140625" style="1192" customWidth="1"/>
    <col min="6934" max="6934" width="18.28515625" style="1192" customWidth="1"/>
    <col min="6935" max="6935" width="15.5703125" style="1192" customWidth="1"/>
    <col min="6936" max="6936" width="14.7109375" style="1192" customWidth="1"/>
    <col min="6937" max="6937" width="12.140625" style="1192" customWidth="1"/>
    <col min="6938" max="6938" width="13.5703125" style="1192" customWidth="1"/>
    <col min="6939" max="6939" width="19.42578125" style="1192" customWidth="1"/>
    <col min="6940" max="6940" width="8.85546875" style="1192" customWidth="1"/>
    <col min="6941" max="6941" width="13.5703125" style="1192" customWidth="1"/>
    <col min="6942" max="7169" width="8.85546875" style="1192"/>
    <col min="7170" max="7170" width="5.7109375" style="1192" customWidth="1"/>
    <col min="7171" max="7171" width="66.7109375" style="1192" customWidth="1"/>
    <col min="7172" max="7174" width="0" style="1192" hidden="1" customWidth="1"/>
    <col min="7175" max="7175" width="21.85546875" style="1192" customWidth="1"/>
    <col min="7176" max="7178" width="0" style="1192" hidden="1" customWidth="1"/>
    <col min="7179" max="7179" width="19.5703125" style="1192" customWidth="1"/>
    <col min="7180" max="7180" width="21.42578125" style="1192" customWidth="1"/>
    <col min="7181" max="7181" width="37.85546875" style="1192" customWidth="1"/>
    <col min="7182" max="7185" width="0" style="1192" hidden="1" customWidth="1"/>
    <col min="7186" max="7186" width="35.85546875" style="1192" customWidth="1"/>
    <col min="7187" max="7187" width="24.7109375" style="1192" customWidth="1"/>
    <col min="7188" max="7188" width="9.28515625" style="1192" customWidth="1"/>
    <col min="7189" max="7189" width="16.140625" style="1192" customWidth="1"/>
    <col min="7190" max="7190" width="18.28515625" style="1192" customWidth="1"/>
    <col min="7191" max="7191" width="15.5703125" style="1192" customWidth="1"/>
    <col min="7192" max="7192" width="14.7109375" style="1192" customWidth="1"/>
    <col min="7193" max="7193" width="12.140625" style="1192" customWidth="1"/>
    <col min="7194" max="7194" width="13.5703125" style="1192" customWidth="1"/>
    <col min="7195" max="7195" width="19.42578125" style="1192" customWidth="1"/>
    <col min="7196" max="7196" width="8.85546875" style="1192" customWidth="1"/>
    <col min="7197" max="7197" width="13.5703125" style="1192" customWidth="1"/>
    <col min="7198" max="7425" width="8.85546875" style="1192"/>
    <col min="7426" max="7426" width="5.7109375" style="1192" customWidth="1"/>
    <col min="7427" max="7427" width="66.7109375" style="1192" customWidth="1"/>
    <col min="7428" max="7430" width="0" style="1192" hidden="1" customWidth="1"/>
    <col min="7431" max="7431" width="21.85546875" style="1192" customWidth="1"/>
    <col min="7432" max="7434" width="0" style="1192" hidden="1" customWidth="1"/>
    <col min="7435" max="7435" width="19.5703125" style="1192" customWidth="1"/>
    <col min="7436" max="7436" width="21.42578125" style="1192" customWidth="1"/>
    <col min="7437" max="7437" width="37.85546875" style="1192" customWidth="1"/>
    <col min="7438" max="7441" width="0" style="1192" hidden="1" customWidth="1"/>
    <col min="7442" max="7442" width="35.85546875" style="1192" customWidth="1"/>
    <col min="7443" max="7443" width="24.7109375" style="1192" customWidth="1"/>
    <col min="7444" max="7444" width="9.28515625" style="1192" customWidth="1"/>
    <col min="7445" max="7445" width="16.140625" style="1192" customWidth="1"/>
    <col min="7446" max="7446" width="18.28515625" style="1192" customWidth="1"/>
    <col min="7447" max="7447" width="15.5703125" style="1192" customWidth="1"/>
    <col min="7448" max="7448" width="14.7109375" style="1192" customWidth="1"/>
    <col min="7449" max="7449" width="12.140625" style="1192" customWidth="1"/>
    <col min="7450" max="7450" width="13.5703125" style="1192" customWidth="1"/>
    <col min="7451" max="7451" width="19.42578125" style="1192" customWidth="1"/>
    <col min="7452" max="7452" width="8.85546875" style="1192" customWidth="1"/>
    <col min="7453" max="7453" width="13.5703125" style="1192" customWidth="1"/>
    <col min="7454" max="7681" width="8.85546875" style="1192"/>
    <col min="7682" max="7682" width="5.7109375" style="1192" customWidth="1"/>
    <col min="7683" max="7683" width="66.7109375" style="1192" customWidth="1"/>
    <col min="7684" max="7686" width="0" style="1192" hidden="1" customWidth="1"/>
    <col min="7687" max="7687" width="21.85546875" style="1192" customWidth="1"/>
    <col min="7688" max="7690" width="0" style="1192" hidden="1" customWidth="1"/>
    <col min="7691" max="7691" width="19.5703125" style="1192" customWidth="1"/>
    <col min="7692" max="7692" width="21.42578125" style="1192" customWidth="1"/>
    <col min="7693" max="7693" width="37.85546875" style="1192" customWidth="1"/>
    <col min="7694" max="7697" width="0" style="1192" hidden="1" customWidth="1"/>
    <col min="7698" max="7698" width="35.85546875" style="1192" customWidth="1"/>
    <col min="7699" max="7699" width="24.7109375" style="1192" customWidth="1"/>
    <col min="7700" max="7700" width="9.28515625" style="1192" customWidth="1"/>
    <col min="7701" max="7701" width="16.140625" style="1192" customWidth="1"/>
    <col min="7702" max="7702" width="18.28515625" style="1192" customWidth="1"/>
    <col min="7703" max="7703" width="15.5703125" style="1192" customWidth="1"/>
    <col min="7704" max="7704" width="14.7109375" style="1192" customWidth="1"/>
    <col min="7705" max="7705" width="12.140625" style="1192" customWidth="1"/>
    <col min="7706" max="7706" width="13.5703125" style="1192" customWidth="1"/>
    <col min="7707" max="7707" width="19.42578125" style="1192" customWidth="1"/>
    <col min="7708" max="7708" width="8.85546875" style="1192" customWidth="1"/>
    <col min="7709" max="7709" width="13.5703125" style="1192" customWidth="1"/>
    <col min="7710" max="7937" width="8.85546875" style="1192"/>
    <col min="7938" max="7938" width="5.7109375" style="1192" customWidth="1"/>
    <col min="7939" max="7939" width="66.7109375" style="1192" customWidth="1"/>
    <col min="7940" max="7942" width="0" style="1192" hidden="1" customWidth="1"/>
    <col min="7943" max="7943" width="21.85546875" style="1192" customWidth="1"/>
    <col min="7944" max="7946" width="0" style="1192" hidden="1" customWidth="1"/>
    <col min="7947" max="7947" width="19.5703125" style="1192" customWidth="1"/>
    <col min="7948" max="7948" width="21.42578125" style="1192" customWidth="1"/>
    <col min="7949" max="7949" width="37.85546875" style="1192" customWidth="1"/>
    <col min="7950" max="7953" width="0" style="1192" hidden="1" customWidth="1"/>
    <col min="7954" max="7954" width="35.85546875" style="1192" customWidth="1"/>
    <col min="7955" max="7955" width="24.7109375" style="1192" customWidth="1"/>
    <col min="7956" max="7956" width="9.28515625" style="1192" customWidth="1"/>
    <col min="7957" max="7957" width="16.140625" style="1192" customWidth="1"/>
    <col min="7958" max="7958" width="18.28515625" style="1192" customWidth="1"/>
    <col min="7959" max="7959" width="15.5703125" style="1192" customWidth="1"/>
    <col min="7960" max="7960" width="14.7109375" style="1192" customWidth="1"/>
    <col min="7961" max="7961" width="12.140625" style="1192" customWidth="1"/>
    <col min="7962" max="7962" width="13.5703125" style="1192" customWidth="1"/>
    <col min="7963" max="7963" width="19.42578125" style="1192" customWidth="1"/>
    <col min="7964" max="7964" width="8.85546875" style="1192" customWidth="1"/>
    <col min="7965" max="7965" width="13.5703125" style="1192" customWidth="1"/>
    <col min="7966" max="8193" width="8.85546875" style="1192"/>
    <col min="8194" max="8194" width="5.7109375" style="1192" customWidth="1"/>
    <col min="8195" max="8195" width="66.7109375" style="1192" customWidth="1"/>
    <col min="8196" max="8198" width="0" style="1192" hidden="1" customWidth="1"/>
    <col min="8199" max="8199" width="21.85546875" style="1192" customWidth="1"/>
    <col min="8200" max="8202" width="0" style="1192" hidden="1" customWidth="1"/>
    <col min="8203" max="8203" width="19.5703125" style="1192" customWidth="1"/>
    <col min="8204" max="8204" width="21.42578125" style="1192" customWidth="1"/>
    <col min="8205" max="8205" width="37.85546875" style="1192" customWidth="1"/>
    <col min="8206" max="8209" width="0" style="1192" hidden="1" customWidth="1"/>
    <col min="8210" max="8210" width="35.85546875" style="1192" customWidth="1"/>
    <col min="8211" max="8211" width="24.7109375" style="1192" customWidth="1"/>
    <col min="8212" max="8212" width="9.28515625" style="1192" customWidth="1"/>
    <col min="8213" max="8213" width="16.140625" style="1192" customWidth="1"/>
    <col min="8214" max="8214" width="18.28515625" style="1192" customWidth="1"/>
    <col min="8215" max="8215" width="15.5703125" style="1192" customWidth="1"/>
    <col min="8216" max="8216" width="14.7109375" style="1192" customWidth="1"/>
    <col min="8217" max="8217" width="12.140625" style="1192" customWidth="1"/>
    <col min="8218" max="8218" width="13.5703125" style="1192" customWidth="1"/>
    <col min="8219" max="8219" width="19.42578125" style="1192" customWidth="1"/>
    <col min="8220" max="8220" width="8.85546875" style="1192" customWidth="1"/>
    <col min="8221" max="8221" width="13.5703125" style="1192" customWidth="1"/>
    <col min="8222" max="8449" width="8.85546875" style="1192"/>
    <col min="8450" max="8450" width="5.7109375" style="1192" customWidth="1"/>
    <col min="8451" max="8451" width="66.7109375" style="1192" customWidth="1"/>
    <col min="8452" max="8454" width="0" style="1192" hidden="1" customWidth="1"/>
    <col min="8455" max="8455" width="21.85546875" style="1192" customWidth="1"/>
    <col min="8456" max="8458" width="0" style="1192" hidden="1" customWidth="1"/>
    <col min="8459" max="8459" width="19.5703125" style="1192" customWidth="1"/>
    <col min="8460" max="8460" width="21.42578125" style="1192" customWidth="1"/>
    <col min="8461" max="8461" width="37.85546875" style="1192" customWidth="1"/>
    <col min="8462" max="8465" width="0" style="1192" hidden="1" customWidth="1"/>
    <col min="8466" max="8466" width="35.85546875" style="1192" customWidth="1"/>
    <col min="8467" max="8467" width="24.7109375" style="1192" customWidth="1"/>
    <col min="8468" max="8468" width="9.28515625" style="1192" customWidth="1"/>
    <col min="8469" max="8469" width="16.140625" style="1192" customWidth="1"/>
    <col min="8470" max="8470" width="18.28515625" style="1192" customWidth="1"/>
    <col min="8471" max="8471" width="15.5703125" style="1192" customWidth="1"/>
    <col min="8472" max="8472" width="14.7109375" style="1192" customWidth="1"/>
    <col min="8473" max="8473" width="12.140625" style="1192" customWidth="1"/>
    <col min="8474" max="8474" width="13.5703125" style="1192" customWidth="1"/>
    <col min="8475" max="8475" width="19.42578125" style="1192" customWidth="1"/>
    <col min="8476" max="8476" width="8.85546875" style="1192" customWidth="1"/>
    <col min="8477" max="8477" width="13.5703125" style="1192" customWidth="1"/>
    <col min="8478" max="8705" width="8.85546875" style="1192"/>
    <col min="8706" max="8706" width="5.7109375" style="1192" customWidth="1"/>
    <col min="8707" max="8707" width="66.7109375" style="1192" customWidth="1"/>
    <col min="8708" max="8710" width="0" style="1192" hidden="1" customWidth="1"/>
    <col min="8711" max="8711" width="21.85546875" style="1192" customWidth="1"/>
    <col min="8712" max="8714" width="0" style="1192" hidden="1" customWidth="1"/>
    <col min="8715" max="8715" width="19.5703125" style="1192" customWidth="1"/>
    <col min="8716" max="8716" width="21.42578125" style="1192" customWidth="1"/>
    <col min="8717" max="8717" width="37.85546875" style="1192" customWidth="1"/>
    <col min="8718" max="8721" width="0" style="1192" hidden="1" customWidth="1"/>
    <col min="8722" max="8722" width="35.85546875" style="1192" customWidth="1"/>
    <col min="8723" max="8723" width="24.7109375" style="1192" customWidth="1"/>
    <col min="8724" max="8724" width="9.28515625" style="1192" customWidth="1"/>
    <col min="8725" max="8725" width="16.140625" style="1192" customWidth="1"/>
    <col min="8726" max="8726" width="18.28515625" style="1192" customWidth="1"/>
    <col min="8727" max="8727" width="15.5703125" style="1192" customWidth="1"/>
    <col min="8728" max="8728" width="14.7109375" style="1192" customWidth="1"/>
    <col min="8729" max="8729" width="12.140625" style="1192" customWidth="1"/>
    <col min="8730" max="8730" width="13.5703125" style="1192" customWidth="1"/>
    <col min="8731" max="8731" width="19.42578125" style="1192" customWidth="1"/>
    <col min="8732" max="8732" width="8.85546875" style="1192" customWidth="1"/>
    <col min="8733" max="8733" width="13.5703125" style="1192" customWidth="1"/>
    <col min="8734" max="8961" width="8.85546875" style="1192"/>
    <col min="8962" max="8962" width="5.7109375" style="1192" customWidth="1"/>
    <col min="8963" max="8963" width="66.7109375" style="1192" customWidth="1"/>
    <col min="8964" max="8966" width="0" style="1192" hidden="1" customWidth="1"/>
    <col min="8967" max="8967" width="21.85546875" style="1192" customWidth="1"/>
    <col min="8968" max="8970" width="0" style="1192" hidden="1" customWidth="1"/>
    <col min="8971" max="8971" width="19.5703125" style="1192" customWidth="1"/>
    <col min="8972" max="8972" width="21.42578125" style="1192" customWidth="1"/>
    <col min="8973" max="8973" width="37.85546875" style="1192" customWidth="1"/>
    <col min="8974" max="8977" width="0" style="1192" hidden="1" customWidth="1"/>
    <col min="8978" max="8978" width="35.85546875" style="1192" customWidth="1"/>
    <col min="8979" max="8979" width="24.7109375" style="1192" customWidth="1"/>
    <col min="8980" max="8980" width="9.28515625" style="1192" customWidth="1"/>
    <col min="8981" max="8981" width="16.140625" style="1192" customWidth="1"/>
    <col min="8982" max="8982" width="18.28515625" style="1192" customWidth="1"/>
    <col min="8983" max="8983" width="15.5703125" style="1192" customWidth="1"/>
    <col min="8984" max="8984" width="14.7109375" style="1192" customWidth="1"/>
    <col min="8985" max="8985" width="12.140625" style="1192" customWidth="1"/>
    <col min="8986" max="8986" width="13.5703125" style="1192" customWidth="1"/>
    <col min="8987" max="8987" width="19.42578125" style="1192" customWidth="1"/>
    <col min="8988" max="8988" width="8.85546875" style="1192" customWidth="1"/>
    <col min="8989" max="8989" width="13.5703125" style="1192" customWidth="1"/>
    <col min="8990" max="9217" width="8.85546875" style="1192"/>
    <col min="9218" max="9218" width="5.7109375" style="1192" customWidth="1"/>
    <col min="9219" max="9219" width="66.7109375" style="1192" customWidth="1"/>
    <col min="9220" max="9222" width="0" style="1192" hidden="1" customWidth="1"/>
    <col min="9223" max="9223" width="21.85546875" style="1192" customWidth="1"/>
    <col min="9224" max="9226" width="0" style="1192" hidden="1" customWidth="1"/>
    <col min="9227" max="9227" width="19.5703125" style="1192" customWidth="1"/>
    <col min="9228" max="9228" width="21.42578125" style="1192" customWidth="1"/>
    <col min="9229" max="9229" width="37.85546875" style="1192" customWidth="1"/>
    <col min="9230" max="9233" width="0" style="1192" hidden="1" customWidth="1"/>
    <col min="9234" max="9234" width="35.85546875" style="1192" customWidth="1"/>
    <col min="9235" max="9235" width="24.7109375" style="1192" customWidth="1"/>
    <col min="9236" max="9236" width="9.28515625" style="1192" customWidth="1"/>
    <col min="9237" max="9237" width="16.140625" style="1192" customWidth="1"/>
    <col min="9238" max="9238" width="18.28515625" style="1192" customWidth="1"/>
    <col min="9239" max="9239" width="15.5703125" style="1192" customWidth="1"/>
    <col min="9240" max="9240" width="14.7109375" style="1192" customWidth="1"/>
    <col min="9241" max="9241" width="12.140625" style="1192" customWidth="1"/>
    <col min="9242" max="9242" width="13.5703125" style="1192" customWidth="1"/>
    <col min="9243" max="9243" width="19.42578125" style="1192" customWidth="1"/>
    <col min="9244" max="9244" width="8.85546875" style="1192" customWidth="1"/>
    <col min="9245" max="9245" width="13.5703125" style="1192" customWidth="1"/>
    <col min="9246" max="9473" width="8.85546875" style="1192"/>
    <col min="9474" max="9474" width="5.7109375" style="1192" customWidth="1"/>
    <col min="9475" max="9475" width="66.7109375" style="1192" customWidth="1"/>
    <col min="9476" max="9478" width="0" style="1192" hidden="1" customWidth="1"/>
    <col min="9479" max="9479" width="21.85546875" style="1192" customWidth="1"/>
    <col min="9480" max="9482" width="0" style="1192" hidden="1" customWidth="1"/>
    <col min="9483" max="9483" width="19.5703125" style="1192" customWidth="1"/>
    <col min="9484" max="9484" width="21.42578125" style="1192" customWidth="1"/>
    <col min="9485" max="9485" width="37.85546875" style="1192" customWidth="1"/>
    <col min="9486" max="9489" width="0" style="1192" hidden="1" customWidth="1"/>
    <col min="9490" max="9490" width="35.85546875" style="1192" customWidth="1"/>
    <col min="9491" max="9491" width="24.7109375" style="1192" customWidth="1"/>
    <col min="9492" max="9492" width="9.28515625" style="1192" customWidth="1"/>
    <col min="9493" max="9493" width="16.140625" style="1192" customWidth="1"/>
    <col min="9494" max="9494" width="18.28515625" style="1192" customWidth="1"/>
    <col min="9495" max="9495" width="15.5703125" style="1192" customWidth="1"/>
    <col min="9496" max="9496" width="14.7109375" style="1192" customWidth="1"/>
    <col min="9497" max="9497" width="12.140625" style="1192" customWidth="1"/>
    <col min="9498" max="9498" width="13.5703125" style="1192" customWidth="1"/>
    <col min="9499" max="9499" width="19.42578125" style="1192" customWidth="1"/>
    <col min="9500" max="9500" width="8.85546875" style="1192" customWidth="1"/>
    <col min="9501" max="9501" width="13.5703125" style="1192" customWidth="1"/>
    <col min="9502" max="9729" width="8.85546875" style="1192"/>
    <col min="9730" max="9730" width="5.7109375" style="1192" customWidth="1"/>
    <col min="9731" max="9731" width="66.7109375" style="1192" customWidth="1"/>
    <col min="9732" max="9734" width="0" style="1192" hidden="1" customWidth="1"/>
    <col min="9735" max="9735" width="21.85546875" style="1192" customWidth="1"/>
    <col min="9736" max="9738" width="0" style="1192" hidden="1" customWidth="1"/>
    <col min="9739" max="9739" width="19.5703125" style="1192" customWidth="1"/>
    <col min="9740" max="9740" width="21.42578125" style="1192" customWidth="1"/>
    <col min="9741" max="9741" width="37.85546875" style="1192" customWidth="1"/>
    <col min="9742" max="9745" width="0" style="1192" hidden="1" customWidth="1"/>
    <col min="9746" max="9746" width="35.85546875" style="1192" customWidth="1"/>
    <col min="9747" max="9747" width="24.7109375" style="1192" customWidth="1"/>
    <col min="9748" max="9748" width="9.28515625" style="1192" customWidth="1"/>
    <col min="9749" max="9749" width="16.140625" style="1192" customWidth="1"/>
    <col min="9750" max="9750" width="18.28515625" style="1192" customWidth="1"/>
    <col min="9751" max="9751" width="15.5703125" style="1192" customWidth="1"/>
    <col min="9752" max="9752" width="14.7109375" style="1192" customWidth="1"/>
    <col min="9753" max="9753" width="12.140625" style="1192" customWidth="1"/>
    <col min="9754" max="9754" width="13.5703125" style="1192" customWidth="1"/>
    <col min="9755" max="9755" width="19.42578125" style="1192" customWidth="1"/>
    <col min="9756" max="9756" width="8.85546875" style="1192" customWidth="1"/>
    <col min="9757" max="9757" width="13.5703125" style="1192" customWidth="1"/>
    <col min="9758" max="9985" width="8.85546875" style="1192"/>
    <col min="9986" max="9986" width="5.7109375" style="1192" customWidth="1"/>
    <col min="9987" max="9987" width="66.7109375" style="1192" customWidth="1"/>
    <col min="9988" max="9990" width="0" style="1192" hidden="1" customWidth="1"/>
    <col min="9991" max="9991" width="21.85546875" style="1192" customWidth="1"/>
    <col min="9992" max="9994" width="0" style="1192" hidden="1" customWidth="1"/>
    <col min="9995" max="9995" width="19.5703125" style="1192" customWidth="1"/>
    <col min="9996" max="9996" width="21.42578125" style="1192" customWidth="1"/>
    <col min="9997" max="9997" width="37.85546875" style="1192" customWidth="1"/>
    <col min="9998" max="10001" width="0" style="1192" hidden="1" customWidth="1"/>
    <col min="10002" max="10002" width="35.85546875" style="1192" customWidth="1"/>
    <col min="10003" max="10003" width="24.7109375" style="1192" customWidth="1"/>
    <col min="10004" max="10004" width="9.28515625" style="1192" customWidth="1"/>
    <col min="10005" max="10005" width="16.140625" style="1192" customWidth="1"/>
    <col min="10006" max="10006" width="18.28515625" style="1192" customWidth="1"/>
    <col min="10007" max="10007" width="15.5703125" style="1192" customWidth="1"/>
    <col min="10008" max="10008" width="14.7109375" style="1192" customWidth="1"/>
    <col min="10009" max="10009" width="12.140625" style="1192" customWidth="1"/>
    <col min="10010" max="10010" width="13.5703125" style="1192" customWidth="1"/>
    <col min="10011" max="10011" width="19.42578125" style="1192" customWidth="1"/>
    <col min="10012" max="10012" width="8.85546875" style="1192" customWidth="1"/>
    <col min="10013" max="10013" width="13.5703125" style="1192" customWidth="1"/>
    <col min="10014" max="10241" width="8.85546875" style="1192"/>
    <col min="10242" max="10242" width="5.7109375" style="1192" customWidth="1"/>
    <col min="10243" max="10243" width="66.7109375" style="1192" customWidth="1"/>
    <col min="10244" max="10246" width="0" style="1192" hidden="1" customWidth="1"/>
    <col min="10247" max="10247" width="21.85546875" style="1192" customWidth="1"/>
    <col min="10248" max="10250" width="0" style="1192" hidden="1" customWidth="1"/>
    <col min="10251" max="10251" width="19.5703125" style="1192" customWidth="1"/>
    <col min="10252" max="10252" width="21.42578125" style="1192" customWidth="1"/>
    <col min="10253" max="10253" width="37.85546875" style="1192" customWidth="1"/>
    <col min="10254" max="10257" width="0" style="1192" hidden="1" customWidth="1"/>
    <col min="10258" max="10258" width="35.85546875" style="1192" customWidth="1"/>
    <col min="10259" max="10259" width="24.7109375" style="1192" customWidth="1"/>
    <col min="10260" max="10260" width="9.28515625" style="1192" customWidth="1"/>
    <col min="10261" max="10261" width="16.140625" style="1192" customWidth="1"/>
    <col min="10262" max="10262" width="18.28515625" style="1192" customWidth="1"/>
    <col min="10263" max="10263" width="15.5703125" style="1192" customWidth="1"/>
    <col min="10264" max="10264" width="14.7109375" style="1192" customWidth="1"/>
    <col min="10265" max="10265" width="12.140625" style="1192" customWidth="1"/>
    <col min="10266" max="10266" width="13.5703125" style="1192" customWidth="1"/>
    <col min="10267" max="10267" width="19.42578125" style="1192" customWidth="1"/>
    <col min="10268" max="10268" width="8.85546875" style="1192" customWidth="1"/>
    <col min="10269" max="10269" width="13.5703125" style="1192" customWidth="1"/>
    <col min="10270" max="10497" width="8.85546875" style="1192"/>
    <col min="10498" max="10498" width="5.7109375" style="1192" customWidth="1"/>
    <col min="10499" max="10499" width="66.7109375" style="1192" customWidth="1"/>
    <col min="10500" max="10502" width="0" style="1192" hidden="1" customWidth="1"/>
    <col min="10503" max="10503" width="21.85546875" style="1192" customWidth="1"/>
    <col min="10504" max="10506" width="0" style="1192" hidden="1" customWidth="1"/>
    <col min="10507" max="10507" width="19.5703125" style="1192" customWidth="1"/>
    <col min="10508" max="10508" width="21.42578125" style="1192" customWidth="1"/>
    <col min="10509" max="10509" width="37.85546875" style="1192" customWidth="1"/>
    <col min="10510" max="10513" width="0" style="1192" hidden="1" customWidth="1"/>
    <col min="10514" max="10514" width="35.85546875" style="1192" customWidth="1"/>
    <col min="10515" max="10515" width="24.7109375" style="1192" customWidth="1"/>
    <col min="10516" max="10516" width="9.28515625" style="1192" customWidth="1"/>
    <col min="10517" max="10517" width="16.140625" style="1192" customWidth="1"/>
    <col min="10518" max="10518" width="18.28515625" style="1192" customWidth="1"/>
    <col min="10519" max="10519" width="15.5703125" style="1192" customWidth="1"/>
    <col min="10520" max="10520" width="14.7109375" style="1192" customWidth="1"/>
    <col min="10521" max="10521" width="12.140625" style="1192" customWidth="1"/>
    <col min="10522" max="10522" width="13.5703125" style="1192" customWidth="1"/>
    <col min="10523" max="10523" width="19.42578125" style="1192" customWidth="1"/>
    <col min="10524" max="10524" width="8.85546875" style="1192" customWidth="1"/>
    <col min="10525" max="10525" width="13.5703125" style="1192" customWidth="1"/>
    <col min="10526" max="10753" width="8.85546875" style="1192"/>
    <col min="10754" max="10754" width="5.7109375" style="1192" customWidth="1"/>
    <col min="10755" max="10755" width="66.7109375" style="1192" customWidth="1"/>
    <col min="10756" max="10758" width="0" style="1192" hidden="1" customWidth="1"/>
    <col min="10759" max="10759" width="21.85546875" style="1192" customWidth="1"/>
    <col min="10760" max="10762" width="0" style="1192" hidden="1" customWidth="1"/>
    <col min="10763" max="10763" width="19.5703125" style="1192" customWidth="1"/>
    <col min="10764" max="10764" width="21.42578125" style="1192" customWidth="1"/>
    <col min="10765" max="10765" width="37.85546875" style="1192" customWidth="1"/>
    <col min="10766" max="10769" width="0" style="1192" hidden="1" customWidth="1"/>
    <col min="10770" max="10770" width="35.85546875" style="1192" customWidth="1"/>
    <col min="10771" max="10771" width="24.7109375" style="1192" customWidth="1"/>
    <col min="10772" max="10772" width="9.28515625" style="1192" customWidth="1"/>
    <col min="10773" max="10773" width="16.140625" style="1192" customWidth="1"/>
    <col min="10774" max="10774" width="18.28515625" style="1192" customWidth="1"/>
    <col min="10775" max="10775" width="15.5703125" style="1192" customWidth="1"/>
    <col min="10776" max="10776" width="14.7109375" style="1192" customWidth="1"/>
    <col min="10777" max="10777" width="12.140625" style="1192" customWidth="1"/>
    <col min="10778" max="10778" width="13.5703125" style="1192" customWidth="1"/>
    <col min="10779" max="10779" width="19.42578125" style="1192" customWidth="1"/>
    <col min="10780" max="10780" width="8.85546875" style="1192" customWidth="1"/>
    <col min="10781" max="10781" width="13.5703125" style="1192" customWidth="1"/>
    <col min="10782" max="11009" width="8.85546875" style="1192"/>
    <col min="11010" max="11010" width="5.7109375" style="1192" customWidth="1"/>
    <col min="11011" max="11011" width="66.7109375" style="1192" customWidth="1"/>
    <col min="11012" max="11014" width="0" style="1192" hidden="1" customWidth="1"/>
    <col min="11015" max="11015" width="21.85546875" style="1192" customWidth="1"/>
    <col min="11016" max="11018" width="0" style="1192" hidden="1" customWidth="1"/>
    <col min="11019" max="11019" width="19.5703125" style="1192" customWidth="1"/>
    <col min="11020" max="11020" width="21.42578125" style="1192" customWidth="1"/>
    <col min="11021" max="11021" width="37.85546875" style="1192" customWidth="1"/>
    <col min="11022" max="11025" width="0" style="1192" hidden="1" customWidth="1"/>
    <col min="11026" max="11026" width="35.85546875" style="1192" customWidth="1"/>
    <col min="11027" max="11027" width="24.7109375" style="1192" customWidth="1"/>
    <col min="11028" max="11028" width="9.28515625" style="1192" customWidth="1"/>
    <col min="11029" max="11029" width="16.140625" style="1192" customWidth="1"/>
    <col min="11030" max="11030" width="18.28515625" style="1192" customWidth="1"/>
    <col min="11031" max="11031" width="15.5703125" style="1192" customWidth="1"/>
    <col min="11032" max="11032" width="14.7109375" style="1192" customWidth="1"/>
    <col min="11033" max="11033" width="12.140625" style="1192" customWidth="1"/>
    <col min="11034" max="11034" width="13.5703125" style="1192" customWidth="1"/>
    <col min="11035" max="11035" width="19.42578125" style="1192" customWidth="1"/>
    <col min="11036" max="11036" width="8.85546875" style="1192" customWidth="1"/>
    <col min="11037" max="11037" width="13.5703125" style="1192" customWidth="1"/>
    <col min="11038" max="11265" width="8.85546875" style="1192"/>
    <col min="11266" max="11266" width="5.7109375" style="1192" customWidth="1"/>
    <col min="11267" max="11267" width="66.7109375" style="1192" customWidth="1"/>
    <col min="11268" max="11270" width="0" style="1192" hidden="1" customWidth="1"/>
    <col min="11271" max="11271" width="21.85546875" style="1192" customWidth="1"/>
    <col min="11272" max="11274" width="0" style="1192" hidden="1" customWidth="1"/>
    <col min="11275" max="11275" width="19.5703125" style="1192" customWidth="1"/>
    <col min="11276" max="11276" width="21.42578125" style="1192" customWidth="1"/>
    <col min="11277" max="11277" width="37.85546875" style="1192" customWidth="1"/>
    <col min="11278" max="11281" width="0" style="1192" hidden="1" customWidth="1"/>
    <col min="11282" max="11282" width="35.85546875" style="1192" customWidth="1"/>
    <col min="11283" max="11283" width="24.7109375" style="1192" customWidth="1"/>
    <col min="11284" max="11284" width="9.28515625" style="1192" customWidth="1"/>
    <col min="11285" max="11285" width="16.140625" style="1192" customWidth="1"/>
    <col min="11286" max="11286" width="18.28515625" style="1192" customWidth="1"/>
    <col min="11287" max="11287" width="15.5703125" style="1192" customWidth="1"/>
    <col min="11288" max="11288" width="14.7109375" style="1192" customWidth="1"/>
    <col min="11289" max="11289" width="12.140625" style="1192" customWidth="1"/>
    <col min="11290" max="11290" width="13.5703125" style="1192" customWidth="1"/>
    <col min="11291" max="11291" width="19.42578125" style="1192" customWidth="1"/>
    <col min="11292" max="11292" width="8.85546875" style="1192" customWidth="1"/>
    <col min="11293" max="11293" width="13.5703125" style="1192" customWidth="1"/>
    <col min="11294" max="11521" width="8.85546875" style="1192"/>
    <col min="11522" max="11522" width="5.7109375" style="1192" customWidth="1"/>
    <col min="11523" max="11523" width="66.7109375" style="1192" customWidth="1"/>
    <col min="11524" max="11526" width="0" style="1192" hidden="1" customWidth="1"/>
    <col min="11527" max="11527" width="21.85546875" style="1192" customWidth="1"/>
    <col min="11528" max="11530" width="0" style="1192" hidden="1" customWidth="1"/>
    <col min="11531" max="11531" width="19.5703125" style="1192" customWidth="1"/>
    <col min="11532" max="11532" width="21.42578125" style="1192" customWidth="1"/>
    <col min="11533" max="11533" width="37.85546875" style="1192" customWidth="1"/>
    <col min="11534" max="11537" width="0" style="1192" hidden="1" customWidth="1"/>
    <col min="11538" max="11538" width="35.85546875" style="1192" customWidth="1"/>
    <col min="11539" max="11539" width="24.7109375" style="1192" customWidth="1"/>
    <col min="11540" max="11540" width="9.28515625" style="1192" customWidth="1"/>
    <col min="11541" max="11541" width="16.140625" style="1192" customWidth="1"/>
    <col min="11542" max="11542" width="18.28515625" style="1192" customWidth="1"/>
    <col min="11543" max="11543" width="15.5703125" style="1192" customWidth="1"/>
    <col min="11544" max="11544" width="14.7109375" style="1192" customWidth="1"/>
    <col min="11545" max="11545" width="12.140625" style="1192" customWidth="1"/>
    <col min="11546" max="11546" width="13.5703125" style="1192" customWidth="1"/>
    <col min="11547" max="11547" width="19.42578125" style="1192" customWidth="1"/>
    <col min="11548" max="11548" width="8.85546875" style="1192" customWidth="1"/>
    <col min="11549" max="11549" width="13.5703125" style="1192" customWidth="1"/>
    <col min="11550" max="11777" width="8.85546875" style="1192"/>
    <col min="11778" max="11778" width="5.7109375" style="1192" customWidth="1"/>
    <col min="11779" max="11779" width="66.7109375" style="1192" customWidth="1"/>
    <col min="11780" max="11782" width="0" style="1192" hidden="1" customWidth="1"/>
    <col min="11783" max="11783" width="21.85546875" style="1192" customWidth="1"/>
    <col min="11784" max="11786" width="0" style="1192" hidden="1" customWidth="1"/>
    <col min="11787" max="11787" width="19.5703125" style="1192" customWidth="1"/>
    <col min="11788" max="11788" width="21.42578125" style="1192" customWidth="1"/>
    <col min="11789" max="11789" width="37.85546875" style="1192" customWidth="1"/>
    <col min="11790" max="11793" width="0" style="1192" hidden="1" customWidth="1"/>
    <col min="11794" max="11794" width="35.85546875" style="1192" customWidth="1"/>
    <col min="11795" max="11795" width="24.7109375" style="1192" customWidth="1"/>
    <col min="11796" max="11796" width="9.28515625" style="1192" customWidth="1"/>
    <col min="11797" max="11797" width="16.140625" style="1192" customWidth="1"/>
    <col min="11798" max="11798" width="18.28515625" style="1192" customWidth="1"/>
    <col min="11799" max="11799" width="15.5703125" style="1192" customWidth="1"/>
    <col min="11800" max="11800" width="14.7109375" style="1192" customWidth="1"/>
    <col min="11801" max="11801" width="12.140625" style="1192" customWidth="1"/>
    <col min="11802" max="11802" width="13.5703125" style="1192" customWidth="1"/>
    <col min="11803" max="11803" width="19.42578125" style="1192" customWidth="1"/>
    <col min="11804" max="11804" width="8.85546875" style="1192" customWidth="1"/>
    <col min="11805" max="11805" width="13.5703125" style="1192" customWidth="1"/>
    <col min="11806" max="12033" width="8.85546875" style="1192"/>
    <col min="12034" max="12034" width="5.7109375" style="1192" customWidth="1"/>
    <col min="12035" max="12035" width="66.7109375" style="1192" customWidth="1"/>
    <col min="12036" max="12038" width="0" style="1192" hidden="1" customWidth="1"/>
    <col min="12039" max="12039" width="21.85546875" style="1192" customWidth="1"/>
    <col min="12040" max="12042" width="0" style="1192" hidden="1" customWidth="1"/>
    <col min="12043" max="12043" width="19.5703125" style="1192" customWidth="1"/>
    <col min="12044" max="12044" width="21.42578125" style="1192" customWidth="1"/>
    <col min="12045" max="12045" width="37.85546875" style="1192" customWidth="1"/>
    <col min="12046" max="12049" width="0" style="1192" hidden="1" customWidth="1"/>
    <col min="12050" max="12050" width="35.85546875" style="1192" customWidth="1"/>
    <col min="12051" max="12051" width="24.7109375" style="1192" customWidth="1"/>
    <col min="12052" max="12052" width="9.28515625" style="1192" customWidth="1"/>
    <col min="12053" max="12053" width="16.140625" style="1192" customWidth="1"/>
    <col min="12054" max="12054" width="18.28515625" style="1192" customWidth="1"/>
    <col min="12055" max="12055" width="15.5703125" style="1192" customWidth="1"/>
    <col min="12056" max="12056" width="14.7109375" style="1192" customWidth="1"/>
    <col min="12057" max="12057" width="12.140625" style="1192" customWidth="1"/>
    <col min="12058" max="12058" width="13.5703125" style="1192" customWidth="1"/>
    <col min="12059" max="12059" width="19.42578125" style="1192" customWidth="1"/>
    <col min="12060" max="12060" width="8.85546875" style="1192" customWidth="1"/>
    <col min="12061" max="12061" width="13.5703125" style="1192" customWidth="1"/>
    <col min="12062" max="12289" width="8.85546875" style="1192"/>
    <col min="12290" max="12290" width="5.7109375" style="1192" customWidth="1"/>
    <col min="12291" max="12291" width="66.7109375" style="1192" customWidth="1"/>
    <col min="12292" max="12294" width="0" style="1192" hidden="1" customWidth="1"/>
    <col min="12295" max="12295" width="21.85546875" style="1192" customWidth="1"/>
    <col min="12296" max="12298" width="0" style="1192" hidden="1" customWidth="1"/>
    <col min="12299" max="12299" width="19.5703125" style="1192" customWidth="1"/>
    <col min="12300" max="12300" width="21.42578125" style="1192" customWidth="1"/>
    <col min="12301" max="12301" width="37.85546875" style="1192" customWidth="1"/>
    <col min="12302" max="12305" width="0" style="1192" hidden="1" customWidth="1"/>
    <col min="12306" max="12306" width="35.85546875" style="1192" customWidth="1"/>
    <col min="12307" max="12307" width="24.7109375" style="1192" customWidth="1"/>
    <col min="12308" max="12308" width="9.28515625" style="1192" customWidth="1"/>
    <col min="12309" max="12309" width="16.140625" style="1192" customWidth="1"/>
    <col min="12310" max="12310" width="18.28515625" style="1192" customWidth="1"/>
    <col min="12311" max="12311" width="15.5703125" style="1192" customWidth="1"/>
    <col min="12312" max="12312" width="14.7109375" style="1192" customWidth="1"/>
    <col min="12313" max="12313" width="12.140625" style="1192" customWidth="1"/>
    <col min="12314" max="12314" width="13.5703125" style="1192" customWidth="1"/>
    <col min="12315" max="12315" width="19.42578125" style="1192" customWidth="1"/>
    <col min="12316" max="12316" width="8.85546875" style="1192" customWidth="1"/>
    <col min="12317" max="12317" width="13.5703125" style="1192" customWidth="1"/>
    <col min="12318" max="12545" width="8.85546875" style="1192"/>
    <col min="12546" max="12546" width="5.7109375" style="1192" customWidth="1"/>
    <col min="12547" max="12547" width="66.7109375" style="1192" customWidth="1"/>
    <col min="12548" max="12550" width="0" style="1192" hidden="1" customWidth="1"/>
    <col min="12551" max="12551" width="21.85546875" style="1192" customWidth="1"/>
    <col min="12552" max="12554" width="0" style="1192" hidden="1" customWidth="1"/>
    <col min="12555" max="12555" width="19.5703125" style="1192" customWidth="1"/>
    <col min="12556" max="12556" width="21.42578125" style="1192" customWidth="1"/>
    <col min="12557" max="12557" width="37.85546875" style="1192" customWidth="1"/>
    <col min="12558" max="12561" width="0" style="1192" hidden="1" customWidth="1"/>
    <col min="12562" max="12562" width="35.85546875" style="1192" customWidth="1"/>
    <col min="12563" max="12563" width="24.7109375" style="1192" customWidth="1"/>
    <col min="12564" max="12564" width="9.28515625" style="1192" customWidth="1"/>
    <col min="12565" max="12565" width="16.140625" style="1192" customWidth="1"/>
    <col min="12566" max="12566" width="18.28515625" style="1192" customWidth="1"/>
    <col min="12567" max="12567" width="15.5703125" style="1192" customWidth="1"/>
    <col min="12568" max="12568" width="14.7109375" style="1192" customWidth="1"/>
    <col min="12569" max="12569" width="12.140625" style="1192" customWidth="1"/>
    <col min="12570" max="12570" width="13.5703125" style="1192" customWidth="1"/>
    <col min="12571" max="12571" width="19.42578125" style="1192" customWidth="1"/>
    <col min="12572" max="12572" width="8.85546875" style="1192" customWidth="1"/>
    <col min="12573" max="12573" width="13.5703125" style="1192" customWidth="1"/>
    <col min="12574" max="12801" width="8.85546875" style="1192"/>
    <col min="12802" max="12802" width="5.7109375" style="1192" customWidth="1"/>
    <col min="12803" max="12803" width="66.7109375" style="1192" customWidth="1"/>
    <col min="12804" max="12806" width="0" style="1192" hidden="1" customWidth="1"/>
    <col min="12807" max="12807" width="21.85546875" style="1192" customWidth="1"/>
    <col min="12808" max="12810" width="0" style="1192" hidden="1" customWidth="1"/>
    <col min="12811" max="12811" width="19.5703125" style="1192" customWidth="1"/>
    <col min="12812" max="12812" width="21.42578125" style="1192" customWidth="1"/>
    <col min="12813" max="12813" width="37.85546875" style="1192" customWidth="1"/>
    <col min="12814" max="12817" width="0" style="1192" hidden="1" customWidth="1"/>
    <col min="12818" max="12818" width="35.85546875" style="1192" customWidth="1"/>
    <col min="12819" max="12819" width="24.7109375" style="1192" customWidth="1"/>
    <col min="12820" max="12820" width="9.28515625" style="1192" customWidth="1"/>
    <col min="12821" max="12821" width="16.140625" style="1192" customWidth="1"/>
    <col min="12822" max="12822" width="18.28515625" style="1192" customWidth="1"/>
    <col min="12823" max="12823" width="15.5703125" style="1192" customWidth="1"/>
    <col min="12824" max="12824" width="14.7109375" style="1192" customWidth="1"/>
    <col min="12825" max="12825" width="12.140625" style="1192" customWidth="1"/>
    <col min="12826" max="12826" width="13.5703125" style="1192" customWidth="1"/>
    <col min="12827" max="12827" width="19.42578125" style="1192" customWidth="1"/>
    <col min="12828" max="12828" width="8.85546875" style="1192" customWidth="1"/>
    <col min="12829" max="12829" width="13.5703125" style="1192" customWidth="1"/>
    <col min="12830" max="13057" width="8.85546875" style="1192"/>
    <col min="13058" max="13058" width="5.7109375" style="1192" customWidth="1"/>
    <col min="13059" max="13059" width="66.7109375" style="1192" customWidth="1"/>
    <col min="13060" max="13062" width="0" style="1192" hidden="1" customWidth="1"/>
    <col min="13063" max="13063" width="21.85546875" style="1192" customWidth="1"/>
    <col min="13064" max="13066" width="0" style="1192" hidden="1" customWidth="1"/>
    <col min="13067" max="13067" width="19.5703125" style="1192" customWidth="1"/>
    <col min="13068" max="13068" width="21.42578125" style="1192" customWidth="1"/>
    <col min="13069" max="13069" width="37.85546875" style="1192" customWidth="1"/>
    <col min="13070" max="13073" width="0" style="1192" hidden="1" customWidth="1"/>
    <col min="13074" max="13074" width="35.85546875" style="1192" customWidth="1"/>
    <col min="13075" max="13075" width="24.7109375" style="1192" customWidth="1"/>
    <col min="13076" max="13076" width="9.28515625" style="1192" customWidth="1"/>
    <col min="13077" max="13077" width="16.140625" style="1192" customWidth="1"/>
    <col min="13078" max="13078" width="18.28515625" style="1192" customWidth="1"/>
    <col min="13079" max="13079" width="15.5703125" style="1192" customWidth="1"/>
    <col min="13080" max="13080" width="14.7109375" style="1192" customWidth="1"/>
    <col min="13081" max="13081" width="12.140625" style="1192" customWidth="1"/>
    <col min="13082" max="13082" width="13.5703125" style="1192" customWidth="1"/>
    <col min="13083" max="13083" width="19.42578125" style="1192" customWidth="1"/>
    <col min="13084" max="13084" width="8.85546875" style="1192" customWidth="1"/>
    <col min="13085" max="13085" width="13.5703125" style="1192" customWidth="1"/>
    <col min="13086" max="13313" width="8.85546875" style="1192"/>
    <col min="13314" max="13314" width="5.7109375" style="1192" customWidth="1"/>
    <col min="13315" max="13315" width="66.7109375" style="1192" customWidth="1"/>
    <col min="13316" max="13318" width="0" style="1192" hidden="1" customWidth="1"/>
    <col min="13319" max="13319" width="21.85546875" style="1192" customWidth="1"/>
    <col min="13320" max="13322" width="0" style="1192" hidden="1" customWidth="1"/>
    <col min="13323" max="13323" width="19.5703125" style="1192" customWidth="1"/>
    <col min="13324" max="13324" width="21.42578125" style="1192" customWidth="1"/>
    <col min="13325" max="13325" width="37.85546875" style="1192" customWidth="1"/>
    <col min="13326" max="13329" width="0" style="1192" hidden="1" customWidth="1"/>
    <col min="13330" max="13330" width="35.85546875" style="1192" customWidth="1"/>
    <col min="13331" max="13331" width="24.7109375" style="1192" customWidth="1"/>
    <col min="13332" max="13332" width="9.28515625" style="1192" customWidth="1"/>
    <col min="13333" max="13333" width="16.140625" style="1192" customWidth="1"/>
    <col min="13334" max="13334" width="18.28515625" style="1192" customWidth="1"/>
    <col min="13335" max="13335" width="15.5703125" style="1192" customWidth="1"/>
    <col min="13336" max="13336" width="14.7109375" style="1192" customWidth="1"/>
    <col min="13337" max="13337" width="12.140625" style="1192" customWidth="1"/>
    <col min="13338" max="13338" width="13.5703125" style="1192" customWidth="1"/>
    <col min="13339" max="13339" width="19.42578125" style="1192" customWidth="1"/>
    <col min="13340" max="13340" width="8.85546875" style="1192" customWidth="1"/>
    <col min="13341" max="13341" width="13.5703125" style="1192" customWidth="1"/>
    <col min="13342" max="13569" width="8.85546875" style="1192"/>
    <col min="13570" max="13570" width="5.7109375" style="1192" customWidth="1"/>
    <col min="13571" max="13571" width="66.7109375" style="1192" customWidth="1"/>
    <col min="13572" max="13574" width="0" style="1192" hidden="1" customWidth="1"/>
    <col min="13575" max="13575" width="21.85546875" style="1192" customWidth="1"/>
    <col min="13576" max="13578" width="0" style="1192" hidden="1" customWidth="1"/>
    <col min="13579" max="13579" width="19.5703125" style="1192" customWidth="1"/>
    <col min="13580" max="13580" width="21.42578125" style="1192" customWidth="1"/>
    <col min="13581" max="13581" width="37.85546875" style="1192" customWidth="1"/>
    <col min="13582" max="13585" width="0" style="1192" hidden="1" customWidth="1"/>
    <col min="13586" max="13586" width="35.85546875" style="1192" customWidth="1"/>
    <col min="13587" max="13587" width="24.7109375" style="1192" customWidth="1"/>
    <col min="13588" max="13588" width="9.28515625" style="1192" customWidth="1"/>
    <col min="13589" max="13589" width="16.140625" style="1192" customWidth="1"/>
    <col min="13590" max="13590" width="18.28515625" style="1192" customWidth="1"/>
    <col min="13591" max="13591" width="15.5703125" style="1192" customWidth="1"/>
    <col min="13592" max="13592" width="14.7109375" style="1192" customWidth="1"/>
    <col min="13593" max="13593" width="12.140625" style="1192" customWidth="1"/>
    <col min="13594" max="13594" width="13.5703125" style="1192" customWidth="1"/>
    <col min="13595" max="13595" width="19.42578125" style="1192" customWidth="1"/>
    <col min="13596" max="13596" width="8.85546875" style="1192" customWidth="1"/>
    <col min="13597" max="13597" width="13.5703125" style="1192" customWidth="1"/>
    <col min="13598" max="13825" width="8.85546875" style="1192"/>
    <col min="13826" max="13826" width="5.7109375" style="1192" customWidth="1"/>
    <col min="13827" max="13827" width="66.7109375" style="1192" customWidth="1"/>
    <col min="13828" max="13830" width="0" style="1192" hidden="1" customWidth="1"/>
    <col min="13831" max="13831" width="21.85546875" style="1192" customWidth="1"/>
    <col min="13832" max="13834" width="0" style="1192" hidden="1" customWidth="1"/>
    <col min="13835" max="13835" width="19.5703125" style="1192" customWidth="1"/>
    <col min="13836" max="13836" width="21.42578125" style="1192" customWidth="1"/>
    <col min="13837" max="13837" width="37.85546875" style="1192" customWidth="1"/>
    <col min="13838" max="13841" width="0" style="1192" hidden="1" customWidth="1"/>
    <col min="13842" max="13842" width="35.85546875" style="1192" customWidth="1"/>
    <col min="13843" max="13843" width="24.7109375" style="1192" customWidth="1"/>
    <col min="13844" max="13844" width="9.28515625" style="1192" customWidth="1"/>
    <col min="13845" max="13845" width="16.140625" style="1192" customWidth="1"/>
    <col min="13846" max="13846" width="18.28515625" style="1192" customWidth="1"/>
    <col min="13847" max="13847" width="15.5703125" style="1192" customWidth="1"/>
    <col min="13848" max="13848" width="14.7109375" style="1192" customWidth="1"/>
    <col min="13849" max="13849" width="12.140625" style="1192" customWidth="1"/>
    <col min="13850" max="13850" width="13.5703125" style="1192" customWidth="1"/>
    <col min="13851" max="13851" width="19.42578125" style="1192" customWidth="1"/>
    <col min="13852" max="13852" width="8.85546875" style="1192" customWidth="1"/>
    <col min="13853" max="13853" width="13.5703125" style="1192" customWidth="1"/>
    <col min="13854" max="14081" width="8.85546875" style="1192"/>
    <col min="14082" max="14082" width="5.7109375" style="1192" customWidth="1"/>
    <col min="14083" max="14083" width="66.7109375" style="1192" customWidth="1"/>
    <col min="14084" max="14086" width="0" style="1192" hidden="1" customWidth="1"/>
    <col min="14087" max="14087" width="21.85546875" style="1192" customWidth="1"/>
    <col min="14088" max="14090" width="0" style="1192" hidden="1" customWidth="1"/>
    <col min="14091" max="14091" width="19.5703125" style="1192" customWidth="1"/>
    <col min="14092" max="14092" width="21.42578125" style="1192" customWidth="1"/>
    <col min="14093" max="14093" width="37.85546875" style="1192" customWidth="1"/>
    <col min="14094" max="14097" width="0" style="1192" hidden="1" customWidth="1"/>
    <col min="14098" max="14098" width="35.85546875" style="1192" customWidth="1"/>
    <col min="14099" max="14099" width="24.7109375" style="1192" customWidth="1"/>
    <col min="14100" max="14100" width="9.28515625" style="1192" customWidth="1"/>
    <col min="14101" max="14101" width="16.140625" style="1192" customWidth="1"/>
    <col min="14102" max="14102" width="18.28515625" style="1192" customWidth="1"/>
    <col min="14103" max="14103" width="15.5703125" style="1192" customWidth="1"/>
    <col min="14104" max="14104" width="14.7109375" style="1192" customWidth="1"/>
    <col min="14105" max="14105" width="12.140625" style="1192" customWidth="1"/>
    <col min="14106" max="14106" width="13.5703125" style="1192" customWidth="1"/>
    <col min="14107" max="14107" width="19.42578125" style="1192" customWidth="1"/>
    <col min="14108" max="14108" width="8.85546875" style="1192" customWidth="1"/>
    <col min="14109" max="14109" width="13.5703125" style="1192" customWidth="1"/>
    <col min="14110" max="14337" width="8.85546875" style="1192"/>
    <col min="14338" max="14338" width="5.7109375" style="1192" customWidth="1"/>
    <col min="14339" max="14339" width="66.7109375" style="1192" customWidth="1"/>
    <col min="14340" max="14342" width="0" style="1192" hidden="1" customWidth="1"/>
    <col min="14343" max="14343" width="21.85546875" style="1192" customWidth="1"/>
    <col min="14344" max="14346" width="0" style="1192" hidden="1" customWidth="1"/>
    <col min="14347" max="14347" width="19.5703125" style="1192" customWidth="1"/>
    <col min="14348" max="14348" width="21.42578125" style="1192" customWidth="1"/>
    <col min="14349" max="14349" width="37.85546875" style="1192" customWidth="1"/>
    <col min="14350" max="14353" width="0" style="1192" hidden="1" customWidth="1"/>
    <col min="14354" max="14354" width="35.85546875" style="1192" customWidth="1"/>
    <col min="14355" max="14355" width="24.7109375" style="1192" customWidth="1"/>
    <col min="14356" max="14356" width="9.28515625" style="1192" customWidth="1"/>
    <col min="14357" max="14357" width="16.140625" style="1192" customWidth="1"/>
    <col min="14358" max="14358" width="18.28515625" style="1192" customWidth="1"/>
    <col min="14359" max="14359" width="15.5703125" style="1192" customWidth="1"/>
    <col min="14360" max="14360" width="14.7109375" style="1192" customWidth="1"/>
    <col min="14361" max="14361" width="12.140625" style="1192" customWidth="1"/>
    <col min="14362" max="14362" width="13.5703125" style="1192" customWidth="1"/>
    <col min="14363" max="14363" width="19.42578125" style="1192" customWidth="1"/>
    <col min="14364" max="14364" width="8.85546875" style="1192" customWidth="1"/>
    <col min="14365" max="14365" width="13.5703125" style="1192" customWidth="1"/>
    <col min="14366" max="14593" width="8.85546875" style="1192"/>
    <col min="14594" max="14594" width="5.7109375" style="1192" customWidth="1"/>
    <col min="14595" max="14595" width="66.7109375" style="1192" customWidth="1"/>
    <col min="14596" max="14598" width="0" style="1192" hidden="1" customWidth="1"/>
    <col min="14599" max="14599" width="21.85546875" style="1192" customWidth="1"/>
    <col min="14600" max="14602" width="0" style="1192" hidden="1" customWidth="1"/>
    <col min="14603" max="14603" width="19.5703125" style="1192" customWidth="1"/>
    <col min="14604" max="14604" width="21.42578125" style="1192" customWidth="1"/>
    <col min="14605" max="14605" width="37.85546875" style="1192" customWidth="1"/>
    <col min="14606" max="14609" width="0" style="1192" hidden="1" customWidth="1"/>
    <col min="14610" max="14610" width="35.85546875" style="1192" customWidth="1"/>
    <col min="14611" max="14611" width="24.7109375" style="1192" customWidth="1"/>
    <col min="14612" max="14612" width="9.28515625" style="1192" customWidth="1"/>
    <col min="14613" max="14613" width="16.140625" style="1192" customWidth="1"/>
    <col min="14614" max="14614" width="18.28515625" style="1192" customWidth="1"/>
    <col min="14615" max="14615" width="15.5703125" style="1192" customWidth="1"/>
    <col min="14616" max="14616" width="14.7109375" style="1192" customWidth="1"/>
    <col min="14617" max="14617" width="12.140625" style="1192" customWidth="1"/>
    <col min="14618" max="14618" width="13.5703125" style="1192" customWidth="1"/>
    <col min="14619" max="14619" width="19.42578125" style="1192" customWidth="1"/>
    <col min="14620" max="14620" width="8.85546875" style="1192" customWidth="1"/>
    <col min="14621" max="14621" width="13.5703125" style="1192" customWidth="1"/>
    <col min="14622" max="14849" width="8.85546875" style="1192"/>
    <col min="14850" max="14850" width="5.7109375" style="1192" customWidth="1"/>
    <col min="14851" max="14851" width="66.7109375" style="1192" customWidth="1"/>
    <col min="14852" max="14854" width="0" style="1192" hidden="1" customWidth="1"/>
    <col min="14855" max="14855" width="21.85546875" style="1192" customWidth="1"/>
    <col min="14856" max="14858" width="0" style="1192" hidden="1" customWidth="1"/>
    <col min="14859" max="14859" width="19.5703125" style="1192" customWidth="1"/>
    <col min="14860" max="14860" width="21.42578125" style="1192" customWidth="1"/>
    <col min="14861" max="14861" width="37.85546875" style="1192" customWidth="1"/>
    <col min="14862" max="14865" width="0" style="1192" hidden="1" customWidth="1"/>
    <col min="14866" max="14866" width="35.85546875" style="1192" customWidth="1"/>
    <col min="14867" max="14867" width="24.7109375" style="1192" customWidth="1"/>
    <col min="14868" max="14868" width="9.28515625" style="1192" customWidth="1"/>
    <col min="14869" max="14869" width="16.140625" style="1192" customWidth="1"/>
    <col min="14870" max="14870" width="18.28515625" style="1192" customWidth="1"/>
    <col min="14871" max="14871" width="15.5703125" style="1192" customWidth="1"/>
    <col min="14872" max="14872" width="14.7109375" style="1192" customWidth="1"/>
    <col min="14873" max="14873" width="12.140625" style="1192" customWidth="1"/>
    <col min="14874" max="14874" width="13.5703125" style="1192" customWidth="1"/>
    <col min="14875" max="14875" width="19.42578125" style="1192" customWidth="1"/>
    <col min="14876" max="14876" width="8.85546875" style="1192" customWidth="1"/>
    <col min="14877" max="14877" width="13.5703125" style="1192" customWidth="1"/>
    <col min="14878" max="15105" width="8.85546875" style="1192"/>
    <col min="15106" max="15106" width="5.7109375" style="1192" customWidth="1"/>
    <col min="15107" max="15107" width="66.7109375" style="1192" customWidth="1"/>
    <col min="15108" max="15110" width="0" style="1192" hidden="1" customWidth="1"/>
    <col min="15111" max="15111" width="21.85546875" style="1192" customWidth="1"/>
    <col min="15112" max="15114" width="0" style="1192" hidden="1" customWidth="1"/>
    <col min="15115" max="15115" width="19.5703125" style="1192" customWidth="1"/>
    <col min="15116" max="15116" width="21.42578125" style="1192" customWidth="1"/>
    <col min="15117" max="15117" width="37.85546875" style="1192" customWidth="1"/>
    <col min="15118" max="15121" width="0" style="1192" hidden="1" customWidth="1"/>
    <col min="15122" max="15122" width="35.85546875" style="1192" customWidth="1"/>
    <col min="15123" max="15123" width="24.7109375" style="1192" customWidth="1"/>
    <col min="15124" max="15124" width="9.28515625" style="1192" customWidth="1"/>
    <col min="15125" max="15125" width="16.140625" style="1192" customWidth="1"/>
    <col min="15126" max="15126" width="18.28515625" style="1192" customWidth="1"/>
    <col min="15127" max="15127" width="15.5703125" style="1192" customWidth="1"/>
    <col min="15128" max="15128" width="14.7109375" style="1192" customWidth="1"/>
    <col min="15129" max="15129" width="12.140625" style="1192" customWidth="1"/>
    <col min="15130" max="15130" width="13.5703125" style="1192" customWidth="1"/>
    <col min="15131" max="15131" width="19.42578125" style="1192" customWidth="1"/>
    <col min="15132" max="15132" width="8.85546875" style="1192" customWidth="1"/>
    <col min="15133" max="15133" width="13.5703125" style="1192" customWidth="1"/>
    <col min="15134" max="15361" width="8.85546875" style="1192"/>
    <col min="15362" max="15362" width="5.7109375" style="1192" customWidth="1"/>
    <col min="15363" max="15363" width="66.7109375" style="1192" customWidth="1"/>
    <col min="15364" max="15366" width="0" style="1192" hidden="1" customWidth="1"/>
    <col min="15367" max="15367" width="21.85546875" style="1192" customWidth="1"/>
    <col min="15368" max="15370" width="0" style="1192" hidden="1" customWidth="1"/>
    <col min="15371" max="15371" width="19.5703125" style="1192" customWidth="1"/>
    <col min="15372" max="15372" width="21.42578125" style="1192" customWidth="1"/>
    <col min="15373" max="15373" width="37.85546875" style="1192" customWidth="1"/>
    <col min="15374" max="15377" width="0" style="1192" hidden="1" customWidth="1"/>
    <col min="15378" max="15378" width="35.85546875" style="1192" customWidth="1"/>
    <col min="15379" max="15379" width="24.7109375" style="1192" customWidth="1"/>
    <col min="15380" max="15380" width="9.28515625" style="1192" customWidth="1"/>
    <col min="15381" max="15381" width="16.140625" style="1192" customWidth="1"/>
    <col min="15382" max="15382" width="18.28515625" style="1192" customWidth="1"/>
    <col min="15383" max="15383" width="15.5703125" style="1192" customWidth="1"/>
    <col min="15384" max="15384" width="14.7109375" style="1192" customWidth="1"/>
    <col min="15385" max="15385" width="12.140625" style="1192" customWidth="1"/>
    <col min="15386" max="15386" width="13.5703125" style="1192" customWidth="1"/>
    <col min="15387" max="15387" width="19.42578125" style="1192" customWidth="1"/>
    <col min="15388" max="15388" width="8.85546875" style="1192" customWidth="1"/>
    <col min="15389" max="15389" width="13.5703125" style="1192" customWidth="1"/>
    <col min="15390" max="15617" width="8.85546875" style="1192"/>
    <col min="15618" max="15618" width="5.7109375" style="1192" customWidth="1"/>
    <col min="15619" max="15619" width="66.7109375" style="1192" customWidth="1"/>
    <col min="15620" max="15622" width="0" style="1192" hidden="1" customWidth="1"/>
    <col min="15623" max="15623" width="21.85546875" style="1192" customWidth="1"/>
    <col min="15624" max="15626" width="0" style="1192" hidden="1" customWidth="1"/>
    <col min="15627" max="15627" width="19.5703125" style="1192" customWidth="1"/>
    <col min="15628" max="15628" width="21.42578125" style="1192" customWidth="1"/>
    <col min="15629" max="15629" width="37.85546875" style="1192" customWidth="1"/>
    <col min="15630" max="15633" width="0" style="1192" hidden="1" customWidth="1"/>
    <col min="15634" max="15634" width="35.85546875" style="1192" customWidth="1"/>
    <col min="15635" max="15635" width="24.7109375" style="1192" customWidth="1"/>
    <col min="15636" max="15636" width="9.28515625" style="1192" customWidth="1"/>
    <col min="15637" max="15637" width="16.140625" style="1192" customWidth="1"/>
    <col min="15638" max="15638" width="18.28515625" style="1192" customWidth="1"/>
    <col min="15639" max="15639" width="15.5703125" style="1192" customWidth="1"/>
    <col min="15640" max="15640" width="14.7109375" style="1192" customWidth="1"/>
    <col min="15641" max="15641" width="12.140625" style="1192" customWidth="1"/>
    <col min="15642" max="15642" width="13.5703125" style="1192" customWidth="1"/>
    <col min="15643" max="15643" width="19.42578125" style="1192" customWidth="1"/>
    <col min="15644" max="15644" width="8.85546875" style="1192" customWidth="1"/>
    <col min="15645" max="15645" width="13.5703125" style="1192" customWidth="1"/>
    <col min="15646" max="15873" width="8.85546875" style="1192"/>
    <col min="15874" max="15874" width="5.7109375" style="1192" customWidth="1"/>
    <col min="15875" max="15875" width="66.7109375" style="1192" customWidth="1"/>
    <col min="15876" max="15878" width="0" style="1192" hidden="1" customWidth="1"/>
    <col min="15879" max="15879" width="21.85546875" style="1192" customWidth="1"/>
    <col min="15880" max="15882" width="0" style="1192" hidden="1" customWidth="1"/>
    <col min="15883" max="15883" width="19.5703125" style="1192" customWidth="1"/>
    <col min="15884" max="15884" width="21.42578125" style="1192" customWidth="1"/>
    <col min="15885" max="15885" width="37.85546875" style="1192" customWidth="1"/>
    <col min="15886" max="15889" width="0" style="1192" hidden="1" customWidth="1"/>
    <col min="15890" max="15890" width="35.85546875" style="1192" customWidth="1"/>
    <col min="15891" max="15891" width="24.7109375" style="1192" customWidth="1"/>
    <col min="15892" max="15892" width="9.28515625" style="1192" customWidth="1"/>
    <col min="15893" max="15893" width="16.140625" style="1192" customWidth="1"/>
    <col min="15894" max="15894" width="18.28515625" style="1192" customWidth="1"/>
    <col min="15895" max="15895" width="15.5703125" style="1192" customWidth="1"/>
    <col min="15896" max="15896" width="14.7109375" style="1192" customWidth="1"/>
    <col min="15897" max="15897" width="12.140625" style="1192" customWidth="1"/>
    <col min="15898" max="15898" width="13.5703125" style="1192" customWidth="1"/>
    <col min="15899" max="15899" width="19.42578125" style="1192" customWidth="1"/>
    <col min="15900" max="15900" width="8.85546875" style="1192" customWidth="1"/>
    <col min="15901" max="15901" width="13.5703125" style="1192" customWidth="1"/>
    <col min="15902" max="16129" width="8.85546875" style="1192"/>
    <col min="16130" max="16130" width="5.7109375" style="1192" customWidth="1"/>
    <col min="16131" max="16131" width="66.7109375" style="1192" customWidth="1"/>
    <col min="16132" max="16134" width="0" style="1192" hidden="1" customWidth="1"/>
    <col min="16135" max="16135" width="21.85546875" style="1192" customWidth="1"/>
    <col min="16136" max="16138" width="0" style="1192" hidden="1" customWidth="1"/>
    <col min="16139" max="16139" width="19.5703125" style="1192" customWidth="1"/>
    <col min="16140" max="16140" width="21.42578125" style="1192" customWidth="1"/>
    <col min="16141" max="16141" width="37.85546875" style="1192" customWidth="1"/>
    <col min="16142" max="16145" width="0" style="1192" hidden="1" customWidth="1"/>
    <col min="16146" max="16146" width="35.85546875" style="1192" customWidth="1"/>
    <col min="16147" max="16147" width="24.7109375" style="1192" customWidth="1"/>
    <col min="16148" max="16148" width="9.28515625" style="1192" customWidth="1"/>
    <col min="16149" max="16149" width="16.140625" style="1192" customWidth="1"/>
    <col min="16150" max="16150" width="18.28515625" style="1192" customWidth="1"/>
    <col min="16151" max="16151" width="15.5703125" style="1192" customWidth="1"/>
    <col min="16152" max="16152" width="14.7109375" style="1192" customWidth="1"/>
    <col min="16153" max="16153" width="12.140625" style="1192" customWidth="1"/>
    <col min="16154" max="16154" width="13.5703125" style="1192" customWidth="1"/>
    <col min="16155" max="16155" width="19.42578125" style="1192" customWidth="1"/>
    <col min="16156" max="16156" width="8.85546875" style="1192" customWidth="1"/>
    <col min="16157" max="16157" width="13.5703125" style="1192" customWidth="1"/>
    <col min="16158" max="16384" width="8.85546875" style="1192"/>
  </cols>
  <sheetData>
    <row r="1" spans="1:29" s="582" customFormat="1" ht="22.5">
      <c r="A1" s="1778" t="s">
        <v>1366</v>
      </c>
      <c r="B1" s="1778"/>
      <c r="C1" s="1778"/>
      <c r="D1" s="1778"/>
      <c r="E1" s="1778"/>
      <c r="F1" s="1778"/>
      <c r="G1" s="1778"/>
      <c r="H1" s="1778"/>
      <c r="I1" s="1778"/>
      <c r="J1" s="1778"/>
      <c r="K1" s="1778"/>
      <c r="L1" s="1778"/>
      <c r="M1" s="1778"/>
      <c r="N1" s="576"/>
      <c r="O1" s="576"/>
      <c r="P1" s="576"/>
      <c r="Q1" s="576"/>
      <c r="R1" s="577" t="s">
        <v>772</v>
      </c>
      <c r="S1" s="578">
        <f>S4-L4/1000000</f>
        <v>-160237.10000000009</v>
      </c>
      <c r="T1" s="579">
        <f>S1/0.3</f>
        <v>-534123.66666666698</v>
      </c>
      <c r="U1" s="580"/>
      <c r="V1" s="581"/>
      <c r="W1" s="581">
        <f>S4-L4/1000000</f>
        <v>-160237.10000000009</v>
      </c>
      <c r="X1" s="578"/>
    </row>
    <row r="2" spans="1:29" s="582" customFormat="1">
      <c r="A2" s="583"/>
      <c r="B2" s="584"/>
      <c r="C2" s="583"/>
      <c r="D2" s="583"/>
      <c r="E2" s="585"/>
      <c r="F2" s="585"/>
      <c r="G2" s="585"/>
      <c r="H2" s="585"/>
      <c r="I2" s="585"/>
      <c r="J2" s="585"/>
      <c r="K2" s="585"/>
      <c r="L2" s="1300"/>
      <c r="M2" s="585"/>
      <c r="N2" s="585"/>
      <c r="O2" s="585"/>
      <c r="P2" s="585"/>
      <c r="Q2" s="585"/>
      <c r="R2" s="586" t="s">
        <v>773</v>
      </c>
      <c r="S2" s="587">
        <f>S4-S3</f>
        <v>112305</v>
      </c>
      <c r="T2" s="584" t="s">
        <v>774</v>
      </c>
      <c r="U2" s="588">
        <f>K4-28205000000</f>
        <v>1504874000000</v>
      </c>
      <c r="V2" s="581"/>
      <c r="W2" s="581"/>
      <c r="X2" s="578"/>
    </row>
    <row r="3" spans="1:29" s="599" customFormat="1" ht="47.25">
      <c r="A3" s="589" t="s">
        <v>162</v>
      </c>
      <c r="B3" s="590" t="s">
        <v>163</v>
      </c>
      <c r="C3" s="589" t="s">
        <v>775</v>
      </c>
      <c r="D3" s="589" t="s">
        <v>776</v>
      </c>
      <c r="E3" s="591" t="s">
        <v>777</v>
      </c>
      <c r="F3" s="592" t="s">
        <v>778</v>
      </c>
      <c r="G3" s="591" t="s">
        <v>19</v>
      </c>
      <c r="H3" s="591"/>
      <c r="I3" s="591"/>
      <c r="J3" s="592" t="s">
        <v>779</v>
      </c>
      <c r="K3" s="592" t="s">
        <v>1367</v>
      </c>
      <c r="L3" s="1301" t="s">
        <v>1368</v>
      </c>
      <c r="M3" s="592" t="s">
        <v>165</v>
      </c>
      <c r="N3" s="593">
        <f>N37+N282+N322+N347+N471+N493+N1135+N1175</f>
        <v>43374106446.499969</v>
      </c>
      <c r="O3" s="593">
        <f>M4+O4</f>
        <v>1713316000000</v>
      </c>
      <c r="P3" s="593"/>
      <c r="Q3" s="593"/>
      <c r="R3" s="594" t="s">
        <v>780</v>
      </c>
      <c r="S3" s="595">
        <f>S5+S6+S8+S16</f>
        <v>1420773.9</v>
      </c>
      <c r="T3" s="584" t="s">
        <v>774</v>
      </c>
      <c r="U3" s="596">
        <f>U2*2%</f>
        <v>30097480000</v>
      </c>
      <c r="V3" s="597"/>
      <c r="W3" s="597"/>
      <c r="X3" s="598"/>
      <c r="Z3" s="600" t="s">
        <v>781</v>
      </c>
      <c r="AA3" s="601">
        <f>K57+K112+K114+K121+K174+K217+K278+K318+K343+K377+K400+K463+K467+K511+K567+K596+K628+K654+K695+K728+K750+K787+K803+K897+K914+K927+K937+K974+K1012+K1037+K1066+K1090+K1132+K1162+K1169+K1173+K71*10%</f>
        <v>14420526111.111111</v>
      </c>
    </row>
    <row r="4" spans="1:29" s="606" customFormat="1" ht="31.5">
      <c r="A4" s="602"/>
      <c r="B4" s="590" t="s">
        <v>782</v>
      </c>
      <c r="C4" s="602"/>
      <c r="D4" s="602"/>
      <c r="E4" s="603"/>
      <c r="F4" s="603">
        <f t="shared" ref="F4:L4" si="0">F5+F1192-F1188+F1191</f>
        <v>1504487000000</v>
      </c>
      <c r="G4" s="603" t="e">
        <f t="shared" si="0"/>
        <v>#VALUE!</v>
      </c>
      <c r="H4" s="603">
        <f t="shared" si="0"/>
        <v>8232000018</v>
      </c>
      <c r="I4" s="603">
        <f t="shared" si="0"/>
        <v>8259000000</v>
      </c>
      <c r="J4" s="603">
        <f t="shared" si="0"/>
        <v>1527600839939</v>
      </c>
      <c r="K4" s="603">
        <f t="shared" si="0"/>
        <v>1533079000000</v>
      </c>
      <c r="L4" s="1302">
        <f t="shared" si="0"/>
        <v>1693316000000</v>
      </c>
      <c r="M4" s="603">
        <v>1693316000000</v>
      </c>
      <c r="N4" s="596">
        <f>L4-M4</f>
        <v>0</v>
      </c>
      <c r="O4" s="596">
        <v>20000000000</v>
      </c>
      <c r="P4" s="596"/>
      <c r="Q4" s="596"/>
      <c r="R4" s="594" t="s">
        <v>783</v>
      </c>
      <c r="S4" s="595">
        <f>S5+S6+S8+S9+S15+S16+S19+S12+S13+S14+S17+S18+S10</f>
        <v>1533078.9</v>
      </c>
      <c r="T4" s="584" t="s">
        <v>774</v>
      </c>
      <c r="U4" s="604">
        <f>S4-K4/1000000</f>
        <v>-0.10000000009313226</v>
      </c>
      <c r="V4" s="605"/>
      <c r="W4" s="605">
        <f>V3-V4</f>
        <v>0</v>
      </c>
      <c r="X4" s="595"/>
      <c r="Z4" s="607" t="s">
        <v>784</v>
      </c>
      <c r="AA4" s="608">
        <v>3445000000</v>
      </c>
    </row>
    <row r="5" spans="1:29" s="614" customFormat="1" ht="21" customHeight="1">
      <c r="A5" s="602" t="s">
        <v>167</v>
      </c>
      <c r="B5" s="607" t="s">
        <v>168</v>
      </c>
      <c r="C5" s="590"/>
      <c r="D5" s="590"/>
      <c r="E5" s="609"/>
      <c r="F5" s="603">
        <f t="shared" ref="F5:L5" si="1">F6+F34+F1180+F1188+F1177</f>
        <v>1437294000000</v>
      </c>
      <c r="G5" s="603" t="e">
        <f t="shared" si="1"/>
        <v>#VALUE!</v>
      </c>
      <c r="H5" s="603">
        <f t="shared" si="1"/>
        <v>8232000018</v>
      </c>
      <c r="I5" s="603">
        <f t="shared" si="1"/>
        <v>8259000000</v>
      </c>
      <c r="J5" s="603">
        <f t="shared" si="1"/>
        <v>1492600839939</v>
      </c>
      <c r="K5" s="603">
        <f t="shared" si="1"/>
        <v>1492344000000</v>
      </c>
      <c r="L5" s="1302">
        <f t="shared" si="1"/>
        <v>1646228515000</v>
      </c>
      <c r="M5" s="603"/>
      <c r="N5" s="596">
        <f>M4-L4</f>
        <v>0</v>
      </c>
      <c r="O5" s="596">
        <f>O4-N4</f>
        <v>20000000000</v>
      </c>
      <c r="P5" s="596"/>
      <c r="Q5" s="596"/>
      <c r="R5" s="610" t="s">
        <v>785</v>
      </c>
      <c r="S5" s="611">
        <f>'[4]Biểu 01'!C46</f>
        <v>862695.9</v>
      </c>
      <c r="T5" s="584" t="s">
        <v>774</v>
      </c>
      <c r="U5" s="596">
        <f>S4-S3</f>
        <v>112305</v>
      </c>
      <c r="V5" s="612"/>
      <c r="W5" s="613"/>
      <c r="X5" s="611"/>
      <c r="Z5" s="615" t="s">
        <v>786</v>
      </c>
      <c r="AA5" s="616">
        <f>SUM(AA3:AA4)</f>
        <v>17865526111.111111</v>
      </c>
    </row>
    <row r="6" spans="1:29" s="621" customFormat="1" ht="22.5" customHeight="1">
      <c r="A6" s="590" t="s">
        <v>2</v>
      </c>
      <c r="B6" s="607" t="s">
        <v>169</v>
      </c>
      <c r="C6" s="617"/>
      <c r="D6" s="617"/>
      <c r="E6" s="618"/>
      <c r="F6" s="603">
        <f>F8+F9+F15+F16+F17+F18</f>
        <v>457000000000</v>
      </c>
      <c r="G6" s="603">
        <f>G8+G15+G19+G20+G21+G22</f>
        <v>0</v>
      </c>
      <c r="H6" s="603">
        <f>H8+H15+H19+H20+H21+H22</f>
        <v>0</v>
      </c>
      <c r="I6" s="603">
        <f>I8+I15+I19+I20+I21+I22</f>
        <v>0</v>
      </c>
      <c r="J6" s="603">
        <f>J8+J9+J15+J16+J17+J18+J19+J32</f>
        <v>345121000000</v>
      </c>
      <c r="K6" s="603">
        <f>K7+K33</f>
        <v>337180000000</v>
      </c>
      <c r="L6" s="1302">
        <f>L7+L33</f>
        <v>273046000000</v>
      </c>
      <c r="M6" s="603"/>
      <c r="N6" s="596">
        <f>(L6+L34+L1177)*2.5%</f>
        <v>35795981560.800003</v>
      </c>
      <c r="O6" s="596">
        <f>L4-M4</f>
        <v>0</v>
      </c>
      <c r="P6" s="594"/>
      <c r="Q6" s="594"/>
      <c r="R6" s="610" t="s">
        <v>787</v>
      </c>
      <c r="S6" s="611">
        <f>'[4]Biểu 01'!C52</f>
        <v>149992</v>
      </c>
      <c r="T6" s="584" t="s">
        <v>774</v>
      </c>
      <c r="U6" s="596"/>
      <c r="V6" s="619"/>
      <c r="W6" s="619"/>
      <c r="X6" s="620"/>
    </row>
    <row r="7" spans="1:29" s="634" customFormat="1" ht="22.5" customHeight="1">
      <c r="A7" s="590">
        <v>1</v>
      </c>
      <c r="B7" s="607" t="s">
        <v>788</v>
      </c>
      <c r="C7" s="617"/>
      <c r="D7" s="617"/>
      <c r="E7" s="618"/>
      <c r="F7" s="603"/>
      <c r="G7" s="603"/>
      <c r="H7" s="603"/>
      <c r="I7" s="603"/>
      <c r="J7" s="603"/>
      <c r="K7" s="603">
        <f>SUM(K8:K16)</f>
        <v>321630000000</v>
      </c>
      <c r="L7" s="1302">
        <f>SUM(L8:L16)</f>
        <v>259496000000</v>
      </c>
      <c r="M7" s="603">
        <f>K7-L7</f>
        <v>62134000000</v>
      </c>
      <c r="N7" s="596"/>
      <c r="O7" s="596"/>
      <c r="P7" s="628"/>
      <c r="Q7" s="628"/>
      <c r="R7" s="629"/>
      <c r="S7" s="630"/>
      <c r="T7" s="631"/>
      <c r="U7" s="627"/>
      <c r="V7" s="632"/>
      <c r="W7" s="632"/>
      <c r="X7" s="633"/>
    </row>
    <row r="8" spans="1:29" s="614" customFormat="1" ht="30" customHeight="1">
      <c r="A8" s="635" t="s">
        <v>91</v>
      </c>
      <c r="B8" s="607" t="s">
        <v>789</v>
      </c>
      <c r="C8" s="590"/>
      <c r="D8" s="590"/>
      <c r="E8" s="609"/>
      <c r="F8" s="609">
        <f>261000000000-30000000000-70000000000-151881000000</f>
        <v>9119000000</v>
      </c>
      <c r="G8" s="636"/>
      <c r="H8" s="636"/>
      <c r="I8" s="636"/>
      <c r="J8" s="609"/>
      <c r="K8" s="609">
        <v>30000000000</v>
      </c>
      <c r="L8" s="1303">
        <v>0</v>
      </c>
      <c r="M8" s="609"/>
      <c r="N8" s="637"/>
      <c r="O8" s="637"/>
      <c r="P8" s="610"/>
      <c r="Q8" s="610"/>
      <c r="R8" s="610" t="s">
        <v>790</v>
      </c>
      <c r="S8" s="611">
        <f>'[4]Biểu 01'!C50</f>
        <v>347008</v>
      </c>
      <c r="T8" s="584" t="s">
        <v>774</v>
      </c>
      <c r="U8" s="637"/>
      <c r="V8" s="613"/>
      <c r="W8" s="613">
        <f>L4-S4*1000000</f>
        <v>160237100000</v>
      </c>
      <c r="X8" s="613"/>
      <c r="Y8" s="613"/>
      <c r="Z8" s="613"/>
      <c r="AA8" s="613"/>
      <c r="AB8" s="613"/>
      <c r="AC8" s="613"/>
    </row>
    <row r="9" spans="1:29" s="641" customFormat="1" ht="31.5">
      <c r="A9" s="1779" t="s">
        <v>91</v>
      </c>
      <c r="B9" s="1780" t="s">
        <v>170</v>
      </c>
      <c r="C9" s="1781"/>
      <c r="D9" s="1781"/>
      <c r="E9" s="1782"/>
      <c r="F9" s="1783">
        <v>180000000000</v>
      </c>
      <c r="G9" s="1784"/>
      <c r="H9" s="636"/>
      <c r="I9" s="636"/>
      <c r="J9" s="1783">
        <v>280000000000</v>
      </c>
      <c r="K9" s="638">
        <v>165000000000</v>
      </c>
      <c r="L9" s="1304">
        <v>147300000000</v>
      </c>
      <c r="M9" s="609"/>
      <c r="N9" s="637">
        <f>L9*5%</f>
        <v>7365000000</v>
      </c>
      <c r="O9" s="637"/>
      <c r="P9" s="594"/>
      <c r="Q9" s="594"/>
      <c r="R9" s="637" t="s">
        <v>791</v>
      </c>
      <c r="S9" s="611">
        <f>'[4]Biểu 01'!E45</f>
        <v>112305</v>
      </c>
      <c r="T9" s="584" t="s">
        <v>774</v>
      </c>
      <c r="U9" s="637"/>
      <c r="V9" s="639"/>
      <c r="W9" s="639"/>
      <c r="X9" s="640"/>
    </row>
    <row r="10" spans="1:29" s="641" customFormat="1" ht="46.5" customHeight="1">
      <c r="A10" s="1779"/>
      <c r="B10" s="1780"/>
      <c r="C10" s="1781"/>
      <c r="D10" s="1781"/>
      <c r="E10" s="1782"/>
      <c r="F10" s="1783"/>
      <c r="G10" s="1785"/>
      <c r="H10" s="642"/>
      <c r="I10" s="642"/>
      <c r="J10" s="1783"/>
      <c r="K10" s="638"/>
      <c r="L10" s="1304"/>
      <c r="M10" s="609"/>
      <c r="N10" s="637"/>
      <c r="O10" s="637"/>
      <c r="P10" s="594"/>
      <c r="Q10" s="594"/>
      <c r="R10" s="643" t="s">
        <v>792</v>
      </c>
      <c r="S10" s="611"/>
      <c r="T10" s="584" t="s">
        <v>774</v>
      </c>
      <c r="U10" s="637"/>
      <c r="V10" s="639"/>
      <c r="W10" s="639"/>
      <c r="X10" s="640"/>
    </row>
    <row r="11" spans="1:29" s="641" customFormat="1" ht="35.25" hidden="1" customHeight="1">
      <c r="A11" s="635"/>
      <c r="B11" s="607"/>
      <c r="C11" s="590"/>
      <c r="D11" s="590"/>
      <c r="E11" s="609"/>
      <c r="F11" s="609"/>
      <c r="G11" s="638"/>
      <c r="H11" s="638"/>
      <c r="I11" s="638"/>
      <c r="J11" s="609"/>
      <c r="K11" s="638"/>
      <c r="L11" s="1304"/>
      <c r="M11" s="609"/>
      <c r="N11" s="637"/>
      <c r="O11" s="637"/>
      <c r="P11" s="594"/>
      <c r="Q11" s="594"/>
      <c r="R11" s="637" t="s">
        <v>793</v>
      </c>
      <c r="S11" s="611"/>
      <c r="T11" s="584" t="s">
        <v>774</v>
      </c>
      <c r="U11" s="637"/>
      <c r="V11" s="639">
        <f>76+21</f>
        <v>97</v>
      </c>
      <c r="W11" s="639"/>
      <c r="X11" s="640"/>
    </row>
    <row r="12" spans="1:29" s="641" customFormat="1" ht="30" hidden="1" customHeight="1">
      <c r="A12" s="635"/>
      <c r="B12" s="607"/>
      <c r="C12" s="590"/>
      <c r="D12" s="590"/>
      <c r="E12" s="609"/>
      <c r="F12" s="609"/>
      <c r="G12" s="638"/>
      <c r="H12" s="638"/>
      <c r="I12" s="638"/>
      <c r="J12" s="609"/>
      <c r="K12" s="638"/>
      <c r="L12" s="1304"/>
      <c r="M12" s="609"/>
      <c r="N12" s="637"/>
      <c r="O12" s="637"/>
      <c r="P12" s="594"/>
      <c r="Q12" s="594"/>
      <c r="R12" s="643" t="s">
        <v>794</v>
      </c>
      <c r="S12" s="611"/>
      <c r="T12" s="584" t="str">
        <f>T9</f>
        <v>triệu</v>
      </c>
      <c r="U12" s="637">
        <f>F4-F5</f>
        <v>67193000000</v>
      </c>
      <c r="V12" s="639"/>
      <c r="W12" s="639"/>
      <c r="X12" s="640"/>
    </row>
    <row r="13" spans="1:29" s="641" customFormat="1" ht="47.25" hidden="1" customHeight="1">
      <c r="A13" s="635"/>
      <c r="B13" s="607"/>
      <c r="C13" s="590"/>
      <c r="D13" s="590"/>
      <c r="E13" s="609"/>
      <c r="F13" s="609"/>
      <c r="G13" s="638"/>
      <c r="H13" s="638"/>
      <c r="I13" s="638"/>
      <c r="J13" s="609"/>
      <c r="K13" s="638"/>
      <c r="L13" s="1304"/>
      <c r="M13" s="609"/>
      <c r="N13" s="637"/>
      <c r="O13" s="637"/>
      <c r="P13" s="594"/>
      <c r="Q13" s="594"/>
      <c r="R13" s="643" t="s">
        <v>795</v>
      </c>
      <c r="S13" s="611"/>
      <c r="T13" s="584" t="s">
        <v>774</v>
      </c>
      <c r="U13" s="637"/>
      <c r="V13" s="639"/>
      <c r="W13" s="639"/>
      <c r="X13" s="640"/>
    </row>
    <row r="14" spans="1:29" s="641" customFormat="1" ht="47.25" hidden="1" customHeight="1">
      <c r="A14" s="635"/>
      <c r="B14" s="607"/>
      <c r="C14" s="590"/>
      <c r="D14" s="590"/>
      <c r="E14" s="609"/>
      <c r="F14" s="609"/>
      <c r="G14" s="638"/>
      <c r="H14" s="638"/>
      <c r="I14" s="638"/>
      <c r="J14" s="609"/>
      <c r="K14" s="638"/>
      <c r="L14" s="1304"/>
      <c r="M14" s="609"/>
      <c r="N14" s="637"/>
      <c r="O14" s="637"/>
      <c r="P14" s="594"/>
      <c r="Q14" s="594"/>
      <c r="R14" s="643" t="s">
        <v>796</v>
      </c>
      <c r="S14" s="611"/>
      <c r="T14" s="584" t="s">
        <v>797</v>
      </c>
      <c r="U14" s="637"/>
      <c r="V14" s="639">
        <f>61+13+13</f>
        <v>87</v>
      </c>
      <c r="W14" s="639"/>
      <c r="X14" s="640"/>
    </row>
    <row r="15" spans="1:29" s="614" customFormat="1" ht="48" customHeight="1">
      <c r="A15" s="635" t="s">
        <v>91</v>
      </c>
      <c r="B15" s="607" t="s">
        <v>798</v>
      </c>
      <c r="C15" s="590"/>
      <c r="D15" s="590"/>
      <c r="E15" s="609"/>
      <c r="F15" s="609">
        <v>63000000000</v>
      </c>
      <c r="G15" s="609"/>
      <c r="H15" s="609"/>
      <c r="I15" s="609"/>
      <c r="J15" s="609">
        <v>61116000000</v>
      </c>
      <c r="K15" s="638">
        <v>86630000000</v>
      </c>
      <c r="L15" s="1304">
        <v>92196000000</v>
      </c>
      <c r="M15" s="638"/>
      <c r="N15" s="594"/>
      <c r="O15" s="594"/>
      <c r="P15" s="610"/>
      <c r="Q15" s="610"/>
      <c r="R15" s="637" t="s">
        <v>799</v>
      </c>
      <c r="S15" s="611"/>
      <c r="T15" s="584" t="s">
        <v>774</v>
      </c>
      <c r="U15" s="637">
        <f>S10+S9+S15+S18+S19</f>
        <v>112305</v>
      </c>
      <c r="V15" s="613"/>
      <c r="W15" s="613"/>
      <c r="X15" s="611"/>
    </row>
    <row r="16" spans="1:29" s="614" customFormat="1" ht="47.25" customHeight="1">
      <c r="A16" s="635" t="s">
        <v>91</v>
      </c>
      <c r="B16" s="607" t="s">
        <v>800</v>
      </c>
      <c r="C16" s="590"/>
      <c r="D16" s="590"/>
      <c r="E16" s="609"/>
      <c r="F16" s="609">
        <v>40000000000</v>
      </c>
      <c r="G16" s="609"/>
      <c r="H16" s="609"/>
      <c r="I16" s="609"/>
      <c r="J16" s="609"/>
      <c r="K16" s="638">
        <v>40000000000</v>
      </c>
      <c r="L16" s="1304">
        <v>20000000000</v>
      </c>
      <c r="M16" s="609"/>
      <c r="N16" s="594">
        <f>L16*30%</f>
        <v>6000000000</v>
      </c>
      <c r="O16" s="594"/>
      <c r="P16" s="644"/>
      <c r="Q16" s="644"/>
      <c r="R16" s="643" t="s">
        <v>801</v>
      </c>
      <c r="S16" s="611">
        <f>'[4]Biểu 01'!C51</f>
        <v>61078</v>
      </c>
      <c r="T16" s="584" t="s">
        <v>774</v>
      </c>
      <c r="U16" s="637"/>
      <c r="V16" s="613"/>
      <c r="W16" s="613"/>
      <c r="X16" s="611"/>
    </row>
    <row r="17" spans="1:24" s="614" customFormat="1" ht="53.25" customHeight="1">
      <c r="A17" s="645" t="s">
        <v>91</v>
      </c>
      <c r="B17" s="1797" t="s">
        <v>802</v>
      </c>
      <c r="C17" s="1797"/>
      <c r="D17" s="642"/>
      <c r="E17" s="642"/>
      <c r="F17" s="609">
        <v>13000000000</v>
      </c>
      <c r="G17" s="642"/>
      <c r="H17" s="642"/>
      <c r="I17" s="642"/>
      <c r="J17" s="638"/>
      <c r="K17" s="638"/>
      <c r="L17" s="1304"/>
      <c r="M17" s="638"/>
      <c r="N17" s="594"/>
      <c r="O17" s="594"/>
      <c r="P17" s="644"/>
      <c r="Q17" s="644"/>
      <c r="R17" s="637" t="s">
        <v>803</v>
      </c>
      <c r="S17" s="611"/>
      <c r="T17" s="584" t="s">
        <v>774</v>
      </c>
      <c r="U17" s="637"/>
      <c r="V17" s="613"/>
      <c r="W17" s="613"/>
      <c r="X17" s="611"/>
    </row>
    <row r="18" spans="1:24" s="614" customFormat="1" ht="48" customHeight="1">
      <c r="A18" s="645" t="s">
        <v>91</v>
      </c>
      <c r="B18" s="646" t="s">
        <v>804</v>
      </c>
      <c r="C18" s="647"/>
      <c r="D18" s="642"/>
      <c r="E18" s="642"/>
      <c r="F18" s="609">
        <v>151881000000</v>
      </c>
      <c r="G18" s="642"/>
      <c r="H18" s="642"/>
      <c r="I18" s="642"/>
      <c r="J18" s="638"/>
      <c r="K18" s="638"/>
      <c r="L18" s="1304"/>
      <c r="M18" s="638"/>
      <c r="N18" s="594"/>
      <c r="O18" s="594"/>
      <c r="P18" s="644"/>
      <c r="Q18" s="644"/>
      <c r="R18" s="637" t="s">
        <v>802</v>
      </c>
      <c r="S18" s="611"/>
      <c r="T18" s="584" t="s">
        <v>774</v>
      </c>
      <c r="U18" s="637">
        <f>S3-L4/1000000</f>
        <v>-272542.10000000009</v>
      </c>
      <c r="V18" s="613"/>
      <c r="W18" s="613"/>
      <c r="X18" s="611"/>
    </row>
    <row r="19" spans="1:24" s="614" customFormat="1" ht="31.5" hidden="1" customHeight="1">
      <c r="A19" s="635"/>
      <c r="B19" s="607"/>
      <c r="C19" s="590"/>
      <c r="D19" s="590"/>
      <c r="E19" s="609"/>
      <c r="F19" s="609"/>
      <c r="G19" s="609"/>
      <c r="H19" s="609"/>
      <c r="I19" s="609"/>
      <c r="J19" s="609"/>
      <c r="K19" s="609"/>
      <c r="L19" s="1303"/>
      <c r="M19" s="609"/>
      <c r="N19" s="637"/>
      <c r="O19" s="637"/>
      <c r="P19" s="637"/>
      <c r="Q19" s="637"/>
      <c r="R19" s="637" t="s">
        <v>805</v>
      </c>
      <c r="S19" s="611">
        <f>S32+S34+S35+S36</f>
        <v>0</v>
      </c>
      <c r="T19" s="584" t="s">
        <v>774</v>
      </c>
      <c r="U19" s="648">
        <f>S4-L4/1000000</f>
        <v>-160237.10000000009</v>
      </c>
      <c r="V19" s="649">
        <v>4079</v>
      </c>
      <c r="W19" s="613">
        <f>U19+V19</f>
        <v>-156158.10000000009</v>
      </c>
      <c r="X19" s="611"/>
    </row>
    <row r="20" spans="1:24" s="614" customFormat="1" ht="60.75" hidden="1" customHeight="1">
      <c r="A20" s="635" t="s">
        <v>192</v>
      </c>
      <c r="B20" s="650" t="s">
        <v>806</v>
      </c>
      <c r="C20" s="647"/>
      <c r="D20" s="642"/>
      <c r="E20" s="642"/>
      <c r="F20" s="609"/>
      <c r="G20" s="609"/>
      <c r="H20" s="609"/>
      <c r="I20" s="609"/>
      <c r="J20" s="651">
        <f>SUM(J21:J32)</f>
        <v>21932215000</v>
      </c>
      <c r="K20" s="651"/>
      <c r="L20" s="1305"/>
      <c r="M20" s="609"/>
      <c r="N20" s="637"/>
      <c r="O20" s="637"/>
      <c r="P20" s="637"/>
      <c r="Q20" s="637"/>
      <c r="R20" s="637" t="s">
        <v>807</v>
      </c>
      <c r="S20" s="611">
        <v>89186000000</v>
      </c>
      <c r="T20" s="584"/>
      <c r="U20" s="637">
        <f>S20-SUM(S21:S34)</f>
        <v>2472904000</v>
      </c>
      <c r="V20" s="649"/>
      <c r="W20" s="613"/>
      <c r="X20" s="611"/>
    </row>
    <row r="21" spans="1:24" s="614" customFormat="1" ht="44.25" hidden="1" customHeight="1">
      <c r="A21" s="590" t="s">
        <v>91</v>
      </c>
      <c r="B21" s="650" t="s">
        <v>808</v>
      </c>
      <c r="C21" s="647"/>
      <c r="D21" s="642"/>
      <c r="E21" s="642"/>
      <c r="F21" s="609"/>
      <c r="G21" s="609"/>
      <c r="H21" s="609"/>
      <c r="I21" s="609"/>
      <c r="J21" s="651">
        <v>1000000000</v>
      </c>
      <c r="K21" s="651"/>
      <c r="L21" s="1305"/>
      <c r="M21" s="609"/>
      <c r="N21" s="637"/>
      <c r="O21" s="637"/>
      <c r="P21" s="637"/>
      <c r="Q21" s="637"/>
      <c r="R21" s="652" t="s">
        <v>809</v>
      </c>
      <c r="S21" s="653">
        <f>K502+K551+K576+K607+K637+K663+K705+K737+K759+K796+K858+K867+K899+K916+K929+K946+K984+K1021+K1046+K1075+96000+100000</f>
        <v>23928196000</v>
      </c>
      <c r="T21" s="654"/>
      <c r="U21" s="637"/>
      <c r="V21" s="613"/>
      <c r="W21" s="613"/>
      <c r="X21" s="611"/>
    </row>
    <row r="22" spans="1:24" s="614" customFormat="1" ht="44.25" hidden="1" customHeight="1">
      <c r="A22" s="590" t="s">
        <v>91</v>
      </c>
      <c r="B22" s="650" t="s">
        <v>810</v>
      </c>
      <c r="C22" s="647"/>
      <c r="D22" s="642"/>
      <c r="E22" s="642"/>
      <c r="F22" s="609"/>
      <c r="G22" s="609"/>
      <c r="H22" s="609"/>
      <c r="I22" s="609"/>
      <c r="J22" s="651">
        <v>102257000</v>
      </c>
      <c r="K22" s="651"/>
      <c r="L22" s="1305"/>
      <c r="M22" s="609"/>
      <c r="N22" s="637"/>
      <c r="O22" s="637"/>
      <c r="P22" s="637"/>
      <c r="Q22" s="637"/>
      <c r="R22" s="652" t="s">
        <v>811</v>
      </c>
      <c r="S22" s="640">
        <v>25670000000</v>
      </c>
      <c r="T22" s="654"/>
      <c r="U22" s="637"/>
      <c r="V22" s="613"/>
      <c r="W22" s="613"/>
      <c r="X22" s="611"/>
    </row>
    <row r="23" spans="1:24" s="614" customFormat="1" ht="44.25" hidden="1" customHeight="1">
      <c r="A23" s="590" t="s">
        <v>91</v>
      </c>
      <c r="B23" s="650" t="s">
        <v>233</v>
      </c>
      <c r="C23" s="647"/>
      <c r="D23" s="642"/>
      <c r="E23" s="642"/>
      <c r="F23" s="609"/>
      <c r="G23" s="609"/>
      <c r="H23" s="609"/>
      <c r="I23" s="609"/>
      <c r="J23" s="651">
        <v>989100000</v>
      </c>
      <c r="K23" s="651"/>
      <c r="L23" s="1305"/>
      <c r="M23" s="609"/>
      <c r="N23" s="637"/>
      <c r="O23" s="637"/>
      <c r="P23" s="637"/>
      <c r="Q23" s="637"/>
      <c r="R23" s="652" t="s">
        <v>812</v>
      </c>
      <c r="S23" s="653">
        <f>1460000000+470000000</f>
        <v>1930000000</v>
      </c>
      <c r="T23" s="654"/>
      <c r="U23" s="637"/>
      <c r="V23" s="613"/>
      <c r="W23" s="613"/>
      <c r="X23" s="611"/>
    </row>
    <row r="24" spans="1:24" s="641" customFormat="1" ht="44.25" hidden="1" customHeight="1">
      <c r="A24" s="590" t="s">
        <v>91</v>
      </c>
      <c r="B24" s="650" t="s">
        <v>813</v>
      </c>
      <c r="C24" s="647"/>
      <c r="D24" s="642"/>
      <c r="E24" s="642"/>
      <c r="F24" s="609"/>
      <c r="G24" s="609"/>
      <c r="H24" s="609"/>
      <c r="I24" s="609"/>
      <c r="J24" s="651">
        <v>5760000000</v>
      </c>
      <c r="K24" s="651"/>
      <c r="L24" s="1305"/>
      <c r="M24" s="651"/>
      <c r="N24" s="655"/>
      <c r="O24" s="655"/>
      <c r="P24" s="655"/>
      <c r="Q24" s="655"/>
      <c r="R24" s="652" t="s">
        <v>814</v>
      </c>
      <c r="S24" s="640">
        <v>1680000000</v>
      </c>
      <c r="T24" s="584"/>
      <c r="U24" s="655"/>
      <c r="V24" s="639"/>
      <c r="W24" s="639"/>
      <c r="X24" s="640"/>
    </row>
    <row r="25" spans="1:24" s="614" customFormat="1" ht="44.25" hidden="1" customHeight="1">
      <c r="A25" s="590" t="s">
        <v>91</v>
      </c>
      <c r="B25" s="650" t="s">
        <v>815</v>
      </c>
      <c r="C25" s="647"/>
      <c r="D25" s="642"/>
      <c r="E25" s="642"/>
      <c r="F25" s="609"/>
      <c r="G25" s="609"/>
      <c r="H25" s="609"/>
      <c r="I25" s="609"/>
      <c r="J25" s="651">
        <v>2367775000</v>
      </c>
      <c r="K25" s="651"/>
      <c r="L25" s="1305"/>
      <c r="M25" s="609"/>
      <c r="N25" s="637"/>
      <c r="O25" s="637"/>
      <c r="P25" s="637"/>
      <c r="Q25" s="637"/>
      <c r="R25" s="652" t="s">
        <v>816</v>
      </c>
      <c r="S25" s="640">
        <v>12000000000</v>
      </c>
      <c r="T25" s="654"/>
      <c r="U25" s="637"/>
      <c r="V25" s="613"/>
      <c r="W25" s="613"/>
      <c r="X25" s="611"/>
    </row>
    <row r="26" spans="1:24" s="614" customFormat="1" ht="44.25" hidden="1" customHeight="1">
      <c r="A26" s="590" t="s">
        <v>91</v>
      </c>
      <c r="B26" s="650" t="s">
        <v>817</v>
      </c>
      <c r="C26" s="647"/>
      <c r="D26" s="642"/>
      <c r="E26" s="642"/>
      <c r="F26" s="609"/>
      <c r="G26" s="609"/>
      <c r="H26" s="609"/>
      <c r="I26" s="609"/>
      <c r="J26" s="651">
        <v>2936754000</v>
      </c>
      <c r="K26" s="651"/>
      <c r="L26" s="1305"/>
      <c r="M26" s="609"/>
      <c r="N26" s="637"/>
      <c r="O26" s="637"/>
      <c r="P26" s="637"/>
      <c r="Q26" s="637"/>
      <c r="R26" s="652" t="s">
        <v>818</v>
      </c>
      <c r="S26" s="640">
        <v>8458900000</v>
      </c>
      <c r="T26" s="654"/>
      <c r="U26" s="637"/>
      <c r="V26" s="613"/>
      <c r="W26" s="613"/>
      <c r="X26" s="611"/>
    </row>
    <row r="27" spans="1:24" s="614" customFormat="1" ht="44.25" hidden="1" customHeight="1">
      <c r="A27" s="590" t="s">
        <v>91</v>
      </c>
      <c r="B27" s="650" t="s">
        <v>819</v>
      </c>
      <c r="C27" s="647"/>
      <c r="D27" s="642"/>
      <c r="E27" s="642"/>
      <c r="F27" s="609"/>
      <c r="G27" s="609"/>
      <c r="H27" s="609"/>
      <c r="I27" s="609"/>
      <c r="J27" s="651">
        <v>500000000</v>
      </c>
      <c r="K27" s="651"/>
      <c r="L27" s="1305"/>
      <c r="M27" s="609"/>
      <c r="N27" s="637"/>
      <c r="O27" s="637"/>
      <c r="P27" s="637"/>
      <c r="Q27" s="637"/>
      <c r="R27" s="652" t="s">
        <v>820</v>
      </c>
      <c r="S27" s="640">
        <v>3000000000</v>
      </c>
      <c r="T27" s="654"/>
      <c r="U27" s="637"/>
      <c r="V27" s="613"/>
      <c r="W27" s="613"/>
      <c r="X27" s="611"/>
    </row>
    <row r="28" spans="1:24" s="614" customFormat="1" ht="44.25" hidden="1" customHeight="1">
      <c r="A28" s="590" t="s">
        <v>91</v>
      </c>
      <c r="B28" s="650" t="s">
        <v>821</v>
      </c>
      <c r="C28" s="647"/>
      <c r="D28" s="642"/>
      <c r="E28" s="642"/>
      <c r="F28" s="609"/>
      <c r="G28" s="609"/>
      <c r="H28" s="609"/>
      <c r="I28" s="609"/>
      <c r="J28" s="651">
        <v>2393420000</v>
      </c>
      <c r="K28" s="651"/>
      <c r="L28" s="1305"/>
      <c r="M28" s="609"/>
      <c r="N28" s="637"/>
      <c r="O28" s="637"/>
      <c r="P28" s="637"/>
      <c r="Q28" s="637"/>
      <c r="R28" s="652" t="s">
        <v>822</v>
      </c>
      <c r="S28" s="653">
        <v>500000000</v>
      </c>
      <c r="T28" s="654"/>
      <c r="U28" s="637"/>
      <c r="V28" s="613"/>
      <c r="W28" s="613"/>
      <c r="X28" s="611"/>
    </row>
    <row r="29" spans="1:24" s="614" customFormat="1" ht="44.25" hidden="1" customHeight="1">
      <c r="A29" s="590" t="s">
        <v>91</v>
      </c>
      <c r="B29" s="650" t="s">
        <v>823</v>
      </c>
      <c r="C29" s="647"/>
      <c r="D29" s="642"/>
      <c r="E29" s="642"/>
      <c r="F29" s="609"/>
      <c r="G29" s="609"/>
      <c r="H29" s="609"/>
      <c r="I29" s="609"/>
      <c r="J29" s="651">
        <v>1417886000</v>
      </c>
      <c r="K29" s="651"/>
      <c r="L29" s="1305"/>
      <c r="M29" s="609"/>
      <c r="N29" s="637"/>
      <c r="O29" s="637"/>
      <c r="P29" s="637"/>
      <c r="Q29" s="637"/>
      <c r="R29" s="652" t="s">
        <v>824</v>
      </c>
      <c r="S29" s="640">
        <v>2000000000</v>
      </c>
      <c r="T29" s="654"/>
      <c r="U29" s="637"/>
      <c r="V29" s="613"/>
      <c r="W29" s="613"/>
      <c r="X29" s="611"/>
    </row>
    <row r="30" spans="1:24" s="614" customFormat="1" ht="44.25" hidden="1" customHeight="1">
      <c r="A30" s="590" t="s">
        <v>91</v>
      </c>
      <c r="B30" s="650" t="s">
        <v>825</v>
      </c>
      <c r="C30" s="647"/>
      <c r="D30" s="642"/>
      <c r="E30" s="642"/>
      <c r="F30" s="609"/>
      <c r="G30" s="609"/>
      <c r="H30" s="609"/>
      <c r="I30" s="609"/>
      <c r="J30" s="651">
        <v>204497000</v>
      </c>
      <c r="K30" s="651"/>
      <c r="L30" s="1305"/>
      <c r="M30" s="609"/>
      <c r="N30" s="637"/>
      <c r="O30" s="637"/>
      <c r="P30" s="637"/>
      <c r="Q30" s="637"/>
      <c r="R30" s="652" t="s">
        <v>826</v>
      </c>
      <c r="S30" s="640">
        <v>3000000000</v>
      </c>
      <c r="T30" s="654"/>
      <c r="U30" s="637"/>
      <c r="V30" s="613"/>
      <c r="W30" s="613"/>
      <c r="X30" s="611"/>
    </row>
    <row r="31" spans="1:24" s="614" customFormat="1" ht="44.25" hidden="1" customHeight="1">
      <c r="A31" s="590" t="s">
        <v>91</v>
      </c>
      <c r="B31" s="650" t="s">
        <v>827</v>
      </c>
      <c r="C31" s="647"/>
      <c r="D31" s="642"/>
      <c r="E31" s="642"/>
      <c r="F31" s="609"/>
      <c r="G31" s="609"/>
      <c r="H31" s="609"/>
      <c r="I31" s="609"/>
      <c r="J31" s="651">
        <v>255526000</v>
      </c>
      <c r="K31" s="651"/>
      <c r="L31" s="1305"/>
      <c r="M31" s="609"/>
      <c r="N31" s="637"/>
      <c r="O31" s="637"/>
      <c r="P31" s="637"/>
      <c r="Q31" s="637"/>
      <c r="R31" s="652" t="s">
        <v>828</v>
      </c>
      <c r="S31" s="640">
        <v>4546000000</v>
      </c>
      <c r="T31" s="654"/>
      <c r="U31" s="637"/>
      <c r="V31" s="613"/>
      <c r="W31" s="613"/>
      <c r="X31" s="611"/>
    </row>
    <row r="32" spans="1:24" s="614" customFormat="1" ht="44.25" customHeight="1">
      <c r="A32" s="590" t="s">
        <v>91</v>
      </c>
      <c r="B32" s="646" t="s">
        <v>172</v>
      </c>
      <c r="C32" s="647"/>
      <c r="D32" s="656"/>
      <c r="E32" s="656"/>
      <c r="F32" s="609"/>
      <c r="G32" s="609"/>
      <c r="H32" s="609"/>
      <c r="I32" s="609"/>
      <c r="J32" s="609">
        <v>4005000000</v>
      </c>
      <c r="K32" s="609"/>
      <c r="L32" s="1303"/>
      <c r="M32" s="609"/>
      <c r="N32" s="637"/>
      <c r="O32" s="637"/>
      <c r="P32" s="637"/>
      <c r="Q32" s="637"/>
      <c r="R32" s="652" t="s">
        <v>829</v>
      </c>
      <c r="S32" s="640"/>
      <c r="T32" s="584" t="s">
        <v>774</v>
      </c>
      <c r="U32" s="637"/>
      <c r="V32" s="613"/>
      <c r="W32" s="613"/>
      <c r="X32" s="611"/>
    </row>
    <row r="33" spans="1:257" s="665" customFormat="1" ht="125.25" customHeight="1">
      <c r="A33" s="622">
        <v>2</v>
      </c>
      <c r="B33" s="657" t="s">
        <v>1570</v>
      </c>
      <c r="C33" s="658"/>
      <c r="D33" s="659"/>
      <c r="E33" s="659"/>
      <c r="F33" s="660"/>
      <c r="G33" s="660"/>
      <c r="H33" s="660"/>
      <c r="I33" s="660"/>
      <c r="J33" s="660"/>
      <c r="K33" s="660">
        <f>5000000000+10000000000+550000000</f>
        <v>15550000000</v>
      </c>
      <c r="L33" s="1303">
        <f>5000000000+8000000000+550000000</f>
        <v>13550000000</v>
      </c>
      <c r="M33" s="661" t="s">
        <v>1571</v>
      </c>
      <c r="N33" s="648">
        <f>N34-L111</f>
        <v>208565595432</v>
      </c>
      <c r="O33" s="648"/>
      <c r="P33" s="648"/>
      <c r="Q33" s="648"/>
      <c r="R33" s="662"/>
      <c r="S33" s="663"/>
      <c r="T33" s="631"/>
      <c r="U33" s="648"/>
      <c r="V33" s="664"/>
      <c r="W33" s="664"/>
      <c r="X33" s="630"/>
    </row>
    <row r="34" spans="1:257" s="614" customFormat="1" ht="28.5" customHeight="1">
      <c r="A34" s="666" t="s">
        <v>12</v>
      </c>
      <c r="B34" s="607" t="s">
        <v>173</v>
      </c>
      <c r="C34" s="642"/>
      <c r="D34" s="642"/>
      <c r="E34" s="609"/>
      <c r="F34" s="609">
        <f>F35+F256+F492+F1092+F1176+F249</f>
        <v>830458000000</v>
      </c>
      <c r="G34" s="609" t="e">
        <f>G35+G256+G492+G1092+G1176+G249</f>
        <v>#VALUE!</v>
      </c>
      <c r="H34" s="609">
        <f>H35+H256+H492+H1092+H1176+H249</f>
        <v>8232000018</v>
      </c>
      <c r="I34" s="609">
        <f>I35+I256+I492+I1092+I1176+I249</f>
        <v>8259000000</v>
      </c>
      <c r="J34" s="609">
        <f>J35+J256+J492+J1092+J1176+J249</f>
        <v>989274839939</v>
      </c>
      <c r="K34" s="609">
        <v>968755000000</v>
      </c>
      <c r="L34" s="1303">
        <f>L35+L256+L492+L1092+L1176+L249</f>
        <v>1138514262432</v>
      </c>
      <c r="M34" s="609">
        <f>L34-'[4]Giao các đơn vị'!K5</f>
        <v>169759262432</v>
      </c>
      <c r="N34" s="637">
        <f>L35-L110</f>
        <v>209065595432</v>
      </c>
      <c r="O34" s="637"/>
      <c r="P34" s="637"/>
      <c r="Q34" s="637"/>
      <c r="R34" s="652" t="s">
        <v>830</v>
      </c>
      <c r="S34" s="640"/>
      <c r="T34" s="584" t="s">
        <v>774</v>
      </c>
      <c r="U34" s="637"/>
      <c r="V34" s="619"/>
      <c r="W34" s="619"/>
      <c r="X34" s="620"/>
      <c r="Y34" s="621"/>
      <c r="Z34" s="621"/>
      <c r="AA34" s="621"/>
      <c r="AB34" s="621"/>
      <c r="AC34" s="621"/>
      <c r="AD34" s="621"/>
      <c r="AE34" s="621"/>
      <c r="AF34" s="621"/>
      <c r="AG34" s="621"/>
      <c r="AH34" s="621"/>
      <c r="AI34" s="621"/>
      <c r="AJ34" s="621"/>
      <c r="AK34" s="621"/>
      <c r="AL34" s="621"/>
      <c r="AM34" s="621"/>
      <c r="AN34" s="621"/>
      <c r="AO34" s="621"/>
      <c r="AP34" s="621"/>
      <c r="AQ34" s="621"/>
      <c r="AR34" s="621"/>
      <c r="AS34" s="621"/>
      <c r="AT34" s="621"/>
      <c r="AU34" s="621"/>
      <c r="AV34" s="621"/>
      <c r="AW34" s="621"/>
      <c r="AX34" s="621"/>
      <c r="AY34" s="621"/>
      <c r="AZ34" s="621"/>
      <c r="BA34" s="621"/>
      <c r="BB34" s="621"/>
      <c r="BC34" s="621"/>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621"/>
      <c r="CG34" s="621"/>
      <c r="CH34" s="621"/>
      <c r="CI34" s="621"/>
      <c r="CJ34" s="621"/>
      <c r="CK34" s="621"/>
      <c r="CL34" s="621"/>
      <c r="CM34" s="621"/>
      <c r="CN34" s="621"/>
      <c r="CO34" s="621"/>
      <c r="CP34" s="621"/>
      <c r="CQ34" s="621"/>
      <c r="CR34" s="621"/>
      <c r="CS34" s="621"/>
      <c r="CT34" s="621"/>
      <c r="CU34" s="621"/>
      <c r="CV34" s="621"/>
      <c r="CW34" s="621"/>
      <c r="CX34" s="621"/>
      <c r="CY34" s="621"/>
      <c r="CZ34" s="621"/>
      <c r="DA34" s="621"/>
      <c r="DB34" s="621"/>
      <c r="DC34" s="621"/>
      <c r="DD34" s="621"/>
      <c r="DE34" s="621"/>
      <c r="DF34" s="621"/>
      <c r="DG34" s="621"/>
      <c r="DH34" s="621"/>
      <c r="DI34" s="621"/>
      <c r="DJ34" s="621"/>
      <c r="DK34" s="621"/>
      <c r="DL34" s="621"/>
      <c r="DM34" s="621"/>
      <c r="DN34" s="621"/>
      <c r="DO34" s="621"/>
      <c r="DP34" s="621"/>
      <c r="DQ34" s="621"/>
      <c r="DR34" s="621"/>
      <c r="DS34" s="621"/>
      <c r="DT34" s="621"/>
      <c r="DU34" s="621"/>
      <c r="DV34" s="621"/>
      <c r="DW34" s="621"/>
      <c r="DX34" s="621"/>
      <c r="DY34" s="621"/>
      <c r="DZ34" s="621"/>
      <c r="EA34" s="621"/>
      <c r="EB34" s="621"/>
      <c r="EC34" s="621"/>
      <c r="ED34" s="621"/>
      <c r="EE34" s="621"/>
      <c r="EF34" s="621"/>
      <c r="EG34" s="621"/>
      <c r="EH34" s="621"/>
      <c r="EI34" s="621"/>
      <c r="EJ34" s="621"/>
      <c r="EK34" s="621"/>
      <c r="EL34" s="621"/>
      <c r="EM34" s="621"/>
      <c r="EN34" s="621"/>
      <c r="EO34" s="621"/>
      <c r="EP34" s="621"/>
      <c r="EQ34" s="621"/>
      <c r="ER34" s="621"/>
      <c r="ES34" s="621"/>
      <c r="ET34" s="621"/>
      <c r="EU34" s="621"/>
      <c r="EV34" s="621"/>
      <c r="EW34" s="621"/>
      <c r="EX34" s="621"/>
      <c r="EY34" s="621"/>
      <c r="EZ34" s="621"/>
      <c r="FA34" s="621"/>
      <c r="FB34" s="621"/>
      <c r="FC34" s="621"/>
      <c r="FD34" s="621"/>
      <c r="FE34" s="621"/>
      <c r="FF34" s="621"/>
      <c r="FG34" s="621"/>
      <c r="FH34" s="621"/>
      <c r="FI34" s="621"/>
      <c r="FJ34" s="621"/>
      <c r="FK34" s="621"/>
      <c r="FL34" s="621"/>
      <c r="FM34" s="621"/>
      <c r="FN34" s="621"/>
      <c r="FO34" s="621"/>
      <c r="FP34" s="621"/>
      <c r="FQ34" s="621"/>
      <c r="FR34" s="621"/>
      <c r="FS34" s="621"/>
      <c r="FT34" s="621"/>
      <c r="FU34" s="621"/>
      <c r="FV34" s="621"/>
      <c r="FW34" s="621"/>
      <c r="FX34" s="621"/>
      <c r="FY34" s="621"/>
      <c r="FZ34" s="621"/>
      <c r="GA34" s="621"/>
      <c r="GB34" s="621"/>
      <c r="GC34" s="621"/>
      <c r="GD34" s="621"/>
      <c r="GE34" s="621"/>
      <c r="GF34" s="621"/>
      <c r="GG34" s="621"/>
      <c r="GH34" s="621"/>
      <c r="GI34" s="621"/>
      <c r="GJ34" s="621"/>
      <c r="GK34" s="621"/>
      <c r="GL34" s="621"/>
      <c r="GM34" s="621"/>
      <c r="GN34" s="621"/>
      <c r="GO34" s="621"/>
      <c r="GP34" s="621"/>
      <c r="GQ34" s="621"/>
      <c r="GR34" s="621"/>
      <c r="GS34" s="621"/>
      <c r="GT34" s="621"/>
      <c r="GU34" s="621"/>
      <c r="GV34" s="621"/>
      <c r="GW34" s="621"/>
      <c r="GX34" s="621"/>
      <c r="GY34" s="621"/>
      <c r="GZ34" s="621"/>
      <c r="HA34" s="621"/>
      <c r="HB34" s="621"/>
      <c r="HC34" s="621"/>
      <c r="HD34" s="621"/>
      <c r="HE34" s="621"/>
      <c r="HF34" s="621"/>
      <c r="HG34" s="621"/>
      <c r="HH34" s="621"/>
      <c r="HI34" s="621"/>
      <c r="HJ34" s="621"/>
      <c r="HK34" s="621"/>
      <c r="HL34" s="621"/>
      <c r="HM34" s="621"/>
      <c r="HN34" s="621"/>
      <c r="HO34" s="621"/>
      <c r="HP34" s="621"/>
      <c r="HQ34" s="621"/>
      <c r="HR34" s="621"/>
      <c r="HS34" s="621"/>
      <c r="HT34" s="621"/>
      <c r="HU34" s="621"/>
      <c r="HV34" s="621"/>
      <c r="HW34" s="621"/>
      <c r="HX34" s="621"/>
      <c r="HY34" s="621"/>
      <c r="HZ34" s="621"/>
      <c r="IA34" s="621"/>
      <c r="IB34" s="621"/>
      <c r="IC34" s="621"/>
      <c r="ID34" s="621"/>
      <c r="IE34" s="621"/>
      <c r="IF34" s="621"/>
      <c r="IG34" s="621"/>
      <c r="IH34" s="621"/>
      <c r="II34" s="621"/>
      <c r="IJ34" s="621"/>
      <c r="IK34" s="621"/>
      <c r="IL34" s="621"/>
      <c r="IM34" s="621"/>
      <c r="IN34" s="621"/>
      <c r="IO34" s="621"/>
      <c r="IP34" s="621"/>
      <c r="IQ34" s="621"/>
      <c r="IR34" s="621"/>
      <c r="IS34" s="621"/>
      <c r="IT34" s="621"/>
      <c r="IU34" s="621"/>
      <c r="IV34" s="621"/>
      <c r="IW34" s="621"/>
    </row>
    <row r="35" spans="1:257" s="621" customFormat="1">
      <c r="A35" s="590" t="s">
        <v>174</v>
      </c>
      <c r="B35" s="607" t="s">
        <v>175</v>
      </c>
      <c r="C35" s="617">
        <f>SUM(C116:C228)</f>
        <v>39</v>
      </c>
      <c r="D35" s="617">
        <f>SUM(D116:D228)</f>
        <v>21</v>
      </c>
      <c r="E35" s="618"/>
      <c r="F35" s="609">
        <f>F36+F38+F49+F56+F58+F70+F71+F111+F113+F115+F116+F123+F150+F175+F136+F218+F138</f>
        <v>149756000000</v>
      </c>
      <c r="G35" s="609" t="e">
        <f>G36+G38+G49+G56+G58+G70+G71+G111+G113+G115+G116+G123+G150+G175+G136+G218+G138</f>
        <v>#VALUE!</v>
      </c>
      <c r="H35" s="609">
        <f>H36+H38+H49+H56+H58+H70+H71+H111+H113+H115+H116+H123+H150+H175+H136+H218+H138</f>
        <v>0</v>
      </c>
      <c r="I35" s="609">
        <f>I36+I38+I49+I56+I58+I70+I71+I111+I113+I115+I116+I123+I150+I175+I136+I218+I138</f>
        <v>0</v>
      </c>
      <c r="J35" s="609">
        <f>J36+J38+J49+J56+J58+J70+J71+J111+J113+J115+J116+J123+J150+J175+J136+J218+J138</f>
        <v>181316292000</v>
      </c>
      <c r="K35" s="609">
        <f>K36+K38+K49+K56+K58+K70+K71+K111+K113+K115+K116+K123+K150+K175+K136+K218+K138+K240+K245+K246</f>
        <v>213739000000</v>
      </c>
      <c r="L35" s="1303">
        <f>L36+L38+L49+L56+L58+L70+L71+L111+L113+L115+L116+L123+L150+L175+L136+L218+L138+L240+L245+L246+L137</f>
        <v>213065595432</v>
      </c>
      <c r="M35" s="609">
        <f>130379+100000</f>
        <v>230379</v>
      </c>
      <c r="N35" s="637">
        <v>245332000000</v>
      </c>
      <c r="O35" s="637" t="s">
        <v>1977</v>
      </c>
      <c r="P35" s="637"/>
      <c r="Q35" s="637"/>
      <c r="R35" s="652" t="s">
        <v>831</v>
      </c>
      <c r="S35" s="640"/>
      <c r="T35" s="584" t="s">
        <v>774</v>
      </c>
      <c r="U35" s="637"/>
      <c r="V35" s="613"/>
      <c r="W35" s="613"/>
      <c r="X35" s="613"/>
      <c r="Y35" s="613"/>
      <c r="Z35" s="613"/>
      <c r="AA35" s="613"/>
      <c r="AB35" s="613"/>
      <c r="AC35" s="613"/>
      <c r="AD35" s="613"/>
      <c r="AE35" s="613"/>
      <c r="AF35" s="613"/>
      <c r="AG35" s="613"/>
      <c r="AH35" s="613"/>
      <c r="AI35" s="613"/>
      <c r="AJ35" s="613"/>
      <c r="AK35" s="614"/>
      <c r="AL35" s="614"/>
      <c r="AM35" s="614"/>
      <c r="AN35" s="614"/>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c r="CU35" s="614"/>
      <c r="CV35" s="614"/>
      <c r="CW35" s="614"/>
      <c r="CX35" s="614"/>
      <c r="CY35" s="614"/>
      <c r="CZ35" s="614"/>
      <c r="DA35" s="614"/>
      <c r="DB35" s="614"/>
      <c r="DC35" s="614"/>
      <c r="DD35" s="614"/>
      <c r="DE35" s="614"/>
      <c r="DF35" s="614"/>
      <c r="DG35" s="614"/>
      <c r="DH35" s="614"/>
      <c r="DI35" s="614"/>
      <c r="DJ35" s="614"/>
      <c r="DK35" s="614"/>
      <c r="DL35" s="614"/>
      <c r="DM35" s="614"/>
      <c r="DN35" s="614"/>
      <c r="DO35" s="614"/>
      <c r="DP35" s="614"/>
      <c r="DQ35" s="614"/>
      <c r="DR35" s="614"/>
      <c r="DS35" s="614"/>
      <c r="DT35" s="614"/>
      <c r="DU35" s="614"/>
      <c r="DV35" s="614"/>
      <c r="DW35" s="614"/>
      <c r="DX35" s="614"/>
      <c r="DY35" s="614"/>
      <c r="DZ35" s="614"/>
      <c r="EA35" s="614"/>
      <c r="EB35" s="614"/>
      <c r="EC35" s="614"/>
      <c r="ED35" s="614"/>
      <c r="EE35" s="614"/>
      <c r="EF35" s="614"/>
      <c r="EG35" s="614"/>
      <c r="EH35" s="614"/>
      <c r="EI35" s="614"/>
      <c r="EJ35" s="614"/>
      <c r="EK35" s="614"/>
      <c r="EL35" s="614"/>
      <c r="EM35" s="614"/>
      <c r="EN35" s="614"/>
      <c r="EO35" s="614"/>
      <c r="EP35" s="614"/>
      <c r="EQ35" s="614"/>
      <c r="ER35" s="614"/>
      <c r="ES35" s="614"/>
      <c r="ET35" s="614"/>
      <c r="EU35" s="614"/>
      <c r="EV35" s="614"/>
      <c r="EW35" s="614"/>
      <c r="EX35" s="614"/>
      <c r="EY35" s="614"/>
      <c r="EZ35" s="614"/>
      <c r="FA35" s="614"/>
      <c r="FB35" s="614"/>
      <c r="FC35" s="614"/>
      <c r="FD35" s="614"/>
      <c r="FE35" s="614"/>
      <c r="FF35" s="614"/>
      <c r="FG35" s="614"/>
      <c r="FH35" s="614"/>
      <c r="FI35" s="614"/>
      <c r="FJ35" s="614"/>
      <c r="FK35" s="614"/>
      <c r="FL35" s="614"/>
      <c r="FM35" s="614"/>
      <c r="FN35" s="614"/>
      <c r="FO35" s="614"/>
      <c r="FP35" s="614"/>
      <c r="FQ35" s="614"/>
      <c r="FR35" s="614"/>
      <c r="FS35" s="614"/>
      <c r="FT35" s="614"/>
      <c r="FU35" s="614"/>
      <c r="FV35" s="614"/>
      <c r="FW35" s="614"/>
      <c r="FX35" s="614"/>
      <c r="FY35" s="614"/>
      <c r="FZ35" s="614"/>
      <c r="GA35" s="614"/>
      <c r="GB35" s="614"/>
      <c r="GC35" s="614"/>
      <c r="GD35" s="614"/>
      <c r="GE35" s="614"/>
      <c r="GF35" s="614"/>
      <c r="GG35" s="614"/>
      <c r="GH35" s="614"/>
      <c r="GI35" s="614"/>
      <c r="GJ35" s="614"/>
      <c r="GK35" s="614"/>
      <c r="GL35" s="614"/>
      <c r="GM35" s="614"/>
      <c r="GN35" s="614"/>
      <c r="GO35" s="614"/>
      <c r="GP35" s="614"/>
      <c r="GQ35" s="614"/>
      <c r="GR35" s="614"/>
      <c r="GS35" s="614"/>
      <c r="GT35" s="614"/>
      <c r="GU35" s="614"/>
      <c r="GV35" s="614"/>
      <c r="GW35" s="614"/>
      <c r="GX35" s="614"/>
      <c r="GY35" s="614"/>
      <c r="GZ35" s="614"/>
      <c r="HA35" s="614"/>
      <c r="HB35" s="614"/>
      <c r="HC35" s="614"/>
      <c r="HD35" s="614"/>
      <c r="HE35" s="614"/>
      <c r="HF35" s="614"/>
      <c r="HG35" s="614"/>
      <c r="HH35" s="614"/>
      <c r="HI35" s="614"/>
      <c r="HJ35" s="614"/>
      <c r="HK35" s="614"/>
      <c r="HL35" s="614"/>
      <c r="HM35" s="614"/>
      <c r="HN35" s="614"/>
      <c r="HO35" s="614"/>
      <c r="HP35" s="614"/>
      <c r="HQ35" s="614"/>
      <c r="HR35" s="614"/>
      <c r="HS35" s="614"/>
      <c r="HT35" s="614"/>
      <c r="HU35" s="614"/>
      <c r="HV35" s="614"/>
      <c r="HW35" s="614"/>
      <c r="HX35" s="614"/>
      <c r="HY35" s="614"/>
      <c r="HZ35" s="614"/>
      <c r="IA35" s="614"/>
      <c r="IB35" s="614"/>
      <c r="IC35" s="614"/>
      <c r="ID35" s="614"/>
      <c r="IE35" s="614"/>
      <c r="IF35" s="614"/>
      <c r="IG35" s="614"/>
      <c r="IH35" s="614"/>
      <c r="II35" s="614"/>
      <c r="IJ35" s="614"/>
      <c r="IK35" s="614"/>
      <c r="IL35" s="614"/>
      <c r="IM35" s="614"/>
      <c r="IN35" s="614"/>
      <c r="IO35" s="614"/>
      <c r="IP35" s="614"/>
      <c r="IQ35" s="614"/>
      <c r="IR35" s="614"/>
      <c r="IS35" s="614"/>
      <c r="IT35" s="614"/>
      <c r="IU35" s="614"/>
      <c r="IV35" s="614"/>
      <c r="IW35" s="614"/>
    </row>
    <row r="36" spans="1:257" s="621" customFormat="1" ht="31.5">
      <c r="A36" s="590">
        <v>1</v>
      </c>
      <c r="B36" s="607" t="s">
        <v>832</v>
      </c>
      <c r="C36" s="590"/>
      <c r="D36" s="590"/>
      <c r="E36" s="609"/>
      <c r="F36" s="603">
        <f>6800000000-1000000000-83000000-300000000-173000000</f>
        <v>5244000000</v>
      </c>
      <c r="G36" s="592">
        <f>F36-6800000000</f>
        <v>-1556000000</v>
      </c>
      <c r="H36" s="592"/>
      <c r="I36" s="592"/>
      <c r="J36" s="603">
        <f>K36</f>
        <v>0</v>
      </c>
      <c r="K36" s="603"/>
      <c r="L36" s="1302">
        <v>5000000000</v>
      </c>
      <c r="M36" s="609"/>
      <c r="N36" s="596">
        <f>L35+L679+Sheet2!BB15*1000+L116+4200000000</f>
        <v>238557819432</v>
      </c>
      <c r="O36" s="596">
        <f>2590000000+2747000000+93856000+400000000+130000000+250000000+225000000</f>
        <v>6435856000</v>
      </c>
      <c r="P36" s="593"/>
      <c r="Q36" s="593"/>
      <c r="R36" s="652" t="s">
        <v>833</v>
      </c>
      <c r="S36" s="640"/>
      <c r="T36" s="584" t="s">
        <v>774</v>
      </c>
      <c r="U36" s="667"/>
      <c r="V36" s="613"/>
      <c r="W36" s="619"/>
      <c r="X36" s="620"/>
    </row>
    <row r="37" spans="1:257" s="614" customFormat="1">
      <c r="A37" s="617"/>
      <c r="B37" s="668" t="s">
        <v>263</v>
      </c>
      <c r="C37" s="617"/>
      <c r="D37" s="617"/>
      <c r="E37" s="618"/>
      <c r="F37" s="669">
        <f>F36*10%</f>
        <v>524400000</v>
      </c>
      <c r="G37" s="592"/>
      <c r="H37" s="592"/>
      <c r="I37" s="592"/>
      <c r="J37" s="669"/>
      <c r="K37" s="669"/>
      <c r="L37" s="1306"/>
      <c r="M37" s="669"/>
      <c r="N37" s="670">
        <f>N36-N35</f>
        <v>-6774180568</v>
      </c>
      <c r="O37" s="670">
        <f>N37+O36</f>
        <v>-338324568</v>
      </c>
      <c r="P37" s="593"/>
      <c r="Q37" s="593"/>
      <c r="R37" s="1786"/>
      <c r="S37" s="1786"/>
      <c r="T37" s="584"/>
      <c r="U37" s="667"/>
      <c r="V37" s="613"/>
      <c r="W37" s="619"/>
      <c r="X37" s="620"/>
      <c r="Y37" s="621"/>
      <c r="Z37" s="621"/>
      <c r="AA37" s="621"/>
      <c r="AB37" s="621"/>
      <c r="AC37" s="621"/>
      <c r="AD37" s="621"/>
      <c r="AE37" s="621"/>
      <c r="AF37" s="621"/>
      <c r="AG37" s="621"/>
      <c r="AH37" s="621"/>
      <c r="AI37" s="621"/>
      <c r="AJ37" s="621"/>
      <c r="AK37" s="621"/>
      <c r="AL37" s="621"/>
      <c r="AM37" s="621"/>
      <c r="AN37" s="621"/>
      <c r="AO37" s="621"/>
      <c r="AP37" s="621"/>
      <c r="AQ37" s="621"/>
      <c r="AR37" s="621"/>
      <c r="AS37" s="621"/>
      <c r="AT37" s="621"/>
      <c r="AU37" s="621"/>
      <c r="AV37" s="621"/>
      <c r="AW37" s="621"/>
      <c r="AX37" s="621"/>
      <c r="AY37" s="621"/>
      <c r="AZ37" s="621"/>
      <c r="BA37" s="621"/>
      <c r="BB37" s="621"/>
      <c r="BC37" s="621"/>
      <c r="BD37" s="621"/>
      <c r="BE37" s="621"/>
      <c r="BF37" s="621"/>
      <c r="BG37" s="621"/>
      <c r="BH37" s="621"/>
      <c r="BI37" s="621"/>
      <c r="BJ37" s="621"/>
      <c r="BK37" s="621"/>
      <c r="BL37" s="621"/>
      <c r="BM37" s="621"/>
      <c r="BN37" s="621"/>
      <c r="BO37" s="621"/>
      <c r="BP37" s="621"/>
      <c r="BQ37" s="621"/>
      <c r="BR37" s="621"/>
      <c r="BS37" s="621"/>
      <c r="BT37" s="621"/>
      <c r="BU37" s="621"/>
      <c r="BV37" s="621"/>
      <c r="BW37" s="621"/>
      <c r="BX37" s="621"/>
      <c r="BY37" s="621"/>
      <c r="BZ37" s="621"/>
      <c r="CA37" s="621"/>
      <c r="CB37" s="621"/>
      <c r="CC37" s="621"/>
      <c r="CD37" s="621"/>
      <c r="CE37" s="621"/>
      <c r="CF37" s="621"/>
      <c r="CG37" s="621"/>
      <c r="CH37" s="621"/>
      <c r="CI37" s="621"/>
      <c r="CJ37" s="621"/>
      <c r="CK37" s="621"/>
      <c r="CL37" s="621"/>
      <c r="CM37" s="621"/>
      <c r="CN37" s="621"/>
      <c r="CO37" s="621"/>
      <c r="CP37" s="621"/>
      <c r="CQ37" s="621"/>
      <c r="CR37" s="621"/>
      <c r="CS37" s="621"/>
      <c r="CT37" s="621"/>
      <c r="CU37" s="621"/>
      <c r="CV37" s="621"/>
      <c r="CW37" s="621"/>
      <c r="CX37" s="621"/>
      <c r="CY37" s="621"/>
      <c r="CZ37" s="621"/>
      <c r="DA37" s="621"/>
      <c r="DB37" s="621"/>
      <c r="DC37" s="621"/>
      <c r="DD37" s="621"/>
      <c r="DE37" s="621"/>
      <c r="DF37" s="621"/>
      <c r="DG37" s="621"/>
      <c r="DH37" s="621"/>
      <c r="DI37" s="621"/>
      <c r="DJ37" s="621"/>
      <c r="DK37" s="621"/>
      <c r="DL37" s="621"/>
      <c r="DM37" s="621"/>
      <c r="DN37" s="621"/>
      <c r="DO37" s="621"/>
      <c r="DP37" s="621"/>
      <c r="DQ37" s="621"/>
      <c r="DR37" s="621"/>
      <c r="DS37" s="621"/>
      <c r="DT37" s="621"/>
      <c r="DU37" s="621"/>
      <c r="DV37" s="621"/>
      <c r="DW37" s="621"/>
      <c r="DX37" s="621"/>
      <c r="DY37" s="621"/>
      <c r="DZ37" s="621"/>
      <c r="EA37" s="621"/>
      <c r="EB37" s="621"/>
      <c r="EC37" s="621"/>
      <c r="ED37" s="621"/>
      <c r="EE37" s="621"/>
      <c r="EF37" s="621"/>
      <c r="EG37" s="621"/>
      <c r="EH37" s="621"/>
      <c r="EI37" s="621"/>
      <c r="EJ37" s="621"/>
      <c r="EK37" s="621"/>
      <c r="EL37" s="621"/>
      <c r="EM37" s="621"/>
      <c r="EN37" s="621"/>
      <c r="EO37" s="621"/>
      <c r="EP37" s="621"/>
      <c r="EQ37" s="621"/>
      <c r="ER37" s="621"/>
      <c r="ES37" s="621"/>
      <c r="ET37" s="621"/>
      <c r="EU37" s="621"/>
      <c r="EV37" s="621"/>
      <c r="EW37" s="621"/>
      <c r="EX37" s="621"/>
      <c r="EY37" s="621"/>
      <c r="EZ37" s="621"/>
      <c r="FA37" s="621"/>
      <c r="FB37" s="621"/>
      <c r="FC37" s="621"/>
      <c r="FD37" s="621"/>
      <c r="FE37" s="621"/>
      <c r="FF37" s="621"/>
      <c r="FG37" s="621"/>
      <c r="FH37" s="621"/>
      <c r="FI37" s="621"/>
      <c r="FJ37" s="621"/>
      <c r="FK37" s="621"/>
      <c r="FL37" s="621"/>
      <c r="FM37" s="621"/>
      <c r="FN37" s="621"/>
      <c r="FO37" s="621"/>
      <c r="FP37" s="621"/>
      <c r="FQ37" s="621"/>
      <c r="FR37" s="621"/>
      <c r="FS37" s="621"/>
      <c r="FT37" s="621"/>
      <c r="FU37" s="621"/>
      <c r="FV37" s="621"/>
      <c r="FW37" s="621"/>
      <c r="FX37" s="621"/>
      <c r="FY37" s="621"/>
      <c r="FZ37" s="621"/>
      <c r="GA37" s="621"/>
      <c r="GB37" s="621"/>
      <c r="GC37" s="621"/>
      <c r="GD37" s="621"/>
      <c r="GE37" s="621"/>
      <c r="GF37" s="621"/>
      <c r="GG37" s="621"/>
      <c r="GH37" s="621"/>
      <c r="GI37" s="621"/>
      <c r="GJ37" s="621"/>
      <c r="GK37" s="621"/>
      <c r="GL37" s="621"/>
      <c r="GM37" s="621"/>
      <c r="GN37" s="621"/>
      <c r="GO37" s="621"/>
      <c r="GP37" s="621"/>
      <c r="GQ37" s="621"/>
      <c r="GR37" s="621"/>
      <c r="GS37" s="621"/>
      <c r="GT37" s="621"/>
      <c r="GU37" s="621"/>
      <c r="GV37" s="621"/>
      <c r="GW37" s="621"/>
      <c r="GX37" s="621"/>
      <c r="GY37" s="621"/>
      <c r="GZ37" s="621"/>
      <c r="HA37" s="621"/>
      <c r="HB37" s="621"/>
      <c r="HC37" s="621"/>
      <c r="HD37" s="621"/>
      <c r="HE37" s="621"/>
      <c r="HF37" s="621"/>
      <c r="HG37" s="621"/>
      <c r="HH37" s="621"/>
      <c r="HI37" s="621"/>
      <c r="HJ37" s="621"/>
      <c r="HK37" s="621"/>
      <c r="HL37" s="621"/>
      <c r="HM37" s="621"/>
      <c r="HN37" s="621"/>
      <c r="HO37" s="621"/>
      <c r="HP37" s="621"/>
      <c r="HQ37" s="621"/>
      <c r="HR37" s="621"/>
      <c r="HS37" s="621"/>
      <c r="HT37" s="621"/>
      <c r="HU37" s="621"/>
      <c r="HV37" s="621"/>
      <c r="HW37" s="621"/>
      <c r="HX37" s="621"/>
      <c r="HY37" s="621"/>
      <c r="HZ37" s="621"/>
      <c r="IA37" s="621"/>
      <c r="IB37" s="621"/>
      <c r="IC37" s="621"/>
      <c r="ID37" s="621"/>
      <c r="IE37" s="621"/>
      <c r="IF37" s="621"/>
      <c r="IG37" s="621"/>
      <c r="IH37" s="621"/>
      <c r="II37" s="621"/>
      <c r="IJ37" s="621"/>
      <c r="IK37" s="621"/>
      <c r="IL37" s="621"/>
      <c r="IM37" s="621"/>
      <c r="IN37" s="621"/>
      <c r="IO37" s="621"/>
      <c r="IP37" s="621"/>
      <c r="IQ37" s="621"/>
      <c r="IR37" s="621"/>
      <c r="IS37" s="621"/>
      <c r="IT37" s="621"/>
      <c r="IU37" s="621"/>
      <c r="IV37" s="621"/>
      <c r="IW37" s="621"/>
    </row>
    <row r="38" spans="1:257" s="641" customFormat="1" ht="51.75" customHeight="1">
      <c r="A38" s="590">
        <v>2</v>
      </c>
      <c r="B38" s="671" t="s">
        <v>176</v>
      </c>
      <c r="C38" s="590"/>
      <c r="D38" s="590"/>
      <c r="E38" s="609"/>
      <c r="F38" s="609">
        <f t="shared" ref="F38:L38" si="2">SUM(F39:F48)</f>
        <v>8973000000</v>
      </c>
      <c r="G38" s="609">
        <f t="shared" si="2"/>
        <v>0</v>
      </c>
      <c r="H38" s="609">
        <f t="shared" si="2"/>
        <v>0</v>
      </c>
      <c r="I38" s="609">
        <f t="shared" si="2"/>
        <v>0</v>
      </c>
      <c r="J38" s="609">
        <f t="shared" si="2"/>
        <v>1707000000</v>
      </c>
      <c r="K38" s="609">
        <v>5492000000</v>
      </c>
      <c r="L38" s="1303">
        <f t="shared" si="2"/>
        <v>4953726300</v>
      </c>
      <c r="M38" s="609"/>
      <c r="N38" s="637">
        <f>N35-N36-O36</f>
        <v>338324568</v>
      </c>
      <c r="O38" s="637"/>
      <c r="P38" s="593"/>
      <c r="Q38" s="593"/>
      <c r="R38" s="652"/>
      <c r="S38" s="637"/>
      <c r="T38" s="655"/>
      <c r="U38" s="637"/>
      <c r="V38" s="613"/>
      <c r="W38" s="639"/>
      <c r="X38" s="640"/>
    </row>
    <row r="39" spans="1:257" s="641" customFormat="1" ht="38.25" customHeight="1">
      <c r="A39" s="672" t="s">
        <v>91</v>
      </c>
      <c r="B39" s="673" t="s">
        <v>177</v>
      </c>
      <c r="C39" s="635"/>
      <c r="D39" s="635"/>
      <c r="E39" s="651"/>
      <c r="F39" s="651">
        <v>56000000</v>
      </c>
      <c r="G39" s="645"/>
      <c r="H39" s="645"/>
      <c r="I39" s="645"/>
      <c r="J39" s="651">
        <v>57000000</v>
      </c>
      <c r="K39" s="651">
        <v>57000000</v>
      </c>
      <c r="L39" s="1305">
        <v>57000000</v>
      </c>
      <c r="M39" s="651" t="s">
        <v>1692</v>
      </c>
      <c r="N39" s="655"/>
      <c r="O39" s="655"/>
      <c r="P39" s="674"/>
      <c r="Q39" s="674"/>
      <c r="R39" s="655" t="s">
        <v>834</v>
      </c>
      <c r="S39" s="620">
        <f>F151+F176+F258+F281+F320+F345+F379+F496+F544+F569+F598+F630+F657+F698+F731+F753+F790+F850+F858+F940+F976+F1015+F1040+F1069</f>
        <v>29361000000</v>
      </c>
      <c r="T39" s="675"/>
      <c r="U39" s="637" t="e">
        <f>F152+F177+#REF!+F282+F321+F346+F379+#REF!+#REF!+F570+F599+F631+F657+F698+F731+F753+F790+F850+F940+F976+F1015+F1040+F1069</f>
        <v>#REF!</v>
      </c>
      <c r="V39" s="613"/>
      <c r="W39" s="639"/>
      <c r="X39" s="640"/>
    </row>
    <row r="40" spans="1:257" s="641" customFormat="1">
      <c r="A40" s="672" t="s">
        <v>91</v>
      </c>
      <c r="B40" s="673" t="s">
        <v>1687</v>
      </c>
      <c r="C40" s="635"/>
      <c r="D40" s="635"/>
      <c r="E40" s="651"/>
      <c r="F40" s="651">
        <v>8144000000</v>
      </c>
      <c r="G40" s="645"/>
      <c r="H40" s="645"/>
      <c r="I40" s="645"/>
      <c r="J40" s="651"/>
      <c r="K40" s="651"/>
      <c r="L40" s="1305">
        <v>11000000</v>
      </c>
      <c r="M40" s="651" t="s">
        <v>1688</v>
      </c>
      <c r="N40" s="655"/>
      <c r="O40" s="655"/>
      <c r="P40" s="674"/>
      <c r="Q40" s="674"/>
      <c r="R40" s="610"/>
      <c r="S40" s="620"/>
      <c r="T40" s="675"/>
      <c r="U40" s="655"/>
      <c r="V40" s="639"/>
      <c r="W40" s="639"/>
      <c r="X40" s="640"/>
    </row>
    <row r="41" spans="1:257" s="641" customFormat="1">
      <c r="A41" s="672" t="s">
        <v>91</v>
      </c>
      <c r="B41" s="673" t="s">
        <v>1689</v>
      </c>
      <c r="C41" s="635"/>
      <c r="D41" s="635"/>
      <c r="E41" s="651"/>
      <c r="F41" s="651"/>
      <c r="G41" s="645"/>
      <c r="H41" s="645"/>
      <c r="I41" s="645"/>
      <c r="J41" s="651">
        <v>94000000</v>
      </c>
      <c r="K41" s="651"/>
      <c r="L41" s="1305">
        <v>65000000</v>
      </c>
      <c r="M41" s="651" t="s">
        <v>1691</v>
      </c>
      <c r="N41" s="655"/>
      <c r="O41" s="655"/>
      <c r="P41" s="674"/>
      <c r="Q41" s="674"/>
      <c r="R41" s="610"/>
      <c r="S41" s="620"/>
      <c r="T41" s="675"/>
      <c r="U41" s="655"/>
      <c r="V41" s="639"/>
      <c r="W41" s="639"/>
      <c r="X41" s="640"/>
    </row>
    <row r="42" spans="1:257" s="641" customFormat="1" ht="31.5">
      <c r="A42" s="672" t="s">
        <v>91</v>
      </c>
      <c r="B42" s="673" t="s">
        <v>180</v>
      </c>
      <c r="C42" s="635"/>
      <c r="D42" s="635"/>
      <c r="E42" s="651"/>
      <c r="F42" s="651"/>
      <c r="G42" s="645"/>
      <c r="H42" s="645"/>
      <c r="I42" s="645"/>
      <c r="J42" s="651">
        <v>56000000</v>
      </c>
      <c r="K42" s="651">
        <v>56000000</v>
      </c>
      <c r="L42" s="1305">
        <v>4076726300</v>
      </c>
      <c r="M42" s="651" t="s">
        <v>835</v>
      </c>
      <c r="N42" s="655"/>
      <c r="O42" s="655"/>
      <c r="P42" s="674"/>
      <c r="Q42" s="674"/>
      <c r="R42" s="610" t="s">
        <v>836</v>
      </c>
      <c r="S42" s="620">
        <v>89252</v>
      </c>
      <c r="T42" s="675"/>
      <c r="U42" s="655"/>
      <c r="V42" s="639"/>
      <c r="W42" s="639"/>
      <c r="X42" s="640"/>
    </row>
    <row r="43" spans="1:257" s="641" customFormat="1">
      <c r="A43" s="672" t="s">
        <v>91</v>
      </c>
      <c r="B43" s="673" t="s">
        <v>1690</v>
      </c>
      <c r="C43" s="635"/>
      <c r="D43" s="635"/>
      <c r="E43" s="651"/>
      <c r="F43" s="651"/>
      <c r="G43" s="645"/>
      <c r="H43" s="645"/>
      <c r="I43" s="645"/>
      <c r="J43" s="651"/>
      <c r="K43" s="651"/>
      <c r="L43" s="1305">
        <v>500000000</v>
      </c>
      <c r="M43" s="651" t="s">
        <v>1693</v>
      </c>
      <c r="N43" s="655"/>
      <c r="O43" s="655"/>
      <c r="P43" s="674"/>
      <c r="Q43" s="674"/>
      <c r="R43" s="610"/>
      <c r="S43" s="620"/>
      <c r="T43" s="675"/>
      <c r="U43" s="655"/>
      <c r="V43" s="639"/>
      <c r="W43" s="639"/>
      <c r="X43" s="640"/>
    </row>
    <row r="44" spans="1:257" s="641" customFormat="1">
      <c r="A44" s="672"/>
      <c r="B44" s="673" t="s">
        <v>1682</v>
      </c>
      <c r="C44" s="635"/>
      <c r="D44" s="635"/>
      <c r="E44" s="651"/>
      <c r="F44" s="651"/>
      <c r="G44" s="645"/>
      <c r="H44" s="645"/>
      <c r="I44" s="645"/>
      <c r="J44" s="651"/>
      <c r="K44" s="651"/>
      <c r="L44" s="1305"/>
      <c r="M44" s="651" t="s">
        <v>1828</v>
      </c>
      <c r="N44" s="655">
        <f>L44+L45+L48</f>
        <v>0</v>
      </c>
      <c r="O44" s="655"/>
      <c r="P44" s="674"/>
      <c r="Q44" s="674"/>
      <c r="R44" s="610"/>
      <c r="S44" s="620"/>
      <c r="T44" s="675"/>
      <c r="U44" s="655"/>
      <c r="V44" s="639"/>
      <c r="W44" s="639"/>
      <c r="X44" s="640"/>
    </row>
    <row r="45" spans="1:257" s="641" customFormat="1">
      <c r="A45" s="672"/>
      <c r="B45" s="673" t="s">
        <v>1684</v>
      </c>
      <c r="C45" s="635"/>
      <c r="D45" s="635"/>
      <c r="E45" s="651"/>
      <c r="F45" s="651"/>
      <c r="G45" s="645"/>
      <c r="H45" s="645"/>
      <c r="I45" s="645"/>
      <c r="J45" s="651"/>
      <c r="K45" s="651"/>
      <c r="L45" s="1305"/>
      <c r="M45" s="651" t="s">
        <v>1829</v>
      </c>
      <c r="N45" s="655"/>
      <c r="O45" s="655"/>
      <c r="P45" s="674"/>
      <c r="Q45" s="674"/>
      <c r="R45" s="610"/>
      <c r="S45" s="620"/>
      <c r="T45" s="675"/>
      <c r="U45" s="655"/>
      <c r="V45" s="639"/>
      <c r="W45" s="639"/>
      <c r="X45" s="640"/>
    </row>
    <row r="46" spans="1:257" s="641" customFormat="1">
      <c r="A46" s="672"/>
      <c r="B46" s="673" t="s">
        <v>1685</v>
      </c>
      <c r="C46" s="635"/>
      <c r="D46" s="635"/>
      <c r="E46" s="651"/>
      <c r="F46" s="651"/>
      <c r="G46" s="645"/>
      <c r="H46" s="645"/>
      <c r="I46" s="645"/>
      <c r="J46" s="651"/>
      <c r="K46" s="651"/>
      <c r="L46" s="1305">
        <f>920000000-882000000</f>
        <v>38000000</v>
      </c>
      <c r="M46" s="651"/>
      <c r="N46" s="655"/>
      <c r="O46" s="655"/>
      <c r="P46" s="674"/>
      <c r="Q46" s="674"/>
      <c r="R46" s="610"/>
      <c r="S46" s="620"/>
      <c r="T46" s="675"/>
      <c r="U46" s="655"/>
      <c r="V46" s="639"/>
      <c r="W46" s="639"/>
      <c r="X46" s="640"/>
    </row>
    <row r="47" spans="1:257" s="641" customFormat="1">
      <c r="A47" s="672"/>
      <c r="B47" s="673" t="s">
        <v>1686</v>
      </c>
      <c r="C47" s="635"/>
      <c r="D47" s="635"/>
      <c r="E47" s="651"/>
      <c r="F47" s="651"/>
      <c r="G47" s="645"/>
      <c r="H47" s="645"/>
      <c r="I47" s="645"/>
      <c r="J47" s="651"/>
      <c r="K47" s="651"/>
      <c r="L47" s="1305">
        <f>1351000000-1145000000</f>
        <v>206000000</v>
      </c>
      <c r="M47" s="651"/>
      <c r="N47" s="655"/>
      <c r="O47" s="655"/>
      <c r="P47" s="674"/>
      <c r="Q47" s="674"/>
      <c r="R47" s="610"/>
      <c r="S47" s="620"/>
      <c r="T47" s="675"/>
      <c r="U47" s="655"/>
      <c r="V47" s="639"/>
      <c r="W47" s="639"/>
      <c r="X47" s="640"/>
    </row>
    <row r="48" spans="1:257" s="641" customFormat="1" ht="40.5" customHeight="1">
      <c r="A48" s="672" t="s">
        <v>91</v>
      </c>
      <c r="B48" s="673" t="s">
        <v>1683</v>
      </c>
      <c r="C48" s="635"/>
      <c r="D48" s="635"/>
      <c r="E48" s="651"/>
      <c r="F48" s="651">
        <f>ROUND(155000000+56000000+350114000+17613000+24952000+169000000,-6)</f>
        <v>773000000</v>
      </c>
      <c r="G48" s="645" t="s">
        <v>837</v>
      </c>
      <c r="H48" s="645"/>
      <c r="I48" s="645"/>
      <c r="J48" s="651">
        <v>1500000000</v>
      </c>
      <c r="K48" s="651"/>
      <c r="L48" s="1305"/>
      <c r="M48" s="651" t="s">
        <v>1830</v>
      </c>
      <c r="N48" s="655"/>
      <c r="O48" s="655"/>
      <c r="P48" s="674"/>
      <c r="Q48" s="674"/>
      <c r="R48" s="610" t="s">
        <v>838</v>
      </c>
      <c r="S48" s="620">
        <v>9259</v>
      </c>
      <c r="T48" s="675"/>
      <c r="U48" s="655"/>
      <c r="V48" s="639"/>
      <c r="W48" s="639"/>
      <c r="X48" s="640"/>
    </row>
    <row r="49" spans="1:257" s="682" customFormat="1" ht="15.75" customHeight="1">
      <c r="A49" s="590">
        <v>3</v>
      </c>
      <c r="B49" s="607" t="s">
        <v>183</v>
      </c>
      <c r="C49" s="590"/>
      <c r="D49" s="590"/>
      <c r="E49" s="609"/>
      <c r="F49" s="603">
        <v>0</v>
      </c>
      <c r="G49" s="645" t="s">
        <v>839</v>
      </c>
      <c r="H49" s="645"/>
      <c r="I49" s="645"/>
      <c r="J49" s="603"/>
      <c r="K49" s="603"/>
      <c r="L49" s="1302"/>
      <c r="M49" s="603"/>
      <c r="N49" s="596"/>
      <c r="O49" s="596"/>
      <c r="P49" s="674"/>
      <c r="Q49" s="674"/>
      <c r="R49" s="637"/>
      <c r="S49" s="677"/>
      <c r="T49" s="678"/>
      <c r="U49" s="637"/>
      <c r="V49" s="679"/>
      <c r="W49" s="680"/>
      <c r="X49" s="677"/>
      <c r="Y49" s="681"/>
      <c r="Z49" s="681"/>
      <c r="AA49" s="681"/>
      <c r="AB49" s="681"/>
      <c r="AC49" s="681"/>
      <c r="AD49" s="681"/>
      <c r="AE49" s="681"/>
      <c r="AF49" s="681"/>
      <c r="AG49" s="681"/>
      <c r="AH49" s="681"/>
      <c r="AI49" s="681"/>
      <c r="AJ49" s="681"/>
      <c r="AK49" s="681"/>
      <c r="AL49" s="681"/>
      <c r="AM49" s="681"/>
      <c r="AN49" s="681"/>
      <c r="AO49" s="681"/>
      <c r="AP49" s="681"/>
      <c r="AQ49" s="681"/>
      <c r="AR49" s="681"/>
      <c r="AS49" s="681"/>
      <c r="AT49" s="681"/>
      <c r="AU49" s="681"/>
      <c r="AV49" s="681"/>
      <c r="AW49" s="681"/>
      <c r="AX49" s="681"/>
      <c r="AY49" s="681"/>
      <c r="AZ49" s="681"/>
      <c r="BA49" s="681"/>
      <c r="BB49" s="681"/>
      <c r="BC49" s="681"/>
      <c r="BD49" s="681"/>
      <c r="BE49" s="681"/>
      <c r="BF49" s="681"/>
      <c r="BG49" s="681"/>
      <c r="BH49" s="681"/>
      <c r="BI49" s="681"/>
      <c r="BJ49" s="681"/>
      <c r="BK49" s="681"/>
      <c r="BL49" s="681"/>
      <c r="BM49" s="681"/>
      <c r="BN49" s="681"/>
      <c r="BO49" s="681"/>
      <c r="BP49" s="681"/>
      <c r="BQ49" s="681"/>
      <c r="BR49" s="681"/>
      <c r="BS49" s="681"/>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c r="CU49" s="681"/>
      <c r="CV49" s="681"/>
      <c r="CW49" s="681"/>
      <c r="CX49" s="681"/>
      <c r="CY49" s="681"/>
      <c r="CZ49" s="681"/>
      <c r="DA49" s="681"/>
      <c r="DB49" s="681"/>
      <c r="DC49" s="681"/>
      <c r="DD49" s="681"/>
      <c r="DE49" s="681"/>
      <c r="DF49" s="681"/>
      <c r="DG49" s="681"/>
      <c r="DH49" s="681"/>
      <c r="DI49" s="681"/>
      <c r="DJ49" s="681"/>
      <c r="DK49" s="681"/>
      <c r="DL49" s="681"/>
      <c r="DM49" s="681"/>
      <c r="DN49" s="681"/>
      <c r="DO49" s="681"/>
      <c r="DP49" s="681"/>
      <c r="DQ49" s="681"/>
      <c r="DR49" s="681"/>
      <c r="DS49" s="681"/>
      <c r="DT49" s="681"/>
      <c r="DU49" s="681"/>
      <c r="DV49" s="681"/>
      <c r="DW49" s="681"/>
      <c r="DX49" s="681"/>
      <c r="DY49" s="681"/>
      <c r="DZ49" s="681"/>
      <c r="EA49" s="681"/>
      <c r="EB49" s="681"/>
      <c r="EC49" s="681"/>
      <c r="ED49" s="681"/>
      <c r="EE49" s="681"/>
      <c r="EF49" s="681"/>
      <c r="EG49" s="681"/>
      <c r="EH49" s="681"/>
      <c r="EI49" s="681"/>
      <c r="EJ49" s="681"/>
      <c r="EK49" s="681"/>
      <c r="EL49" s="681"/>
      <c r="EM49" s="681"/>
      <c r="EN49" s="681"/>
      <c r="EO49" s="681"/>
      <c r="EP49" s="681"/>
      <c r="EQ49" s="681"/>
      <c r="ER49" s="681"/>
      <c r="ES49" s="681"/>
      <c r="ET49" s="681"/>
      <c r="EU49" s="681"/>
      <c r="EV49" s="681"/>
      <c r="EW49" s="681"/>
      <c r="EX49" s="681"/>
      <c r="EY49" s="681"/>
      <c r="EZ49" s="681"/>
      <c r="FA49" s="681"/>
      <c r="FB49" s="681"/>
      <c r="FC49" s="681"/>
      <c r="FD49" s="681"/>
      <c r="FE49" s="681"/>
      <c r="FF49" s="681"/>
      <c r="FG49" s="681"/>
      <c r="FH49" s="681"/>
      <c r="FI49" s="681"/>
      <c r="FJ49" s="681"/>
      <c r="FK49" s="681"/>
      <c r="FL49" s="681"/>
      <c r="FM49" s="681"/>
      <c r="FN49" s="681"/>
      <c r="FO49" s="681"/>
      <c r="FP49" s="681"/>
      <c r="FQ49" s="681"/>
      <c r="FR49" s="681"/>
      <c r="FS49" s="681"/>
      <c r="FT49" s="681"/>
      <c r="FU49" s="681"/>
      <c r="FV49" s="681"/>
      <c r="FW49" s="681"/>
      <c r="FX49" s="681"/>
      <c r="FY49" s="681"/>
      <c r="FZ49" s="681"/>
      <c r="GA49" s="681"/>
      <c r="GB49" s="681"/>
      <c r="GC49" s="681"/>
      <c r="GD49" s="681"/>
      <c r="GE49" s="681"/>
      <c r="GF49" s="681"/>
      <c r="GG49" s="681"/>
      <c r="GH49" s="681"/>
      <c r="GI49" s="681"/>
      <c r="GJ49" s="681"/>
      <c r="GK49" s="681"/>
      <c r="GL49" s="681"/>
      <c r="GM49" s="681"/>
      <c r="GN49" s="681"/>
      <c r="GO49" s="681"/>
      <c r="GP49" s="681"/>
      <c r="GQ49" s="681"/>
      <c r="GR49" s="681"/>
      <c r="GS49" s="681"/>
      <c r="GT49" s="681"/>
      <c r="GU49" s="681"/>
      <c r="GV49" s="681"/>
      <c r="GW49" s="681"/>
      <c r="GX49" s="681"/>
      <c r="GY49" s="681"/>
      <c r="GZ49" s="681"/>
      <c r="HA49" s="681"/>
      <c r="HB49" s="681"/>
      <c r="HC49" s="681"/>
      <c r="HD49" s="681"/>
      <c r="HE49" s="681"/>
      <c r="HF49" s="681"/>
      <c r="HG49" s="681"/>
      <c r="HH49" s="681"/>
      <c r="HI49" s="681"/>
      <c r="HJ49" s="681"/>
      <c r="HK49" s="681"/>
      <c r="HL49" s="681"/>
      <c r="HM49" s="681"/>
      <c r="HN49" s="681"/>
      <c r="HO49" s="681"/>
      <c r="HP49" s="681"/>
      <c r="HQ49" s="681"/>
      <c r="HR49" s="681"/>
      <c r="HS49" s="681"/>
      <c r="HT49" s="681"/>
      <c r="HU49" s="681"/>
      <c r="HV49" s="681"/>
      <c r="HW49" s="681"/>
      <c r="HX49" s="681"/>
      <c r="HY49" s="681"/>
      <c r="HZ49" s="681"/>
      <c r="IA49" s="681"/>
      <c r="IB49" s="681"/>
      <c r="IC49" s="681"/>
      <c r="ID49" s="681"/>
      <c r="IE49" s="681"/>
      <c r="IF49" s="681"/>
      <c r="IG49" s="681"/>
      <c r="IH49" s="681"/>
      <c r="II49" s="681"/>
      <c r="IJ49" s="681"/>
      <c r="IK49" s="681"/>
      <c r="IL49" s="681"/>
      <c r="IM49" s="681"/>
      <c r="IN49" s="681"/>
      <c r="IO49" s="681"/>
      <c r="IP49" s="681"/>
      <c r="IQ49" s="681"/>
      <c r="IR49" s="681"/>
      <c r="IS49" s="681"/>
      <c r="IT49" s="681"/>
      <c r="IU49" s="681"/>
      <c r="IV49" s="681"/>
      <c r="IW49" s="681"/>
    </row>
    <row r="50" spans="1:257" s="682" customFormat="1" ht="15.75" customHeight="1">
      <c r="A50" s="683"/>
      <c r="B50" s="684" t="s">
        <v>184</v>
      </c>
      <c r="C50" s="683"/>
      <c r="D50" s="683"/>
      <c r="E50" s="669"/>
      <c r="F50" s="685"/>
      <c r="G50" s="686"/>
      <c r="H50" s="686"/>
      <c r="I50" s="686"/>
      <c r="J50" s="685"/>
      <c r="K50" s="669"/>
      <c r="L50" s="1306"/>
      <c r="M50" s="685"/>
      <c r="N50" s="687"/>
      <c r="O50" s="687"/>
      <c r="P50" s="688"/>
      <c r="Q50" s="688"/>
      <c r="R50" s="670"/>
      <c r="S50" s="677"/>
      <c r="T50" s="678"/>
      <c r="U50" s="670"/>
      <c r="V50" s="689"/>
      <c r="W50" s="680"/>
      <c r="X50" s="677"/>
      <c r="Y50" s="681"/>
      <c r="Z50" s="681"/>
      <c r="AA50" s="681"/>
      <c r="AB50" s="681"/>
      <c r="AC50" s="681"/>
      <c r="AD50" s="681"/>
      <c r="AE50" s="681"/>
      <c r="AF50" s="681"/>
      <c r="AG50" s="681"/>
      <c r="AH50" s="681"/>
      <c r="AI50" s="681"/>
      <c r="AJ50" s="681"/>
      <c r="AK50" s="681"/>
      <c r="AL50" s="681"/>
      <c r="AM50" s="681"/>
      <c r="AN50" s="681"/>
      <c r="AO50" s="681"/>
      <c r="AP50" s="681"/>
      <c r="AQ50" s="681"/>
      <c r="AR50" s="681"/>
      <c r="AS50" s="681"/>
      <c r="AT50" s="681"/>
      <c r="AU50" s="681"/>
      <c r="AV50" s="681"/>
      <c r="AW50" s="681"/>
      <c r="AX50" s="681"/>
      <c r="AY50" s="681"/>
      <c r="AZ50" s="681"/>
      <c r="BA50" s="681"/>
      <c r="BB50" s="681"/>
      <c r="BC50" s="681"/>
      <c r="BD50" s="681"/>
      <c r="BE50" s="681"/>
      <c r="BF50" s="681"/>
      <c r="BG50" s="681"/>
      <c r="BH50" s="681"/>
      <c r="BI50" s="681"/>
      <c r="BJ50" s="681"/>
      <c r="BK50" s="681"/>
      <c r="BL50" s="681"/>
      <c r="BM50" s="681"/>
      <c r="BN50" s="681"/>
      <c r="BO50" s="681"/>
      <c r="BP50" s="681"/>
      <c r="BQ50" s="681"/>
      <c r="BR50" s="681"/>
      <c r="BS50" s="681"/>
      <c r="BT50" s="681"/>
      <c r="BU50" s="681"/>
      <c r="BV50" s="681"/>
      <c r="BW50" s="681"/>
      <c r="BX50" s="681"/>
      <c r="BY50" s="681"/>
      <c r="BZ50" s="681"/>
      <c r="CA50" s="681"/>
      <c r="CB50" s="681"/>
      <c r="CC50" s="681"/>
      <c r="CD50" s="681"/>
      <c r="CE50" s="681"/>
      <c r="CF50" s="681"/>
      <c r="CG50" s="681"/>
      <c r="CH50" s="681"/>
      <c r="CI50" s="681"/>
      <c r="CJ50" s="681"/>
      <c r="CK50" s="681"/>
      <c r="CL50" s="681"/>
      <c r="CM50" s="681"/>
      <c r="CN50" s="681"/>
      <c r="CO50" s="681"/>
      <c r="CP50" s="681"/>
      <c r="CQ50" s="681"/>
      <c r="CR50" s="681"/>
      <c r="CS50" s="681"/>
      <c r="CT50" s="681"/>
      <c r="CU50" s="681"/>
      <c r="CV50" s="681"/>
      <c r="CW50" s="681"/>
      <c r="CX50" s="681"/>
      <c r="CY50" s="681"/>
      <c r="CZ50" s="681"/>
      <c r="DA50" s="681"/>
      <c r="DB50" s="681"/>
      <c r="DC50" s="681"/>
      <c r="DD50" s="681"/>
      <c r="DE50" s="681"/>
      <c r="DF50" s="681"/>
      <c r="DG50" s="681"/>
      <c r="DH50" s="681"/>
      <c r="DI50" s="681"/>
      <c r="DJ50" s="681"/>
      <c r="DK50" s="681"/>
      <c r="DL50" s="681"/>
      <c r="DM50" s="681"/>
      <c r="DN50" s="681"/>
      <c r="DO50" s="681"/>
      <c r="DP50" s="681"/>
      <c r="DQ50" s="681"/>
      <c r="DR50" s="681"/>
      <c r="DS50" s="681"/>
      <c r="DT50" s="681"/>
      <c r="DU50" s="681"/>
      <c r="DV50" s="681"/>
      <c r="DW50" s="681"/>
      <c r="DX50" s="681"/>
      <c r="DY50" s="681"/>
      <c r="DZ50" s="681"/>
      <c r="EA50" s="681"/>
      <c r="EB50" s="681"/>
      <c r="EC50" s="681"/>
      <c r="ED50" s="681"/>
      <c r="EE50" s="681"/>
      <c r="EF50" s="681"/>
      <c r="EG50" s="681"/>
      <c r="EH50" s="681"/>
      <c r="EI50" s="681"/>
      <c r="EJ50" s="681"/>
      <c r="EK50" s="681"/>
      <c r="EL50" s="681"/>
      <c r="EM50" s="681"/>
      <c r="EN50" s="681"/>
      <c r="EO50" s="681"/>
      <c r="EP50" s="681"/>
      <c r="EQ50" s="681"/>
      <c r="ER50" s="681"/>
      <c r="ES50" s="681"/>
      <c r="ET50" s="681"/>
      <c r="EU50" s="681"/>
      <c r="EV50" s="681"/>
      <c r="EW50" s="681"/>
      <c r="EX50" s="681"/>
      <c r="EY50" s="681"/>
      <c r="EZ50" s="681"/>
      <c r="FA50" s="681"/>
      <c r="FB50" s="681"/>
      <c r="FC50" s="681"/>
      <c r="FD50" s="681"/>
      <c r="FE50" s="681"/>
      <c r="FF50" s="681"/>
      <c r="FG50" s="681"/>
      <c r="FH50" s="681"/>
      <c r="FI50" s="681"/>
      <c r="FJ50" s="681"/>
      <c r="FK50" s="681"/>
      <c r="FL50" s="681"/>
      <c r="FM50" s="681"/>
      <c r="FN50" s="681"/>
      <c r="FO50" s="681"/>
      <c r="FP50" s="681"/>
      <c r="FQ50" s="681"/>
      <c r="FR50" s="681"/>
      <c r="FS50" s="681"/>
      <c r="FT50" s="681"/>
      <c r="FU50" s="681"/>
      <c r="FV50" s="681"/>
      <c r="FW50" s="681"/>
      <c r="FX50" s="681"/>
      <c r="FY50" s="681"/>
      <c r="FZ50" s="681"/>
      <c r="GA50" s="681"/>
      <c r="GB50" s="681"/>
      <c r="GC50" s="681"/>
      <c r="GD50" s="681"/>
      <c r="GE50" s="681"/>
      <c r="GF50" s="681"/>
      <c r="GG50" s="681"/>
      <c r="GH50" s="681"/>
      <c r="GI50" s="681"/>
      <c r="GJ50" s="681"/>
      <c r="GK50" s="681"/>
      <c r="GL50" s="681"/>
      <c r="GM50" s="681"/>
      <c r="GN50" s="681"/>
      <c r="GO50" s="681"/>
      <c r="GP50" s="681"/>
      <c r="GQ50" s="681"/>
      <c r="GR50" s="681"/>
      <c r="GS50" s="681"/>
      <c r="GT50" s="681"/>
      <c r="GU50" s="681"/>
      <c r="GV50" s="681"/>
      <c r="GW50" s="681"/>
      <c r="GX50" s="681"/>
      <c r="GY50" s="681"/>
      <c r="GZ50" s="681"/>
      <c r="HA50" s="681"/>
      <c r="HB50" s="681"/>
      <c r="HC50" s="681"/>
      <c r="HD50" s="681"/>
      <c r="HE50" s="681"/>
      <c r="HF50" s="681"/>
      <c r="HG50" s="681"/>
      <c r="HH50" s="681"/>
      <c r="HI50" s="681"/>
      <c r="HJ50" s="681"/>
      <c r="HK50" s="681"/>
      <c r="HL50" s="681"/>
      <c r="HM50" s="681"/>
      <c r="HN50" s="681"/>
      <c r="HO50" s="681"/>
      <c r="HP50" s="681"/>
      <c r="HQ50" s="681"/>
      <c r="HR50" s="681"/>
      <c r="HS50" s="681"/>
      <c r="HT50" s="681"/>
      <c r="HU50" s="681"/>
      <c r="HV50" s="681"/>
      <c r="HW50" s="681"/>
      <c r="HX50" s="681"/>
      <c r="HY50" s="681"/>
      <c r="HZ50" s="681"/>
      <c r="IA50" s="681"/>
      <c r="IB50" s="681"/>
      <c r="IC50" s="681"/>
      <c r="ID50" s="681"/>
      <c r="IE50" s="681"/>
      <c r="IF50" s="681"/>
      <c r="IG50" s="681"/>
      <c r="IH50" s="681"/>
      <c r="II50" s="681"/>
      <c r="IJ50" s="681"/>
      <c r="IK50" s="681"/>
      <c r="IL50" s="681"/>
      <c r="IM50" s="681"/>
      <c r="IN50" s="681"/>
      <c r="IO50" s="681"/>
      <c r="IP50" s="681"/>
      <c r="IQ50" s="681"/>
      <c r="IR50" s="681"/>
      <c r="IS50" s="681"/>
      <c r="IT50" s="681"/>
      <c r="IU50" s="681"/>
      <c r="IV50" s="681"/>
      <c r="IW50" s="681"/>
    </row>
    <row r="51" spans="1:257" s="682" customFormat="1" ht="15.75" customHeight="1">
      <c r="A51" s="683"/>
      <c r="B51" s="684" t="s">
        <v>185</v>
      </c>
      <c r="C51" s="683"/>
      <c r="D51" s="683"/>
      <c r="E51" s="669"/>
      <c r="F51" s="685"/>
      <c r="G51" s="686"/>
      <c r="H51" s="686"/>
      <c r="I51" s="686"/>
      <c r="J51" s="685"/>
      <c r="K51" s="669"/>
      <c r="L51" s="1306"/>
      <c r="M51" s="685"/>
      <c r="N51" s="687"/>
      <c r="O51" s="687"/>
      <c r="P51" s="688"/>
      <c r="Q51" s="688"/>
      <c r="R51" s="670"/>
      <c r="S51" s="677"/>
      <c r="T51" s="678"/>
      <c r="U51" s="670"/>
      <c r="V51" s="689"/>
      <c r="W51" s="680"/>
      <c r="X51" s="677"/>
      <c r="Y51" s="681"/>
      <c r="Z51" s="681"/>
      <c r="AA51" s="681"/>
      <c r="AB51" s="681"/>
      <c r="AC51" s="681"/>
      <c r="AD51" s="681"/>
      <c r="AE51" s="681"/>
      <c r="AF51" s="681"/>
      <c r="AG51" s="681"/>
      <c r="AH51" s="681"/>
      <c r="AI51" s="681"/>
      <c r="AJ51" s="681"/>
      <c r="AK51" s="681"/>
      <c r="AL51" s="681"/>
      <c r="AM51" s="681"/>
      <c r="AN51" s="681"/>
      <c r="AO51" s="681"/>
      <c r="AP51" s="681"/>
      <c r="AQ51" s="681"/>
      <c r="AR51" s="681"/>
      <c r="AS51" s="681"/>
      <c r="AT51" s="681"/>
      <c r="AU51" s="681"/>
      <c r="AV51" s="681"/>
      <c r="AW51" s="681"/>
      <c r="AX51" s="681"/>
      <c r="AY51" s="681"/>
      <c r="AZ51" s="681"/>
      <c r="BA51" s="681"/>
      <c r="BB51" s="681"/>
      <c r="BC51" s="681"/>
      <c r="BD51" s="681"/>
      <c r="BE51" s="681"/>
      <c r="BF51" s="681"/>
      <c r="BG51" s="681"/>
      <c r="BH51" s="681"/>
      <c r="BI51" s="681"/>
      <c r="BJ51" s="681"/>
      <c r="BK51" s="681"/>
      <c r="BL51" s="681"/>
      <c r="BM51" s="681"/>
      <c r="BN51" s="681"/>
      <c r="BO51" s="681"/>
      <c r="BP51" s="681"/>
      <c r="BQ51" s="681"/>
      <c r="BR51" s="681"/>
      <c r="BS51" s="681"/>
      <c r="BT51" s="681"/>
      <c r="BU51" s="681"/>
      <c r="BV51" s="681"/>
      <c r="BW51" s="681"/>
      <c r="BX51" s="681"/>
      <c r="BY51" s="681"/>
      <c r="BZ51" s="681"/>
      <c r="CA51" s="681"/>
      <c r="CB51" s="681"/>
      <c r="CC51" s="681"/>
      <c r="CD51" s="681"/>
      <c r="CE51" s="681"/>
      <c r="CF51" s="681"/>
      <c r="CG51" s="681"/>
      <c r="CH51" s="681"/>
      <c r="CI51" s="681"/>
      <c r="CJ51" s="681"/>
      <c r="CK51" s="681"/>
      <c r="CL51" s="681"/>
      <c r="CM51" s="681"/>
      <c r="CN51" s="681"/>
      <c r="CO51" s="681"/>
      <c r="CP51" s="681"/>
      <c r="CQ51" s="681"/>
      <c r="CR51" s="681"/>
      <c r="CS51" s="681"/>
      <c r="CT51" s="681"/>
      <c r="CU51" s="681"/>
      <c r="CV51" s="681"/>
      <c r="CW51" s="681"/>
      <c r="CX51" s="681"/>
      <c r="CY51" s="681"/>
      <c r="CZ51" s="681"/>
      <c r="DA51" s="681"/>
      <c r="DB51" s="681"/>
      <c r="DC51" s="681"/>
      <c r="DD51" s="681"/>
      <c r="DE51" s="681"/>
      <c r="DF51" s="681"/>
      <c r="DG51" s="681"/>
      <c r="DH51" s="681"/>
      <c r="DI51" s="681"/>
      <c r="DJ51" s="681"/>
      <c r="DK51" s="681"/>
      <c r="DL51" s="681"/>
      <c r="DM51" s="681"/>
      <c r="DN51" s="681"/>
      <c r="DO51" s="681"/>
      <c r="DP51" s="681"/>
      <c r="DQ51" s="681"/>
      <c r="DR51" s="681"/>
      <c r="DS51" s="681"/>
      <c r="DT51" s="681"/>
      <c r="DU51" s="681"/>
      <c r="DV51" s="681"/>
      <c r="DW51" s="681"/>
      <c r="DX51" s="681"/>
      <c r="DY51" s="681"/>
      <c r="DZ51" s="681"/>
      <c r="EA51" s="681"/>
      <c r="EB51" s="681"/>
      <c r="EC51" s="681"/>
      <c r="ED51" s="681"/>
      <c r="EE51" s="681"/>
      <c r="EF51" s="681"/>
      <c r="EG51" s="681"/>
      <c r="EH51" s="681"/>
      <c r="EI51" s="681"/>
      <c r="EJ51" s="681"/>
      <c r="EK51" s="681"/>
      <c r="EL51" s="681"/>
      <c r="EM51" s="681"/>
      <c r="EN51" s="681"/>
      <c r="EO51" s="681"/>
      <c r="EP51" s="681"/>
      <c r="EQ51" s="681"/>
      <c r="ER51" s="681"/>
      <c r="ES51" s="681"/>
      <c r="ET51" s="681"/>
      <c r="EU51" s="681"/>
      <c r="EV51" s="681"/>
      <c r="EW51" s="681"/>
      <c r="EX51" s="681"/>
      <c r="EY51" s="681"/>
      <c r="EZ51" s="681"/>
      <c r="FA51" s="681"/>
      <c r="FB51" s="681"/>
      <c r="FC51" s="681"/>
      <c r="FD51" s="681"/>
      <c r="FE51" s="681"/>
      <c r="FF51" s="681"/>
      <c r="FG51" s="681"/>
      <c r="FH51" s="681"/>
      <c r="FI51" s="681"/>
      <c r="FJ51" s="681"/>
      <c r="FK51" s="681"/>
      <c r="FL51" s="681"/>
      <c r="FM51" s="681"/>
      <c r="FN51" s="681"/>
      <c r="FO51" s="681"/>
      <c r="FP51" s="681"/>
      <c r="FQ51" s="681"/>
      <c r="FR51" s="681"/>
      <c r="FS51" s="681"/>
      <c r="FT51" s="681"/>
      <c r="FU51" s="681"/>
      <c r="FV51" s="681"/>
      <c r="FW51" s="681"/>
      <c r="FX51" s="681"/>
      <c r="FY51" s="681"/>
      <c r="FZ51" s="681"/>
      <c r="GA51" s="681"/>
      <c r="GB51" s="681"/>
      <c r="GC51" s="681"/>
      <c r="GD51" s="681"/>
      <c r="GE51" s="681"/>
      <c r="GF51" s="681"/>
      <c r="GG51" s="681"/>
      <c r="GH51" s="681"/>
      <c r="GI51" s="681"/>
      <c r="GJ51" s="681"/>
      <c r="GK51" s="681"/>
      <c r="GL51" s="681"/>
      <c r="GM51" s="681"/>
      <c r="GN51" s="681"/>
      <c r="GO51" s="681"/>
      <c r="GP51" s="681"/>
      <c r="GQ51" s="681"/>
      <c r="GR51" s="681"/>
      <c r="GS51" s="681"/>
      <c r="GT51" s="681"/>
      <c r="GU51" s="681"/>
      <c r="GV51" s="681"/>
      <c r="GW51" s="681"/>
      <c r="GX51" s="681"/>
      <c r="GY51" s="681"/>
      <c r="GZ51" s="681"/>
      <c r="HA51" s="681"/>
      <c r="HB51" s="681"/>
      <c r="HC51" s="681"/>
      <c r="HD51" s="681"/>
      <c r="HE51" s="681"/>
      <c r="HF51" s="681"/>
      <c r="HG51" s="681"/>
      <c r="HH51" s="681"/>
      <c r="HI51" s="681"/>
      <c r="HJ51" s="681"/>
      <c r="HK51" s="681"/>
      <c r="HL51" s="681"/>
      <c r="HM51" s="681"/>
      <c r="HN51" s="681"/>
      <c r="HO51" s="681"/>
      <c r="HP51" s="681"/>
      <c r="HQ51" s="681"/>
      <c r="HR51" s="681"/>
      <c r="HS51" s="681"/>
      <c r="HT51" s="681"/>
      <c r="HU51" s="681"/>
      <c r="HV51" s="681"/>
      <c r="HW51" s="681"/>
      <c r="HX51" s="681"/>
      <c r="HY51" s="681"/>
      <c r="HZ51" s="681"/>
      <c r="IA51" s="681"/>
      <c r="IB51" s="681"/>
      <c r="IC51" s="681"/>
      <c r="ID51" s="681"/>
      <c r="IE51" s="681"/>
      <c r="IF51" s="681"/>
      <c r="IG51" s="681"/>
      <c r="IH51" s="681"/>
      <c r="II51" s="681"/>
      <c r="IJ51" s="681"/>
      <c r="IK51" s="681"/>
      <c r="IL51" s="681"/>
      <c r="IM51" s="681"/>
      <c r="IN51" s="681"/>
      <c r="IO51" s="681"/>
      <c r="IP51" s="681"/>
      <c r="IQ51" s="681"/>
      <c r="IR51" s="681"/>
      <c r="IS51" s="681"/>
      <c r="IT51" s="681"/>
      <c r="IU51" s="681"/>
      <c r="IV51" s="681"/>
      <c r="IW51" s="681"/>
    </row>
    <row r="52" spans="1:257" s="682" customFormat="1" ht="15.75" customHeight="1">
      <c r="A52" s="683"/>
      <c r="B52" s="684" t="s">
        <v>186</v>
      </c>
      <c r="C52" s="683"/>
      <c r="D52" s="683"/>
      <c r="E52" s="669"/>
      <c r="F52" s="685"/>
      <c r="G52" s="686"/>
      <c r="H52" s="686"/>
      <c r="I52" s="686"/>
      <c r="J52" s="685"/>
      <c r="K52" s="669"/>
      <c r="L52" s="1306"/>
      <c r="M52" s="685"/>
      <c r="N52" s="687"/>
      <c r="O52" s="687"/>
      <c r="P52" s="688"/>
      <c r="Q52" s="688"/>
      <c r="R52" s="670"/>
      <c r="S52" s="677"/>
      <c r="T52" s="678"/>
      <c r="U52" s="670"/>
      <c r="V52" s="689"/>
      <c r="W52" s="680"/>
      <c r="X52" s="677"/>
      <c r="Y52" s="681"/>
      <c r="Z52" s="681"/>
      <c r="AA52" s="681"/>
      <c r="AB52" s="681"/>
      <c r="AC52" s="681"/>
      <c r="AD52" s="681"/>
      <c r="AE52" s="681"/>
      <c r="AF52" s="681"/>
      <c r="AG52" s="681"/>
      <c r="AH52" s="681"/>
      <c r="AI52" s="681"/>
      <c r="AJ52" s="681"/>
      <c r="AK52" s="681"/>
      <c r="AL52" s="681"/>
      <c r="AM52" s="681"/>
      <c r="AN52" s="681"/>
      <c r="AO52" s="681"/>
      <c r="AP52" s="681"/>
      <c r="AQ52" s="681"/>
      <c r="AR52" s="681"/>
      <c r="AS52" s="681"/>
      <c r="AT52" s="681"/>
      <c r="AU52" s="681"/>
      <c r="AV52" s="681"/>
      <c r="AW52" s="681"/>
      <c r="AX52" s="681"/>
      <c r="AY52" s="681"/>
      <c r="AZ52" s="681"/>
      <c r="BA52" s="681"/>
      <c r="BB52" s="681"/>
      <c r="BC52" s="681"/>
      <c r="BD52" s="681"/>
      <c r="BE52" s="681"/>
      <c r="BF52" s="681"/>
      <c r="BG52" s="681"/>
      <c r="BH52" s="681"/>
      <c r="BI52" s="681"/>
      <c r="BJ52" s="681"/>
      <c r="BK52" s="681"/>
      <c r="BL52" s="681"/>
      <c r="BM52" s="681"/>
      <c r="BN52" s="681"/>
      <c r="BO52" s="681"/>
      <c r="BP52" s="681"/>
      <c r="BQ52" s="681"/>
      <c r="BR52" s="681"/>
      <c r="BS52" s="681"/>
      <c r="BT52" s="681"/>
      <c r="BU52" s="681"/>
      <c r="BV52" s="681"/>
      <c r="BW52" s="681"/>
      <c r="BX52" s="681"/>
      <c r="BY52" s="681"/>
      <c r="BZ52" s="681"/>
      <c r="CA52" s="681"/>
      <c r="CB52" s="681"/>
      <c r="CC52" s="681"/>
      <c r="CD52" s="681"/>
      <c r="CE52" s="681"/>
      <c r="CF52" s="681"/>
      <c r="CG52" s="681"/>
      <c r="CH52" s="681"/>
      <c r="CI52" s="681"/>
      <c r="CJ52" s="681"/>
      <c r="CK52" s="681"/>
      <c r="CL52" s="681"/>
      <c r="CM52" s="681"/>
      <c r="CN52" s="681"/>
      <c r="CO52" s="681"/>
      <c r="CP52" s="681"/>
      <c r="CQ52" s="681"/>
      <c r="CR52" s="681"/>
      <c r="CS52" s="681"/>
      <c r="CT52" s="681"/>
      <c r="CU52" s="681"/>
      <c r="CV52" s="681"/>
      <c r="CW52" s="681"/>
      <c r="CX52" s="681"/>
      <c r="CY52" s="681"/>
      <c r="CZ52" s="681"/>
      <c r="DA52" s="681"/>
      <c r="DB52" s="681"/>
      <c r="DC52" s="681"/>
      <c r="DD52" s="681"/>
      <c r="DE52" s="681"/>
      <c r="DF52" s="681"/>
      <c r="DG52" s="681"/>
      <c r="DH52" s="681"/>
      <c r="DI52" s="681"/>
      <c r="DJ52" s="681"/>
      <c r="DK52" s="681"/>
      <c r="DL52" s="681"/>
      <c r="DM52" s="681"/>
      <c r="DN52" s="681"/>
      <c r="DO52" s="681"/>
      <c r="DP52" s="681"/>
      <c r="DQ52" s="681"/>
      <c r="DR52" s="681"/>
      <c r="DS52" s="681"/>
      <c r="DT52" s="681"/>
      <c r="DU52" s="681"/>
      <c r="DV52" s="681"/>
      <c r="DW52" s="681"/>
      <c r="DX52" s="681"/>
      <c r="DY52" s="681"/>
      <c r="DZ52" s="681"/>
      <c r="EA52" s="681"/>
      <c r="EB52" s="681"/>
      <c r="EC52" s="681"/>
      <c r="ED52" s="681"/>
      <c r="EE52" s="681"/>
      <c r="EF52" s="681"/>
      <c r="EG52" s="681"/>
      <c r="EH52" s="681"/>
      <c r="EI52" s="681"/>
      <c r="EJ52" s="681"/>
      <c r="EK52" s="681"/>
      <c r="EL52" s="681"/>
      <c r="EM52" s="681"/>
      <c r="EN52" s="681"/>
      <c r="EO52" s="681"/>
      <c r="EP52" s="681"/>
      <c r="EQ52" s="681"/>
      <c r="ER52" s="681"/>
      <c r="ES52" s="681"/>
      <c r="ET52" s="681"/>
      <c r="EU52" s="681"/>
      <c r="EV52" s="681"/>
      <c r="EW52" s="681"/>
      <c r="EX52" s="681"/>
      <c r="EY52" s="681"/>
      <c r="EZ52" s="681"/>
      <c r="FA52" s="681"/>
      <c r="FB52" s="681"/>
      <c r="FC52" s="681"/>
      <c r="FD52" s="681"/>
      <c r="FE52" s="681"/>
      <c r="FF52" s="681"/>
      <c r="FG52" s="681"/>
      <c r="FH52" s="681"/>
      <c r="FI52" s="681"/>
      <c r="FJ52" s="681"/>
      <c r="FK52" s="681"/>
      <c r="FL52" s="681"/>
      <c r="FM52" s="681"/>
      <c r="FN52" s="681"/>
      <c r="FO52" s="681"/>
      <c r="FP52" s="681"/>
      <c r="FQ52" s="681"/>
      <c r="FR52" s="681"/>
      <c r="FS52" s="681"/>
      <c r="FT52" s="681"/>
      <c r="FU52" s="681"/>
      <c r="FV52" s="681"/>
      <c r="FW52" s="681"/>
      <c r="FX52" s="681"/>
      <c r="FY52" s="681"/>
      <c r="FZ52" s="681"/>
      <c r="GA52" s="681"/>
      <c r="GB52" s="681"/>
      <c r="GC52" s="681"/>
      <c r="GD52" s="681"/>
      <c r="GE52" s="681"/>
      <c r="GF52" s="681"/>
      <c r="GG52" s="681"/>
      <c r="GH52" s="681"/>
      <c r="GI52" s="681"/>
      <c r="GJ52" s="681"/>
      <c r="GK52" s="681"/>
      <c r="GL52" s="681"/>
      <c r="GM52" s="681"/>
      <c r="GN52" s="681"/>
      <c r="GO52" s="681"/>
      <c r="GP52" s="681"/>
      <c r="GQ52" s="681"/>
      <c r="GR52" s="681"/>
      <c r="GS52" s="681"/>
      <c r="GT52" s="681"/>
      <c r="GU52" s="681"/>
      <c r="GV52" s="681"/>
      <c r="GW52" s="681"/>
      <c r="GX52" s="681"/>
      <c r="GY52" s="681"/>
      <c r="GZ52" s="681"/>
      <c r="HA52" s="681"/>
      <c r="HB52" s="681"/>
      <c r="HC52" s="681"/>
      <c r="HD52" s="681"/>
      <c r="HE52" s="681"/>
      <c r="HF52" s="681"/>
      <c r="HG52" s="681"/>
      <c r="HH52" s="681"/>
      <c r="HI52" s="681"/>
      <c r="HJ52" s="681"/>
      <c r="HK52" s="681"/>
      <c r="HL52" s="681"/>
      <c r="HM52" s="681"/>
      <c r="HN52" s="681"/>
      <c r="HO52" s="681"/>
      <c r="HP52" s="681"/>
      <c r="HQ52" s="681"/>
      <c r="HR52" s="681"/>
      <c r="HS52" s="681"/>
      <c r="HT52" s="681"/>
      <c r="HU52" s="681"/>
      <c r="HV52" s="681"/>
      <c r="HW52" s="681"/>
      <c r="HX52" s="681"/>
      <c r="HY52" s="681"/>
      <c r="HZ52" s="681"/>
      <c r="IA52" s="681"/>
      <c r="IB52" s="681"/>
      <c r="IC52" s="681"/>
      <c r="ID52" s="681"/>
      <c r="IE52" s="681"/>
      <c r="IF52" s="681"/>
      <c r="IG52" s="681"/>
      <c r="IH52" s="681"/>
      <c r="II52" s="681"/>
      <c r="IJ52" s="681"/>
      <c r="IK52" s="681"/>
      <c r="IL52" s="681"/>
      <c r="IM52" s="681"/>
      <c r="IN52" s="681"/>
      <c r="IO52" s="681"/>
      <c r="IP52" s="681"/>
      <c r="IQ52" s="681"/>
      <c r="IR52" s="681"/>
      <c r="IS52" s="681"/>
      <c r="IT52" s="681"/>
      <c r="IU52" s="681"/>
      <c r="IV52" s="681"/>
      <c r="IW52" s="681"/>
    </row>
    <row r="53" spans="1:257" s="682" customFormat="1" ht="15.75" customHeight="1">
      <c r="A53" s="683"/>
      <c r="B53" s="684" t="s">
        <v>187</v>
      </c>
      <c r="C53" s="683"/>
      <c r="D53" s="683"/>
      <c r="E53" s="669"/>
      <c r="F53" s="685"/>
      <c r="G53" s="686"/>
      <c r="H53" s="686"/>
      <c r="I53" s="686"/>
      <c r="J53" s="685"/>
      <c r="K53" s="669"/>
      <c r="L53" s="1306"/>
      <c r="M53" s="685"/>
      <c r="N53" s="687"/>
      <c r="O53" s="687"/>
      <c r="P53" s="688"/>
      <c r="Q53" s="688"/>
      <c r="R53" s="670"/>
      <c r="S53" s="677"/>
      <c r="T53" s="678"/>
      <c r="U53" s="670"/>
      <c r="V53" s="689"/>
      <c r="W53" s="680"/>
      <c r="X53" s="677"/>
      <c r="Y53" s="681"/>
      <c r="Z53" s="681"/>
      <c r="AA53" s="681"/>
      <c r="AB53" s="681"/>
      <c r="AC53" s="681"/>
      <c r="AD53" s="681"/>
      <c r="AE53" s="681"/>
      <c r="AF53" s="681"/>
      <c r="AG53" s="681"/>
      <c r="AH53" s="681"/>
      <c r="AI53" s="681"/>
      <c r="AJ53" s="681"/>
      <c r="AK53" s="681"/>
      <c r="AL53" s="681"/>
      <c r="AM53" s="681"/>
      <c r="AN53" s="681"/>
      <c r="AO53" s="681"/>
      <c r="AP53" s="681"/>
      <c r="AQ53" s="681"/>
      <c r="AR53" s="681"/>
      <c r="AS53" s="681"/>
      <c r="AT53" s="681"/>
      <c r="AU53" s="681"/>
      <c r="AV53" s="681"/>
      <c r="AW53" s="681"/>
      <c r="AX53" s="681"/>
      <c r="AY53" s="681"/>
      <c r="AZ53" s="681"/>
      <c r="BA53" s="681"/>
      <c r="BB53" s="681"/>
      <c r="BC53" s="681"/>
      <c r="BD53" s="681"/>
      <c r="BE53" s="681"/>
      <c r="BF53" s="681"/>
      <c r="BG53" s="681"/>
      <c r="BH53" s="681"/>
      <c r="BI53" s="681"/>
      <c r="BJ53" s="681"/>
      <c r="BK53" s="681"/>
      <c r="BL53" s="681"/>
      <c r="BM53" s="681"/>
      <c r="BN53" s="681"/>
      <c r="BO53" s="681"/>
      <c r="BP53" s="681"/>
      <c r="BQ53" s="681"/>
      <c r="BR53" s="681"/>
      <c r="BS53" s="681"/>
      <c r="BT53" s="681"/>
      <c r="BU53" s="681"/>
      <c r="BV53" s="681"/>
      <c r="BW53" s="681"/>
      <c r="BX53" s="681"/>
      <c r="BY53" s="681"/>
      <c r="BZ53" s="681"/>
      <c r="CA53" s="681"/>
      <c r="CB53" s="681"/>
      <c r="CC53" s="681"/>
      <c r="CD53" s="681"/>
      <c r="CE53" s="681"/>
      <c r="CF53" s="681"/>
      <c r="CG53" s="681"/>
      <c r="CH53" s="681"/>
      <c r="CI53" s="681"/>
      <c r="CJ53" s="681"/>
      <c r="CK53" s="681"/>
      <c r="CL53" s="681"/>
      <c r="CM53" s="681"/>
      <c r="CN53" s="681"/>
      <c r="CO53" s="681"/>
      <c r="CP53" s="681"/>
      <c r="CQ53" s="681"/>
      <c r="CR53" s="681"/>
      <c r="CS53" s="681"/>
      <c r="CT53" s="681"/>
      <c r="CU53" s="681"/>
      <c r="CV53" s="681"/>
      <c r="CW53" s="681"/>
      <c r="CX53" s="681"/>
      <c r="CY53" s="681"/>
      <c r="CZ53" s="681"/>
      <c r="DA53" s="681"/>
      <c r="DB53" s="681"/>
      <c r="DC53" s="681"/>
      <c r="DD53" s="681"/>
      <c r="DE53" s="681"/>
      <c r="DF53" s="681"/>
      <c r="DG53" s="681"/>
      <c r="DH53" s="681"/>
      <c r="DI53" s="681"/>
      <c r="DJ53" s="681"/>
      <c r="DK53" s="681"/>
      <c r="DL53" s="681"/>
      <c r="DM53" s="681"/>
      <c r="DN53" s="681"/>
      <c r="DO53" s="681"/>
      <c r="DP53" s="681"/>
      <c r="DQ53" s="681"/>
      <c r="DR53" s="681"/>
      <c r="DS53" s="681"/>
      <c r="DT53" s="681"/>
      <c r="DU53" s="681"/>
      <c r="DV53" s="681"/>
      <c r="DW53" s="681"/>
      <c r="DX53" s="681"/>
      <c r="DY53" s="681"/>
      <c r="DZ53" s="681"/>
      <c r="EA53" s="681"/>
      <c r="EB53" s="681"/>
      <c r="EC53" s="681"/>
      <c r="ED53" s="681"/>
      <c r="EE53" s="681"/>
      <c r="EF53" s="681"/>
      <c r="EG53" s="681"/>
      <c r="EH53" s="681"/>
      <c r="EI53" s="681"/>
      <c r="EJ53" s="681"/>
      <c r="EK53" s="681"/>
      <c r="EL53" s="681"/>
      <c r="EM53" s="681"/>
      <c r="EN53" s="681"/>
      <c r="EO53" s="681"/>
      <c r="EP53" s="681"/>
      <c r="EQ53" s="681"/>
      <c r="ER53" s="681"/>
      <c r="ES53" s="681"/>
      <c r="ET53" s="681"/>
      <c r="EU53" s="681"/>
      <c r="EV53" s="681"/>
      <c r="EW53" s="681"/>
      <c r="EX53" s="681"/>
      <c r="EY53" s="681"/>
      <c r="EZ53" s="681"/>
      <c r="FA53" s="681"/>
      <c r="FB53" s="681"/>
      <c r="FC53" s="681"/>
      <c r="FD53" s="681"/>
      <c r="FE53" s="681"/>
      <c r="FF53" s="681"/>
      <c r="FG53" s="681"/>
      <c r="FH53" s="681"/>
      <c r="FI53" s="681"/>
      <c r="FJ53" s="681"/>
      <c r="FK53" s="681"/>
      <c r="FL53" s="681"/>
      <c r="FM53" s="681"/>
      <c r="FN53" s="681"/>
      <c r="FO53" s="681"/>
      <c r="FP53" s="681"/>
      <c r="FQ53" s="681"/>
      <c r="FR53" s="681"/>
      <c r="FS53" s="681"/>
      <c r="FT53" s="681"/>
      <c r="FU53" s="681"/>
      <c r="FV53" s="681"/>
      <c r="FW53" s="681"/>
      <c r="FX53" s="681"/>
      <c r="FY53" s="681"/>
      <c r="FZ53" s="681"/>
      <c r="GA53" s="681"/>
      <c r="GB53" s="681"/>
      <c r="GC53" s="681"/>
      <c r="GD53" s="681"/>
      <c r="GE53" s="681"/>
      <c r="GF53" s="681"/>
      <c r="GG53" s="681"/>
      <c r="GH53" s="681"/>
      <c r="GI53" s="681"/>
      <c r="GJ53" s="681"/>
      <c r="GK53" s="681"/>
      <c r="GL53" s="681"/>
      <c r="GM53" s="681"/>
      <c r="GN53" s="681"/>
      <c r="GO53" s="681"/>
      <c r="GP53" s="681"/>
      <c r="GQ53" s="681"/>
      <c r="GR53" s="681"/>
      <c r="GS53" s="681"/>
      <c r="GT53" s="681"/>
      <c r="GU53" s="681"/>
      <c r="GV53" s="681"/>
      <c r="GW53" s="681"/>
      <c r="GX53" s="681"/>
      <c r="GY53" s="681"/>
      <c r="GZ53" s="681"/>
      <c r="HA53" s="681"/>
      <c r="HB53" s="681"/>
      <c r="HC53" s="681"/>
      <c r="HD53" s="681"/>
      <c r="HE53" s="681"/>
      <c r="HF53" s="681"/>
      <c r="HG53" s="681"/>
      <c r="HH53" s="681"/>
      <c r="HI53" s="681"/>
      <c r="HJ53" s="681"/>
      <c r="HK53" s="681"/>
      <c r="HL53" s="681"/>
      <c r="HM53" s="681"/>
      <c r="HN53" s="681"/>
      <c r="HO53" s="681"/>
      <c r="HP53" s="681"/>
      <c r="HQ53" s="681"/>
      <c r="HR53" s="681"/>
      <c r="HS53" s="681"/>
      <c r="HT53" s="681"/>
      <c r="HU53" s="681"/>
      <c r="HV53" s="681"/>
      <c r="HW53" s="681"/>
      <c r="HX53" s="681"/>
      <c r="HY53" s="681"/>
      <c r="HZ53" s="681"/>
      <c r="IA53" s="681"/>
      <c r="IB53" s="681"/>
      <c r="IC53" s="681"/>
      <c r="ID53" s="681"/>
      <c r="IE53" s="681"/>
      <c r="IF53" s="681"/>
      <c r="IG53" s="681"/>
      <c r="IH53" s="681"/>
      <c r="II53" s="681"/>
      <c r="IJ53" s="681"/>
      <c r="IK53" s="681"/>
      <c r="IL53" s="681"/>
      <c r="IM53" s="681"/>
      <c r="IN53" s="681"/>
      <c r="IO53" s="681"/>
      <c r="IP53" s="681"/>
      <c r="IQ53" s="681"/>
      <c r="IR53" s="681"/>
      <c r="IS53" s="681"/>
      <c r="IT53" s="681"/>
      <c r="IU53" s="681"/>
      <c r="IV53" s="681"/>
      <c r="IW53" s="681"/>
    </row>
    <row r="54" spans="1:257" s="682" customFormat="1" ht="15.75" customHeight="1">
      <c r="A54" s="683"/>
      <c r="B54" s="684" t="s">
        <v>188</v>
      </c>
      <c r="C54" s="683"/>
      <c r="D54" s="683"/>
      <c r="E54" s="669"/>
      <c r="F54" s="685"/>
      <c r="G54" s="686"/>
      <c r="H54" s="686"/>
      <c r="I54" s="686"/>
      <c r="J54" s="685"/>
      <c r="K54" s="669"/>
      <c r="L54" s="1306"/>
      <c r="M54" s="685"/>
      <c r="N54" s="687"/>
      <c r="O54" s="687"/>
      <c r="P54" s="688"/>
      <c r="Q54" s="688"/>
      <c r="R54" s="670"/>
      <c r="S54" s="677"/>
      <c r="T54" s="678"/>
      <c r="U54" s="670"/>
      <c r="V54" s="689"/>
      <c r="W54" s="680"/>
      <c r="X54" s="677"/>
      <c r="Y54" s="681"/>
      <c r="Z54" s="681"/>
      <c r="AA54" s="681"/>
      <c r="AB54" s="681"/>
      <c r="AC54" s="681"/>
      <c r="AD54" s="681"/>
      <c r="AE54" s="681"/>
      <c r="AF54" s="681"/>
      <c r="AG54" s="681"/>
      <c r="AH54" s="681"/>
      <c r="AI54" s="681"/>
      <c r="AJ54" s="681"/>
      <c r="AK54" s="681"/>
      <c r="AL54" s="681"/>
      <c r="AM54" s="681"/>
      <c r="AN54" s="681"/>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c r="CU54" s="681"/>
      <c r="CV54" s="681"/>
      <c r="CW54" s="681"/>
      <c r="CX54" s="681"/>
      <c r="CY54" s="681"/>
      <c r="CZ54" s="681"/>
      <c r="DA54" s="681"/>
      <c r="DB54" s="681"/>
      <c r="DC54" s="681"/>
      <c r="DD54" s="681"/>
      <c r="DE54" s="681"/>
      <c r="DF54" s="681"/>
      <c r="DG54" s="681"/>
      <c r="DH54" s="681"/>
      <c r="DI54" s="681"/>
      <c r="DJ54" s="681"/>
      <c r="DK54" s="681"/>
      <c r="DL54" s="681"/>
      <c r="DM54" s="681"/>
      <c r="DN54" s="681"/>
      <c r="DO54" s="681"/>
      <c r="DP54" s="681"/>
      <c r="DQ54" s="681"/>
      <c r="DR54" s="681"/>
      <c r="DS54" s="681"/>
      <c r="DT54" s="681"/>
      <c r="DU54" s="681"/>
      <c r="DV54" s="681"/>
      <c r="DW54" s="681"/>
      <c r="DX54" s="681"/>
      <c r="DY54" s="681"/>
      <c r="DZ54" s="681"/>
      <c r="EA54" s="681"/>
      <c r="EB54" s="681"/>
      <c r="EC54" s="681"/>
      <c r="ED54" s="681"/>
      <c r="EE54" s="681"/>
      <c r="EF54" s="681"/>
      <c r="EG54" s="681"/>
      <c r="EH54" s="681"/>
      <c r="EI54" s="681"/>
      <c r="EJ54" s="681"/>
      <c r="EK54" s="681"/>
      <c r="EL54" s="681"/>
      <c r="EM54" s="681"/>
      <c r="EN54" s="681"/>
      <c r="EO54" s="681"/>
      <c r="EP54" s="681"/>
      <c r="EQ54" s="681"/>
      <c r="ER54" s="681"/>
      <c r="ES54" s="681"/>
      <c r="ET54" s="681"/>
      <c r="EU54" s="681"/>
      <c r="EV54" s="681"/>
      <c r="EW54" s="681"/>
      <c r="EX54" s="681"/>
      <c r="EY54" s="681"/>
      <c r="EZ54" s="681"/>
      <c r="FA54" s="681"/>
      <c r="FB54" s="681"/>
      <c r="FC54" s="681"/>
      <c r="FD54" s="681"/>
      <c r="FE54" s="681"/>
      <c r="FF54" s="681"/>
      <c r="FG54" s="681"/>
      <c r="FH54" s="681"/>
      <c r="FI54" s="681"/>
      <c r="FJ54" s="681"/>
      <c r="FK54" s="681"/>
      <c r="FL54" s="681"/>
      <c r="FM54" s="681"/>
      <c r="FN54" s="681"/>
      <c r="FO54" s="681"/>
      <c r="FP54" s="681"/>
      <c r="FQ54" s="681"/>
      <c r="FR54" s="681"/>
      <c r="FS54" s="681"/>
      <c r="FT54" s="681"/>
      <c r="FU54" s="681"/>
      <c r="FV54" s="681"/>
      <c r="FW54" s="681"/>
      <c r="FX54" s="681"/>
      <c r="FY54" s="681"/>
      <c r="FZ54" s="681"/>
      <c r="GA54" s="681"/>
      <c r="GB54" s="681"/>
      <c r="GC54" s="681"/>
      <c r="GD54" s="681"/>
      <c r="GE54" s="681"/>
      <c r="GF54" s="681"/>
      <c r="GG54" s="681"/>
      <c r="GH54" s="681"/>
      <c r="GI54" s="681"/>
      <c r="GJ54" s="681"/>
      <c r="GK54" s="681"/>
      <c r="GL54" s="681"/>
      <c r="GM54" s="681"/>
      <c r="GN54" s="681"/>
      <c r="GO54" s="681"/>
      <c r="GP54" s="681"/>
      <c r="GQ54" s="681"/>
      <c r="GR54" s="681"/>
      <c r="GS54" s="681"/>
      <c r="GT54" s="681"/>
      <c r="GU54" s="681"/>
      <c r="GV54" s="681"/>
      <c r="GW54" s="681"/>
      <c r="GX54" s="681"/>
      <c r="GY54" s="681"/>
      <c r="GZ54" s="681"/>
      <c r="HA54" s="681"/>
      <c r="HB54" s="681"/>
      <c r="HC54" s="681"/>
      <c r="HD54" s="681"/>
      <c r="HE54" s="681"/>
      <c r="HF54" s="681"/>
      <c r="HG54" s="681"/>
      <c r="HH54" s="681"/>
      <c r="HI54" s="681"/>
      <c r="HJ54" s="681"/>
      <c r="HK54" s="681"/>
      <c r="HL54" s="681"/>
      <c r="HM54" s="681"/>
      <c r="HN54" s="681"/>
      <c r="HO54" s="681"/>
      <c r="HP54" s="681"/>
      <c r="HQ54" s="681"/>
      <c r="HR54" s="681"/>
      <c r="HS54" s="681"/>
      <c r="HT54" s="681"/>
      <c r="HU54" s="681"/>
      <c r="HV54" s="681"/>
      <c r="HW54" s="681"/>
      <c r="HX54" s="681"/>
      <c r="HY54" s="681"/>
      <c r="HZ54" s="681"/>
      <c r="IA54" s="681"/>
      <c r="IB54" s="681"/>
      <c r="IC54" s="681"/>
      <c r="ID54" s="681"/>
      <c r="IE54" s="681"/>
      <c r="IF54" s="681"/>
      <c r="IG54" s="681"/>
      <c r="IH54" s="681"/>
      <c r="II54" s="681"/>
      <c r="IJ54" s="681"/>
      <c r="IK54" s="681"/>
      <c r="IL54" s="681"/>
      <c r="IM54" s="681"/>
      <c r="IN54" s="681"/>
      <c r="IO54" s="681"/>
      <c r="IP54" s="681"/>
      <c r="IQ54" s="681"/>
      <c r="IR54" s="681"/>
      <c r="IS54" s="681"/>
      <c r="IT54" s="681"/>
      <c r="IU54" s="681"/>
      <c r="IV54" s="681"/>
      <c r="IW54" s="681"/>
    </row>
    <row r="55" spans="1:257" s="682" customFormat="1" ht="15.75" customHeight="1">
      <c r="A55" s="683"/>
      <c r="B55" s="684" t="s">
        <v>189</v>
      </c>
      <c r="C55" s="683"/>
      <c r="D55" s="683"/>
      <c r="E55" s="669"/>
      <c r="F55" s="685"/>
      <c r="G55" s="686"/>
      <c r="H55" s="686"/>
      <c r="I55" s="686"/>
      <c r="J55" s="685"/>
      <c r="K55" s="669"/>
      <c r="L55" s="1306"/>
      <c r="M55" s="685"/>
      <c r="N55" s="687"/>
      <c r="O55" s="687"/>
      <c r="P55" s="688"/>
      <c r="Q55" s="688"/>
      <c r="R55" s="670"/>
      <c r="S55" s="677"/>
      <c r="T55" s="678"/>
      <c r="U55" s="670"/>
      <c r="V55" s="689"/>
      <c r="W55" s="680"/>
      <c r="X55" s="677"/>
      <c r="Y55" s="681"/>
      <c r="Z55" s="681"/>
      <c r="AA55" s="681"/>
      <c r="AB55" s="681"/>
      <c r="AC55" s="681"/>
      <c r="AD55" s="681"/>
      <c r="AE55" s="681"/>
      <c r="AF55" s="681"/>
      <c r="AG55" s="681"/>
      <c r="AH55" s="681"/>
      <c r="AI55" s="681"/>
      <c r="AJ55" s="681"/>
      <c r="AK55" s="681"/>
      <c r="AL55" s="681"/>
      <c r="AM55" s="681"/>
      <c r="AN55" s="681"/>
      <c r="AO55" s="681"/>
      <c r="AP55" s="681"/>
      <c r="AQ55" s="681"/>
      <c r="AR55" s="681"/>
      <c r="AS55" s="681"/>
      <c r="AT55" s="681"/>
      <c r="AU55" s="681"/>
      <c r="AV55" s="681"/>
      <c r="AW55" s="681"/>
      <c r="AX55" s="681"/>
      <c r="AY55" s="681"/>
      <c r="AZ55" s="681"/>
      <c r="BA55" s="681"/>
      <c r="BB55" s="681"/>
      <c r="BC55" s="681"/>
      <c r="BD55" s="681"/>
      <c r="BE55" s="681"/>
      <c r="BF55" s="681"/>
      <c r="BG55" s="681"/>
      <c r="BH55" s="681"/>
      <c r="BI55" s="681"/>
      <c r="BJ55" s="681"/>
      <c r="BK55" s="681"/>
      <c r="BL55" s="681"/>
      <c r="BM55" s="681"/>
      <c r="BN55" s="681"/>
      <c r="BO55" s="681"/>
      <c r="BP55" s="681"/>
      <c r="BQ55" s="681"/>
      <c r="BR55" s="681"/>
      <c r="BS55" s="681"/>
      <c r="BT55" s="681"/>
      <c r="BU55" s="681"/>
      <c r="BV55" s="681"/>
      <c r="BW55" s="681"/>
      <c r="BX55" s="681"/>
      <c r="BY55" s="681"/>
      <c r="BZ55" s="681"/>
      <c r="CA55" s="681"/>
      <c r="CB55" s="681"/>
      <c r="CC55" s="681"/>
      <c r="CD55" s="681"/>
      <c r="CE55" s="681"/>
      <c r="CF55" s="681"/>
      <c r="CG55" s="681"/>
      <c r="CH55" s="681"/>
      <c r="CI55" s="681"/>
      <c r="CJ55" s="681"/>
      <c r="CK55" s="681"/>
      <c r="CL55" s="681"/>
      <c r="CM55" s="681"/>
      <c r="CN55" s="681"/>
      <c r="CO55" s="681"/>
      <c r="CP55" s="681"/>
      <c r="CQ55" s="681"/>
      <c r="CR55" s="681"/>
      <c r="CS55" s="681"/>
      <c r="CT55" s="681"/>
      <c r="CU55" s="681"/>
      <c r="CV55" s="681"/>
      <c r="CW55" s="681"/>
      <c r="CX55" s="681"/>
      <c r="CY55" s="681"/>
      <c r="CZ55" s="681"/>
      <c r="DA55" s="681"/>
      <c r="DB55" s="681"/>
      <c r="DC55" s="681"/>
      <c r="DD55" s="681"/>
      <c r="DE55" s="681"/>
      <c r="DF55" s="681"/>
      <c r="DG55" s="681"/>
      <c r="DH55" s="681"/>
      <c r="DI55" s="681"/>
      <c r="DJ55" s="681"/>
      <c r="DK55" s="681"/>
      <c r="DL55" s="681"/>
      <c r="DM55" s="681"/>
      <c r="DN55" s="681"/>
      <c r="DO55" s="681"/>
      <c r="DP55" s="681"/>
      <c r="DQ55" s="681"/>
      <c r="DR55" s="681"/>
      <c r="DS55" s="681"/>
      <c r="DT55" s="681"/>
      <c r="DU55" s="681"/>
      <c r="DV55" s="681"/>
      <c r="DW55" s="681"/>
      <c r="DX55" s="681"/>
      <c r="DY55" s="681"/>
      <c r="DZ55" s="681"/>
      <c r="EA55" s="681"/>
      <c r="EB55" s="681"/>
      <c r="EC55" s="681"/>
      <c r="ED55" s="681"/>
      <c r="EE55" s="681"/>
      <c r="EF55" s="681"/>
      <c r="EG55" s="681"/>
      <c r="EH55" s="681"/>
      <c r="EI55" s="681"/>
      <c r="EJ55" s="681"/>
      <c r="EK55" s="681"/>
      <c r="EL55" s="681"/>
      <c r="EM55" s="681"/>
      <c r="EN55" s="681"/>
      <c r="EO55" s="681"/>
      <c r="EP55" s="681"/>
      <c r="EQ55" s="681"/>
      <c r="ER55" s="681"/>
      <c r="ES55" s="681"/>
      <c r="ET55" s="681"/>
      <c r="EU55" s="681"/>
      <c r="EV55" s="681"/>
      <c r="EW55" s="681"/>
      <c r="EX55" s="681"/>
      <c r="EY55" s="681"/>
      <c r="EZ55" s="681"/>
      <c r="FA55" s="681"/>
      <c r="FB55" s="681"/>
      <c r="FC55" s="681"/>
      <c r="FD55" s="681"/>
      <c r="FE55" s="681"/>
      <c r="FF55" s="681"/>
      <c r="FG55" s="681"/>
      <c r="FH55" s="681"/>
      <c r="FI55" s="681"/>
      <c r="FJ55" s="681"/>
      <c r="FK55" s="681"/>
      <c r="FL55" s="681"/>
      <c r="FM55" s="681"/>
      <c r="FN55" s="681"/>
      <c r="FO55" s="681"/>
      <c r="FP55" s="681"/>
      <c r="FQ55" s="681"/>
      <c r="FR55" s="681"/>
      <c r="FS55" s="681"/>
      <c r="FT55" s="681"/>
      <c r="FU55" s="681"/>
      <c r="FV55" s="681"/>
      <c r="FW55" s="681"/>
      <c r="FX55" s="681"/>
      <c r="FY55" s="681"/>
      <c r="FZ55" s="681"/>
      <c r="GA55" s="681"/>
      <c r="GB55" s="681"/>
      <c r="GC55" s="681"/>
      <c r="GD55" s="681"/>
      <c r="GE55" s="681"/>
      <c r="GF55" s="681"/>
      <c r="GG55" s="681"/>
      <c r="GH55" s="681"/>
      <c r="GI55" s="681"/>
      <c r="GJ55" s="681"/>
      <c r="GK55" s="681"/>
      <c r="GL55" s="681"/>
      <c r="GM55" s="681"/>
      <c r="GN55" s="681"/>
      <c r="GO55" s="681"/>
      <c r="GP55" s="681"/>
      <c r="GQ55" s="681"/>
      <c r="GR55" s="681"/>
      <c r="GS55" s="681"/>
      <c r="GT55" s="681"/>
      <c r="GU55" s="681"/>
      <c r="GV55" s="681"/>
      <c r="GW55" s="681"/>
      <c r="GX55" s="681"/>
      <c r="GY55" s="681"/>
      <c r="GZ55" s="681"/>
      <c r="HA55" s="681"/>
      <c r="HB55" s="681"/>
      <c r="HC55" s="681"/>
      <c r="HD55" s="681"/>
      <c r="HE55" s="681"/>
      <c r="HF55" s="681"/>
      <c r="HG55" s="681"/>
      <c r="HH55" s="681"/>
      <c r="HI55" s="681"/>
      <c r="HJ55" s="681"/>
      <c r="HK55" s="681"/>
      <c r="HL55" s="681"/>
      <c r="HM55" s="681"/>
      <c r="HN55" s="681"/>
      <c r="HO55" s="681"/>
      <c r="HP55" s="681"/>
      <c r="HQ55" s="681"/>
      <c r="HR55" s="681"/>
      <c r="HS55" s="681"/>
      <c r="HT55" s="681"/>
      <c r="HU55" s="681"/>
      <c r="HV55" s="681"/>
      <c r="HW55" s="681"/>
      <c r="HX55" s="681"/>
      <c r="HY55" s="681"/>
      <c r="HZ55" s="681"/>
      <c r="IA55" s="681"/>
      <c r="IB55" s="681"/>
      <c r="IC55" s="681"/>
      <c r="ID55" s="681"/>
      <c r="IE55" s="681"/>
      <c r="IF55" s="681"/>
      <c r="IG55" s="681"/>
      <c r="IH55" s="681"/>
      <c r="II55" s="681"/>
      <c r="IJ55" s="681"/>
      <c r="IK55" s="681"/>
      <c r="IL55" s="681"/>
      <c r="IM55" s="681"/>
      <c r="IN55" s="681"/>
      <c r="IO55" s="681"/>
      <c r="IP55" s="681"/>
      <c r="IQ55" s="681"/>
      <c r="IR55" s="681"/>
      <c r="IS55" s="681"/>
      <c r="IT55" s="681"/>
      <c r="IU55" s="681"/>
      <c r="IV55" s="681"/>
      <c r="IW55" s="681"/>
    </row>
    <row r="56" spans="1:257" s="582" customFormat="1" ht="31.5">
      <c r="A56" s="590">
        <v>3</v>
      </c>
      <c r="B56" s="671" t="s">
        <v>190</v>
      </c>
      <c r="C56" s="590"/>
      <c r="D56" s="590"/>
      <c r="E56" s="609"/>
      <c r="F56" s="609">
        <v>200000000</v>
      </c>
      <c r="G56" s="609"/>
      <c r="H56" s="609"/>
      <c r="I56" s="609"/>
      <c r="J56" s="609">
        <v>250000000</v>
      </c>
      <c r="K56" s="609"/>
      <c r="L56" s="1303"/>
      <c r="M56" s="609"/>
      <c r="N56" s="637"/>
      <c r="O56" s="637"/>
      <c r="P56" s="637"/>
      <c r="Q56" s="637"/>
      <c r="R56" s="593" t="s">
        <v>840</v>
      </c>
      <c r="S56" s="677">
        <v>58670</v>
      </c>
      <c r="T56" s="678"/>
      <c r="U56" s="655"/>
      <c r="V56" s="639"/>
      <c r="W56" s="613"/>
      <c r="X56" s="611"/>
      <c r="Y56" s="614"/>
      <c r="Z56" s="614"/>
      <c r="AA56" s="614"/>
      <c r="AB56" s="614"/>
      <c r="AC56" s="614"/>
      <c r="AD56" s="614"/>
      <c r="AE56" s="614"/>
      <c r="AF56" s="614"/>
      <c r="AG56" s="614"/>
      <c r="AH56" s="614"/>
      <c r="AI56" s="614"/>
      <c r="AJ56" s="614"/>
      <c r="AK56" s="614"/>
      <c r="AL56" s="614"/>
      <c r="AM56" s="614"/>
      <c r="AN56" s="614"/>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c r="CU56" s="614"/>
      <c r="CV56" s="614"/>
      <c r="CW56" s="614"/>
      <c r="CX56" s="614"/>
      <c r="CY56" s="614"/>
      <c r="CZ56" s="614"/>
      <c r="DA56" s="614"/>
      <c r="DB56" s="614"/>
      <c r="DC56" s="614"/>
      <c r="DD56" s="614"/>
      <c r="DE56" s="614"/>
      <c r="DF56" s="614"/>
      <c r="DG56" s="614"/>
      <c r="DH56" s="614"/>
      <c r="DI56" s="614"/>
      <c r="DJ56" s="614"/>
      <c r="DK56" s="614"/>
      <c r="DL56" s="614"/>
      <c r="DM56" s="614"/>
      <c r="DN56" s="614"/>
      <c r="DO56" s="614"/>
      <c r="DP56" s="614"/>
      <c r="DQ56" s="614"/>
      <c r="DR56" s="614"/>
      <c r="DS56" s="614"/>
      <c r="DT56" s="614"/>
      <c r="DU56" s="614"/>
      <c r="DV56" s="614"/>
      <c r="DW56" s="614"/>
      <c r="DX56" s="614"/>
      <c r="DY56" s="614"/>
      <c r="DZ56" s="614"/>
      <c r="EA56" s="614"/>
      <c r="EB56" s="614"/>
      <c r="EC56" s="614"/>
      <c r="ED56" s="614"/>
      <c r="EE56" s="614"/>
      <c r="EF56" s="614"/>
      <c r="EG56" s="614"/>
      <c r="EH56" s="614"/>
      <c r="EI56" s="614"/>
      <c r="EJ56" s="614"/>
      <c r="EK56" s="614"/>
      <c r="EL56" s="614"/>
      <c r="EM56" s="614"/>
      <c r="EN56" s="614"/>
      <c r="EO56" s="614"/>
      <c r="EP56" s="614"/>
      <c r="EQ56" s="614"/>
      <c r="ER56" s="614"/>
      <c r="ES56" s="614"/>
      <c r="ET56" s="614"/>
      <c r="EU56" s="614"/>
      <c r="EV56" s="614"/>
      <c r="EW56" s="614"/>
      <c r="EX56" s="614"/>
      <c r="EY56" s="614"/>
      <c r="EZ56" s="614"/>
      <c r="FA56" s="614"/>
      <c r="FB56" s="614"/>
      <c r="FC56" s="614"/>
      <c r="FD56" s="614"/>
      <c r="FE56" s="614"/>
      <c r="FF56" s="614"/>
      <c r="FG56" s="614"/>
      <c r="FH56" s="614"/>
      <c r="FI56" s="614"/>
      <c r="FJ56" s="614"/>
      <c r="FK56" s="614"/>
      <c r="FL56" s="614"/>
      <c r="FM56" s="614"/>
      <c r="FN56" s="614"/>
      <c r="FO56" s="614"/>
      <c r="FP56" s="614"/>
      <c r="FQ56" s="614"/>
      <c r="FR56" s="614"/>
      <c r="FS56" s="614"/>
      <c r="FT56" s="614"/>
      <c r="FU56" s="614"/>
      <c r="FV56" s="614"/>
      <c r="FW56" s="614"/>
      <c r="FX56" s="614"/>
      <c r="FY56" s="614"/>
      <c r="FZ56" s="614"/>
      <c r="GA56" s="614"/>
      <c r="GB56" s="614"/>
      <c r="GC56" s="614"/>
      <c r="GD56" s="614"/>
      <c r="GE56" s="614"/>
      <c r="GF56" s="614"/>
      <c r="GG56" s="614"/>
      <c r="GH56" s="614"/>
      <c r="GI56" s="614"/>
      <c r="GJ56" s="614"/>
      <c r="GK56" s="614"/>
      <c r="GL56" s="614"/>
      <c r="GM56" s="614"/>
      <c r="GN56" s="614"/>
      <c r="GO56" s="614"/>
      <c r="GP56" s="614"/>
      <c r="GQ56" s="614"/>
      <c r="GR56" s="614"/>
      <c r="GS56" s="614"/>
      <c r="GT56" s="614"/>
      <c r="GU56" s="614"/>
      <c r="GV56" s="614"/>
      <c r="GW56" s="614"/>
      <c r="GX56" s="614"/>
      <c r="GY56" s="614"/>
      <c r="GZ56" s="614"/>
      <c r="HA56" s="614"/>
      <c r="HB56" s="614"/>
      <c r="HC56" s="614"/>
      <c r="HD56" s="614"/>
      <c r="HE56" s="614"/>
      <c r="HF56" s="614"/>
      <c r="HG56" s="614"/>
      <c r="HH56" s="614"/>
      <c r="HI56" s="614"/>
      <c r="HJ56" s="614"/>
      <c r="HK56" s="614"/>
      <c r="HL56" s="614"/>
      <c r="HM56" s="614"/>
      <c r="HN56" s="614"/>
      <c r="HO56" s="614"/>
      <c r="HP56" s="614"/>
      <c r="HQ56" s="614"/>
      <c r="HR56" s="614"/>
      <c r="HS56" s="614"/>
      <c r="HT56" s="614"/>
      <c r="HU56" s="614"/>
      <c r="HV56" s="614"/>
      <c r="HW56" s="614"/>
      <c r="HX56" s="614"/>
      <c r="HY56" s="614"/>
      <c r="HZ56" s="614"/>
      <c r="IA56" s="614"/>
      <c r="IB56" s="614"/>
      <c r="IC56" s="614"/>
      <c r="ID56" s="614"/>
      <c r="IE56" s="614"/>
      <c r="IF56" s="614"/>
      <c r="IG56" s="614"/>
      <c r="IH56" s="614"/>
      <c r="II56" s="614"/>
      <c r="IJ56" s="614"/>
      <c r="IK56" s="614"/>
      <c r="IL56" s="614"/>
      <c r="IM56" s="614"/>
      <c r="IN56" s="614"/>
      <c r="IO56" s="614"/>
      <c r="IP56" s="614"/>
      <c r="IQ56" s="614"/>
      <c r="IR56" s="614"/>
      <c r="IS56" s="614"/>
      <c r="IT56" s="614"/>
      <c r="IU56" s="614"/>
      <c r="IV56" s="614"/>
      <c r="IW56" s="614"/>
    </row>
    <row r="57" spans="1:257" s="582" customFormat="1" ht="15.75" hidden="1" customHeight="1">
      <c r="A57" s="617"/>
      <c r="B57" s="668" t="s">
        <v>263</v>
      </c>
      <c r="C57" s="617"/>
      <c r="D57" s="617"/>
      <c r="E57" s="618"/>
      <c r="F57" s="618">
        <f>F56*10%</f>
        <v>20000000</v>
      </c>
      <c r="G57" s="609"/>
      <c r="H57" s="609"/>
      <c r="I57" s="609"/>
      <c r="J57" s="618">
        <f>J56*10%</f>
        <v>25000000</v>
      </c>
      <c r="K57" s="618"/>
      <c r="L57" s="1307"/>
      <c r="M57" s="618"/>
      <c r="N57" s="667"/>
      <c r="O57" s="667"/>
      <c r="P57" s="637"/>
      <c r="Q57" s="637"/>
      <c r="R57" s="674" t="s">
        <v>577</v>
      </c>
      <c r="S57" s="677">
        <v>200</v>
      </c>
      <c r="T57" s="678"/>
      <c r="U57" s="655"/>
      <c r="V57" s="639"/>
      <c r="W57" s="613"/>
      <c r="X57" s="611"/>
      <c r="Y57" s="614"/>
      <c r="Z57" s="614"/>
      <c r="AA57" s="614"/>
      <c r="AB57" s="614"/>
      <c r="AC57" s="614"/>
      <c r="AD57" s="614"/>
      <c r="AE57" s="614"/>
      <c r="AF57" s="614"/>
      <c r="AG57" s="614"/>
      <c r="AH57" s="614"/>
      <c r="AI57" s="614"/>
      <c r="AJ57" s="614"/>
      <c r="AK57" s="614"/>
      <c r="AL57" s="614"/>
      <c r="AM57" s="614"/>
      <c r="AN57" s="614"/>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c r="CU57" s="614"/>
      <c r="CV57" s="614"/>
      <c r="CW57" s="614"/>
      <c r="CX57" s="614"/>
      <c r="CY57" s="614"/>
      <c r="CZ57" s="614"/>
      <c r="DA57" s="614"/>
      <c r="DB57" s="614"/>
      <c r="DC57" s="614"/>
      <c r="DD57" s="614"/>
      <c r="DE57" s="614"/>
      <c r="DF57" s="614"/>
      <c r="DG57" s="614"/>
      <c r="DH57" s="614"/>
      <c r="DI57" s="614"/>
      <c r="DJ57" s="614"/>
      <c r="DK57" s="614"/>
      <c r="DL57" s="614"/>
      <c r="DM57" s="614"/>
      <c r="DN57" s="614"/>
      <c r="DO57" s="614"/>
      <c r="DP57" s="614"/>
      <c r="DQ57" s="614"/>
      <c r="DR57" s="614"/>
      <c r="DS57" s="614"/>
      <c r="DT57" s="614"/>
      <c r="DU57" s="614"/>
      <c r="DV57" s="614"/>
      <c r="DW57" s="614"/>
      <c r="DX57" s="614"/>
      <c r="DY57" s="614"/>
      <c r="DZ57" s="614"/>
      <c r="EA57" s="614"/>
      <c r="EB57" s="614"/>
      <c r="EC57" s="614"/>
      <c r="ED57" s="614"/>
      <c r="EE57" s="614"/>
      <c r="EF57" s="614"/>
      <c r="EG57" s="614"/>
      <c r="EH57" s="614"/>
      <c r="EI57" s="614"/>
      <c r="EJ57" s="614"/>
      <c r="EK57" s="614"/>
      <c r="EL57" s="614"/>
      <c r="EM57" s="614"/>
      <c r="EN57" s="614"/>
      <c r="EO57" s="614"/>
      <c r="EP57" s="614"/>
      <c r="EQ57" s="614"/>
      <c r="ER57" s="614"/>
      <c r="ES57" s="614"/>
      <c r="ET57" s="614"/>
      <c r="EU57" s="614"/>
      <c r="EV57" s="614"/>
      <c r="EW57" s="614"/>
      <c r="EX57" s="614"/>
      <c r="EY57" s="614"/>
      <c r="EZ57" s="614"/>
      <c r="FA57" s="614"/>
      <c r="FB57" s="614"/>
      <c r="FC57" s="614"/>
      <c r="FD57" s="614"/>
      <c r="FE57" s="614"/>
      <c r="FF57" s="614"/>
      <c r="FG57" s="614"/>
      <c r="FH57" s="614"/>
      <c r="FI57" s="614"/>
      <c r="FJ57" s="614"/>
      <c r="FK57" s="614"/>
      <c r="FL57" s="614"/>
      <c r="FM57" s="614"/>
      <c r="FN57" s="614"/>
      <c r="FO57" s="614"/>
      <c r="FP57" s="614"/>
      <c r="FQ57" s="614"/>
      <c r="FR57" s="614"/>
      <c r="FS57" s="614"/>
      <c r="FT57" s="614"/>
      <c r="FU57" s="614"/>
      <c r="FV57" s="614"/>
      <c r="FW57" s="614"/>
      <c r="FX57" s="614"/>
      <c r="FY57" s="614"/>
      <c r="FZ57" s="614"/>
      <c r="GA57" s="614"/>
      <c r="GB57" s="614"/>
      <c r="GC57" s="614"/>
      <c r="GD57" s="614"/>
      <c r="GE57" s="614"/>
      <c r="GF57" s="614"/>
      <c r="GG57" s="614"/>
      <c r="GH57" s="614"/>
      <c r="GI57" s="614"/>
      <c r="GJ57" s="614"/>
      <c r="GK57" s="614"/>
      <c r="GL57" s="614"/>
      <c r="GM57" s="614"/>
      <c r="GN57" s="614"/>
      <c r="GO57" s="614"/>
      <c r="GP57" s="614"/>
      <c r="GQ57" s="614"/>
      <c r="GR57" s="614"/>
      <c r="GS57" s="614"/>
      <c r="GT57" s="614"/>
      <c r="GU57" s="614"/>
      <c r="GV57" s="614"/>
      <c r="GW57" s="614"/>
      <c r="GX57" s="614"/>
      <c r="GY57" s="614"/>
      <c r="GZ57" s="614"/>
      <c r="HA57" s="614"/>
      <c r="HB57" s="614"/>
      <c r="HC57" s="614"/>
      <c r="HD57" s="614"/>
      <c r="HE57" s="614"/>
      <c r="HF57" s="614"/>
      <c r="HG57" s="614"/>
      <c r="HH57" s="614"/>
      <c r="HI57" s="614"/>
      <c r="HJ57" s="614"/>
      <c r="HK57" s="614"/>
      <c r="HL57" s="614"/>
      <c r="HM57" s="614"/>
      <c r="HN57" s="614"/>
      <c r="HO57" s="614"/>
      <c r="HP57" s="614"/>
      <c r="HQ57" s="614"/>
      <c r="HR57" s="614"/>
      <c r="HS57" s="614"/>
      <c r="HT57" s="614"/>
      <c r="HU57" s="614"/>
      <c r="HV57" s="614"/>
      <c r="HW57" s="614"/>
      <c r="HX57" s="614"/>
      <c r="HY57" s="614"/>
      <c r="HZ57" s="614"/>
      <c r="IA57" s="614"/>
      <c r="IB57" s="614"/>
      <c r="IC57" s="614"/>
      <c r="ID57" s="614"/>
      <c r="IE57" s="614"/>
      <c r="IF57" s="614"/>
      <c r="IG57" s="614"/>
      <c r="IH57" s="614"/>
      <c r="II57" s="614"/>
      <c r="IJ57" s="614"/>
      <c r="IK57" s="614"/>
      <c r="IL57" s="614"/>
      <c r="IM57" s="614"/>
      <c r="IN57" s="614"/>
      <c r="IO57" s="614"/>
      <c r="IP57" s="614"/>
      <c r="IQ57" s="614"/>
      <c r="IR57" s="614"/>
      <c r="IS57" s="614"/>
      <c r="IT57" s="614"/>
      <c r="IU57" s="614"/>
      <c r="IV57" s="614"/>
      <c r="IW57" s="614"/>
    </row>
    <row r="58" spans="1:257" s="695" customFormat="1" ht="51.75" customHeight="1">
      <c r="A58" s="622">
        <v>4</v>
      </c>
      <c r="B58" s="623" t="s">
        <v>841</v>
      </c>
      <c r="C58" s="622"/>
      <c r="D58" s="622"/>
      <c r="E58" s="660"/>
      <c r="F58" s="660">
        <f>SUM(F59:F64)</f>
        <v>15628000000</v>
      </c>
      <c r="G58" s="660">
        <f>SUM(G59:G64)</f>
        <v>0</v>
      </c>
      <c r="H58" s="660">
        <f>SUM(H59:H64)</f>
        <v>0</v>
      </c>
      <c r="I58" s="660">
        <f>SUM(I59:I64)</f>
        <v>0</v>
      </c>
      <c r="J58" s="660">
        <f>SUM(J59:J64)</f>
        <v>7600000000</v>
      </c>
      <c r="K58" s="660">
        <f>K60</f>
        <v>0</v>
      </c>
      <c r="L58" s="1303">
        <f>L60</f>
        <v>0</v>
      </c>
      <c r="M58" s="660"/>
      <c r="N58" s="627"/>
      <c r="O58" s="627"/>
      <c r="P58" s="648"/>
      <c r="Q58" s="648"/>
      <c r="R58" s="648" t="s">
        <v>842</v>
      </c>
      <c r="S58" s="690">
        <v>20563</v>
      </c>
      <c r="T58" s="691"/>
      <c r="U58" s="648"/>
      <c r="V58" s="692"/>
      <c r="W58" s="693"/>
      <c r="X58" s="690"/>
      <c r="Y58" s="694"/>
      <c r="Z58" s="694"/>
      <c r="AA58" s="694"/>
      <c r="AB58" s="694"/>
      <c r="AC58" s="694"/>
      <c r="AD58" s="694"/>
      <c r="AE58" s="694"/>
      <c r="AF58" s="694"/>
      <c r="AG58" s="694"/>
      <c r="AH58" s="694"/>
      <c r="AI58" s="694"/>
      <c r="AJ58" s="694"/>
      <c r="AK58" s="694"/>
      <c r="AL58" s="694"/>
      <c r="AM58" s="694"/>
      <c r="AN58" s="694"/>
      <c r="AO58" s="694"/>
      <c r="AP58" s="694"/>
      <c r="AQ58" s="694"/>
      <c r="AR58" s="694"/>
      <c r="AS58" s="694"/>
      <c r="AT58" s="694"/>
      <c r="AU58" s="694"/>
      <c r="AV58" s="694"/>
      <c r="AW58" s="694"/>
      <c r="AX58" s="694"/>
      <c r="AY58" s="694"/>
      <c r="AZ58" s="694"/>
      <c r="BA58" s="694"/>
      <c r="BB58" s="694"/>
      <c r="BC58" s="694"/>
      <c r="BD58" s="694"/>
      <c r="BE58" s="694"/>
      <c r="BF58" s="694"/>
      <c r="BG58" s="694"/>
      <c r="BH58" s="694"/>
      <c r="BI58" s="694"/>
      <c r="BJ58" s="694"/>
      <c r="BK58" s="694"/>
      <c r="BL58" s="694"/>
      <c r="BM58" s="694"/>
      <c r="BN58" s="694"/>
      <c r="BO58" s="694"/>
      <c r="BP58" s="694"/>
      <c r="BQ58" s="694"/>
      <c r="BR58" s="694"/>
      <c r="BS58" s="694"/>
      <c r="BT58" s="694"/>
      <c r="BU58" s="694"/>
      <c r="BV58" s="694"/>
      <c r="BW58" s="694"/>
      <c r="BX58" s="694"/>
      <c r="BY58" s="694"/>
      <c r="BZ58" s="694"/>
      <c r="CA58" s="694"/>
      <c r="CB58" s="694"/>
      <c r="CC58" s="694"/>
      <c r="CD58" s="694"/>
      <c r="CE58" s="694"/>
      <c r="CF58" s="694"/>
      <c r="CG58" s="694"/>
      <c r="CH58" s="694"/>
      <c r="CI58" s="694"/>
      <c r="CJ58" s="694"/>
      <c r="CK58" s="694"/>
      <c r="CL58" s="694"/>
      <c r="CM58" s="694"/>
      <c r="CN58" s="694"/>
      <c r="CO58" s="694"/>
      <c r="CP58" s="694"/>
      <c r="CQ58" s="694"/>
      <c r="CR58" s="694"/>
      <c r="CS58" s="694"/>
      <c r="CT58" s="694"/>
      <c r="CU58" s="694"/>
      <c r="CV58" s="694"/>
      <c r="CW58" s="694"/>
      <c r="CX58" s="694"/>
      <c r="CY58" s="694"/>
      <c r="CZ58" s="694"/>
      <c r="DA58" s="694"/>
      <c r="DB58" s="694"/>
      <c r="DC58" s="694"/>
      <c r="DD58" s="694"/>
      <c r="DE58" s="694"/>
      <c r="DF58" s="694"/>
      <c r="DG58" s="694"/>
      <c r="DH58" s="694"/>
      <c r="DI58" s="694"/>
      <c r="DJ58" s="694"/>
      <c r="DK58" s="694"/>
      <c r="DL58" s="694"/>
      <c r="DM58" s="694"/>
      <c r="DN58" s="694"/>
      <c r="DO58" s="694"/>
      <c r="DP58" s="694"/>
      <c r="DQ58" s="694"/>
      <c r="DR58" s="694"/>
      <c r="DS58" s="694"/>
      <c r="DT58" s="694"/>
      <c r="DU58" s="694"/>
      <c r="DV58" s="694"/>
      <c r="DW58" s="694"/>
      <c r="DX58" s="694"/>
      <c r="DY58" s="694"/>
      <c r="DZ58" s="694"/>
      <c r="EA58" s="694"/>
      <c r="EB58" s="694"/>
      <c r="EC58" s="694"/>
      <c r="ED58" s="694"/>
      <c r="EE58" s="694"/>
      <c r="EF58" s="694"/>
      <c r="EG58" s="694"/>
      <c r="EH58" s="694"/>
      <c r="EI58" s="694"/>
      <c r="EJ58" s="694"/>
      <c r="EK58" s="694"/>
      <c r="EL58" s="694"/>
      <c r="EM58" s="694"/>
      <c r="EN58" s="694"/>
      <c r="EO58" s="694"/>
      <c r="EP58" s="694"/>
      <c r="EQ58" s="694"/>
      <c r="ER58" s="694"/>
      <c r="ES58" s="694"/>
      <c r="ET58" s="694"/>
      <c r="EU58" s="694"/>
      <c r="EV58" s="694"/>
      <c r="EW58" s="694"/>
      <c r="EX58" s="694"/>
      <c r="EY58" s="694"/>
      <c r="EZ58" s="694"/>
      <c r="FA58" s="694"/>
      <c r="FB58" s="694"/>
      <c r="FC58" s="694"/>
      <c r="FD58" s="694"/>
      <c r="FE58" s="694"/>
      <c r="FF58" s="694"/>
      <c r="FG58" s="694"/>
      <c r="FH58" s="694"/>
      <c r="FI58" s="694"/>
      <c r="FJ58" s="694"/>
      <c r="FK58" s="694"/>
      <c r="FL58" s="694"/>
      <c r="FM58" s="694"/>
      <c r="FN58" s="694"/>
      <c r="FO58" s="694"/>
      <c r="FP58" s="694"/>
      <c r="FQ58" s="694"/>
      <c r="FR58" s="694"/>
      <c r="FS58" s="694"/>
      <c r="FT58" s="694"/>
      <c r="FU58" s="694"/>
      <c r="FV58" s="694"/>
      <c r="FW58" s="694"/>
      <c r="FX58" s="694"/>
      <c r="FY58" s="694"/>
      <c r="FZ58" s="694"/>
      <c r="GA58" s="694"/>
      <c r="GB58" s="694"/>
      <c r="GC58" s="694"/>
      <c r="GD58" s="694"/>
      <c r="GE58" s="694"/>
      <c r="GF58" s="694"/>
      <c r="GG58" s="694"/>
      <c r="GH58" s="694"/>
      <c r="GI58" s="694"/>
      <c r="GJ58" s="694"/>
      <c r="GK58" s="694"/>
      <c r="GL58" s="694"/>
      <c r="GM58" s="694"/>
      <c r="GN58" s="694"/>
      <c r="GO58" s="694"/>
      <c r="GP58" s="694"/>
      <c r="GQ58" s="694"/>
      <c r="GR58" s="694"/>
      <c r="GS58" s="694"/>
      <c r="GT58" s="694"/>
      <c r="GU58" s="694"/>
      <c r="GV58" s="694"/>
      <c r="GW58" s="694"/>
      <c r="GX58" s="694"/>
      <c r="GY58" s="694"/>
      <c r="GZ58" s="694"/>
      <c r="HA58" s="694"/>
      <c r="HB58" s="694"/>
      <c r="HC58" s="694"/>
      <c r="HD58" s="694"/>
      <c r="HE58" s="694"/>
      <c r="HF58" s="694"/>
      <c r="HG58" s="694"/>
      <c r="HH58" s="694"/>
      <c r="HI58" s="694"/>
      <c r="HJ58" s="694"/>
      <c r="HK58" s="694"/>
      <c r="HL58" s="694"/>
      <c r="HM58" s="694"/>
      <c r="HN58" s="694"/>
      <c r="HO58" s="694"/>
      <c r="HP58" s="694"/>
      <c r="HQ58" s="694"/>
      <c r="HR58" s="694"/>
      <c r="HS58" s="694"/>
      <c r="HT58" s="694"/>
      <c r="HU58" s="694"/>
      <c r="HV58" s="694"/>
      <c r="HW58" s="694"/>
      <c r="HX58" s="694"/>
      <c r="HY58" s="694"/>
      <c r="HZ58" s="694"/>
      <c r="IA58" s="694"/>
      <c r="IB58" s="694"/>
      <c r="IC58" s="694"/>
      <c r="ID58" s="694"/>
      <c r="IE58" s="694"/>
      <c r="IF58" s="694"/>
      <c r="IG58" s="694"/>
      <c r="IH58" s="694"/>
      <c r="II58" s="694"/>
      <c r="IJ58" s="694"/>
      <c r="IK58" s="694"/>
      <c r="IL58" s="694"/>
      <c r="IM58" s="694"/>
      <c r="IN58" s="694"/>
      <c r="IO58" s="694"/>
      <c r="IP58" s="694"/>
      <c r="IQ58" s="694"/>
      <c r="IR58" s="694"/>
      <c r="IS58" s="694"/>
      <c r="IT58" s="694"/>
      <c r="IU58" s="694"/>
      <c r="IV58" s="694"/>
      <c r="IW58" s="694"/>
    </row>
    <row r="59" spans="1:257" s="682" customFormat="1" ht="24" hidden="1" customHeight="1">
      <c r="A59" s="683" t="s">
        <v>258</v>
      </c>
      <c r="B59" s="696" t="s">
        <v>843</v>
      </c>
      <c r="C59" s="683"/>
      <c r="D59" s="683"/>
      <c r="E59" s="669"/>
      <c r="F59" s="669">
        <v>1248000000</v>
      </c>
      <c r="G59" s="609"/>
      <c r="H59" s="609"/>
      <c r="I59" s="609"/>
      <c r="J59" s="669"/>
      <c r="K59" s="669"/>
      <c r="L59" s="1306"/>
      <c r="M59" s="669"/>
      <c r="N59" s="670"/>
      <c r="O59" s="670"/>
      <c r="P59" s="637"/>
      <c r="Q59" s="637"/>
      <c r="R59" s="593">
        <f>F59*80%</f>
        <v>998400000</v>
      </c>
      <c r="S59" s="674"/>
      <c r="T59" s="654"/>
      <c r="U59" s="637"/>
      <c r="V59" s="613"/>
      <c r="W59" s="680"/>
      <c r="X59" s="677"/>
      <c r="Y59" s="681"/>
      <c r="Z59" s="681"/>
      <c r="AA59" s="681"/>
      <c r="AB59" s="681"/>
      <c r="AC59" s="681"/>
      <c r="AD59" s="681"/>
      <c r="AE59" s="681"/>
      <c r="AF59" s="681"/>
      <c r="AG59" s="681"/>
      <c r="AH59" s="681"/>
      <c r="AI59" s="681"/>
      <c r="AJ59" s="681"/>
      <c r="AK59" s="681"/>
      <c r="AL59" s="681"/>
      <c r="AM59" s="681"/>
      <c r="AN59" s="681"/>
      <c r="AO59" s="681"/>
      <c r="AP59" s="681"/>
      <c r="AQ59" s="681"/>
      <c r="AR59" s="681"/>
      <c r="AS59" s="681"/>
      <c r="AT59" s="681"/>
      <c r="AU59" s="681"/>
      <c r="AV59" s="681"/>
      <c r="AW59" s="681"/>
      <c r="AX59" s="681"/>
      <c r="AY59" s="681"/>
      <c r="AZ59" s="681"/>
      <c r="BA59" s="681"/>
      <c r="BB59" s="681"/>
      <c r="BC59" s="681"/>
      <c r="BD59" s="681"/>
      <c r="BE59" s="681"/>
      <c r="BF59" s="681"/>
      <c r="BG59" s="681"/>
      <c r="BH59" s="681"/>
      <c r="BI59" s="681"/>
      <c r="BJ59" s="681"/>
      <c r="BK59" s="681"/>
      <c r="BL59" s="681"/>
      <c r="BM59" s="681"/>
      <c r="BN59" s="681"/>
      <c r="BO59" s="681"/>
      <c r="BP59" s="681"/>
      <c r="BQ59" s="681"/>
      <c r="BR59" s="681"/>
      <c r="BS59" s="681"/>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c r="CQ59" s="681"/>
      <c r="CR59" s="681"/>
      <c r="CS59" s="681"/>
      <c r="CT59" s="681"/>
      <c r="CU59" s="681"/>
      <c r="CV59" s="681"/>
      <c r="CW59" s="681"/>
      <c r="CX59" s="681"/>
      <c r="CY59" s="681"/>
      <c r="CZ59" s="681"/>
      <c r="DA59" s="681"/>
      <c r="DB59" s="681"/>
      <c r="DC59" s="681"/>
      <c r="DD59" s="681"/>
      <c r="DE59" s="681"/>
      <c r="DF59" s="681"/>
      <c r="DG59" s="681"/>
      <c r="DH59" s="681"/>
      <c r="DI59" s="681"/>
      <c r="DJ59" s="681"/>
      <c r="DK59" s="681"/>
      <c r="DL59" s="681"/>
      <c r="DM59" s="681"/>
      <c r="DN59" s="681"/>
      <c r="DO59" s="681"/>
      <c r="DP59" s="681"/>
      <c r="DQ59" s="681"/>
      <c r="DR59" s="681"/>
      <c r="DS59" s="681"/>
      <c r="DT59" s="681"/>
      <c r="DU59" s="681"/>
      <c r="DV59" s="681"/>
      <c r="DW59" s="681"/>
      <c r="DX59" s="681"/>
      <c r="DY59" s="681"/>
      <c r="DZ59" s="681"/>
      <c r="EA59" s="681"/>
      <c r="EB59" s="681"/>
      <c r="EC59" s="681"/>
      <c r="ED59" s="681"/>
      <c r="EE59" s="681"/>
      <c r="EF59" s="681"/>
      <c r="EG59" s="681"/>
      <c r="EH59" s="681"/>
      <c r="EI59" s="681"/>
      <c r="EJ59" s="681"/>
      <c r="EK59" s="681"/>
      <c r="EL59" s="681"/>
      <c r="EM59" s="681"/>
      <c r="EN59" s="681"/>
      <c r="EO59" s="681"/>
      <c r="EP59" s="681"/>
      <c r="EQ59" s="681"/>
      <c r="ER59" s="681"/>
      <c r="ES59" s="681"/>
      <c r="ET59" s="681"/>
      <c r="EU59" s="681"/>
      <c r="EV59" s="681"/>
      <c r="EW59" s="681"/>
      <c r="EX59" s="681"/>
      <c r="EY59" s="681"/>
      <c r="EZ59" s="681"/>
      <c r="FA59" s="681"/>
      <c r="FB59" s="681"/>
      <c r="FC59" s="681"/>
      <c r="FD59" s="681"/>
      <c r="FE59" s="681"/>
      <c r="FF59" s="681"/>
      <c r="FG59" s="681"/>
      <c r="FH59" s="681"/>
      <c r="FI59" s="681"/>
      <c r="FJ59" s="681"/>
      <c r="FK59" s="681"/>
      <c r="FL59" s="681"/>
      <c r="FM59" s="681"/>
      <c r="FN59" s="681"/>
      <c r="FO59" s="681"/>
      <c r="FP59" s="681"/>
      <c r="FQ59" s="681"/>
      <c r="FR59" s="681"/>
      <c r="FS59" s="681"/>
      <c r="FT59" s="681"/>
      <c r="FU59" s="681"/>
      <c r="FV59" s="681"/>
      <c r="FW59" s="681"/>
      <c r="FX59" s="681"/>
      <c r="FY59" s="681"/>
      <c r="FZ59" s="681"/>
      <c r="GA59" s="681"/>
      <c r="GB59" s="681"/>
      <c r="GC59" s="681"/>
      <c r="GD59" s="681"/>
      <c r="GE59" s="681"/>
      <c r="GF59" s="681"/>
      <c r="GG59" s="681"/>
      <c r="GH59" s="681"/>
      <c r="GI59" s="681"/>
      <c r="GJ59" s="681"/>
      <c r="GK59" s="681"/>
      <c r="GL59" s="681"/>
      <c r="GM59" s="681"/>
      <c r="GN59" s="681"/>
      <c r="GO59" s="681"/>
      <c r="GP59" s="681"/>
      <c r="GQ59" s="681"/>
      <c r="GR59" s="681"/>
      <c r="GS59" s="681"/>
      <c r="GT59" s="681"/>
      <c r="GU59" s="681"/>
      <c r="GV59" s="681"/>
      <c r="GW59" s="681"/>
      <c r="GX59" s="681"/>
      <c r="GY59" s="681"/>
      <c r="GZ59" s="681"/>
      <c r="HA59" s="681"/>
      <c r="HB59" s="681"/>
      <c r="HC59" s="681"/>
      <c r="HD59" s="681"/>
      <c r="HE59" s="681"/>
      <c r="HF59" s="681"/>
      <c r="HG59" s="681"/>
      <c r="HH59" s="681"/>
      <c r="HI59" s="681"/>
      <c r="HJ59" s="681"/>
      <c r="HK59" s="681"/>
      <c r="HL59" s="681"/>
      <c r="HM59" s="681"/>
      <c r="HN59" s="681"/>
      <c r="HO59" s="681"/>
      <c r="HP59" s="681"/>
      <c r="HQ59" s="681"/>
      <c r="HR59" s="681"/>
      <c r="HS59" s="681"/>
      <c r="HT59" s="681"/>
      <c r="HU59" s="681"/>
      <c r="HV59" s="681"/>
      <c r="HW59" s="681"/>
      <c r="HX59" s="681"/>
      <c r="HY59" s="681"/>
      <c r="HZ59" s="681"/>
      <c r="IA59" s="681"/>
      <c r="IB59" s="681"/>
      <c r="IC59" s="681"/>
      <c r="ID59" s="681"/>
      <c r="IE59" s="681"/>
      <c r="IF59" s="681"/>
      <c r="IG59" s="681"/>
      <c r="IH59" s="681"/>
      <c r="II59" s="681"/>
      <c r="IJ59" s="681"/>
      <c r="IK59" s="681"/>
      <c r="IL59" s="681"/>
      <c r="IM59" s="681"/>
      <c r="IN59" s="681"/>
      <c r="IO59" s="681"/>
      <c r="IP59" s="681"/>
      <c r="IQ59" s="681"/>
      <c r="IR59" s="681"/>
      <c r="IS59" s="681"/>
      <c r="IT59" s="681"/>
      <c r="IU59" s="681"/>
      <c r="IV59" s="681"/>
      <c r="IW59" s="681"/>
    </row>
    <row r="60" spans="1:257" s="682" customFormat="1" ht="15.75" hidden="1" customHeight="1">
      <c r="A60" s="683" t="s">
        <v>258</v>
      </c>
      <c r="B60" s="696" t="s">
        <v>844</v>
      </c>
      <c r="C60" s="683"/>
      <c r="D60" s="683"/>
      <c r="E60" s="669"/>
      <c r="F60" s="669">
        <v>250000000</v>
      </c>
      <c r="G60" s="609"/>
      <c r="H60" s="609"/>
      <c r="I60" s="609"/>
      <c r="J60" s="669">
        <v>500000000</v>
      </c>
      <c r="K60" s="669"/>
      <c r="L60" s="1306"/>
      <c r="M60" s="669"/>
      <c r="N60" s="670"/>
      <c r="O60" s="670"/>
      <c r="P60" s="637"/>
      <c r="Q60" s="637"/>
      <c r="R60" s="593"/>
      <c r="S60" s="674"/>
      <c r="T60" s="654"/>
      <c r="U60" s="637"/>
      <c r="V60" s="613"/>
      <c r="W60" s="680"/>
      <c r="X60" s="677"/>
      <c r="Y60" s="681"/>
      <c r="Z60" s="681"/>
      <c r="AA60" s="681"/>
      <c r="AB60" s="681"/>
      <c r="AC60" s="681"/>
      <c r="AD60" s="681"/>
      <c r="AE60" s="681"/>
      <c r="AF60" s="681"/>
      <c r="AG60" s="681"/>
      <c r="AH60" s="681"/>
      <c r="AI60" s="681"/>
      <c r="AJ60" s="681"/>
      <c r="AK60" s="681"/>
      <c r="AL60" s="681"/>
      <c r="AM60" s="681"/>
      <c r="AN60" s="681"/>
      <c r="AO60" s="681"/>
      <c r="AP60" s="681"/>
      <c r="AQ60" s="681"/>
      <c r="AR60" s="681"/>
      <c r="AS60" s="681"/>
      <c r="AT60" s="681"/>
      <c r="AU60" s="681"/>
      <c r="AV60" s="681"/>
      <c r="AW60" s="681"/>
      <c r="AX60" s="681"/>
      <c r="AY60" s="681"/>
      <c r="AZ60" s="681"/>
      <c r="BA60" s="681"/>
      <c r="BB60" s="681"/>
      <c r="BC60" s="681"/>
      <c r="BD60" s="681"/>
      <c r="BE60" s="681"/>
      <c r="BF60" s="681"/>
      <c r="BG60" s="681"/>
      <c r="BH60" s="681"/>
      <c r="BI60" s="681"/>
      <c r="BJ60" s="681"/>
      <c r="BK60" s="681"/>
      <c r="BL60" s="681"/>
      <c r="BM60" s="681"/>
      <c r="BN60" s="681"/>
      <c r="BO60" s="681"/>
      <c r="BP60" s="681"/>
      <c r="BQ60" s="681"/>
      <c r="BR60" s="681"/>
      <c r="BS60" s="681"/>
      <c r="BT60" s="681"/>
      <c r="BU60" s="681"/>
      <c r="BV60" s="681"/>
      <c r="BW60" s="681"/>
      <c r="BX60" s="681"/>
      <c r="BY60" s="681"/>
      <c r="BZ60" s="681"/>
      <c r="CA60" s="681"/>
      <c r="CB60" s="681"/>
      <c r="CC60" s="681"/>
      <c r="CD60" s="681"/>
      <c r="CE60" s="681"/>
      <c r="CF60" s="681"/>
      <c r="CG60" s="681"/>
      <c r="CH60" s="681"/>
      <c r="CI60" s="681"/>
      <c r="CJ60" s="681"/>
      <c r="CK60" s="681"/>
      <c r="CL60" s="681"/>
      <c r="CM60" s="681"/>
      <c r="CN60" s="681"/>
      <c r="CO60" s="681"/>
      <c r="CP60" s="681"/>
      <c r="CQ60" s="681"/>
      <c r="CR60" s="681"/>
      <c r="CS60" s="681"/>
      <c r="CT60" s="681"/>
      <c r="CU60" s="681"/>
      <c r="CV60" s="681"/>
      <c r="CW60" s="681"/>
      <c r="CX60" s="681"/>
      <c r="CY60" s="681"/>
      <c r="CZ60" s="681"/>
      <c r="DA60" s="681"/>
      <c r="DB60" s="681"/>
      <c r="DC60" s="681"/>
      <c r="DD60" s="681"/>
      <c r="DE60" s="681"/>
      <c r="DF60" s="681"/>
      <c r="DG60" s="681"/>
      <c r="DH60" s="681"/>
      <c r="DI60" s="681"/>
      <c r="DJ60" s="681"/>
      <c r="DK60" s="681"/>
      <c r="DL60" s="681"/>
      <c r="DM60" s="681"/>
      <c r="DN60" s="681"/>
      <c r="DO60" s="681"/>
      <c r="DP60" s="681"/>
      <c r="DQ60" s="681"/>
      <c r="DR60" s="681"/>
      <c r="DS60" s="681"/>
      <c r="DT60" s="681"/>
      <c r="DU60" s="681"/>
      <c r="DV60" s="681"/>
      <c r="DW60" s="681"/>
      <c r="DX60" s="681"/>
      <c r="DY60" s="681"/>
      <c r="DZ60" s="681"/>
      <c r="EA60" s="681"/>
      <c r="EB60" s="681"/>
      <c r="EC60" s="681"/>
      <c r="ED60" s="681"/>
      <c r="EE60" s="681"/>
      <c r="EF60" s="681"/>
      <c r="EG60" s="681"/>
      <c r="EH60" s="681"/>
      <c r="EI60" s="681"/>
      <c r="EJ60" s="681"/>
      <c r="EK60" s="681"/>
      <c r="EL60" s="681"/>
      <c r="EM60" s="681"/>
      <c r="EN60" s="681"/>
      <c r="EO60" s="681"/>
      <c r="EP60" s="681"/>
      <c r="EQ60" s="681"/>
      <c r="ER60" s="681"/>
      <c r="ES60" s="681"/>
      <c r="ET60" s="681"/>
      <c r="EU60" s="681"/>
      <c r="EV60" s="681"/>
      <c r="EW60" s="681"/>
      <c r="EX60" s="681"/>
      <c r="EY60" s="681"/>
      <c r="EZ60" s="681"/>
      <c r="FA60" s="681"/>
      <c r="FB60" s="681"/>
      <c r="FC60" s="681"/>
      <c r="FD60" s="681"/>
      <c r="FE60" s="681"/>
      <c r="FF60" s="681"/>
      <c r="FG60" s="681"/>
      <c r="FH60" s="681"/>
      <c r="FI60" s="681"/>
      <c r="FJ60" s="681"/>
      <c r="FK60" s="681"/>
      <c r="FL60" s="681"/>
      <c r="FM60" s="681"/>
      <c r="FN60" s="681"/>
      <c r="FO60" s="681"/>
      <c r="FP60" s="681"/>
      <c r="FQ60" s="681"/>
      <c r="FR60" s="681"/>
      <c r="FS60" s="681"/>
      <c r="FT60" s="681"/>
      <c r="FU60" s="681"/>
      <c r="FV60" s="681"/>
      <c r="FW60" s="681"/>
      <c r="FX60" s="681"/>
      <c r="FY60" s="681"/>
      <c r="FZ60" s="681"/>
      <c r="GA60" s="681"/>
      <c r="GB60" s="681"/>
      <c r="GC60" s="681"/>
      <c r="GD60" s="681"/>
      <c r="GE60" s="681"/>
      <c r="GF60" s="681"/>
      <c r="GG60" s="681"/>
      <c r="GH60" s="681"/>
      <c r="GI60" s="681"/>
      <c r="GJ60" s="681"/>
      <c r="GK60" s="681"/>
      <c r="GL60" s="681"/>
      <c r="GM60" s="681"/>
      <c r="GN60" s="681"/>
      <c r="GO60" s="681"/>
      <c r="GP60" s="681"/>
      <c r="GQ60" s="681"/>
      <c r="GR60" s="681"/>
      <c r="GS60" s="681"/>
      <c r="GT60" s="681"/>
      <c r="GU60" s="681"/>
      <c r="GV60" s="681"/>
      <c r="GW60" s="681"/>
      <c r="GX60" s="681"/>
      <c r="GY60" s="681"/>
      <c r="GZ60" s="681"/>
      <c r="HA60" s="681"/>
      <c r="HB60" s="681"/>
      <c r="HC60" s="681"/>
      <c r="HD60" s="681"/>
      <c r="HE60" s="681"/>
      <c r="HF60" s="681"/>
      <c r="HG60" s="681"/>
      <c r="HH60" s="681"/>
      <c r="HI60" s="681"/>
      <c r="HJ60" s="681"/>
      <c r="HK60" s="681"/>
      <c r="HL60" s="681"/>
      <c r="HM60" s="681"/>
      <c r="HN60" s="681"/>
      <c r="HO60" s="681"/>
      <c r="HP60" s="681"/>
      <c r="HQ60" s="681"/>
      <c r="HR60" s="681"/>
      <c r="HS60" s="681"/>
      <c r="HT60" s="681"/>
      <c r="HU60" s="681"/>
      <c r="HV60" s="681"/>
      <c r="HW60" s="681"/>
      <c r="HX60" s="681"/>
      <c r="HY60" s="681"/>
      <c r="HZ60" s="681"/>
      <c r="IA60" s="681"/>
      <c r="IB60" s="681"/>
      <c r="IC60" s="681"/>
      <c r="ID60" s="681"/>
      <c r="IE60" s="681"/>
      <c r="IF60" s="681"/>
      <c r="IG60" s="681"/>
      <c r="IH60" s="681"/>
      <c r="II60" s="681"/>
      <c r="IJ60" s="681"/>
      <c r="IK60" s="681"/>
      <c r="IL60" s="681"/>
      <c r="IM60" s="681"/>
      <c r="IN60" s="681"/>
      <c r="IO60" s="681"/>
      <c r="IP60" s="681"/>
      <c r="IQ60" s="681"/>
      <c r="IR60" s="681"/>
      <c r="IS60" s="681"/>
      <c r="IT60" s="681"/>
      <c r="IU60" s="681"/>
      <c r="IV60" s="681"/>
      <c r="IW60" s="681"/>
    </row>
    <row r="61" spans="1:257" s="682" customFormat="1" ht="31.5" hidden="1" customHeight="1">
      <c r="A61" s="683" t="s">
        <v>258</v>
      </c>
      <c r="B61" s="696" t="s">
        <v>845</v>
      </c>
      <c r="C61" s="683"/>
      <c r="D61" s="683"/>
      <c r="E61" s="669"/>
      <c r="F61" s="669">
        <v>300000000</v>
      </c>
      <c r="G61" s="651" t="s">
        <v>846</v>
      </c>
      <c r="H61" s="651"/>
      <c r="I61" s="651"/>
      <c r="J61" s="669">
        <v>2100000000</v>
      </c>
      <c r="K61" s="669"/>
      <c r="L61" s="1306"/>
      <c r="M61" s="669"/>
      <c r="N61" s="670"/>
      <c r="O61" s="670"/>
      <c r="P61" s="655"/>
      <c r="Q61" s="655"/>
      <c r="R61" s="593"/>
      <c r="S61" s="674"/>
      <c r="T61" s="654"/>
      <c r="U61" s="637"/>
      <c r="V61" s="613"/>
      <c r="W61" s="680"/>
      <c r="X61" s="677"/>
      <c r="Y61" s="681"/>
      <c r="Z61" s="681"/>
      <c r="AA61" s="681"/>
      <c r="AB61" s="681"/>
      <c r="AC61" s="681"/>
      <c r="AD61" s="681"/>
      <c r="AE61" s="681"/>
      <c r="AF61" s="681"/>
      <c r="AG61" s="681"/>
      <c r="AH61" s="681"/>
      <c r="AI61" s="681"/>
      <c r="AJ61" s="681"/>
      <c r="AK61" s="681"/>
      <c r="AL61" s="681"/>
      <c r="AM61" s="681"/>
      <c r="AN61" s="681"/>
      <c r="AO61" s="681"/>
      <c r="AP61" s="681"/>
      <c r="AQ61" s="681"/>
      <c r="AR61" s="681"/>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c r="CC61" s="681"/>
      <c r="CD61" s="681"/>
      <c r="CE61" s="681"/>
      <c r="CF61" s="681"/>
      <c r="CG61" s="681"/>
      <c r="CH61" s="681"/>
      <c r="CI61" s="681"/>
      <c r="CJ61" s="681"/>
      <c r="CK61" s="681"/>
      <c r="CL61" s="681"/>
      <c r="CM61" s="681"/>
      <c r="CN61" s="681"/>
      <c r="CO61" s="681"/>
      <c r="CP61" s="681"/>
      <c r="CQ61" s="681"/>
      <c r="CR61" s="681"/>
      <c r="CS61" s="681"/>
      <c r="CT61" s="681"/>
      <c r="CU61" s="681"/>
      <c r="CV61" s="681"/>
      <c r="CW61" s="681"/>
      <c r="CX61" s="681"/>
      <c r="CY61" s="681"/>
      <c r="CZ61" s="681"/>
      <c r="DA61" s="681"/>
      <c r="DB61" s="681"/>
      <c r="DC61" s="681"/>
      <c r="DD61" s="681"/>
      <c r="DE61" s="681"/>
      <c r="DF61" s="681"/>
      <c r="DG61" s="681"/>
      <c r="DH61" s="681"/>
      <c r="DI61" s="681"/>
      <c r="DJ61" s="681"/>
      <c r="DK61" s="681"/>
      <c r="DL61" s="681"/>
      <c r="DM61" s="681"/>
      <c r="DN61" s="681"/>
      <c r="DO61" s="681"/>
      <c r="DP61" s="681"/>
      <c r="DQ61" s="681"/>
      <c r="DR61" s="681"/>
      <c r="DS61" s="681"/>
      <c r="DT61" s="681"/>
      <c r="DU61" s="681"/>
      <c r="DV61" s="681"/>
      <c r="DW61" s="681"/>
      <c r="DX61" s="681"/>
      <c r="DY61" s="681"/>
      <c r="DZ61" s="681"/>
      <c r="EA61" s="681"/>
      <c r="EB61" s="681"/>
      <c r="EC61" s="681"/>
      <c r="ED61" s="681"/>
      <c r="EE61" s="681"/>
      <c r="EF61" s="681"/>
      <c r="EG61" s="681"/>
      <c r="EH61" s="681"/>
      <c r="EI61" s="681"/>
      <c r="EJ61" s="681"/>
      <c r="EK61" s="681"/>
      <c r="EL61" s="681"/>
      <c r="EM61" s="681"/>
      <c r="EN61" s="681"/>
      <c r="EO61" s="681"/>
      <c r="EP61" s="681"/>
      <c r="EQ61" s="681"/>
      <c r="ER61" s="681"/>
      <c r="ES61" s="681"/>
      <c r="ET61" s="681"/>
      <c r="EU61" s="681"/>
      <c r="EV61" s="681"/>
      <c r="EW61" s="681"/>
      <c r="EX61" s="681"/>
      <c r="EY61" s="681"/>
      <c r="EZ61" s="681"/>
      <c r="FA61" s="681"/>
      <c r="FB61" s="681"/>
      <c r="FC61" s="681"/>
      <c r="FD61" s="681"/>
      <c r="FE61" s="681"/>
      <c r="FF61" s="681"/>
      <c r="FG61" s="681"/>
      <c r="FH61" s="681"/>
      <c r="FI61" s="681"/>
      <c r="FJ61" s="681"/>
      <c r="FK61" s="681"/>
      <c r="FL61" s="681"/>
      <c r="FM61" s="681"/>
      <c r="FN61" s="681"/>
      <c r="FO61" s="681"/>
      <c r="FP61" s="681"/>
      <c r="FQ61" s="681"/>
      <c r="FR61" s="681"/>
      <c r="FS61" s="681"/>
      <c r="FT61" s="681"/>
      <c r="FU61" s="681"/>
      <c r="FV61" s="681"/>
      <c r="FW61" s="681"/>
      <c r="FX61" s="681"/>
      <c r="FY61" s="681"/>
      <c r="FZ61" s="681"/>
      <c r="GA61" s="681"/>
      <c r="GB61" s="681"/>
      <c r="GC61" s="681"/>
      <c r="GD61" s="681"/>
      <c r="GE61" s="681"/>
      <c r="GF61" s="681"/>
      <c r="GG61" s="681"/>
      <c r="GH61" s="681"/>
      <c r="GI61" s="681"/>
      <c r="GJ61" s="681"/>
      <c r="GK61" s="681"/>
      <c r="GL61" s="681"/>
      <c r="GM61" s="681"/>
      <c r="GN61" s="681"/>
      <c r="GO61" s="681"/>
      <c r="GP61" s="681"/>
      <c r="GQ61" s="681"/>
      <c r="GR61" s="681"/>
      <c r="GS61" s="681"/>
      <c r="GT61" s="681"/>
      <c r="GU61" s="681"/>
      <c r="GV61" s="681"/>
      <c r="GW61" s="681"/>
      <c r="GX61" s="681"/>
      <c r="GY61" s="681"/>
      <c r="GZ61" s="681"/>
      <c r="HA61" s="681"/>
      <c r="HB61" s="681"/>
      <c r="HC61" s="681"/>
      <c r="HD61" s="681"/>
      <c r="HE61" s="681"/>
      <c r="HF61" s="681"/>
      <c r="HG61" s="681"/>
      <c r="HH61" s="681"/>
      <c r="HI61" s="681"/>
      <c r="HJ61" s="681"/>
      <c r="HK61" s="681"/>
      <c r="HL61" s="681"/>
      <c r="HM61" s="681"/>
      <c r="HN61" s="681"/>
      <c r="HO61" s="681"/>
      <c r="HP61" s="681"/>
      <c r="HQ61" s="681"/>
      <c r="HR61" s="681"/>
      <c r="HS61" s="681"/>
      <c r="HT61" s="681"/>
      <c r="HU61" s="681"/>
      <c r="HV61" s="681"/>
      <c r="HW61" s="681"/>
      <c r="HX61" s="681"/>
      <c r="HY61" s="681"/>
      <c r="HZ61" s="681"/>
      <c r="IA61" s="681"/>
      <c r="IB61" s="681"/>
      <c r="IC61" s="681"/>
      <c r="ID61" s="681"/>
      <c r="IE61" s="681"/>
      <c r="IF61" s="681"/>
      <c r="IG61" s="681"/>
      <c r="IH61" s="681"/>
      <c r="II61" s="681"/>
      <c r="IJ61" s="681"/>
      <c r="IK61" s="681"/>
      <c r="IL61" s="681"/>
      <c r="IM61" s="681"/>
      <c r="IN61" s="681"/>
      <c r="IO61" s="681"/>
      <c r="IP61" s="681"/>
      <c r="IQ61" s="681"/>
      <c r="IR61" s="681"/>
      <c r="IS61" s="681"/>
      <c r="IT61" s="681"/>
      <c r="IU61" s="681"/>
      <c r="IV61" s="681"/>
      <c r="IW61" s="681"/>
    </row>
    <row r="62" spans="1:257" s="682" customFormat="1" ht="15.75" hidden="1" customHeight="1">
      <c r="A62" s="683"/>
      <c r="B62" s="696" t="s">
        <v>847</v>
      </c>
      <c r="C62" s="683"/>
      <c r="D62" s="683"/>
      <c r="E62" s="669"/>
      <c r="F62" s="669"/>
      <c r="G62" s="651"/>
      <c r="H62" s="651"/>
      <c r="I62" s="651"/>
      <c r="J62" s="669">
        <v>5000000000</v>
      </c>
      <c r="K62" s="669"/>
      <c r="L62" s="1306"/>
      <c r="M62" s="669"/>
      <c r="N62" s="670"/>
      <c r="O62" s="670"/>
      <c r="P62" s="655"/>
      <c r="Q62" s="655"/>
      <c r="R62" s="593"/>
      <c r="S62" s="674"/>
      <c r="T62" s="654"/>
      <c r="U62" s="637"/>
      <c r="V62" s="613"/>
      <c r="W62" s="680"/>
      <c r="X62" s="677"/>
      <c r="Y62" s="681"/>
      <c r="Z62" s="681"/>
      <c r="AA62" s="681"/>
      <c r="AB62" s="681"/>
      <c r="AC62" s="681"/>
      <c r="AD62" s="681"/>
      <c r="AE62" s="681"/>
      <c r="AF62" s="681"/>
      <c r="AG62" s="681"/>
      <c r="AH62" s="681"/>
      <c r="AI62" s="681"/>
      <c r="AJ62" s="681"/>
      <c r="AK62" s="681"/>
      <c r="AL62" s="681"/>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c r="CQ62" s="681"/>
      <c r="CR62" s="681"/>
      <c r="CS62" s="681"/>
      <c r="CT62" s="681"/>
      <c r="CU62" s="681"/>
      <c r="CV62" s="681"/>
      <c r="CW62" s="681"/>
      <c r="CX62" s="681"/>
      <c r="CY62" s="681"/>
      <c r="CZ62" s="681"/>
      <c r="DA62" s="681"/>
      <c r="DB62" s="681"/>
      <c r="DC62" s="681"/>
      <c r="DD62" s="681"/>
      <c r="DE62" s="681"/>
      <c r="DF62" s="681"/>
      <c r="DG62" s="681"/>
      <c r="DH62" s="681"/>
      <c r="DI62" s="681"/>
      <c r="DJ62" s="681"/>
      <c r="DK62" s="681"/>
      <c r="DL62" s="681"/>
      <c r="DM62" s="681"/>
      <c r="DN62" s="681"/>
      <c r="DO62" s="681"/>
      <c r="DP62" s="681"/>
      <c r="DQ62" s="681"/>
      <c r="DR62" s="681"/>
      <c r="DS62" s="681"/>
      <c r="DT62" s="681"/>
      <c r="DU62" s="681"/>
      <c r="DV62" s="681"/>
      <c r="DW62" s="681"/>
      <c r="DX62" s="681"/>
      <c r="DY62" s="681"/>
      <c r="DZ62" s="681"/>
      <c r="EA62" s="681"/>
      <c r="EB62" s="681"/>
      <c r="EC62" s="681"/>
      <c r="ED62" s="681"/>
      <c r="EE62" s="681"/>
      <c r="EF62" s="681"/>
      <c r="EG62" s="681"/>
      <c r="EH62" s="681"/>
      <c r="EI62" s="681"/>
      <c r="EJ62" s="681"/>
      <c r="EK62" s="681"/>
      <c r="EL62" s="681"/>
      <c r="EM62" s="681"/>
      <c r="EN62" s="681"/>
      <c r="EO62" s="681"/>
      <c r="EP62" s="681"/>
      <c r="EQ62" s="681"/>
      <c r="ER62" s="681"/>
      <c r="ES62" s="681"/>
      <c r="ET62" s="681"/>
      <c r="EU62" s="681"/>
      <c r="EV62" s="681"/>
      <c r="EW62" s="681"/>
      <c r="EX62" s="681"/>
      <c r="EY62" s="681"/>
      <c r="EZ62" s="681"/>
      <c r="FA62" s="681"/>
      <c r="FB62" s="681"/>
      <c r="FC62" s="681"/>
      <c r="FD62" s="681"/>
      <c r="FE62" s="681"/>
      <c r="FF62" s="681"/>
      <c r="FG62" s="681"/>
      <c r="FH62" s="681"/>
      <c r="FI62" s="681"/>
      <c r="FJ62" s="681"/>
      <c r="FK62" s="681"/>
      <c r="FL62" s="681"/>
      <c r="FM62" s="681"/>
      <c r="FN62" s="681"/>
      <c r="FO62" s="681"/>
      <c r="FP62" s="681"/>
      <c r="FQ62" s="681"/>
      <c r="FR62" s="681"/>
      <c r="FS62" s="681"/>
      <c r="FT62" s="681"/>
      <c r="FU62" s="681"/>
      <c r="FV62" s="681"/>
      <c r="FW62" s="681"/>
      <c r="FX62" s="681"/>
      <c r="FY62" s="681"/>
      <c r="FZ62" s="681"/>
      <c r="GA62" s="681"/>
      <c r="GB62" s="681"/>
      <c r="GC62" s="681"/>
      <c r="GD62" s="681"/>
      <c r="GE62" s="681"/>
      <c r="GF62" s="681"/>
      <c r="GG62" s="681"/>
      <c r="GH62" s="681"/>
      <c r="GI62" s="681"/>
      <c r="GJ62" s="681"/>
      <c r="GK62" s="681"/>
      <c r="GL62" s="681"/>
      <c r="GM62" s="681"/>
      <c r="GN62" s="681"/>
      <c r="GO62" s="681"/>
      <c r="GP62" s="681"/>
      <c r="GQ62" s="681"/>
      <c r="GR62" s="681"/>
      <c r="GS62" s="681"/>
      <c r="GT62" s="681"/>
      <c r="GU62" s="681"/>
      <c r="GV62" s="681"/>
      <c r="GW62" s="681"/>
      <c r="GX62" s="681"/>
      <c r="GY62" s="681"/>
      <c r="GZ62" s="681"/>
      <c r="HA62" s="681"/>
      <c r="HB62" s="681"/>
      <c r="HC62" s="681"/>
      <c r="HD62" s="681"/>
      <c r="HE62" s="681"/>
      <c r="HF62" s="681"/>
      <c r="HG62" s="681"/>
      <c r="HH62" s="681"/>
      <c r="HI62" s="681"/>
      <c r="HJ62" s="681"/>
      <c r="HK62" s="681"/>
      <c r="HL62" s="681"/>
      <c r="HM62" s="681"/>
      <c r="HN62" s="681"/>
      <c r="HO62" s="681"/>
      <c r="HP62" s="681"/>
      <c r="HQ62" s="681"/>
      <c r="HR62" s="681"/>
      <c r="HS62" s="681"/>
      <c r="HT62" s="681"/>
      <c r="HU62" s="681"/>
      <c r="HV62" s="681"/>
      <c r="HW62" s="681"/>
      <c r="HX62" s="681"/>
      <c r="HY62" s="681"/>
      <c r="HZ62" s="681"/>
      <c r="IA62" s="681"/>
      <c r="IB62" s="681"/>
      <c r="IC62" s="681"/>
      <c r="ID62" s="681"/>
      <c r="IE62" s="681"/>
      <c r="IF62" s="681"/>
      <c r="IG62" s="681"/>
      <c r="IH62" s="681"/>
      <c r="II62" s="681"/>
      <c r="IJ62" s="681"/>
      <c r="IK62" s="681"/>
      <c r="IL62" s="681"/>
      <c r="IM62" s="681"/>
      <c r="IN62" s="681"/>
      <c r="IO62" s="681"/>
      <c r="IP62" s="681"/>
      <c r="IQ62" s="681"/>
      <c r="IR62" s="681"/>
      <c r="IS62" s="681"/>
      <c r="IT62" s="681"/>
      <c r="IU62" s="681"/>
      <c r="IV62" s="681"/>
      <c r="IW62" s="681"/>
    </row>
    <row r="63" spans="1:257" s="682" customFormat="1" ht="24" hidden="1" customHeight="1">
      <c r="A63" s="683" t="s">
        <v>258</v>
      </c>
      <c r="B63" s="696" t="s">
        <v>848</v>
      </c>
      <c r="C63" s="683"/>
      <c r="D63" s="683"/>
      <c r="E63" s="669"/>
      <c r="F63" s="669">
        <v>2290000000</v>
      </c>
      <c r="G63" s="651"/>
      <c r="H63" s="651"/>
      <c r="I63" s="651"/>
      <c r="J63" s="669"/>
      <c r="K63" s="669"/>
      <c r="L63" s="1306"/>
      <c r="M63" s="669"/>
      <c r="N63" s="670"/>
      <c r="O63" s="670"/>
      <c r="P63" s="655"/>
      <c r="Q63" s="655"/>
      <c r="R63" s="674"/>
      <c r="S63" s="674"/>
      <c r="T63" s="654"/>
      <c r="U63" s="655"/>
      <c r="V63" s="680"/>
      <c r="W63" s="680"/>
      <c r="X63" s="677"/>
      <c r="Y63" s="681"/>
      <c r="Z63" s="681"/>
      <c r="AA63" s="681"/>
      <c r="AB63" s="681"/>
      <c r="AC63" s="681"/>
      <c r="AD63" s="681"/>
      <c r="AE63" s="681"/>
      <c r="AF63" s="681"/>
      <c r="AG63" s="681"/>
      <c r="AH63" s="681"/>
      <c r="AI63" s="681"/>
      <c r="AJ63" s="681"/>
      <c r="AK63" s="681"/>
      <c r="AL63" s="681"/>
      <c r="AM63" s="681"/>
      <c r="AN63" s="681"/>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c r="CC63" s="681"/>
      <c r="CD63" s="681"/>
      <c r="CE63" s="681"/>
      <c r="CF63" s="681"/>
      <c r="CG63" s="681"/>
      <c r="CH63" s="681"/>
      <c r="CI63" s="681"/>
      <c r="CJ63" s="681"/>
      <c r="CK63" s="681"/>
      <c r="CL63" s="681"/>
      <c r="CM63" s="681"/>
      <c r="CN63" s="681"/>
      <c r="CO63" s="681"/>
      <c r="CP63" s="681"/>
      <c r="CQ63" s="681"/>
      <c r="CR63" s="681"/>
      <c r="CS63" s="681"/>
      <c r="CT63" s="681"/>
      <c r="CU63" s="681"/>
      <c r="CV63" s="681"/>
      <c r="CW63" s="681"/>
      <c r="CX63" s="681"/>
      <c r="CY63" s="681"/>
      <c r="CZ63" s="681"/>
      <c r="DA63" s="681"/>
      <c r="DB63" s="681"/>
      <c r="DC63" s="681"/>
      <c r="DD63" s="681"/>
      <c r="DE63" s="681"/>
      <c r="DF63" s="681"/>
      <c r="DG63" s="681"/>
      <c r="DH63" s="681"/>
      <c r="DI63" s="681"/>
      <c r="DJ63" s="681"/>
      <c r="DK63" s="681"/>
      <c r="DL63" s="681"/>
      <c r="DM63" s="681"/>
      <c r="DN63" s="681"/>
      <c r="DO63" s="681"/>
      <c r="DP63" s="681"/>
      <c r="DQ63" s="681"/>
      <c r="DR63" s="681"/>
      <c r="DS63" s="681"/>
      <c r="DT63" s="681"/>
      <c r="DU63" s="681"/>
      <c r="DV63" s="681"/>
      <c r="DW63" s="681"/>
      <c r="DX63" s="681"/>
      <c r="DY63" s="681"/>
      <c r="DZ63" s="681"/>
      <c r="EA63" s="681"/>
      <c r="EB63" s="681"/>
      <c r="EC63" s="681"/>
      <c r="ED63" s="681"/>
      <c r="EE63" s="681"/>
      <c r="EF63" s="681"/>
      <c r="EG63" s="681"/>
      <c r="EH63" s="681"/>
      <c r="EI63" s="681"/>
      <c r="EJ63" s="681"/>
      <c r="EK63" s="681"/>
      <c r="EL63" s="681"/>
      <c r="EM63" s="681"/>
      <c r="EN63" s="681"/>
      <c r="EO63" s="681"/>
      <c r="EP63" s="681"/>
      <c r="EQ63" s="681"/>
      <c r="ER63" s="681"/>
      <c r="ES63" s="681"/>
      <c r="ET63" s="681"/>
      <c r="EU63" s="681"/>
      <c r="EV63" s="681"/>
      <c r="EW63" s="681"/>
      <c r="EX63" s="681"/>
      <c r="EY63" s="681"/>
      <c r="EZ63" s="681"/>
      <c r="FA63" s="681"/>
      <c r="FB63" s="681"/>
      <c r="FC63" s="681"/>
      <c r="FD63" s="681"/>
      <c r="FE63" s="681"/>
      <c r="FF63" s="681"/>
      <c r="FG63" s="681"/>
      <c r="FH63" s="681"/>
      <c r="FI63" s="681"/>
      <c r="FJ63" s="681"/>
      <c r="FK63" s="681"/>
      <c r="FL63" s="681"/>
      <c r="FM63" s="681"/>
      <c r="FN63" s="681"/>
      <c r="FO63" s="681"/>
      <c r="FP63" s="681"/>
      <c r="FQ63" s="681"/>
      <c r="FR63" s="681"/>
      <c r="FS63" s="681"/>
      <c r="FT63" s="681"/>
      <c r="FU63" s="681"/>
      <c r="FV63" s="681"/>
      <c r="FW63" s="681"/>
      <c r="FX63" s="681"/>
      <c r="FY63" s="681"/>
      <c r="FZ63" s="681"/>
      <c r="GA63" s="681"/>
      <c r="GB63" s="681"/>
      <c r="GC63" s="681"/>
      <c r="GD63" s="681"/>
      <c r="GE63" s="681"/>
      <c r="GF63" s="681"/>
      <c r="GG63" s="681"/>
      <c r="GH63" s="681"/>
      <c r="GI63" s="681"/>
      <c r="GJ63" s="681"/>
      <c r="GK63" s="681"/>
      <c r="GL63" s="681"/>
      <c r="GM63" s="681"/>
      <c r="GN63" s="681"/>
      <c r="GO63" s="681"/>
      <c r="GP63" s="681"/>
      <c r="GQ63" s="681"/>
      <c r="GR63" s="681"/>
      <c r="GS63" s="681"/>
      <c r="GT63" s="681"/>
      <c r="GU63" s="681"/>
      <c r="GV63" s="681"/>
      <c r="GW63" s="681"/>
      <c r="GX63" s="681"/>
      <c r="GY63" s="681"/>
      <c r="GZ63" s="681"/>
      <c r="HA63" s="681"/>
      <c r="HB63" s="681"/>
      <c r="HC63" s="681"/>
      <c r="HD63" s="681"/>
      <c r="HE63" s="681"/>
      <c r="HF63" s="681"/>
      <c r="HG63" s="681"/>
      <c r="HH63" s="681"/>
      <c r="HI63" s="681"/>
      <c r="HJ63" s="681"/>
      <c r="HK63" s="681"/>
      <c r="HL63" s="681"/>
      <c r="HM63" s="681"/>
      <c r="HN63" s="681"/>
      <c r="HO63" s="681"/>
      <c r="HP63" s="681"/>
      <c r="HQ63" s="681"/>
      <c r="HR63" s="681"/>
      <c r="HS63" s="681"/>
      <c r="HT63" s="681"/>
      <c r="HU63" s="681"/>
      <c r="HV63" s="681"/>
      <c r="HW63" s="681"/>
      <c r="HX63" s="681"/>
      <c r="HY63" s="681"/>
      <c r="HZ63" s="681"/>
      <c r="IA63" s="681"/>
      <c r="IB63" s="681"/>
      <c r="IC63" s="681"/>
      <c r="ID63" s="681"/>
      <c r="IE63" s="681"/>
      <c r="IF63" s="681"/>
      <c r="IG63" s="681"/>
      <c r="IH63" s="681"/>
      <c r="II63" s="681"/>
      <c r="IJ63" s="681"/>
      <c r="IK63" s="681"/>
      <c r="IL63" s="681"/>
      <c r="IM63" s="681"/>
      <c r="IN63" s="681"/>
      <c r="IO63" s="681"/>
      <c r="IP63" s="681"/>
      <c r="IQ63" s="681"/>
      <c r="IR63" s="681"/>
      <c r="IS63" s="681"/>
      <c r="IT63" s="681"/>
      <c r="IU63" s="681"/>
      <c r="IV63" s="681"/>
      <c r="IW63" s="681"/>
    </row>
    <row r="64" spans="1:257" s="682" customFormat="1" ht="39.75" hidden="1" customHeight="1">
      <c r="A64" s="683" t="s">
        <v>91</v>
      </c>
      <c r="B64" s="696" t="s">
        <v>849</v>
      </c>
      <c r="C64" s="683"/>
      <c r="D64" s="683"/>
      <c r="E64" s="669"/>
      <c r="F64" s="669">
        <f>SUM(F65:F68)</f>
        <v>11540000000</v>
      </c>
      <c r="G64" s="609"/>
      <c r="H64" s="609"/>
      <c r="I64" s="609"/>
      <c r="J64" s="669"/>
      <c r="K64" s="669"/>
      <c r="L64" s="1306"/>
      <c r="M64" s="669"/>
      <c r="N64" s="670"/>
      <c r="O64" s="670"/>
      <c r="P64" s="637"/>
      <c r="Q64" s="637"/>
      <c r="R64" s="674"/>
      <c r="S64" s="674"/>
      <c r="T64" s="654"/>
      <c r="U64" s="655"/>
      <c r="V64" s="680"/>
      <c r="W64" s="680"/>
      <c r="X64" s="677"/>
      <c r="Y64" s="681"/>
      <c r="Z64" s="681"/>
      <c r="AA64" s="681"/>
      <c r="AB64" s="681"/>
      <c r="AC64" s="681"/>
      <c r="AD64" s="681"/>
      <c r="AE64" s="681"/>
      <c r="AF64" s="681"/>
      <c r="AG64" s="681"/>
      <c r="AH64" s="681"/>
      <c r="AI64" s="681"/>
      <c r="AJ64" s="681"/>
      <c r="AK64" s="681"/>
      <c r="AL64" s="681"/>
      <c r="AM64" s="681"/>
      <c r="AN64" s="681"/>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c r="CC64" s="681"/>
      <c r="CD64" s="681"/>
      <c r="CE64" s="681"/>
      <c r="CF64" s="681"/>
      <c r="CG64" s="681"/>
      <c r="CH64" s="681"/>
      <c r="CI64" s="681"/>
      <c r="CJ64" s="681"/>
      <c r="CK64" s="681"/>
      <c r="CL64" s="681"/>
      <c r="CM64" s="681"/>
      <c r="CN64" s="681"/>
      <c r="CO64" s="681"/>
      <c r="CP64" s="681"/>
      <c r="CQ64" s="681"/>
      <c r="CR64" s="681"/>
      <c r="CS64" s="681"/>
      <c r="CT64" s="681"/>
      <c r="CU64" s="681"/>
      <c r="CV64" s="681"/>
      <c r="CW64" s="681"/>
      <c r="CX64" s="681"/>
      <c r="CY64" s="681"/>
      <c r="CZ64" s="681"/>
      <c r="DA64" s="681"/>
      <c r="DB64" s="681"/>
      <c r="DC64" s="681"/>
      <c r="DD64" s="681"/>
      <c r="DE64" s="681"/>
      <c r="DF64" s="681"/>
      <c r="DG64" s="681"/>
      <c r="DH64" s="681"/>
      <c r="DI64" s="681"/>
      <c r="DJ64" s="681"/>
      <c r="DK64" s="681"/>
      <c r="DL64" s="681"/>
      <c r="DM64" s="681"/>
      <c r="DN64" s="681"/>
      <c r="DO64" s="681"/>
      <c r="DP64" s="681"/>
      <c r="DQ64" s="681"/>
      <c r="DR64" s="681"/>
      <c r="DS64" s="681"/>
      <c r="DT64" s="681"/>
      <c r="DU64" s="681"/>
      <c r="DV64" s="681"/>
      <c r="DW64" s="681"/>
      <c r="DX64" s="681"/>
      <c r="DY64" s="681"/>
      <c r="DZ64" s="681"/>
      <c r="EA64" s="681"/>
      <c r="EB64" s="681"/>
      <c r="EC64" s="681"/>
      <c r="ED64" s="681"/>
      <c r="EE64" s="681"/>
      <c r="EF64" s="681"/>
      <c r="EG64" s="681"/>
      <c r="EH64" s="681"/>
      <c r="EI64" s="681"/>
      <c r="EJ64" s="681"/>
      <c r="EK64" s="681"/>
      <c r="EL64" s="681"/>
      <c r="EM64" s="681"/>
      <c r="EN64" s="681"/>
      <c r="EO64" s="681"/>
      <c r="EP64" s="681"/>
      <c r="EQ64" s="681"/>
      <c r="ER64" s="681"/>
      <c r="ES64" s="681"/>
      <c r="ET64" s="681"/>
      <c r="EU64" s="681"/>
      <c r="EV64" s="681"/>
      <c r="EW64" s="681"/>
      <c r="EX64" s="681"/>
      <c r="EY64" s="681"/>
      <c r="EZ64" s="681"/>
      <c r="FA64" s="681"/>
      <c r="FB64" s="681"/>
      <c r="FC64" s="681"/>
      <c r="FD64" s="681"/>
      <c r="FE64" s="681"/>
      <c r="FF64" s="681"/>
      <c r="FG64" s="681"/>
      <c r="FH64" s="681"/>
      <c r="FI64" s="681"/>
      <c r="FJ64" s="681"/>
      <c r="FK64" s="681"/>
      <c r="FL64" s="681"/>
      <c r="FM64" s="681"/>
      <c r="FN64" s="681"/>
      <c r="FO64" s="681"/>
      <c r="FP64" s="681"/>
      <c r="FQ64" s="681"/>
      <c r="FR64" s="681"/>
      <c r="FS64" s="681"/>
      <c r="FT64" s="681"/>
      <c r="FU64" s="681"/>
      <c r="FV64" s="681"/>
      <c r="FW64" s="681"/>
      <c r="FX64" s="681"/>
      <c r="FY64" s="681"/>
      <c r="FZ64" s="681"/>
      <c r="GA64" s="681"/>
      <c r="GB64" s="681"/>
      <c r="GC64" s="681"/>
      <c r="GD64" s="681"/>
      <c r="GE64" s="681"/>
      <c r="GF64" s="681"/>
      <c r="GG64" s="681"/>
      <c r="GH64" s="681"/>
      <c r="GI64" s="681"/>
      <c r="GJ64" s="681"/>
      <c r="GK64" s="681"/>
      <c r="GL64" s="681"/>
      <c r="GM64" s="681"/>
      <c r="GN64" s="681"/>
      <c r="GO64" s="681"/>
      <c r="GP64" s="681"/>
      <c r="GQ64" s="681"/>
      <c r="GR64" s="681"/>
      <c r="GS64" s="681"/>
      <c r="GT64" s="681"/>
      <c r="GU64" s="681"/>
      <c r="GV64" s="681"/>
      <c r="GW64" s="681"/>
      <c r="GX64" s="681"/>
      <c r="GY64" s="681"/>
      <c r="GZ64" s="681"/>
      <c r="HA64" s="681"/>
      <c r="HB64" s="681"/>
      <c r="HC64" s="681"/>
      <c r="HD64" s="681"/>
      <c r="HE64" s="681"/>
      <c r="HF64" s="681"/>
      <c r="HG64" s="681"/>
      <c r="HH64" s="681"/>
      <c r="HI64" s="681"/>
      <c r="HJ64" s="681"/>
      <c r="HK64" s="681"/>
      <c r="HL64" s="681"/>
      <c r="HM64" s="681"/>
      <c r="HN64" s="681"/>
      <c r="HO64" s="681"/>
      <c r="HP64" s="681"/>
      <c r="HQ64" s="681"/>
      <c r="HR64" s="681"/>
      <c r="HS64" s="681"/>
      <c r="HT64" s="681"/>
      <c r="HU64" s="681"/>
      <c r="HV64" s="681"/>
      <c r="HW64" s="681"/>
      <c r="HX64" s="681"/>
      <c r="HY64" s="681"/>
      <c r="HZ64" s="681"/>
      <c r="IA64" s="681"/>
      <c r="IB64" s="681"/>
      <c r="IC64" s="681"/>
      <c r="ID64" s="681"/>
      <c r="IE64" s="681"/>
      <c r="IF64" s="681"/>
      <c r="IG64" s="681"/>
      <c r="IH64" s="681"/>
      <c r="II64" s="681"/>
      <c r="IJ64" s="681"/>
      <c r="IK64" s="681"/>
      <c r="IL64" s="681"/>
      <c r="IM64" s="681"/>
      <c r="IN64" s="681"/>
      <c r="IO64" s="681"/>
      <c r="IP64" s="681"/>
      <c r="IQ64" s="681"/>
      <c r="IR64" s="681"/>
      <c r="IS64" s="681"/>
      <c r="IT64" s="681"/>
      <c r="IU64" s="681"/>
      <c r="IV64" s="681"/>
      <c r="IW64" s="681"/>
    </row>
    <row r="65" spans="1:257" s="682" customFormat="1" ht="33.75" hidden="1" customHeight="1">
      <c r="A65" s="697" t="s">
        <v>248</v>
      </c>
      <c r="B65" s="696" t="s">
        <v>850</v>
      </c>
      <c r="C65" s="683"/>
      <c r="D65" s="683"/>
      <c r="E65" s="669"/>
      <c r="F65" s="669">
        <v>191000000</v>
      </c>
      <c r="G65" s="609"/>
      <c r="H65" s="609"/>
      <c r="I65" s="609"/>
      <c r="J65" s="669"/>
      <c r="K65" s="669"/>
      <c r="L65" s="1306"/>
      <c r="M65" s="669"/>
      <c r="N65" s="670"/>
      <c r="O65" s="670"/>
      <c r="P65" s="637"/>
      <c r="Q65" s="637"/>
      <c r="R65" s="593"/>
      <c r="S65" s="677"/>
      <c r="T65" s="678"/>
      <c r="U65" s="655"/>
      <c r="V65" s="680"/>
      <c r="W65" s="680"/>
      <c r="X65" s="677"/>
      <c r="Y65" s="681"/>
      <c r="Z65" s="681"/>
      <c r="AA65" s="681"/>
      <c r="AB65" s="681"/>
      <c r="AC65" s="681"/>
      <c r="AD65" s="681"/>
      <c r="AE65" s="681"/>
      <c r="AF65" s="681"/>
      <c r="AG65" s="681"/>
      <c r="AH65" s="681"/>
      <c r="AI65" s="681"/>
      <c r="AJ65" s="681"/>
      <c r="AK65" s="681"/>
      <c r="AL65" s="681"/>
      <c r="AM65" s="681"/>
      <c r="AN65" s="681"/>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c r="CC65" s="681"/>
      <c r="CD65" s="681"/>
      <c r="CE65" s="681"/>
      <c r="CF65" s="681"/>
      <c r="CG65" s="681"/>
      <c r="CH65" s="681"/>
      <c r="CI65" s="681"/>
      <c r="CJ65" s="681"/>
      <c r="CK65" s="681"/>
      <c r="CL65" s="681"/>
      <c r="CM65" s="681"/>
      <c r="CN65" s="681"/>
      <c r="CO65" s="681"/>
      <c r="CP65" s="681"/>
      <c r="CQ65" s="681"/>
      <c r="CR65" s="681"/>
      <c r="CS65" s="681"/>
      <c r="CT65" s="681"/>
      <c r="CU65" s="681"/>
      <c r="CV65" s="681"/>
      <c r="CW65" s="681"/>
      <c r="CX65" s="681"/>
      <c r="CY65" s="681"/>
      <c r="CZ65" s="681"/>
      <c r="DA65" s="681"/>
      <c r="DB65" s="681"/>
      <c r="DC65" s="681"/>
      <c r="DD65" s="681"/>
      <c r="DE65" s="681"/>
      <c r="DF65" s="681"/>
      <c r="DG65" s="681"/>
      <c r="DH65" s="681"/>
      <c r="DI65" s="681"/>
      <c r="DJ65" s="681"/>
      <c r="DK65" s="681"/>
      <c r="DL65" s="681"/>
      <c r="DM65" s="681"/>
      <c r="DN65" s="681"/>
      <c r="DO65" s="681"/>
      <c r="DP65" s="681"/>
      <c r="DQ65" s="681"/>
      <c r="DR65" s="681"/>
      <c r="DS65" s="681"/>
      <c r="DT65" s="681"/>
      <c r="DU65" s="681"/>
      <c r="DV65" s="681"/>
      <c r="DW65" s="681"/>
      <c r="DX65" s="681"/>
      <c r="DY65" s="681"/>
      <c r="DZ65" s="681"/>
      <c r="EA65" s="681"/>
      <c r="EB65" s="681"/>
      <c r="EC65" s="681"/>
      <c r="ED65" s="681"/>
      <c r="EE65" s="681"/>
      <c r="EF65" s="681"/>
      <c r="EG65" s="681"/>
      <c r="EH65" s="681"/>
      <c r="EI65" s="681"/>
      <c r="EJ65" s="681"/>
      <c r="EK65" s="681"/>
      <c r="EL65" s="681"/>
      <c r="EM65" s="681"/>
      <c r="EN65" s="681"/>
      <c r="EO65" s="681"/>
      <c r="EP65" s="681"/>
      <c r="EQ65" s="681"/>
      <c r="ER65" s="681"/>
      <c r="ES65" s="681"/>
      <c r="ET65" s="681"/>
      <c r="EU65" s="681"/>
      <c r="EV65" s="681"/>
      <c r="EW65" s="681"/>
      <c r="EX65" s="681"/>
      <c r="EY65" s="681"/>
      <c r="EZ65" s="681"/>
      <c r="FA65" s="681"/>
      <c r="FB65" s="681"/>
      <c r="FC65" s="681"/>
      <c r="FD65" s="681"/>
      <c r="FE65" s="681"/>
      <c r="FF65" s="681"/>
      <c r="FG65" s="681"/>
      <c r="FH65" s="681"/>
      <c r="FI65" s="681"/>
      <c r="FJ65" s="681"/>
      <c r="FK65" s="681"/>
      <c r="FL65" s="681"/>
      <c r="FM65" s="681"/>
      <c r="FN65" s="681"/>
      <c r="FO65" s="681"/>
      <c r="FP65" s="681"/>
      <c r="FQ65" s="681"/>
      <c r="FR65" s="681"/>
      <c r="FS65" s="681"/>
      <c r="FT65" s="681"/>
      <c r="FU65" s="681"/>
      <c r="FV65" s="681"/>
      <c r="FW65" s="681"/>
      <c r="FX65" s="681"/>
      <c r="FY65" s="681"/>
      <c r="FZ65" s="681"/>
      <c r="GA65" s="681"/>
      <c r="GB65" s="681"/>
      <c r="GC65" s="681"/>
      <c r="GD65" s="681"/>
      <c r="GE65" s="681"/>
      <c r="GF65" s="681"/>
      <c r="GG65" s="681"/>
      <c r="GH65" s="681"/>
      <c r="GI65" s="681"/>
      <c r="GJ65" s="681"/>
      <c r="GK65" s="681"/>
      <c r="GL65" s="681"/>
      <c r="GM65" s="681"/>
      <c r="GN65" s="681"/>
      <c r="GO65" s="681"/>
      <c r="GP65" s="681"/>
      <c r="GQ65" s="681"/>
      <c r="GR65" s="681"/>
      <c r="GS65" s="681"/>
      <c r="GT65" s="681"/>
      <c r="GU65" s="681"/>
      <c r="GV65" s="681"/>
      <c r="GW65" s="681"/>
      <c r="GX65" s="681"/>
      <c r="GY65" s="681"/>
      <c r="GZ65" s="681"/>
      <c r="HA65" s="681"/>
      <c r="HB65" s="681"/>
      <c r="HC65" s="681"/>
      <c r="HD65" s="681"/>
      <c r="HE65" s="681"/>
      <c r="HF65" s="681"/>
      <c r="HG65" s="681"/>
      <c r="HH65" s="681"/>
      <c r="HI65" s="681"/>
      <c r="HJ65" s="681"/>
      <c r="HK65" s="681"/>
      <c r="HL65" s="681"/>
      <c r="HM65" s="681"/>
      <c r="HN65" s="681"/>
      <c r="HO65" s="681"/>
      <c r="HP65" s="681"/>
      <c r="HQ65" s="681"/>
      <c r="HR65" s="681"/>
      <c r="HS65" s="681"/>
      <c r="HT65" s="681"/>
      <c r="HU65" s="681"/>
      <c r="HV65" s="681"/>
      <c r="HW65" s="681"/>
      <c r="HX65" s="681"/>
      <c r="HY65" s="681"/>
      <c r="HZ65" s="681"/>
      <c r="IA65" s="681"/>
      <c r="IB65" s="681"/>
      <c r="IC65" s="681"/>
      <c r="ID65" s="681"/>
      <c r="IE65" s="681"/>
      <c r="IF65" s="681"/>
      <c r="IG65" s="681"/>
      <c r="IH65" s="681"/>
      <c r="II65" s="681"/>
      <c r="IJ65" s="681"/>
      <c r="IK65" s="681"/>
      <c r="IL65" s="681"/>
      <c r="IM65" s="681"/>
      <c r="IN65" s="681"/>
      <c r="IO65" s="681"/>
      <c r="IP65" s="681"/>
      <c r="IQ65" s="681"/>
      <c r="IR65" s="681"/>
      <c r="IS65" s="681"/>
      <c r="IT65" s="681"/>
      <c r="IU65" s="681"/>
      <c r="IV65" s="681"/>
      <c r="IW65" s="681"/>
    </row>
    <row r="66" spans="1:257" s="682" customFormat="1" ht="33.75" hidden="1" customHeight="1">
      <c r="A66" s="697" t="s">
        <v>248</v>
      </c>
      <c r="B66" s="696" t="s">
        <v>851</v>
      </c>
      <c r="C66" s="683"/>
      <c r="D66" s="683"/>
      <c r="E66" s="669"/>
      <c r="F66" s="669">
        <v>7500000000</v>
      </c>
      <c r="G66" s="609"/>
      <c r="H66" s="609"/>
      <c r="I66" s="609"/>
      <c r="J66" s="669"/>
      <c r="K66" s="669"/>
      <c r="L66" s="1306"/>
      <c r="M66" s="669"/>
      <c r="N66" s="670"/>
      <c r="O66" s="670"/>
      <c r="P66" s="637"/>
      <c r="Q66" s="637"/>
      <c r="R66" s="593">
        <f>F64-SUM(F65:F68)</f>
        <v>0</v>
      </c>
      <c r="S66" s="677"/>
      <c r="T66" s="678"/>
      <c r="U66" s="655"/>
      <c r="V66" s="680"/>
      <c r="W66" s="680"/>
      <c r="X66" s="677"/>
      <c r="Y66" s="681"/>
      <c r="Z66" s="681"/>
      <c r="AA66" s="681"/>
      <c r="AB66" s="681"/>
      <c r="AC66" s="681"/>
      <c r="AD66" s="681"/>
      <c r="AE66" s="681"/>
      <c r="AF66" s="681"/>
      <c r="AG66" s="681"/>
      <c r="AH66" s="681"/>
      <c r="AI66" s="681"/>
      <c r="AJ66" s="681"/>
      <c r="AK66" s="681"/>
      <c r="AL66" s="681"/>
      <c r="AM66" s="681"/>
      <c r="AN66" s="681"/>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c r="CC66" s="681"/>
      <c r="CD66" s="681"/>
      <c r="CE66" s="681"/>
      <c r="CF66" s="681"/>
      <c r="CG66" s="681"/>
      <c r="CH66" s="681"/>
      <c r="CI66" s="681"/>
      <c r="CJ66" s="681"/>
      <c r="CK66" s="681"/>
      <c r="CL66" s="681"/>
      <c r="CM66" s="681"/>
      <c r="CN66" s="681"/>
      <c r="CO66" s="681"/>
      <c r="CP66" s="681"/>
      <c r="CQ66" s="681"/>
      <c r="CR66" s="681"/>
      <c r="CS66" s="681"/>
      <c r="CT66" s="681"/>
      <c r="CU66" s="681"/>
      <c r="CV66" s="681"/>
      <c r="CW66" s="681"/>
      <c r="CX66" s="681"/>
      <c r="CY66" s="681"/>
      <c r="CZ66" s="681"/>
      <c r="DA66" s="681"/>
      <c r="DB66" s="681"/>
      <c r="DC66" s="681"/>
      <c r="DD66" s="681"/>
      <c r="DE66" s="681"/>
      <c r="DF66" s="681"/>
      <c r="DG66" s="681"/>
      <c r="DH66" s="681"/>
      <c r="DI66" s="681"/>
      <c r="DJ66" s="681"/>
      <c r="DK66" s="681"/>
      <c r="DL66" s="681"/>
      <c r="DM66" s="681"/>
      <c r="DN66" s="681"/>
      <c r="DO66" s="681"/>
      <c r="DP66" s="681"/>
      <c r="DQ66" s="681"/>
      <c r="DR66" s="681"/>
      <c r="DS66" s="681"/>
      <c r="DT66" s="681"/>
      <c r="DU66" s="681"/>
      <c r="DV66" s="681"/>
      <c r="DW66" s="681"/>
      <c r="DX66" s="681"/>
      <c r="DY66" s="681"/>
      <c r="DZ66" s="681"/>
      <c r="EA66" s="681"/>
      <c r="EB66" s="681"/>
      <c r="EC66" s="681"/>
      <c r="ED66" s="681"/>
      <c r="EE66" s="681"/>
      <c r="EF66" s="681"/>
      <c r="EG66" s="681"/>
      <c r="EH66" s="681"/>
      <c r="EI66" s="681"/>
      <c r="EJ66" s="681"/>
      <c r="EK66" s="681"/>
      <c r="EL66" s="681"/>
      <c r="EM66" s="681"/>
      <c r="EN66" s="681"/>
      <c r="EO66" s="681"/>
      <c r="EP66" s="681"/>
      <c r="EQ66" s="681"/>
      <c r="ER66" s="681"/>
      <c r="ES66" s="681"/>
      <c r="ET66" s="681"/>
      <c r="EU66" s="681"/>
      <c r="EV66" s="681"/>
      <c r="EW66" s="681"/>
      <c r="EX66" s="681"/>
      <c r="EY66" s="681"/>
      <c r="EZ66" s="681"/>
      <c r="FA66" s="681"/>
      <c r="FB66" s="681"/>
      <c r="FC66" s="681"/>
      <c r="FD66" s="681"/>
      <c r="FE66" s="681"/>
      <c r="FF66" s="681"/>
      <c r="FG66" s="681"/>
      <c r="FH66" s="681"/>
      <c r="FI66" s="681"/>
      <c r="FJ66" s="681"/>
      <c r="FK66" s="681"/>
      <c r="FL66" s="681"/>
      <c r="FM66" s="681"/>
      <c r="FN66" s="681"/>
      <c r="FO66" s="681"/>
      <c r="FP66" s="681"/>
      <c r="FQ66" s="681"/>
      <c r="FR66" s="681"/>
      <c r="FS66" s="681"/>
      <c r="FT66" s="681"/>
      <c r="FU66" s="681"/>
      <c r="FV66" s="681"/>
      <c r="FW66" s="681"/>
      <c r="FX66" s="681"/>
      <c r="FY66" s="681"/>
      <c r="FZ66" s="681"/>
      <c r="GA66" s="681"/>
      <c r="GB66" s="681"/>
      <c r="GC66" s="681"/>
      <c r="GD66" s="681"/>
      <c r="GE66" s="681"/>
      <c r="GF66" s="681"/>
      <c r="GG66" s="681"/>
      <c r="GH66" s="681"/>
      <c r="GI66" s="681"/>
      <c r="GJ66" s="681"/>
      <c r="GK66" s="681"/>
      <c r="GL66" s="681"/>
      <c r="GM66" s="681"/>
      <c r="GN66" s="681"/>
      <c r="GO66" s="681"/>
      <c r="GP66" s="681"/>
      <c r="GQ66" s="681"/>
      <c r="GR66" s="681"/>
      <c r="GS66" s="681"/>
      <c r="GT66" s="681"/>
      <c r="GU66" s="681"/>
      <c r="GV66" s="681"/>
      <c r="GW66" s="681"/>
      <c r="GX66" s="681"/>
      <c r="GY66" s="681"/>
      <c r="GZ66" s="681"/>
      <c r="HA66" s="681"/>
      <c r="HB66" s="681"/>
      <c r="HC66" s="681"/>
      <c r="HD66" s="681"/>
      <c r="HE66" s="681"/>
      <c r="HF66" s="681"/>
      <c r="HG66" s="681"/>
      <c r="HH66" s="681"/>
      <c r="HI66" s="681"/>
      <c r="HJ66" s="681"/>
      <c r="HK66" s="681"/>
      <c r="HL66" s="681"/>
      <c r="HM66" s="681"/>
      <c r="HN66" s="681"/>
      <c r="HO66" s="681"/>
      <c r="HP66" s="681"/>
      <c r="HQ66" s="681"/>
      <c r="HR66" s="681"/>
      <c r="HS66" s="681"/>
      <c r="HT66" s="681"/>
      <c r="HU66" s="681"/>
      <c r="HV66" s="681"/>
      <c r="HW66" s="681"/>
      <c r="HX66" s="681"/>
      <c r="HY66" s="681"/>
      <c r="HZ66" s="681"/>
      <c r="IA66" s="681"/>
      <c r="IB66" s="681"/>
      <c r="IC66" s="681"/>
      <c r="ID66" s="681"/>
      <c r="IE66" s="681"/>
      <c r="IF66" s="681"/>
      <c r="IG66" s="681"/>
      <c r="IH66" s="681"/>
      <c r="II66" s="681"/>
      <c r="IJ66" s="681"/>
      <c r="IK66" s="681"/>
      <c r="IL66" s="681"/>
      <c r="IM66" s="681"/>
      <c r="IN66" s="681"/>
      <c r="IO66" s="681"/>
      <c r="IP66" s="681"/>
      <c r="IQ66" s="681"/>
      <c r="IR66" s="681"/>
      <c r="IS66" s="681"/>
      <c r="IT66" s="681"/>
      <c r="IU66" s="681"/>
      <c r="IV66" s="681"/>
      <c r="IW66" s="681"/>
    </row>
    <row r="67" spans="1:257" s="682" customFormat="1" ht="33.75" hidden="1" customHeight="1">
      <c r="A67" s="697" t="s">
        <v>248</v>
      </c>
      <c r="B67" s="696" t="s">
        <v>852</v>
      </c>
      <c r="C67" s="683"/>
      <c r="D67" s="683"/>
      <c r="E67" s="669"/>
      <c r="F67" s="669">
        <v>328000000</v>
      </c>
      <c r="G67" s="609"/>
      <c r="H67" s="609"/>
      <c r="I67" s="609"/>
      <c r="J67" s="669"/>
      <c r="K67" s="669"/>
      <c r="L67" s="1306"/>
      <c r="M67" s="669"/>
      <c r="N67" s="670"/>
      <c r="O67" s="670"/>
      <c r="P67" s="637"/>
      <c r="Q67" s="637"/>
      <c r="R67" s="593"/>
      <c r="S67" s="677"/>
      <c r="T67" s="678"/>
      <c r="U67" s="655"/>
      <c r="V67" s="680"/>
      <c r="W67" s="680"/>
      <c r="X67" s="677"/>
      <c r="Y67" s="681"/>
      <c r="Z67" s="681"/>
      <c r="AA67" s="681"/>
      <c r="AB67" s="681"/>
      <c r="AC67" s="681"/>
      <c r="AD67" s="681"/>
      <c r="AE67" s="681"/>
      <c r="AF67" s="681"/>
      <c r="AG67" s="681"/>
      <c r="AH67" s="681"/>
      <c r="AI67" s="681"/>
      <c r="AJ67" s="681"/>
      <c r="AK67" s="681"/>
      <c r="AL67" s="681"/>
      <c r="AM67" s="681"/>
      <c r="AN67" s="681"/>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c r="CC67" s="681"/>
      <c r="CD67" s="681"/>
      <c r="CE67" s="681"/>
      <c r="CF67" s="681"/>
      <c r="CG67" s="681"/>
      <c r="CH67" s="681"/>
      <c r="CI67" s="681"/>
      <c r="CJ67" s="681"/>
      <c r="CK67" s="681"/>
      <c r="CL67" s="681"/>
      <c r="CM67" s="681"/>
      <c r="CN67" s="681"/>
      <c r="CO67" s="681"/>
      <c r="CP67" s="681"/>
      <c r="CQ67" s="681"/>
      <c r="CR67" s="681"/>
      <c r="CS67" s="681"/>
      <c r="CT67" s="681"/>
      <c r="CU67" s="681"/>
      <c r="CV67" s="681"/>
      <c r="CW67" s="681"/>
      <c r="CX67" s="681"/>
      <c r="CY67" s="681"/>
      <c r="CZ67" s="681"/>
      <c r="DA67" s="681"/>
      <c r="DB67" s="681"/>
      <c r="DC67" s="681"/>
      <c r="DD67" s="681"/>
      <c r="DE67" s="681"/>
      <c r="DF67" s="681"/>
      <c r="DG67" s="681"/>
      <c r="DH67" s="681"/>
      <c r="DI67" s="681"/>
      <c r="DJ67" s="681"/>
      <c r="DK67" s="681"/>
      <c r="DL67" s="681"/>
      <c r="DM67" s="681"/>
      <c r="DN67" s="681"/>
      <c r="DO67" s="681"/>
      <c r="DP67" s="681"/>
      <c r="DQ67" s="681"/>
      <c r="DR67" s="681"/>
      <c r="DS67" s="681"/>
      <c r="DT67" s="681"/>
      <c r="DU67" s="681"/>
      <c r="DV67" s="681"/>
      <c r="DW67" s="681"/>
      <c r="DX67" s="681"/>
      <c r="DY67" s="681"/>
      <c r="DZ67" s="681"/>
      <c r="EA67" s="681"/>
      <c r="EB67" s="681"/>
      <c r="EC67" s="681"/>
      <c r="ED67" s="681"/>
      <c r="EE67" s="681"/>
      <c r="EF67" s="681"/>
      <c r="EG67" s="681"/>
      <c r="EH67" s="681"/>
      <c r="EI67" s="681"/>
      <c r="EJ67" s="681"/>
      <c r="EK67" s="681"/>
      <c r="EL67" s="681"/>
      <c r="EM67" s="681"/>
      <c r="EN67" s="681"/>
      <c r="EO67" s="681"/>
      <c r="EP67" s="681"/>
      <c r="EQ67" s="681"/>
      <c r="ER67" s="681"/>
      <c r="ES67" s="681"/>
      <c r="ET67" s="681"/>
      <c r="EU67" s="681"/>
      <c r="EV67" s="681"/>
      <c r="EW67" s="681"/>
      <c r="EX67" s="681"/>
      <c r="EY67" s="681"/>
      <c r="EZ67" s="681"/>
      <c r="FA67" s="681"/>
      <c r="FB67" s="681"/>
      <c r="FC67" s="681"/>
      <c r="FD67" s="681"/>
      <c r="FE67" s="681"/>
      <c r="FF67" s="681"/>
      <c r="FG67" s="681"/>
      <c r="FH67" s="681"/>
      <c r="FI67" s="681"/>
      <c r="FJ67" s="681"/>
      <c r="FK67" s="681"/>
      <c r="FL67" s="681"/>
      <c r="FM67" s="681"/>
      <c r="FN67" s="681"/>
      <c r="FO67" s="681"/>
      <c r="FP67" s="681"/>
      <c r="FQ67" s="681"/>
      <c r="FR67" s="681"/>
      <c r="FS67" s="681"/>
      <c r="FT67" s="681"/>
      <c r="FU67" s="681"/>
      <c r="FV67" s="681"/>
      <c r="FW67" s="681"/>
      <c r="FX67" s="681"/>
      <c r="FY67" s="681"/>
      <c r="FZ67" s="681"/>
      <c r="GA67" s="681"/>
      <c r="GB67" s="681"/>
      <c r="GC67" s="681"/>
      <c r="GD67" s="681"/>
      <c r="GE67" s="681"/>
      <c r="GF67" s="681"/>
      <c r="GG67" s="681"/>
      <c r="GH67" s="681"/>
      <c r="GI67" s="681"/>
      <c r="GJ67" s="681"/>
      <c r="GK67" s="681"/>
      <c r="GL67" s="681"/>
      <c r="GM67" s="681"/>
      <c r="GN67" s="681"/>
      <c r="GO67" s="681"/>
      <c r="GP67" s="681"/>
      <c r="GQ67" s="681"/>
      <c r="GR67" s="681"/>
      <c r="GS67" s="681"/>
      <c r="GT67" s="681"/>
      <c r="GU67" s="681"/>
      <c r="GV67" s="681"/>
      <c r="GW67" s="681"/>
      <c r="GX67" s="681"/>
      <c r="GY67" s="681"/>
      <c r="GZ67" s="681"/>
      <c r="HA67" s="681"/>
      <c r="HB67" s="681"/>
      <c r="HC67" s="681"/>
      <c r="HD67" s="681"/>
      <c r="HE67" s="681"/>
      <c r="HF67" s="681"/>
      <c r="HG67" s="681"/>
      <c r="HH67" s="681"/>
      <c r="HI67" s="681"/>
      <c r="HJ67" s="681"/>
      <c r="HK67" s="681"/>
      <c r="HL67" s="681"/>
      <c r="HM67" s="681"/>
      <c r="HN67" s="681"/>
      <c r="HO67" s="681"/>
      <c r="HP67" s="681"/>
      <c r="HQ67" s="681"/>
      <c r="HR67" s="681"/>
      <c r="HS67" s="681"/>
      <c r="HT67" s="681"/>
      <c r="HU67" s="681"/>
      <c r="HV67" s="681"/>
      <c r="HW67" s="681"/>
      <c r="HX67" s="681"/>
      <c r="HY67" s="681"/>
      <c r="HZ67" s="681"/>
      <c r="IA67" s="681"/>
      <c r="IB67" s="681"/>
      <c r="IC67" s="681"/>
      <c r="ID67" s="681"/>
      <c r="IE67" s="681"/>
      <c r="IF67" s="681"/>
      <c r="IG67" s="681"/>
      <c r="IH67" s="681"/>
      <c r="II67" s="681"/>
      <c r="IJ67" s="681"/>
      <c r="IK67" s="681"/>
      <c r="IL67" s="681"/>
      <c r="IM67" s="681"/>
      <c r="IN67" s="681"/>
      <c r="IO67" s="681"/>
      <c r="IP67" s="681"/>
      <c r="IQ67" s="681"/>
      <c r="IR67" s="681"/>
      <c r="IS67" s="681"/>
      <c r="IT67" s="681"/>
      <c r="IU67" s="681"/>
      <c r="IV67" s="681"/>
      <c r="IW67" s="681"/>
    </row>
    <row r="68" spans="1:257" s="682" customFormat="1" ht="36" hidden="1" customHeight="1">
      <c r="A68" s="697" t="s">
        <v>248</v>
      </c>
      <c r="B68" s="698" t="s">
        <v>853</v>
      </c>
      <c r="C68" s="683"/>
      <c r="D68" s="683"/>
      <c r="E68" s="669"/>
      <c r="F68" s="669">
        <v>3521000000</v>
      </c>
      <c r="G68" s="609"/>
      <c r="H68" s="609"/>
      <c r="I68" s="609"/>
      <c r="J68" s="669"/>
      <c r="K68" s="669"/>
      <c r="L68" s="1306"/>
      <c r="M68" s="669"/>
      <c r="N68" s="670"/>
      <c r="O68" s="670"/>
      <c r="P68" s="637"/>
      <c r="Q68" s="637"/>
      <c r="R68" s="610"/>
      <c r="S68" s="677"/>
      <c r="T68" s="670"/>
      <c r="U68" s="655"/>
      <c r="V68" s="680"/>
      <c r="W68" s="680"/>
      <c r="X68" s="677"/>
      <c r="Y68" s="681"/>
      <c r="Z68" s="681"/>
      <c r="AA68" s="681"/>
      <c r="AB68" s="681"/>
      <c r="AC68" s="681"/>
      <c r="AD68" s="681"/>
      <c r="AE68" s="681"/>
      <c r="AF68" s="681"/>
      <c r="AG68" s="681"/>
      <c r="AH68" s="681"/>
      <c r="AI68" s="681"/>
      <c r="AJ68" s="681"/>
      <c r="AK68" s="681"/>
      <c r="AL68" s="681"/>
      <c r="AM68" s="681"/>
      <c r="AN68" s="681"/>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c r="CC68" s="681"/>
      <c r="CD68" s="681"/>
      <c r="CE68" s="681"/>
      <c r="CF68" s="681"/>
      <c r="CG68" s="681"/>
      <c r="CH68" s="681"/>
      <c r="CI68" s="681"/>
      <c r="CJ68" s="681"/>
      <c r="CK68" s="681"/>
      <c r="CL68" s="681"/>
      <c r="CM68" s="681"/>
      <c r="CN68" s="681"/>
      <c r="CO68" s="681"/>
      <c r="CP68" s="681"/>
      <c r="CQ68" s="681"/>
      <c r="CR68" s="681"/>
      <c r="CS68" s="681"/>
      <c r="CT68" s="681"/>
      <c r="CU68" s="681"/>
      <c r="CV68" s="681"/>
      <c r="CW68" s="681"/>
      <c r="CX68" s="681"/>
      <c r="CY68" s="681"/>
      <c r="CZ68" s="681"/>
      <c r="DA68" s="681"/>
      <c r="DB68" s="681"/>
      <c r="DC68" s="681"/>
      <c r="DD68" s="681"/>
      <c r="DE68" s="681"/>
      <c r="DF68" s="681"/>
      <c r="DG68" s="681"/>
      <c r="DH68" s="681"/>
      <c r="DI68" s="681"/>
      <c r="DJ68" s="681"/>
      <c r="DK68" s="681"/>
      <c r="DL68" s="681"/>
      <c r="DM68" s="681"/>
      <c r="DN68" s="681"/>
      <c r="DO68" s="681"/>
      <c r="DP68" s="681"/>
      <c r="DQ68" s="681"/>
      <c r="DR68" s="681"/>
      <c r="DS68" s="681"/>
      <c r="DT68" s="681"/>
      <c r="DU68" s="681"/>
      <c r="DV68" s="681"/>
      <c r="DW68" s="681"/>
      <c r="DX68" s="681"/>
      <c r="DY68" s="681"/>
      <c r="DZ68" s="681"/>
      <c r="EA68" s="681"/>
      <c r="EB68" s="681"/>
      <c r="EC68" s="681"/>
      <c r="ED68" s="681"/>
      <c r="EE68" s="681"/>
      <c r="EF68" s="681"/>
      <c r="EG68" s="681"/>
      <c r="EH68" s="681"/>
      <c r="EI68" s="681"/>
      <c r="EJ68" s="681"/>
      <c r="EK68" s="681"/>
      <c r="EL68" s="681"/>
      <c r="EM68" s="681"/>
      <c r="EN68" s="681"/>
      <c r="EO68" s="681"/>
      <c r="EP68" s="681"/>
      <c r="EQ68" s="681"/>
      <c r="ER68" s="681"/>
      <c r="ES68" s="681"/>
      <c r="ET68" s="681"/>
      <c r="EU68" s="681"/>
      <c r="EV68" s="681"/>
      <c r="EW68" s="681"/>
      <c r="EX68" s="681"/>
      <c r="EY68" s="681"/>
      <c r="EZ68" s="681"/>
      <c r="FA68" s="681"/>
      <c r="FB68" s="681"/>
      <c r="FC68" s="681"/>
      <c r="FD68" s="681"/>
      <c r="FE68" s="681"/>
      <c r="FF68" s="681"/>
      <c r="FG68" s="681"/>
      <c r="FH68" s="681"/>
      <c r="FI68" s="681"/>
      <c r="FJ68" s="681"/>
      <c r="FK68" s="681"/>
      <c r="FL68" s="681"/>
      <c r="FM68" s="681"/>
      <c r="FN68" s="681"/>
      <c r="FO68" s="681"/>
      <c r="FP68" s="681"/>
      <c r="FQ68" s="681"/>
      <c r="FR68" s="681"/>
      <c r="FS68" s="681"/>
      <c r="FT68" s="681"/>
      <c r="FU68" s="681"/>
      <c r="FV68" s="681"/>
      <c r="FW68" s="681"/>
      <c r="FX68" s="681"/>
      <c r="FY68" s="681"/>
      <c r="FZ68" s="681"/>
      <c r="GA68" s="681"/>
      <c r="GB68" s="681"/>
      <c r="GC68" s="681"/>
      <c r="GD68" s="681"/>
      <c r="GE68" s="681"/>
      <c r="GF68" s="681"/>
      <c r="GG68" s="681"/>
      <c r="GH68" s="681"/>
      <c r="GI68" s="681"/>
      <c r="GJ68" s="681"/>
      <c r="GK68" s="681"/>
      <c r="GL68" s="681"/>
      <c r="GM68" s="681"/>
      <c r="GN68" s="681"/>
      <c r="GO68" s="681"/>
      <c r="GP68" s="681"/>
      <c r="GQ68" s="681"/>
      <c r="GR68" s="681"/>
      <c r="GS68" s="681"/>
      <c r="GT68" s="681"/>
      <c r="GU68" s="681"/>
      <c r="GV68" s="681"/>
      <c r="GW68" s="681"/>
      <c r="GX68" s="681"/>
      <c r="GY68" s="681"/>
      <c r="GZ68" s="681"/>
      <c r="HA68" s="681"/>
      <c r="HB68" s="681"/>
      <c r="HC68" s="681"/>
      <c r="HD68" s="681"/>
      <c r="HE68" s="681"/>
      <c r="HF68" s="681"/>
      <c r="HG68" s="681"/>
      <c r="HH68" s="681"/>
      <c r="HI68" s="681"/>
      <c r="HJ68" s="681"/>
      <c r="HK68" s="681"/>
      <c r="HL68" s="681"/>
      <c r="HM68" s="681"/>
      <c r="HN68" s="681"/>
      <c r="HO68" s="681"/>
      <c r="HP68" s="681"/>
      <c r="HQ68" s="681"/>
      <c r="HR68" s="681"/>
      <c r="HS68" s="681"/>
      <c r="HT68" s="681"/>
      <c r="HU68" s="681"/>
      <c r="HV68" s="681"/>
      <c r="HW68" s="681"/>
      <c r="HX68" s="681"/>
      <c r="HY68" s="681"/>
      <c r="HZ68" s="681"/>
      <c r="IA68" s="681"/>
      <c r="IB68" s="681"/>
      <c r="IC68" s="681"/>
      <c r="ID68" s="681"/>
      <c r="IE68" s="681"/>
      <c r="IF68" s="681"/>
      <c r="IG68" s="681"/>
      <c r="IH68" s="681"/>
      <c r="II68" s="681"/>
      <c r="IJ68" s="681"/>
      <c r="IK68" s="681"/>
      <c r="IL68" s="681"/>
      <c r="IM68" s="681"/>
      <c r="IN68" s="681"/>
      <c r="IO68" s="681"/>
      <c r="IP68" s="681"/>
      <c r="IQ68" s="681"/>
      <c r="IR68" s="681"/>
      <c r="IS68" s="681"/>
      <c r="IT68" s="681"/>
      <c r="IU68" s="681"/>
      <c r="IV68" s="681"/>
      <c r="IW68" s="681"/>
    </row>
    <row r="69" spans="1:257" s="703" customFormat="1" ht="15.75" hidden="1" customHeight="1">
      <c r="A69" s="699"/>
      <c r="B69" s="668" t="s">
        <v>263</v>
      </c>
      <c r="C69" s="699"/>
      <c r="D69" s="699"/>
      <c r="E69" s="700"/>
      <c r="F69" s="669"/>
      <c r="G69" s="609"/>
      <c r="H69" s="609"/>
      <c r="I69" s="609"/>
      <c r="J69" s="669"/>
      <c r="K69" s="669"/>
      <c r="L69" s="1306"/>
      <c r="M69" s="669"/>
      <c r="N69" s="670"/>
      <c r="O69" s="670"/>
      <c r="P69" s="637"/>
      <c r="Q69" s="637"/>
      <c r="R69" s="610"/>
      <c r="S69" s="677"/>
      <c r="T69" s="678"/>
      <c r="U69" s="655"/>
      <c r="V69" s="680"/>
      <c r="W69" s="701"/>
      <c r="X69" s="702"/>
    </row>
    <row r="70" spans="1:257" s="703" customFormat="1" ht="31.5" hidden="1" customHeight="1">
      <c r="A70" s="589">
        <v>5</v>
      </c>
      <c r="B70" s="671" t="s">
        <v>854</v>
      </c>
      <c r="C70" s="589"/>
      <c r="D70" s="589"/>
      <c r="E70" s="704"/>
      <c r="F70" s="603"/>
      <c r="G70" s="636"/>
      <c r="H70" s="636"/>
      <c r="I70" s="636"/>
      <c r="J70" s="603"/>
      <c r="K70" s="603"/>
      <c r="L70" s="1302"/>
      <c r="M70" s="603"/>
      <c r="N70" s="596"/>
      <c r="O70" s="596"/>
      <c r="P70" s="610"/>
      <c r="Q70" s="610"/>
      <c r="R70" s="610"/>
      <c r="S70" s="611"/>
      <c r="T70" s="654"/>
      <c r="U70" s="637"/>
      <c r="V70" s="613"/>
      <c r="W70" s="701"/>
      <c r="X70" s="702"/>
    </row>
    <row r="71" spans="1:257" s="614" customFormat="1" ht="31.5">
      <c r="A71" s="589">
        <v>6</v>
      </c>
      <c r="B71" s="671" t="s">
        <v>191</v>
      </c>
      <c r="C71" s="589"/>
      <c r="D71" s="589"/>
      <c r="E71" s="704"/>
      <c r="F71" s="609">
        <f>F72+F92</f>
        <v>13809000000</v>
      </c>
      <c r="G71" s="609">
        <f>G72+G92</f>
        <v>0</v>
      </c>
      <c r="H71" s="609">
        <f>H72+H92</f>
        <v>0</v>
      </c>
      <c r="I71" s="609">
        <f>I72+I92</f>
        <v>0</v>
      </c>
      <c r="J71" s="609">
        <f>J72+J92</f>
        <v>16989100000</v>
      </c>
      <c r="K71" s="609">
        <f>K72+K92+K104+K110</f>
        <v>23028000000</v>
      </c>
      <c r="L71" s="1303">
        <f>L72+L92+L104+L110</f>
        <v>26918617132</v>
      </c>
      <c r="M71" s="603"/>
      <c r="N71" s="596"/>
      <c r="O71" s="596"/>
      <c r="P71" s="610"/>
      <c r="Q71" s="610"/>
      <c r="R71" s="610"/>
      <c r="S71" s="620" t="s">
        <v>855</v>
      </c>
      <c r="T71" s="675" t="s">
        <v>856</v>
      </c>
      <c r="U71" s="577"/>
      <c r="V71" s="701"/>
      <c r="W71" s="701"/>
      <c r="X71" s="702"/>
      <c r="Y71" s="703"/>
      <c r="Z71" s="703"/>
      <c r="AA71" s="703"/>
      <c r="AB71" s="703"/>
      <c r="AC71" s="703"/>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703"/>
      <c r="BB71" s="703"/>
      <c r="BC71" s="703"/>
      <c r="BD71" s="703"/>
      <c r="BE71" s="703"/>
      <c r="BF71" s="703"/>
      <c r="BG71" s="703"/>
      <c r="BH71" s="703"/>
      <c r="BI71" s="703"/>
      <c r="BJ71" s="703"/>
      <c r="BK71" s="703"/>
      <c r="BL71" s="703"/>
      <c r="BM71" s="703"/>
      <c r="BN71" s="703"/>
      <c r="BO71" s="703"/>
      <c r="BP71" s="703"/>
      <c r="BQ71" s="703"/>
      <c r="BR71" s="703"/>
      <c r="BS71" s="703"/>
      <c r="BT71" s="703"/>
      <c r="BU71" s="703"/>
      <c r="BV71" s="703"/>
      <c r="BW71" s="703"/>
      <c r="BX71" s="703"/>
      <c r="BY71" s="703"/>
      <c r="BZ71" s="703"/>
      <c r="CA71" s="703"/>
      <c r="CB71" s="703"/>
      <c r="CC71" s="703"/>
      <c r="CD71" s="703"/>
      <c r="CE71" s="703"/>
      <c r="CF71" s="703"/>
      <c r="CG71" s="703"/>
      <c r="CH71" s="703"/>
      <c r="CI71" s="703"/>
      <c r="CJ71" s="703"/>
      <c r="CK71" s="703"/>
      <c r="CL71" s="703"/>
      <c r="CM71" s="703"/>
      <c r="CN71" s="703"/>
      <c r="CO71" s="703"/>
      <c r="CP71" s="703"/>
      <c r="CQ71" s="703"/>
      <c r="CR71" s="703"/>
      <c r="CS71" s="703"/>
      <c r="CT71" s="703"/>
      <c r="CU71" s="703"/>
      <c r="CV71" s="703"/>
      <c r="CW71" s="703"/>
      <c r="CX71" s="703"/>
      <c r="CY71" s="703"/>
      <c r="CZ71" s="703"/>
      <c r="DA71" s="703"/>
      <c r="DB71" s="703"/>
      <c r="DC71" s="703"/>
      <c r="DD71" s="703"/>
      <c r="DE71" s="703"/>
      <c r="DF71" s="703"/>
      <c r="DG71" s="703"/>
      <c r="DH71" s="703"/>
      <c r="DI71" s="703"/>
      <c r="DJ71" s="703"/>
      <c r="DK71" s="703"/>
      <c r="DL71" s="703"/>
      <c r="DM71" s="703"/>
      <c r="DN71" s="703"/>
      <c r="DO71" s="703"/>
      <c r="DP71" s="703"/>
      <c r="DQ71" s="703"/>
      <c r="DR71" s="703"/>
      <c r="DS71" s="703"/>
      <c r="DT71" s="703"/>
      <c r="DU71" s="703"/>
      <c r="DV71" s="703"/>
      <c r="DW71" s="703"/>
      <c r="DX71" s="703"/>
      <c r="DY71" s="703"/>
      <c r="DZ71" s="703"/>
      <c r="EA71" s="703"/>
      <c r="EB71" s="703"/>
      <c r="EC71" s="703"/>
      <c r="ED71" s="703"/>
      <c r="EE71" s="703"/>
      <c r="EF71" s="703"/>
      <c r="EG71" s="703"/>
      <c r="EH71" s="703"/>
      <c r="EI71" s="703"/>
      <c r="EJ71" s="703"/>
      <c r="EK71" s="703"/>
      <c r="EL71" s="703"/>
      <c r="EM71" s="703"/>
      <c r="EN71" s="703"/>
      <c r="EO71" s="703"/>
      <c r="EP71" s="703"/>
      <c r="EQ71" s="703"/>
      <c r="ER71" s="703"/>
      <c r="ES71" s="703"/>
      <c r="ET71" s="703"/>
      <c r="EU71" s="703"/>
      <c r="EV71" s="703"/>
      <c r="EW71" s="703"/>
      <c r="EX71" s="703"/>
      <c r="EY71" s="703"/>
      <c r="EZ71" s="703"/>
      <c r="FA71" s="703"/>
      <c r="FB71" s="703"/>
      <c r="FC71" s="703"/>
      <c r="FD71" s="703"/>
      <c r="FE71" s="703"/>
      <c r="FF71" s="703"/>
      <c r="FG71" s="703"/>
      <c r="FH71" s="703"/>
      <c r="FI71" s="703"/>
      <c r="FJ71" s="703"/>
      <c r="FK71" s="703"/>
      <c r="FL71" s="703"/>
      <c r="FM71" s="703"/>
      <c r="FN71" s="703"/>
      <c r="FO71" s="703"/>
      <c r="FP71" s="703"/>
      <c r="FQ71" s="703"/>
      <c r="FR71" s="703"/>
      <c r="FS71" s="703"/>
      <c r="FT71" s="703"/>
      <c r="FU71" s="703"/>
      <c r="FV71" s="703"/>
      <c r="FW71" s="703"/>
      <c r="FX71" s="703"/>
      <c r="FY71" s="703"/>
      <c r="FZ71" s="703"/>
      <c r="GA71" s="703"/>
      <c r="GB71" s="703"/>
      <c r="GC71" s="703"/>
      <c r="GD71" s="703"/>
      <c r="GE71" s="703"/>
      <c r="GF71" s="703"/>
      <c r="GG71" s="703"/>
      <c r="GH71" s="703"/>
      <c r="GI71" s="703"/>
      <c r="GJ71" s="703"/>
      <c r="GK71" s="703"/>
      <c r="GL71" s="703"/>
      <c r="GM71" s="703"/>
      <c r="GN71" s="703"/>
      <c r="GO71" s="703"/>
      <c r="GP71" s="703"/>
      <c r="GQ71" s="703"/>
      <c r="GR71" s="703"/>
      <c r="GS71" s="703"/>
      <c r="GT71" s="703"/>
      <c r="GU71" s="703"/>
      <c r="GV71" s="703"/>
      <c r="GW71" s="703"/>
      <c r="GX71" s="703"/>
      <c r="GY71" s="703"/>
      <c r="GZ71" s="703"/>
      <c r="HA71" s="703"/>
      <c r="HB71" s="703"/>
      <c r="HC71" s="703"/>
      <c r="HD71" s="703"/>
      <c r="HE71" s="703"/>
      <c r="HF71" s="703"/>
      <c r="HG71" s="703"/>
      <c r="HH71" s="703"/>
      <c r="HI71" s="703"/>
      <c r="HJ71" s="703"/>
      <c r="HK71" s="703"/>
      <c r="HL71" s="703"/>
      <c r="HM71" s="703"/>
      <c r="HN71" s="703"/>
      <c r="HO71" s="703"/>
      <c r="HP71" s="703"/>
      <c r="HQ71" s="703"/>
      <c r="HR71" s="703"/>
      <c r="HS71" s="703"/>
      <c r="HT71" s="703"/>
      <c r="HU71" s="703"/>
      <c r="HV71" s="703"/>
      <c r="HW71" s="703"/>
      <c r="HX71" s="703"/>
      <c r="HY71" s="703"/>
      <c r="HZ71" s="703"/>
      <c r="IA71" s="703"/>
      <c r="IB71" s="703"/>
      <c r="IC71" s="703"/>
      <c r="ID71" s="703"/>
      <c r="IE71" s="703"/>
      <c r="IF71" s="703"/>
      <c r="IG71" s="703"/>
      <c r="IH71" s="703"/>
      <c r="II71" s="703"/>
      <c r="IJ71" s="703"/>
      <c r="IK71" s="703"/>
      <c r="IL71" s="703"/>
      <c r="IM71" s="703"/>
      <c r="IN71" s="703"/>
      <c r="IO71" s="703"/>
      <c r="IP71" s="703"/>
      <c r="IQ71" s="703"/>
      <c r="IR71" s="703"/>
      <c r="IS71" s="703"/>
      <c r="IT71" s="703"/>
      <c r="IU71" s="703"/>
      <c r="IV71" s="703"/>
      <c r="IW71" s="703"/>
    </row>
    <row r="72" spans="1:257" s="614" customFormat="1" ht="15.75" hidden="1" customHeight="1">
      <c r="A72" s="589" t="s">
        <v>192</v>
      </c>
      <c r="B72" s="671" t="s">
        <v>193</v>
      </c>
      <c r="C72" s="589"/>
      <c r="D72" s="589"/>
      <c r="E72" s="704"/>
      <c r="F72" s="603">
        <f>SUM(F73:F91)</f>
        <v>7009000000</v>
      </c>
      <c r="G72" s="603">
        <f>SUM(G73:G91)</f>
        <v>0</v>
      </c>
      <c r="H72" s="603">
        <f>SUM(H73:H91)</f>
        <v>0</v>
      </c>
      <c r="I72" s="603">
        <f>SUM(I73:I91)</f>
        <v>0</v>
      </c>
      <c r="J72" s="603"/>
      <c r="K72" s="603"/>
      <c r="L72" s="1302"/>
      <c r="M72" s="603"/>
      <c r="N72" s="596"/>
      <c r="O72" s="596"/>
      <c r="P72" s="610"/>
      <c r="Q72" s="610"/>
      <c r="R72" s="610"/>
      <c r="S72" s="620"/>
      <c r="T72" s="675"/>
      <c r="U72" s="577"/>
      <c r="V72" s="701"/>
      <c r="W72" s="701"/>
      <c r="X72" s="702"/>
      <c r="Y72" s="703"/>
      <c r="Z72" s="703"/>
      <c r="AA72" s="703"/>
      <c r="AB72" s="703"/>
      <c r="AC72" s="703"/>
      <c r="AD72" s="703"/>
      <c r="AE72" s="703"/>
      <c r="AF72" s="703"/>
      <c r="AG72" s="703"/>
      <c r="AH72" s="703"/>
      <c r="AI72" s="703"/>
      <c r="AJ72" s="703"/>
      <c r="AK72" s="703"/>
      <c r="AL72" s="703"/>
      <c r="AM72" s="703"/>
      <c r="AN72" s="703"/>
      <c r="AO72" s="703"/>
      <c r="AP72" s="703"/>
      <c r="AQ72" s="703"/>
      <c r="AR72" s="703"/>
      <c r="AS72" s="703"/>
      <c r="AT72" s="703"/>
      <c r="AU72" s="703"/>
      <c r="AV72" s="703"/>
      <c r="AW72" s="703"/>
      <c r="AX72" s="703"/>
      <c r="AY72" s="703"/>
      <c r="AZ72" s="703"/>
      <c r="BA72" s="703"/>
      <c r="BB72" s="703"/>
      <c r="BC72" s="703"/>
      <c r="BD72" s="703"/>
      <c r="BE72" s="703"/>
      <c r="BF72" s="703"/>
      <c r="BG72" s="703"/>
      <c r="BH72" s="703"/>
      <c r="BI72" s="703"/>
      <c r="BJ72" s="703"/>
      <c r="BK72" s="703"/>
      <c r="BL72" s="703"/>
      <c r="BM72" s="703"/>
      <c r="BN72" s="703"/>
      <c r="BO72" s="703"/>
      <c r="BP72" s="703"/>
      <c r="BQ72" s="703"/>
      <c r="BR72" s="703"/>
      <c r="BS72" s="703"/>
      <c r="BT72" s="703"/>
      <c r="BU72" s="703"/>
      <c r="BV72" s="703"/>
      <c r="BW72" s="703"/>
      <c r="BX72" s="703"/>
      <c r="BY72" s="703"/>
      <c r="BZ72" s="703"/>
      <c r="CA72" s="703"/>
      <c r="CB72" s="703"/>
      <c r="CC72" s="703"/>
      <c r="CD72" s="703"/>
      <c r="CE72" s="703"/>
      <c r="CF72" s="703"/>
      <c r="CG72" s="703"/>
      <c r="CH72" s="703"/>
      <c r="CI72" s="703"/>
      <c r="CJ72" s="703"/>
      <c r="CK72" s="703"/>
      <c r="CL72" s="703"/>
      <c r="CM72" s="703"/>
      <c r="CN72" s="703"/>
      <c r="CO72" s="703"/>
      <c r="CP72" s="703"/>
      <c r="CQ72" s="703"/>
      <c r="CR72" s="703"/>
      <c r="CS72" s="703"/>
      <c r="CT72" s="703"/>
      <c r="CU72" s="703"/>
      <c r="CV72" s="703"/>
      <c r="CW72" s="703"/>
      <c r="CX72" s="703"/>
      <c r="CY72" s="703"/>
      <c r="CZ72" s="703"/>
      <c r="DA72" s="703"/>
      <c r="DB72" s="703"/>
      <c r="DC72" s="703"/>
      <c r="DD72" s="703"/>
      <c r="DE72" s="703"/>
      <c r="DF72" s="703"/>
      <c r="DG72" s="703"/>
      <c r="DH72" s="703"/>
      <c r="DI72" s="703"/>
      <c r="DJ72" s="703"/>
      <c r="DK72" s="703"/>
      <c r="DL72" s="703"/>
      <c r="DM72" s="703"/>
      <c r="DN72" s="703"/>
      <c r="DO72" s="703"/>
      <c r="DP72" s="703"/>
      <c r="DQ72" s="703"/>
      <c r="DR72" s="703"/>
      <c r="DS72" s="703"/>
      <c r="DT72" s="703"/>
      <c r="DU72" s="703"/>
      <c r="DV72" s="703"/>
      <c r="DW72" s="703"/>
      <c r="DX72" s="703"/>
      <c r="DY72" s="703"/>
      <c r="DZ72" s="703"/>
      <c r="EA72" s="703"/>
      <c r="EB72" s="703"/>
      <c r="EC72" s="703"/>
      <c r="ED72" s="703"/>
      <c r="EE72" s="703"/>
      <c r="EF72" s="703"/>
      <c r="EG72" s="703"/>
      <c r="EH72" s="703"/>
      <c r="EI72" s="703"/>
      <c r="EJ72" s="703"/>
      <c r="EK72" s="703"/>
      <c r="EL72" s="703"/>
      <c r="EM72" s="703"/>
      <c r="EN72" s="703"/>
      <c r="EO72" s="703"/>
      <c r="EP72" s="703"/>
      <c r="EQ72" s="703"/>
      <c r="ER72" s="703"/>
      <c r="ES72" s="703"/>
      <c r="ET72" s="703"/>
      <c r="EU72" s="703"/>
      <c r="EV72" s="703"/>
      <c r="EW72" s="703"/>
      <c r="EX72" s="703"/>
      <c r="EY72" s="703"/>
      <c r="EZ72" s="703"/>
      <c r="FA72" s="703"/>
      <c r="FB72" s="703"/>
      <c r="FC72" s="703"/>
      <c r="FD72" s="703"/>
      <c r="FE72" s="703"/>
      <c r="FF72" s="703"/>
      <c r="FG72" s="703"/>
      <c r="FH72" s="703"/>
      <c r="FI72" s="703"/>
      <c r="FJ72" s="703"/>
      <c r="FK72" s="703"/>
      <c r="FL72" s="703"/>
      <c r="FM72" s="703"/>
      <c r="FN72" s="703"/>
      <c r="FO72" s="703"/>
      <c r="FP72" s="703"/>
      <c r="FQ72" s="703"/>
      <c r="FR72" s="703"/>
      <c r="FS72" s="703"/>
      <c r="FT72" s="703"/>
      <c r="FU72" s="703"/>
      <c r="FV72" s="703"/>
      <c r="FW72" s="703"/>
      <c r="FX72" s="703"/>
      <c r="FY72" s="703"/>
      <c r="FZ72" s="703"/>
      <c r="GA72" s="703"/>
      <c r="GB72" s="703"/>
      <c r="GC72" s="703"/>
      <c r="GD72" s="703"/>
      <c r="GE72" s="703"/>
      <c r="GF72" s="703"/>
      <c r="GG72" s="703"/>
      <c r="GH72" s="703"/>
      <c r="GI72" s="703"/>
      <c r="GJ72" s="703"/>
      <c r="GK72" s="703"/>
      <c r="GL72" s="703"/>
      <c r="GM72" s="703"/>
      <c r="GN72" s="703"/>
      <c r="GO72" s="703"/>
      <c r="GP72" s="703"/>
      <c r="GQ72" s="703"/>
      <c r="GR72" s="703"/>
      <c r="GS72" s="703"/>
      <c r="GT72" s="703"/>
      <c r="GU72" s="703"/>
      <c r="GV72" s="703"/>
      <c r="GW72" s="703"/>
      <c r="GX72" s="703"/>
      <c r="GY72" s="703"/>
      <c r="GZ72" s="703"/>
      <c r="HA72" s="703"/>
      <c r="HB72" s="703"/>
      <c r="HC72" s="703"/>
      <c r="HD72" s="703"/>
      <c r="HE72" s="703"/>
      <c r="HF72" s="703"/>
      <c r="HG72" s="703"/>
      <c r="HH72" s="703"/>
      <c r="HI72" s="703"/>
      <c r="HJ72" s="703"/>
      <c r="HK72" s="703"/>
      <c r="HL72" s="703"/>
      <c r="HM72" s="703"/>
      <c r="HN72" s="703"/>
      <c r="HO72" s="703"/>
      <c r="HP72" s="703"/>
      <c r="HQ72" s="703"/>
      <c r="HR72" s="703"/>
      <c r="HS72" s="703"/>
      <c r="HT72" s="703"/>
      <c r="HU72" s="703"/>
      <c r="HV72" s="703"/>
      <c r="HW72" s="703"/>
      <c r="HX72" s="703"/>
      <c r="HY72" s="703"/>
      <c r="HZ72" s="703"/>
      <c r="IA72" s="703"/>
      <c r="IB72" s="703"/>
      <c r="IC72" s="703"/>
      <c r="ID72" s="703"/>
      <c r="IE72" s="703"/>
      <c r="IF72" s="703"/>
      <c r="IG72" s="703"/>
      <c r="IH72" s="703"/>
      <c r="II72" s="703"/>
      <c r="IJ72" s="703"/>
      <c r="IK72" s="703"/>
      <c r="IL72" s="703"/>
      <c r="IM72" s="703"/>
      <c r="IN72" s="703"/>
      <c r="IO72" s="703"/>
      <c r="IP72" s="703"/>
      <c r="IQ72" s="703"/>
      <c r="IR72" s="703"/>
      <c r="IS72" s="703"/>
      <c r="IT72" s="703"/>
      <c r="IU72" s="703"/>
      <c r="IV72" s="703"/>
      <c r="IW72" s="703"/>
    </row>
    <row r="73" spans="1:257" s="641" customFormat="1" ht="15.75" hidden="1" customHeight="1">
      <c r="A73" s="699">
        <v>1</v>
      </c>
      <c r="B73" s="705" t="str">
        <f>B150</f>
        <v>Trung tâm Dịch vụ nông nghiệp thành phố</v>
      </c>
      <c r="C73" s="699"/>
      <c r="D73" s="699"/>
      <c r="E73" s="700"/>
      <c r="F73" s="651">
        <v>65000000</v>
      </c>
      <c r="G73" s="705"/>
      <c r="H73" s="705"/>
      <c r="I73" s="705"/>
      <c r="J73" s="651"/>
      <c r="K73" s="651"/>
      <c r="L73" s="1305"/>
      <c r="M73" s="651"/>
      <c r="N73" s="655"/>
      <c r="O73" s="655"/>
      <c r="P73" s="706"/>
      <c r="Q73" s="706"/>
      <c r="R73" s="706"/>
      <c r="S73" s="677"/>
      <c r="T73" s="678"/>
      <c r="U73" s="580"/>
      <c r="V73" s="581"/>
      <c r="W73" s="581"/>
      <c r="X73" s="578"/>
      <c r="Y73" s="582"/>
      <c r="Z73" s="582"/>
      <c r="AA73" s="582"/>
      <c r="AB73" s="582"/>
      <c r="AC73" s="582"/>
      <c r="AD73" s="582"/>
      <c r="AE73" s="582"/>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c r="BI73" s="582"/>
      <c r="BJ73" s="582"/>
      <c r="BK73" s="582"/>
      <c r="BL73" s="582"/>
      <c r="BM73" s="582"/>
      <c r="BN73" s="582"/>
      <c r="BO73" s="582"/>
      <c r="BP73" s="582"/>
      <c r="BQ73" s="582"/>
      <c r="BR73" s="582"/>
      <c r="BS73" s="582"/>
      <c r="BT73" s="582"/>
      <c r="BU73" s="582"/>
      <c r="BV73" s="582"/>
      <c r="BW73" s="582"/>
      <c r="BX73" s="582"/>
      <c r="BY73" s="582"/>
      <c r="BZ73" s="582"/>
      <c r="CA73" s="582"/>
      <c r="CB73" s="582"/>
      <c r="CC73" s="582"/>
      <c r="CD73" s="582"/>
      <c r="CE73" s="582"/>
      <c r="CF73" s="582"/>
      <c r="CG73" s="582"/>
      <c r="CH73" s="582"/>
      <c r="CI73" s="582"/>
      <c r="CJ73" s="582"/>
      <c r="CK73" s="582"/>
      <c r="CL73" s="582"/>
      <c r="CM73" s="582"/>
      <c r="CN73" s="582"/>
      <c r="CO73" s="582"/>
      <c r="CP73" s="582"/>
      <c r="CQ73" s="582"/>
      <c r="CR73" s="582"/>
      <c r="CS73" s="582"/>
      <c r="CT73" s="582"/>
      <c r="CU73" s="582"/>
      <c r="CV73" s="582"/>
      <c r="CW73" s="582"/>
      <c r="CX73" s="582"/>
      <c r="CY73" s="582"/>
      <c r="CZ73" s="582"/>
      <c r="DA73" s="582"/>
      <c r="DB73" s="582"/>
      <c r="DC73" s="582"/>
      <c r="DD73" s="582"/>
      <c r="DE73" s="582"/>
      <c r="DF73" s="582"/>
      <c r="DG73" s="582"/>
      <c r="DH73" s="582"/>
      <c r="DI73" s="582"/>
      <c r="DJ73" s="582"/>
      <c r="DK73" s="582"/>
      <c r="DL73" s="582"/>
      <c r="DM73" s="582"/>
      <c r="DN73" s="582"/>
      <c r="DO73" s="582"/>
      <c r="DP73" s="582"/>
      <c r="DQ73" s="582"/>
      <c r="DR73" s="582"/>
      <c r="DS73" s="582"/>
      <c r="DT73" s="582"/>
      <c r="DU73" s="582"/>
      <c r="DV73" s="582"/>
      <c r="DW73" s="582"/>
      <c r="DX73" s="582"/>
      <c r="DY73" s="582"/>
      <c r="DZ73" s="582"/>
      <c r="EA73" s="582"/>
      <c r="EB73" s="582"/>
      <c r="EC73" s="582"/>
      <c r="ED73" s="582"/>
      <c r="EE73" s="582"/>
      <c r="EF73" s="582"/>
      <c r="EG73" s="582"/>
      <c r="EH73" s="582"/>
      <c r="EI73" s="582"/>
      <c r="EJ73" s="582"/>
      <c r="EK73" s="582"/>
      <c r="EL73" s="582"/>
      <c r="EM73" s="582"/>
      <c r="EN73" s="582"/>
      <c r="EO73" s="582"/>
      <c r="EP73" s="582"/>
      <c r="EQ73" s="582"/>
      <c r="ER73" s="582"/>
      <c r="ES73" s="582"/>
      <c r="ET73" s="582"/>
      <c r="EU73" s="582"/>
      <c r="EV73" s="582"/>
      <c r="EW73" s="582"/>
      <c r="EX73" s="582"/>
      <c r="EY73" s="582"/>
      <c r="EZ73" s="582"/>
      <c r="FA73" s="582"/>
      <c r="FB73" s="582"/>
      <c r="FC73" s="582"/>
      <c r="FD73" s="582"/>
      <c r="FE73" s="582"/>
      <c r="FF73" s="582"/>
      <c r="FG73" s="582"/>
      <c r="FH73" s="582"/>
      <c r="FI73" s="582"/>
      <c r="FJ73" s="582"/>
      <c r="FK73" s="582"/>
      <c r="FL73" s="582"/>
      <c r="FM73" s="582"/>
      <c r="FN73" s="582"/>
      <c r="FO73" s="582"/>
      <c r="FP73" s="582"/>
      <c r="FQ73" s="582"/>
      <c r="FR73" s="582"/>
      <c r="FS73" s="582"/>
      <c r="FT73" s="582"/>
      <c r="FU73" s="582"/>
      <c r="FV73" s="582"/>
      <c r="FW73" s="582"/>
      <c r="FX73" s="582"/>
      <c r="FY73" s="582"/>
      <c r="FZ73" s="582"/>
      <c r="GA73" s="582"/>
      <c r="GB73" s="582"/>
      <c r="GC73" s="582"/>
      <c r="GD73" s="582"/>
      <c r="GE73" s="582"/>
      <c r="GF73" s="582"/>
      <c r="GG73" s="582"/>
      <c r="GH73" s="582"/>
      <c r="GI73" s="582"/>
      <c r="GJ73" s="582"/>
      <c r="GK73" s="582"/>
      <c r="GL73" s="582"/>
      <c r="GM73" s="582"/>
      <c r="GN73" s="582"/>
      <c r="GO73" s="582"/>
      <c r="GP73" s="582"/>
      <c r="GQ73" s="582"/>
      <c r="GR73" s="582"/>
      <c r="GS73" s="582"/>
      <c r="GT73" s="582"/>
      <c r="GU73" s="582"/>
      <c r="GV73" s="582"/>
      <c r="GW73" s="582"/>
      <c r="GX73" s="582"/>
      <c r="GY73" s="582"/>
      <c r="GZ73" s="582"/>
      <c r="HA73" s="582"/>
      <c r="HB73" s="582"/>
      <c r="HC73" s="582"/>
      <c r="HD73" s="582"/>
      <c r="HE73" s="582"/>
      <c r="HF73" s="582"/>
      <c r="HG73" s="582"/>
      <c r="HH73" s="582"/>
      <c r="HI73" s="582"/>
      <c r="HJ73" s="582"/>
      <c r="HK73" s="582"/>
      <c r="HL73" s="582"/>
      <c r="HM73" s="582"/>
      <c r="HN73" s="582"/>
      <c r="HO73" s="582"/>
      <c r="HP73" s="582"/>
      <c r="HQ73" s="582"/>
      <c r="HR73" s="582"/>
      <c r="HS73" s="582"/>
      <c r="HT73" s="582"/>
      <c r="HU73" s="582"/>
      <c r="HV73" s="582"/>
      <c r="HW73" s="582"/>
      <c r="HX73" s="582"/>
      <c r="HY73" s="582"/>
      <c r="HZ73" s="582"/>
      <c r="IA73" s="582"/>
      <c r="IB73" s="582"/>
      <c r="IC73" s="582"/>
      <c r="ID73" s="582"/>
      <c r="IE73" s="582"/>
      <c r="IF73" s="582"/>
      <c r="IG73" s="582"/>
      <c r="IH73" s="582"/>
      <c r="II73" s="582"/>
      <c r="IJ73" s="582"/>
      <c r="IK73" s="582"/>
      <c r="IL73" s="582"/>
      <c r="IM73" s="582"/>
      <c r="IN73" s="582"/>
      <c r="IO73" s="582"/>
      <c r="IP73" s="582"/>
      <c r="IQ73" s="582"/>
      <c r="IR73" s="582"/>
      <c r="IS73" s="582"/>
      <c r="IT73" s="582"/>
      <c r="IU73" s="582"/>
      <c r="IV73" s="582"/>
      <c r="IW73" s="582"/>
    </row>
    <row r="74" spans="1:257" s="641" customFormat="1" ht="31.5" hidden="1" customHeight="1">
      <c r="A74" s="699">
        <v>2</v>
      </c>
      <c r="B74" s="673" t="str">
        <f>B175</f>
        <v>Chi Đội quản lý TT-ĐT</v>
      </c>
      <c r="C74" s="699"/>
      <c r="D74" s="699"/>
      <c r="E74" s="700"/>
      <c r="F74" s="707">
        <f>SUM(G201:G205)</f>
        <v>3166000000</v>
      </c>
      <c r="G74" s="705" t="s">
        <v>857</v>
      </c>
      <c r="H74" s="705"/>
      <c r="I74" s="705"/>
      <c r="J74" s="707"/>
      <c r="K74" s="707"/>
      <c r="L74" s="1308"/>
      <c r="M74" s="707"/>
      <c r="N74" s="708"/>
      <c r="O74" s="708"/>
      <c r="P74" s="706"/>
      <c r="Q74" s="706"/>
      <c r="R74" s="706"/>
      <c r="S74" s="677"/>
      <c r="T74" s="678"/>
      <c r="U74" s="580"/>
      <c r="V74" s="581"/>
      <c r="W74" s="581"/>
      <c r="X74" s="578"/>
      <c r="Y74" s="582"/>
      <c r="Z74" s="582"/>
      <c r="AA74" s="582"/>
      <c r="AB74" s="582"/>
      <c r="AC74" s="582"/>
      <c r="AD74" s="582"/>
      <c r="AE74" s="582"/>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c r="BI74" s="582"/>
      <c r="BJ74" s="582"/>
      <c r="BK74" s="582"/>
      <c r="BL74" s="582"/>
      <c r="BM74" s="582"/>
      <c r="BN74" s="582"/>
      <c r="BO74" s="582"/>
      <c r="BP74" s="582"/>
      <c r="BQ74" s="582"/>
      <c r="BR74" s="582"/>
      <c r="BS74" s="582"/>
      <c r="BT74" s="582"/>
      <c r="BU74" s="582"/>
      <c r="BV74" s="582"/>
      <c r="BW74" s="582"/>
      <c r="BX74" s="582"/>
      <c r="BY74" s="582"/>
      <c r="BZ74" s="582"/>
      <c r="CA74" s="582"/>
      <c r="CB74" s="582"/>
      <c r="CC74" s="582"/>
      <c r="CD74" s="582"/>
      <c r="CE74" s="582"/>
      <c r="CF74" s="582"/>
      <c r="CG74" s="582"/>
      <c r="CH74" s="582"/>
      <c r="CI74" s="582"/>
      <c r="CJ74" s="582"/>
      <c r="CK74" s="582"/>
      <c r="CL74" s="582"/>
      <c r="CM74" s="582"/>
      <c r="CN74" s="582"/>
      <c r="CO74" s="582"/>
      <c r="CP74" s="582"/>
      <c r="CQ74" s="582"/>
      <c r="CR74" s="582"/>
      <c r="CS74" s="582"/>
      <c r="CT74" s="582"/>
      <c r="CU74" s="582"/>
      <c r="CV74" s="582"/>
      <c r="CW74" s="582"/>
      <c r="CX74" s="582"/>
      <c r="CY74" s="582"/>
      <c r="CZ74" s="582"/>
      <c r="DA74" s="582"/>
      <c r="DB74" s="582"/>
      <c r="DC74" s="582"/>
      <c r="DD74" s="582"/>
      <c r="DE74" s="582"/>
      <c r="DF74" s="582"/>
      <c r="DG74" s="582"/>
      <c r="DH74" s="582"/>
      <c r="DI74" s="582"/>
      <c r="DJ74" s="582"/>
      <c r="DK74" s="582"/>
      <c r="DL74" s="582"/>
      <c r="DM74" s="582"/>
      <c r="DN74" s="582"/>
      <c r="DO74" s="582"/>
      <c r="DP74" s="582"/>
      <c r="DQ74" s="582"/>
      <c r="DR74" s="582"/>
      <c r="DS74" s="582"/>
      <c r="DT74" s="582"/>
      <c r="DU74" s="582"/>
      <c r="DV74" s="582"/>
      <c r="DW74" s="582"/>
      <c r="DX74" s="582"/>
      <c r="DY74" s="582"/>
      <c r="DZ74" s="582"/>
      <c r="EA74" s="582"/>
      <c r="EB74" s="582"/>
      <c r="EC74" s="582"/>
      <c r="ED74" s="582"/>
      <c r="EE74" s="582"/>
      <c r="EF74" s="582"/>
      <c r="EG74" s="582"/>
      <c r="EH74" s="582"/>
      <c r="EI74" s="582"/>
      <c r="EJ74" s="582"/>
      <c r="EK74" s="582"/>
      <c r="EL74" s="582"/>
      <c r="EM74" s="582"/>
      <c r="EN74" s="582"/>
      <c r="EO74" s="582"/>
      <c r="EP74" s="582"/>
      <c r="EQ74" s="582"/>
      <c r="ER74" s="582"/>
      <c r="ES74" s="582"/>
      <c r="ET74" s="582"/>
      <c r="EU74" s="582"/>
      <c r="EV74" s="582"/>
      <c r="EW74" s="582"/>
      <c r="EX74" s="582"/>
      <c r="EY74" s="582"/>
      <c r="EZ74" s="582"/>
      <c r="FA74" s="582"/>
      <c r="FB74" s="582"/>
      <c r="FC74" s="582"/>
      <c r="FD74" s="582"/>
      <c r="FE74" s="582"/>
      <c r="FF74" s="582"/>
      <c r="FG74" s="582"/>
      <c r="FH74" s="582"/>
      <c r="FI74" s="582"/>
      <c r="FJ74" s="582"/>
      <c r="FK74" s="582"/>
      <c r="FL74" s="582"/>
      <c r="FM74" s="582"/>
      <c r="FN74" s="582"/>
      <c r="FO74" s="582"/>
      <c r="FP74" s="582"/>
      <c r="FQ74" s="582"/>
      <c r="FR74" s="582"/>
      <c r="FS74" s="582"/>
      <c r="FT74" s="582"/>
      <c r="FU74" s="582"/>
      <c r="FV74" s="582"/>
      <c r="FW74" s="582"/>
      <c r="FX74" s="582"/>
      <c r="FY74" s="582"/>
      <c r="FZ74" s="582"/>
      <c r="GA74" s="582"/>
      <c r="GB74" s="582"/>
      <c r="GC74" s="582"/>
      <c r="GD74" s="582"/>
      <c r="GE74" s="582"/>
      <c r="GF74" s="582"/>
      <c r="GG74" s="582"/>
      <c r="GH74" s="582"/>
      <c r="GI74" s="582"/>
      <c r="GJ74" s="582"/>
      <c r="GK74" s="582"/>
      <c r="GL74" s="582"/>
      <c r="GM74" s="582"/>
      <c r="GN74" s="582"/>
      <c r="GO74" s="582"/>
      <c r="GP74" s="582"/>
      <c r="GQ74" s="582"/>
      <c r="GR74" s="582"/>
      <c r="GS74" s="582"/>
      <c r="GT74" s="582"/>
      <c r="GU74" s="582"/>
      <c r="GV74" s="582"/>
      <c r="GW74" s="582"/>
      <c r="GX74" s="582"/>
      <c r="GY74" s="582"/>
      <c r="GZ74" s="582"/>
      <c r="HA74" s="582"/>
      <c r="HB74" s="582"/>
      <c r="HC74" s="582"/>
      <c r="HD74" s="582"/>
      <c r="HE74" s="582"/>
      <c r="HF74" s="582"/>
      <c r="HG74" s="582"/>
      <c r="HH74" s="582"/>
      <c r="HI74" s="582"/>
      <c r="HJ74" s="582"/>
      <c r="HK74" s="582"/>
      <c r="HL74" s="582"/>
      <c r="HM74" s="582"/>
      <c r="HN74" s="582"/>
      <c r="HO74" s="582"/>
      <c r="HP74" s="582"/>
      <c r="HQ74" s="582"/>
      <c r="HR74" s="582"/>
      <c r="HS74" s="582"/>
      <c r="HT74" s="582"/>
      <c r="HU74" s="582"/>
      <c r="HV74" s="582"/>
      <c r="HW74" s="582"/>
      <c r="HX74" s="582"/>
      <c r="HY74" s="582"/>
      <c r="HZ74" s="582"/>
      <c r="IA74" s="582"/>
      <c r="IB74" s="582"/>
      <c r="IC74" s="582"/>
      <c r="ID74" s="582"/>
      <c r="IE74" s="582"/>
      <c r="IF74" s="582"/>
      <c r="IG74" s="582"/>
      <c r="IH74" s="582"/>
      <c r="II74" s="582"/>
      <c r="IJ74" s="582"/>
      <c r="IK74" s="582"/>
      <c r="IL74" s="582"/>
      <c r="IM74" s="582"/>
      <c r="IN74" s="582"/>
      <c r="IO74" s="582"/>
      <c r="IP74" s="582"/>
      <c r="IQ74" s="582"/>
      <c r="IR74" s="582"/>
      <c r="IS74" s="582"/>
      <c r="IT74" s="582"/>
      <c r="IU74" s="582"/>
      <c r="IV74" s="582"/>
      <c r="IW74" s="582"/>
    </row>
    <row r="75" spans="1:257" s="641" customFormat="1" ht="15.75" hidden="1" customHeight="1">
      <c r="A75" s="699">
        <v>3</v>
      </c>
      <c r="B75" s="673" t="str">
        <f>B257</f>
        <v>Hội chữ thập Đỏ</v>
      </c>
      <c r="C75" s="699"/>
      <c r="D75" s="699"/>
      <c r="E75" s="700"/>
      <c r="F75" s="707">
        <v>22000000</v>
      </c>
      <c r="G75" s="705"/>
      <c r="H75" s="705"/>
      <c r="I75" s="705"/>
      <c r="J75" s="707"/>
      <c r="K75" s="707"/>
      <c r="L75" s="1308"/>
      <c r="M75" s="707"/>
      <c r="N75" s="708"/>
      <c r="O75" s="708"/>
      <c r="P75" s="706"/>
      <c r="Q75" s="706"/>
      <c r="R75" s="706"/>
      <c r="S75" s="677"/>
      <c r="T75" s="678"/>
      <c r="U75" s="580"/>
      <c r="V75" s="581"/>
      <c r="W75" s="581"/>
      <c r="X75" s="578"/>
      <c r="Y75" s="582"/>
      <c r="Z75" s="582"/>
      <c r="AA75" s="582"/>
      <c r="AB75" s="582"/>
      <c r="AC75" s="582"/>
      <c r="AD75" s="582"/>
      <c r="AE75" s="582"/>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c r="BI75" s="582"/>
      <c r="BJ75" s="582"/>
      <c r="BK75" s="582"/>
      <c r="BL75" s="582"/>
      <c r="BM75" s="582"/>
      <c r="BN75" s="582"/>
      <c r="BO75" s="582"/>
      <c r="BP75" s="582"/>
      <c r="BQ75" s="582"/>
      <c r="BR75" s="582"/>
      <c r="BS75" s="582"/>
      <c r="BT75" s="582"/>
      <c r="BU75" s="582"/>
      <c r="BV75" s="582"/>
      <c r="BW75" s="582"/>
      <c r="BX75" s="582"/>
      <c r="BY75" s="582"/>
      <c r="BZ75" s="582"/>
      <c r="CA75" s="582"/>
      <c r="CB75" s="582"/>
      <c r="CC75" s="582"/>
      <c r="CD75" s="582"/>
      <c r="CE75" s="582"/>
      <c r="CF75" s="582"/>
      <c r="CG75" s="582"/>
      <c r="CH75" s="582"/>
      <c r="CI75" s="582"/>
      <c r="CJ75" s="582"/>
      <c r="CK75" s="582"/>
      <c r="CL75" s="582"/>
      <c r="CM75" s="582"/>
      <c r="CN75" s="582"/>
      <c r="CO75" s="582"/>
      <c r="CP75" s="582"/>
      <c r="CQ75" s="582"/>
      <c r="CR75" s="582"/>
      <c r="CS75" s="582"/>
      <c r="CT75" s="582"/>
      <c r="CU75" s="582"/>
      <c r="CV75" s="582"/>
      <c r="CW75" s="582"/>
      <c r="CX75" s="582"/>
      <c r="CY75" s="582"/>
      <c r="CZ75" s="582"/>
      <c r="DA75" s="582"/>
      <c r="DB75" s="582"/>
      <c r="DC75" s="582"/>
      <c r="DD75" s="582"/>
      <c r="DE75" s="582"/>
      <c r="DF75" s="582"/>
      <c r="DG75" s="582"/>
      <c r="DH75" s="582"/>
      <c r="DI75" s="582"/>
      <c r="DJ75" s="582"/>
      <c r="DK75" s="582"/>
      <c r="DL75" s="582"/>
      <c r="DM75" s="582"/>
      <c r="DN75" s="582"/>
      <c r="DO75" s="582"/>
      <c r="DP75" s="582"/>
      <c r="DQ75" s="582"/>
      <c r="DR75" s="582"/>
      <c r="DS75" s="582"/>
      <c r="DT75" s="582"/>
      <c r="DU75" s="582"/>
      <c r="DV75" s="582"/>
      <c r="DW75" s="582"/>
      <c r="DX75" s="582"/>
      <c r="DY75" s="582"/>
      <c r="DZ75" s="582"/>
      <c r="EA75" s="582"/>
      <c r="EB75" s="582"/>
      <c r="EC75" s="582"/>
      <c r="ED75" s="582"/>
      <c r="EE75" s="582"/>
      <c r="EF75" s="582"/>
      <c r="EG75" s="582"/>
      <c r="EH75" s="582"/>
      <c r="EI75" s="582"/>
      <c r="EJ75" s="582"/>
      <c r="EK75" s="582"/>
      <c r="EL75" s="582"/>
      <c r="EM75" s="582"/>
      <c r="EN75" s="582"/>
      <c r="EO75" s="582"/>
      <c r="EP75" s="582"/>
      <c r="EQ75" s="582"/>
      <c r="ER75" s="582"/>
      <c r="ES75" s="582"/>
      <c r="ET75" s="582"/>
      <c r="EU75" s="582"/>
      <c r="EV75" s="582"/>
      <c r="EW75" s="582"/>
      <c r="EX75" s="582"/>
      <c r="EY75" s="582"/>
      <c r="EZ75" s="582"/>
      <c r="FA75" s="582"/>
      <c r="FB75" s="582"/>
      <c r="FC75" s="582"/>
      <c r="FD75" s="582"/>
      <c r="FE75" s="582"/>
      <c r="FF75" s="582"/>
      <c r="FG75" s="582"/>
      <c r="FH75" s="582"/>
      <c r="FI75" s="582"/>
      <c r="FJ75" s="582"/>
      <c r="FK75" s="582"/>
      <c r="FL75" s="582"/>
      <c r="FM75" s="582"/>
      <c r="FN75" s="582"/>
      <c r="FO75" s="582"/>
      <c r="FP75" s="582"/>
      <c r="FQ75" s="582"/>
      <c r="FR75" s="582"/>
      <c r="FS75" s="582"/>
      <c r="FT75" s="582"/>
      <c r="FU75" s="582"/>
      <c r="FV75" s="582"/>
      <c r="FW75" s="582"/>
      <c r="FX75" s="582"/>
      <c r="FY75" s="582"/>
      <c r="FZ75" s="582"/>
      <c r="GA75" s="582"/>
      <c r="GB75" s="582"/>
      <c r="GC75" s="582"/>
      <c r="GD75" s="582"/>
      <c r="GE75" s="582"/>
      <c r="GF75" s="582"/>
      <c r="GG75" s="582"/>
      <c r="GH75" s="582"/>
      <c r="GI75" s="582"/>
      <c r="GJ75" s="582"/>
      <c r="GK75" s="582"/>
      <c r="GL75" s="582"/>
      <c r="GM75" s="582"/>
      <c r="GN75" s="582"/>
      <c r="GO75" s="582"/>
      <c r="GP75" s="582"/>
      <c r="GQ75" s="582"/>
      <c r="GR75" s="582"/>
      <c r="GS75" s="582"/>
      <c r="GT75" s="582"/>
      <c r="GU75" s="582"/>
      <c r="GV75" s="582"/>
      <c r="GW75" s="582"/>
      <c r="GX75" s="582"/>
      <c r="GY75" s="582"/>
      <c r="GZ75" s="582"/>
      <c r="HA75" s="582"/>
      <c r="HB75" s="582"/>
      <c r="HC75" s="582"/>
      <c r="HD75" s="582"/>
      <c r="HE75" s="582"/>
      <c r="HF75" s="582"/>
      <c r="HG75" s="582"/>
      <c r="HH75" s="582"/>
      <c r="HI75" s="582"/>
      <c r="HJ75" s="582"/>
      <c r="HK75" s="582"/>
      <c r="HL75" s="582"/>
      <c r="HM75" s="582"/>
      <c r="HN75" s="582"/>
      <c r="HO75" s="582"/>
      <c r="HP75" s="582"/>
      <c r="HQ75" s="582"/>
      <c r="HR75" s="582"/>
      <c r="HS75" s="582"/>
      <c r="HT75" s="582"/>
      <c r="HU75" s="582"/>
      <c r="HV75" s="582"/>
      <c r="HW75" s="582"/>
      <c r="HX75" s="582"/>
      <c r="HY75" s="582"/>
      <c r="HZ75" s="582"/>
      <c r="IA75" s="582"/>
      <c r="IB75" s="582"/>
      <c r="IC75" s="582"/>
      <c r="ID75" s="582"/>
      <c r="IE75" s="582"/>
      <c r="IF75" s="582"/>
      <c r="IG75" s="582"/>
      <c r="IH75" s="582"/>
      <c r="II75" s="582"/>
      <c r="IJ75" s="582"/>
      <c r="IK75" s="582"/>
      <c r="IL75" s="582"/>
      <c r="IM75" s="582"/>
      <c r="IN75" s="582"/>
      <c r="IO75" s="582"/>
      <c r="IP75" s="582"/>
      <c r="IQ75" s="582"/>
      <c r="IR75" s="582"/>
      <c r="IS75" s="582"/>
      <c r="IT75" s="582"/>
      <c r="IU75" s="582"/>
      <c r="IV75" s="582"/>
      <c r="IW75" s="582"/>
    </row>
    <row r="76" spans="1:257" s="641" customFormat="1" ht="31.5" hidden="1" customHeight="1">
      <c r="A76" s="699">
        <v>4</v>
      </c>
      <c r="B76" s="673" t="s">
        <v>197</v>
      </c>
      <c r="C76" s="699"/>
      <c r="D76" s="699"/>
      <c r="E76" s="700"/>
      <c r="F76" s="707">
        <f>G316+G374+G375</f>
        <v>900000000</v>
      </c>
      <c r="G76" s="705" t="s">
        <v>858</v>
      </c>
      <c r="H76" s="705"/>
      <c r="I76" s="705"/>
      <c r="J76" s="707"/>
      <c r="K76" s="707"/>
      <c r="L76" s="1308"/>
      <c r="M76" s="707"/>
      <c r="N76" s="708"/>
      <c r="O76" s="708"/>
      <c r="P76" s="706"/>
      <c r="Q76" s="706"/>
      <c r="R76" s="706"/>
      <c r="S76" s="677"/>
      <c r="T76" s="678"/>
      <c r="U76" s="580"/>
      <c r="V76" s="581"/>
      <c r="W76" s="581"/>
      <c r="X76" s="578"/>
      <c r="Y76" s="582"/>
      <c r="Z76" s="582"/>
      <c r="AA76" s="582"/>
      <c r="AB76" s="582"/>
      <c r="AC76" s="582"/>
      <c r="AD76" s="582"/>
      <c r="AE76" s="582"/>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c r="BI76" s="582"/>
      <c r="BJ76" s="582"/>
      <c r="BK76" s="582"/>
      <c r="BL76" s="582"/>
      <c r="BM76" s="582"/>
      <c r="BN76" s="582"/>
      <c r="BO76" s="582"/>
      <c r="BP76" s="582"/>
      <c r="BQ76" s="582"/>
      <c r="BR76" s="582"/>
      <c r="BS76" s="582"/>
      <c r="BT76" s="582"/>
      <c r="BU76" s="582"/>
      <c r="BV76" s="582"/>
      <c r="BW76" s="582"/>
      <c r="BX76" s="582"/>
      <c r="BY76" s="582"/>
      <c r="BZ76" s="582"/>
      <c r="CA76" s="582"/>
      <c r="CB76" s="582"/>
      <c r="CC76" s="582"/>
      <c r="CD76" s="582"/>
      <c r="CE76" s="582"/>
      <c r="CF76" s="582"/>
      <c r="CG76" s="582"/>
      <c r="CH76" s="582"/>
      <c r="CI76" s="582"/>
      <c r="CJ76" s="582"/>
      <c r="CK76" s="582"/>
      <c r="CL76" s="582"/>
      <c r="CM76" s="582"/>
      <c r="CN76" s="582"/>
      <c r="CO76" s="582"/>
      <c r="CP76" s="582"/>
      <c r="CQ76" s="582"/>
      <c r="CR76" s="582"/>
      <c r="CS76" s="582"/>
      <c r="CT76" s="582"/>
      <c r="CU76" s="582"/>
      <c r="CV76" s="582"/>
      <c r="CW76" s="582"/>
      <c r="CX76" s="582"/>
      <c r="CY76" s="582"/>
      <c r="CZ76" s="582"/>
      <c r="DA76" s="582"/>
      <c r="DB76" s="582"/>
      <c r="DC76" s="582"/>
      <c r="DD76" s="582"/>
      <c r="DE76" s="582"/>
      <c r="DF76" s="582"/>
      <c r="DG76" s="582"/>
      <c r="DH76" s="582"/>
      <c r="DI76" s="582"/>
      <c r="DJ76" s="582"/>
      <c r="DK76" s="582"/>
      <c r="DL76" s="582"/>
      <c r="DM76" s="582"/>
      <c r="DN76" s="582"/>
      <c r="DO76" s="582"/>
      <c r="DP76" s="582"/>
      <c r="DQ76" s="582"/>
      <c r="DR76" s="582"/>
      <c r="DS76" s="582"/>
      <c r="DT76" s="582"/>
      <c r="DU76" s="582"/>
      <c r="DV76" s="582"/>
      <c r="DW76" s="582"/>
      <c r="DX76" s="582"/>
      <c r="DY76" s="582"/>
      <c r="DZ76" s="582"/>
      <c r="EA76" s="582"/>
      <c r="EB76" s="582"/>
      <c r="EC76" s="582"/>
      <c r="ED76" s="582"/>
      <c r="EE76" s="582"/>
      <c r="EF76" s="582"/>
      <c r="EG76" s="582"/>
      <c r="EH76" s="582"/>
      <c r="EI76" s="582"/>
      <c r="EJ76" s="582"/>
      <c r="EK76" s="582"/>
      <c r="EL76" s="582"/>
      <c r="EM76" s="582"/>
      <c r="EN76" s="582"/>
      <c r="EO76" s="582"/>
      <c r="EP76" s="582"/>
      <c r="EQ76" s="582"/>
      <c r="ER76" s="582"/>
      <c r="ES76" s="582"/>
      <c r="ET76" s="582"/>
      <c r="EU76" s="582"/>
      <c r="EV76" s="582"/>
      <c r="EW76" s="582"/>
      <c r="EX76" s="582"/>
      <c r="EY76" s="582"/>
      <c r="EZ76" s="582"/>
      <c r="FA76" s="582"/>
      <c r="FB76" s="582"/>
      <c r="FC76" s="582"/>
      <c r="FD76" s="582"/>
      <c r="FE76" s="582"/>
      <c r="FF76" s="582"/>
      <c r="FG76" s="582"/>
      <c r="FH76" s="582"/>
      <c r="FI76" s="582"/>
      <c r="FJ76" s="582"/>
      <c r="FK76" s="582"/>
      <c r="FL76" s="582"/>
      <c r="FM76" s="582"/>
      <c r="FN76" s="582"/>
      <c r="FO76" s="582"/>
      <c r="FP76" s="582"/>
      <c r="FQ76" s="582"/>
      <c r="FR76" s="582"/>
      <c r="FS76" s="582"/>
      <c r="FT76" s="582"/>
      <c r="FU76" s="582"/>
      <c r="FV76" s="582"/>
      <c r="FW76" s="582"/>
      <c r="FX76" s="582"/>
      <c r="FY76" s="582"/>
      <c r="FZ76" s="582"/>
      <c r="GA76" s="582"/>
      <c r="GB76" s="582"/>
      <c r="GC76" s="582"/>
      <c r="GD76" s="582"/>
      <c r="GE76" s="582"/>
      <c r="GF76" s="582"/>
      <c r="GG76" s="582"/>
      <c r="GH76" s="582"/>
      <c r="GI76" s="582"/>
      <c r="GJ76" s="582"/>
      <c r="GK76" s="582"/>
      <c r="GL76" s="582"/>
      <c r="GM76" s="582"/>
      <c r="GN76" s="582"/>
      <c r="GO76" s="582"/>
      <c r="GP76" s="582"/>
      <c r="GQ76" s="582"/>
      <c r="GR76" s="582"/>
      <c r="GS76" s="582"/>
      <c r="GT76" s="582"/>
      <c r="GU76" s="582"/>
      <c r="GV76" s="582"/>
      <c r="GW76" s="582"/>
      <c r="GX76" s="582"/>
      <c r="GY76" s="582"/>
      <c r="GZ76" s="582"/>
      <c r="HA76" s="582"/>
      <c r="HB76" s="582"/>
      <c r="HC76" s="582"/>
      <c r="HD76" s="582"/>
      <c r="HE76" s="582"/>
      <c r="HF76" s="582"/>
      <c r="HG76" s="582"/>
      <c r="HH76" s="582"/>
      <c r="HI76" s="582"/>
      <c r="HJ76" s="582"/>
      <c r="HK76" s="582"/>
      <c r="HL76" s="582"/>
      <c r="HM76" s="582"/>
      <c r="HN76" s="582"/>
      <c r="HO76" s="582"/>
      <c r="HP76" s="582"/>
      <c r="HQ76" s="582"/>
      <c r="HR76" s="582"/>
      <c r="HS76" s="582"/>
      <c r="HT76" s="582"/>
      <c r="HU76" s="582"/>
      <c r="HV76" s="582"/>
      <c r="HW76" s="582"/>
      <c r="HX76" s="582"/>
      <c r="HY76" s="582"/>
      <c r="HZ76" s="582"/>
      <c r="IA76" s="582"/>
      <c r="IB76" s="582"/>
      <c r="IC76" s="582"/>
      <c r="ID76" s="582"/>
      <c r="IE76" s="582"/>
      <c r="IF76" s="582"/>
      <c r="IG76" s="582"/>
      <c r="IH76" s="582"/>
      <c r="II76" s="582"/>
      <c r="IJ76" s="582"/>
      <c r="IK76" s="582"/>
      <c r="IL76" s="582"/>
      <c r="IM76" s="582"/>
      <c r="IN76" s="582"/>
      <c r="IO76" s="582"/>
      <c r="IP76" s="582"/>
      <c r="IQ76" s="582"/>
      <c r="IR76" s="582"/>
      <c r="IS76" s="582"/>
      <c r="IT76" s="582"/>
      <c r="IU76" s="582"/>
      <c r="IV76" s="582"/>
      <c r="IW76" s="582"/>
    </row>
    <row r="77" spans="1:257" s="641" customFormat="1" ht="47.25" hidden="1" customHeight="1">
      <c r="A77" s="699">
        <v>5</v>
      </c>
      <c r="B77" s="673" t="str">
        <f>B378</f>
        <v>Trung tâm chính trị</v>
      </c>
      <c r="C77" s="699"/>
      <c r="D77" s="699"/>
      <c r="E77" s="700"/>
      <c r="F77" s="707">
        <f>G398</f>
        <v>606000000</v>
      </c>
      <c r="G77" s="709" t="s">
        <v>859</v>
      </c>
      <c r="H77" s="709"/>
      <c r="I77" s="709"/>
      <c r="J77" s="709"/>
      <c r="K77" s="709"/>
      <c r="L77" s="1309"/>
      <c r="M77" s="709"/>
      <c r="N77" s="710"/>
      <c r="O77" s="710"/>
      <c r="P77" s="710"/>
      <c r="Q77" s="710"/>
      <c r="R77" s="706"/>
      <c r="S77" s="677"/>
      <c r="T77" s="678"/>
      <c r="U77" s="580"/>
      <c r="V77" s="581"/>
      <c r="W77" s="581"/>
      <c r="X77" s="578"/>
      <c r="Y77" s="582"/>
      <c r="Z77" s="582"/>
      <c r="AA77" s="582"/>
      <c r="AB77" s="582"/>
      <c r="AC77" s="582"/>
      <c r="AD77" s="582"/>
      <c r="AE77" s="582"/>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c r="BI77" s="582"/>
      <c r="BJ77" s="582"/>
      <c r="BK77" s="582"/>
      <c r="BL77" s="582"/>
      <c r="BM77" s="582"/>
      <c r="BN77" s="582"/>
      <c r="BO77" s="582"/>
      <c r="BP77" s="582"/>
      <c r="BQ77" s="582"/>
      <c r="BR77" s="582"/>
      <c r="BS77" s="582"/>
      <c r="BT77" s="582"/>
      <c r="BU77" s="582"/>
      <c r="BV77" s="582"/>
      <c r="BW77" s="582"/>
      <c r="BX77" s="582"/>
      <c r="BY77" s="582"/>
      <c r="BZ77" s="582"/>
      <c r="CA77" s="582"/>
      <c r="CB77" s="582"/>
      <c r="CC77" s="582"/>
      <c r="CD77" s="582"/>
      <c r="CE77" s="582"/>
      <c r="CF77" s="582"/>
      <c r="CG77" s="582"/>
      <c r="CH77" s="582"/>
      <c r="CI77" s="582"/>
      <c r="CJ77" s="582"/>
      <c r="CK77" s="582"/>
      <c r="CL77" s="582"/>
      <c r="CM77" s="582"/>
      <c r="CN77" s="582"/>
      <c r="CO77" s="582"/>
      <c r="CP77" s="582"/>
      <c r="CQ77" s="582"/>
      <c r="CR77" s="582"/>
      <c r="CS77" s="582"/>
      <c r="CT77" s="582"/>
      <c r="CU77" s="582"/>
      <c r="CV77" s="582"/>
      <c r="CW77" s="582"/>
      <c r="CX77" s="582"/>
      <c r="CY77" s="582"/>
      <c r="CZ77" s="582"/>
      <c r="DA77" s="582"/>
      <c r="DB77" s="582"/>
      <c r="DC77" s="582"/>
      <c r="DD77" s="582"/>
      <c r="DE77" s="582"/>
      <c r="DF77" s="582"/>
      <c r="DG77" s="582"/>
      <c r="DH77" s="582"/>
      <c r="DI77" s="582"/>
      <c r="DJ77" s="582"/>
      <c r="DK77" s="582"/>
      <c r="DL77" s="582"/>
      <c r="DM77" s="582"/>
      <c r="DN77" s="582"/>
      <c r="DO77" s="582"/>
      <c r="DP77" s="582"/>
      <c r="DQ77" s="582"/>
      <c r="DR77" s="582"/>
      <c r="DS77" s="582"/>
      <c r="DT77" s="582"/>
      <c r="DU77" s="582"/>
      <c r="DV77" s="582"/>
      <c r="DW77" s="582"/>
      <c r="DX77" s="582"/>
      <c r="DY77" s="582"/>
      <c r="DZ77" s="582"/>
      <c r="EA77" s="582"/>
      <c r="EB77" s="582"/>
      <c r="EC77" s="582"/>
      <c r="ED77" s="582"/>
      <c r="EE77" s="582"/>
      <c r="EF77" s="582"/>
      <c r="EG77" s="582"/>
      <c r="EH77" s="582"/>
      <c r="EI77" s="582"/>
      <c r="EJ77" s="582"/>
      <c r="EK77" s="582"/>
      <c r="EL77" s="582"/>
      <c r="EM77" s="582"/>
      <c r="EN77" s="582"/>
      <c r="EO77" s="582"/>
      <c r="EP77" s="582"/>
      <c r="EQ77" s="582"/>
      <c r="ER77" s="582"/>
      <c r="ES77" s="582"/>
      <c r="ET77" s="582"/>
      <c r="EU77" s="582"/>
      <c r="EV77" s="582"/>
      <c r="EW77" s="582"/>
      <c r="EX77" s="582"/>
      <c r="EY77" s="582"/>
      <c r="EZ77" s="582"/>
      <c r="FA77" s="582"/>
      <c r="FB77" s="582"/>
      <c r="FC77" s="582"/>
      <c r="FD77" s="582"/>
      <c r="FE77" s="582"/>
      <c r="FF77" s="582"/>
      <c r="FG77" s="582"/>
      <c r="FH77" s="582"/>
      <c r="FI77" s="582"/>
      <c r="FJ77" s="582"/>
      <c r="FK77" s="582"/>
      <c r="FL77" s="582"/>
      <c r="FM77" s="582"/>
      <c r="FN77" s="582"/>
      <c r="FO77" s="582"/>
      <c r="FP77" s="582"/>
      <c r="FQ77" s="582"/>
      <c r="FR77" s="582"/>
      <c r="FS77" s="582"/>
      <c r="FT77" s="582"/>
      <c r="FU77" s="582"/>
      <c r="FV77" s="582"/>
      <c r="FW77" s="582"/>
      <c r="FX77" s="582"/>
      <c r="FY77" s="582"/>
      <c r="FZ77" s="582"/>
      <c r="GA77" s="582"/>
      <c r="GB77" s="582"/>
      <c r="GC77" s="582"/>
      <c r="GD77" s="582"/>
      <c r="GE77" s="582"/>
      <c r="GF77" s="582"/>
      <c r="GG77" s="582"/>
      <c r="GH77" s="582"/>
      <c r="GI77" s="582"/>
      <c r="GJ77" s="582"/>
      <c r="GK77" s="582"/>
      <c r="GL77" s="582"/>
      <c r="GM77" s="582"/>
      <c r="GN77" s="582"/>
      <c r="GO77" s="582"/>
      <c r="GP77" s="582"/>
      <c r="GQ77" s="582"/>
      <c r="GR77" s="582"/>
      <c r="GS77" s="582"/>
      <c r="GT77" s="582"/>
      <c r="GU77" s="582"/>
      <c r="GV77" s="582"/>
      <c r="GW77" s="582"/>
      <c r="GX77" s="582"/>
      <c r="GY77" s="582"/>
      <c r="GZ77" s="582"/>
      <c r="HA77" s="582"/>
      <c r="HB77" s="582"/>
      <c r="HC77" s="582"/>
      <c r="HD77" s="582"/>
      <c r="HE77" s="582"/>
      <c r="HF77" s="582"/>
      <c r="HG77" s="582"/>
      <c r="HH77" s="582"/>
      <c r="HI77" s="582"/>
      <c r="HJ77" s="582"/>
      <c r="HK77" s="582"/>
      <c r="HL77" s="582"/>
      <c r="HM77" s="582"/>
      <c r="HN77" s="582"/>
      <c r="HO77" s="582"/>
      <c r="HP77" s="582"/>
      <c r="HQ77" s="582"/>
      <c r="HR77" s="582"/>
      <c r="HS77" s="582"/>
      <c r="HT77" s="582"/>
      <c r="HU77" s="582"/>
      <c r="HV77" s="582"/>
      <c r="HW77" s="582"/>
      <c r="HX77" s="582"/>
      <c r="HY77" s="582"/>
      <c r="HZ77" s="582"/>
      <c r="IA77" s="582"/>
      <c r="IB77" s="582"/>
      <c r="IC77" s="582"/>
      <c r="ID77" s="582"/>
      <c r="IE77" s="582"/>
      <c r="IF77" s="582"/>
      <c r="IG77" s="582"/>
      <c r="IH77" s="582"/>
      <c r="II77" s="582"/>
      <c r="IJ77" s="582"/>
      <c r="IK77" s="582"/>
      <c r="IL77" s="582"/>
      <c r="IM77" s="582"/>
      <c r="IN77" s="582"/>
      <c r="IO77" s="582"/>
      <c r="IP77" s="582"/>
      <c r="IQ77" s="582"/>
      <c r="IR77" s="582"/>
      <c r="IS77" s="582"/>
      <c r="IT77" s="582"/>
      <c r="IU77" s="582"/>
      <c r="IV77" s="582"/>
      <c r="IW77" s="582"/>
    </row>
    <row r="78" spans="1:257" s="641" customFormat="1" ht="22.5" hidden="1" customHeight="1">
      <c r="A78" s="699">
        <v>6</v>
      </c>
      <c r="B78" s="673" t="s">
        <v>199</v>
      </c>
      <c r="C78" s="699"/>
      <c r="D78" s="699"/>
      <c r="E78" s="700"/>
      <c r="F78" s="707">
        <v>1190000000</v>
      </c>
      <c r="G78" s="711" t="s">
        <v>860</v>
      </c>
      <c r="H78" s="711"/>
      <c r="I78" s="711"/>
      <c r="J78" s="707"/>
      <c r="K78" s="707"/>
      <c r="L78" s="1308"/>
      <c r="M78" s="707"/>
      <c r="N78" s="708"/>
      <c r="O78" s="708"/>
      <c r="P78" s="712"/>
      <c r="Q78" s="712"/>
      <c r="R78" s="706">
        <f>17*70</f>
        <v>1190</v>
      </c>
      <c r="S78" s="677"/>
      <c r="T78" s="678"/>
      <c r="U78" s="580"/>
      <c r="V78" s="581"/>
      <c r="W78" s="581"/>
      <c r="X78" s="578"/>
      <c r="Y78" s="582"/>
      <c r="Z78" s="582"/>
      <c r="AA78" s="582"/>
      <c r="AB78" s="582"/>
      <c r="AC78" s="582"/>
      <c r="AD78" s="582"/>
      <c r="AE78" s="582"/>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c r="BI78" s="582"/>
      <c r="BJ78" s="582"/>
      <c r="BK78" s="582"/>
      <c r="BL78" s="582"/>
      <c r="BM78" s="582"/>
      <c r="BN78" s="582"/>
      <c r="BO78" s="582"/>
      <c r="BP78" s="582"/>
      <c r="BQ78" s="582"/>
      <c r="BR78" s="582"/>
      <c r="BS78" s="582"/>
      <c r="BT78" s="582"/>
      <c r="BU78" s="582"/>
      <c r="BV78" s="582"/>
      <c r="BW78" s="582"/>
      <c r="BX78" s="582"/>
      <c r="BY78" s="582"/>
      <c r="BZ78" s="582"/>
      <c r="CA78" s="582"/>
      <c r="CB78" s="582"/>
      <c r="CC78" s="582"/>
      <c r="CD78" s="582"/>
      <c r="CE78" s="582"/>
      <c r="CF78" s="582"/>
      <c r="CG78" s="582"/>
      <c r="CH78" s="582"/>
      <c r="CI78" s="582"/>
      <c r="CJ78" s="582"/>
      <c r="CK78" s="582"/>
      <c r="CL78" s="582"/>
      <c r="CM78" s="582"/>
      <c r="CN78" s="582"/>
      <c r="CO78" s="582"/>
      <c r="CP78" s="582"/>
      <c r="CQ78" s="582"/>
      <c r="CR78" s="582"/>
      <c r="CS78" s="582"/>
      <c r="CT78" s="582"/>
      <c r="CU78" s="582"/>
      <c r="CV78" s="582"/>
      <c r="CW78" s="582"/>
      <c r="CX78" s="582"/>
      <c r="CY78" s="582"/>
      <c r="CZ78" s="582"/>
      <c r="DA78" s="582"/>
      <c r="DB78" s="582"/>
      <c r="DC78" s="582"/>
      <c r="DD78" s="582"/>
      <c r="DE78" s="582"/>
      <c r="DF78" s="582"/>
      <c r="DG78" s="582"/>
      <c r="DH78" s="582"/>
      <c r="DI78" s="582"/>
      <c r="DJ78" s="582"/>
      <c r="DK78" s="582"/>
      <c r="DL78" s="582"/>
      <c r="DM78" s="582"/>
      <c r="DN78" s="582"/>
      <c r="DO78" s="582"/>
      <c r="DP78" s="582"/>
      <c r="DQ78" s="582"/>
      <c r="DR78" s="582"/>
      <c r="DS78" s="582"/>
      <c r="DT78" s="582"/>
      <c r="DU78" s="582"/>
      <c r="DV78" s="582"/>
      <c r="DW78" s="582"/>
      <c r="DX78" s="582"/>
      <c r="DY78" s="582"/>
      <c r="DZ78" s="582"/>
      <c r="EA78" s="582"/>
      <c r="EB78" s="582"/>
      <c r="EC78" s="582"/>
      <c r="ED78" s="582"/>
      <c r="EE78" s="582"/>
      <c r="EF78" s="582"/>
      <c r="EG78" s="582"/>
      <c r="EH78" s="582"/>
      <c r="EI78" s="582"/>
      <c r="EJ78" s="582"/>
      <c r="EK78" s="582"/>
      <c r="EL78" s="582"/>
      <c r="EM78" s="582"/>
      <c r="EN78" s="582"/>
      <c r="EO78" s="582"/>
      <c r="EP78" s="582"/>
      <c r="EQ78" s="582"/>
      <c r="ER78" s="582"/>
      <c r="ES78" s="582"/>
      <c r="ET78" s="582"/>
      <c r="EU78" s="582"/>
      <c r="EV78" s="582"/>
      <c r="EW78" s="582"/>
      <c r="EX78" s="582"/>
      <c r="EY78" s="582"/>
      <c r="EZ78" s="582"/>
      <c r="FA78" s="582"/>
      <c r="FB78" s="582"/>
      <c r="FC78" s="582"/>
      <c r="FD78" s="582"/>
      <c r="FE78" s="582"/>
      <c r="FF78" s="582"/>
      <c r="FG78" s="582"/>
      <c r="FH78" s="582"/>
      <c r="FI78" s="582"/>
      <c r="FJ78" s="582"/>
      <c r="FK78" s="582"/>
      <c r="FL78" s="582"/>
      <c r="FM78" s="582"/>
      <c r="FN78" s="582"/>
      <c r="FO78" s="582"/>
      <c r="FP78" s="582"/>
      <c r="FQ78" s="582"/>
      <c r="FR78" s="582"/>
      <c r="FS78" s="582"/>
      <c r="FT78" s="582"/>
      <c r="FU78" s="582"/>
      <c r="FV78" s="582"/>
      <c r="FW78" s="582"/>
      <c r="FX78" s="582"/>
      <c r="FY78" s="582"/>
      <c r="FZ78" s="582"/>
      <c r="GA78" s="582"/>
      <c r="GB78" s="582"/>
      <c r="GC78" s="582"/>
      <c r="GD78" s="582"/>
      <c r="GE78" s="582"/>
      <c r="GF78" s="582"/>
      <c r="GG78" s="582"/>
      <c r="GH78" s="582"/>
      <c r="GI78" s="582"/>
      <c r="GJ78" s="582"/>
      <c r="GK78" s="582"/>
      <c r="GL78" s="582"/>
      <c r="GM78" s="582"/>
      <c r="GN78" s="582"/>
      <c r="GO78" s="582"/>
      <c r="GP78" s="582"/>
      <c r="GQ78" s="582"/>
      <c r="GR78" s="582"/>
      <c r="GS78" s="582"/>
      <c r="GT78" s="582"/>
      <c r="GU78" s="582"/>
      <c r="GV78" s="582"/>
      <c r="GW78" s="582"/>
      <c r="GX78" s="582"/>
      <c r="GY78" s="582"/>
      <c r="GZ78" s="582"/>
      <c r="HA78" s="582"/>
      <c r="HB78" s="582"/>
      <c r="HC78" s="582"/>
      <c r="HD78" s="582"/>
      <c r="HE78" s="582"/>
      <c r="HF78" s="582"/>
      <c r="HG78" s="582"/>
      <c r="HH78" s="582"/>
      <c r="HI78" s="582"/>
      <c r="HJ78" s="582"/>
      <c r="HK78" s="582"/>
      <c r="HL78" s="582"/>
      <c r="HM78" s="582"/>
      <c r="HN78" s="582"/>
      <c r="HO78" s="582"/>
      <c r="HP78" s="582"/>
      <c r="HQ78" s="582"/>
      <c r="HR78" s="582"/>
      <c r="HS78" s="582"/>
      <c r="HT78" s="582"/>
      <c r="HU78" s="582"/>
      <c r="HV78" s="582"/>
      <c r="HW78" s="582"/>
      <c r="HX78" s="582"/>
      <c r="HY78" s="582"/>
      <c r="HZ78" s="582"/>
      <c r="IA78" s="582"/>
      <c r="IB78" s="582"/>
      <c r="IC78" s="582"/>
      <c r="ID78" s="582"/>
      <c r="IE78" s="582"/>
      <c r="IF78" s="582"/>
      <c r="IG78" s="582"/>
      <c r="IH78" s="582"/>
      <c r="II78" s="582"/>
      <c r="IJ78" s="582"/>
      <c r="IK78" s="582"/>
      <c r="IL78" s="582"/>
      <c r="IM78" s="582"/>
      <c r="IN78" s="582"/>
      <c r="IO78" s="582"/>
      <c r="IP78" s="582"/>
      <c r="IQ78" s="582"/>
      <c r="IR78" s="582"/>
      <c r="IS78" s="582"/>
      <c r="IT78" s="582"/>
      <c r="IU78" s="582"/>
      <c r="IV78" s="582"/>
      <c r="IW78" s="582"/>
    </row>
    <row r="79" spans="1:257" s="641" customFormat="1" ht="15.75" hidden="1" customHeight="1">
      <c r="A79" s="699">
        <v>7</v>
      </c>
      <c r="B79" s="673" t="str">
        <f>B543</f>
        <v>Phòng Y Tế</v>
      </c>
      <c r="C79" s="699"/>
      <c r="D79" s="699"/>
      <c r="E79" s="700"/>
      <c r="F79" s="707">
        <v>7000000</v>
      </c>
      <c r="G79" s="705" t="s">
        <v>861</v>
      </c>
      <c r="H79" s="705"/>
      <c r="I79" s="705"/>
      <c r="J79" s="707"/>
      <c r="K79" s="707"/>
      <c r="L79" s="1308"/>
      <c r="M79" s="707"/>
      <c r="N79" s="708"/>
      <c r="O79" s="708"/>
      <c r="P79" s="706"/>
      <c r="Q79" s="706"/>
      <c r="R79" s="706"/>
      <c r="S79" s="677"/>
      <c r="T79" s="678"/>
      <c r="U79" s="580"/>
      <c r="V79" s="581"/>
      <c r="W79" s="581"/>
      <c r="X79" s="578"/>
      <c r="Y79" s="582"/>
      <c r="Z79" s="582"/>
      <c r="AA79" s="582"/>
      <c r="AB79" s="582"/>
      <c r="AC79" s="582"/>
      <c r="AD79" s="582"/>
      <c r="AE79" s="582"/>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c r="BI79" s="582"/>
      <c r="BJ79" s="582"/>
      <c r="BK79" s="582"/>
      <c r="BL79" s="582"/>
      <c r="BM79" s="582"/>
      <c r="BN79" s="582"/>
      <c r="BO79" s="582"/>
      <c r="BP79" s="582"/>
      <c r="BQ79" s="582"/>
      <c r="BR79" s="582"/>
      <c r="BS79" s="582"/>
      <c r="BT79" s="582"/>
      <c r="BU79" s="582"/>
      <c r="BV79" s="582"/>
      <c r="BW79" s="582"/>
      <c r="BX79" s="582"/>
      <c r="BY79" s="582"/>
      <c r="BZ79" s="582"/>
      <c r="CA79" s="582"/>
      <c r="CB79" s="582"/>
      <c r="CC79" s="582"/>
      <c r="CD79" s="582"/>
      <c r="CE79" s="582"/>
      <c r="CF79" s="582"/>
      <c r="CG79" s="582"/>
      <c r="CH79" s="582"/>
      <c r="CI79" s="582"/>
      <c r="CJ79" s="582"/>
      <c r="CK79" s="582"/>
      <c r="CL79" s="582"/>
      <c r="CM79" s="582"/>
      <c r="CN79" s="582"/>
      <c r="CO79" s="582"/>
      <c r="CP79" s="582"/>
      <c r="CQ79" s="582"/>
      <c r="CR79" s="582"/>
      <c r="CS79" s="582"/>
      <c r="CT79" s="582"/>
      <c r="CU79" s="582"/>
      <c r="CV79" s="582"/>
      <c r="CW79" s="582"/>
      <c r="CX79" s="582"/>
      <c r="CY79" s="582"/>
      <c r="CZ79" s="582"/>
      <c r="DA79" s="582"/>
      <c r="DB79" s="582"/>
      <c r="DC79" s="582"/>
      <c r="DD79" s="582"/>
      <c r="DE79" s="582"/>
      <c r="DF79" s="582"/>
      <c r="DG79" s="582"/>
      <c r="DH79" s="582"/>
      <c r="DI79" s="582"/>
      <c r="DJ79" s="582"/>
      <c r="DK79" s="582"/>
      <c r="DL79" s="582"/>
      <c r="DM79" s="582"/>
      <c r="DN79" s="582"/>
      <c r="DO79" s="582"/>
      <c r="DP79" s="582"/>
      <c r="DQ79" s="582"/>
      <c r="DR79" s="582"/>
      <c r="DS79" s="582"/>
      <c r="DT79" s="582"/>
      <c r="DU79" s="582"/>
      <c r="DV79" s="582"/>
      <c r="DW79" s="582"/>
      <c r="DX79" s="582"/>
      <c r="DY79" s="582"/>
      <c r="DZ79" s="582"/>
      <c r="EA79" s="582"/>
      <c r="EB79" s="582"/>
      <c r="EC79" s="582"/>
      <c r="ED79" s="582"/>
      <c r="EE79" s="582"/>
      <c r="EF79" s="582"/>
      <c r="EG79" s="582"/>
      <c r="EH79" s="582"/>
      <c r="EI79" s="582"/>
      <c r="EJ79" s="582"/>
      <c r="EK79" s="582"/>
      <c r="EL79" s="582"/>
      <c r="EM79" s="582"/>
      <c r="EN79" s="582"/>
      <c r="EO79" s="582"/>
      <c r="EP79" s="582"/>
      <c r="EQ79" s="582"/>
      <c r="ER79" s="582"/>
      <c r="ES79" s="582"/>
      <c r="ET79" s="582"/>
      <c r="EU79" s="582"/>
      <c r="EV79" s="582"/>
      <c r="EW79" s="582"/>
      <c r="EX79" s="582"/>
      <c r="EY79" s="582"/>
      <c r="EZ79" s="582"/>
      <c r="FA79" s="582"/>
      <c r="FB79" s="582"/>
      <c r="FC79" s="582"/>
      <c r="FD79" s="582"/>
      <c r="FE79" s="582"/>
      <c r="FF79" s="582"/>
      <c r="FG79" s="582"/>
      <c r="FH79" s="582"/>
      <c r="FI79" s="582"/>
      <c r="FJ79" s="582"/>
      <c r="FK79" s="582"/>
      <c r="FL79" s="582"/>
      <c r="FM79" s="582"/>
      <c r="FN79" s="582"/>
      <c r="FO79" s="582"/>
      <c r="FP79" s="582"/>
      <c r="FQ79" s="582"/>
      <c r="FR79" s="582"/>
      <c r="FS79" s="582"/>
      <c r="FT79" s="582"/>
      <c r="FU79" s="582"/>
      <c r="FV79" s="582"/>
      <c r="FW79" s="582"/>
      <c r="FX79" s="582"/>
      <c r="FY79" s="582"/>
      <c r="FZ79" s="582"/>
      <c r="GA79" s="582"/>
      <c r="GB79" s="582"/>
      <c r="GC79" s="582"/>
      <c r="GD79" s="582"/>
      <c r="GE79" s="582"/>
      <c r="GF79" s="582"/>
      <c r="GG79" s="582"/>
      <c r="GH79" s="582"/>
      <c r="GI79" s="582"/>
      <c r="GJ79" s="582"/>
      <c r="GK79" s="582"/>
      <c r="GL79" s="582"/>
      <c r="GM79" s="582"/>
      <c r="GN79" s="582"/>
      <c r="GO79" s="582"/>
      <c r="GP79" s="582"/>
      <c r="GQ79" s="582"/>
      <c r="GR79" s="582"/>
      <c r="GS79" s="582"/>
      <c r="GT79" s="582"/>
      <c r="GU79" s="582"/>
      <c r="GV79" s="582"/>
      <c r="GW79" s="582"/>
      <c r="GX79" s="582"/>
      <c r="GY79" s="582"/>
      <c r="GZ79" s="582"/>
      <c r="HA79" s="582"/>
      <c r="HB79" s="582"/>
      <c r="HC79" s="582"/>
      <c r="HD79" s="582"/>
      <c r="HE79" s="582"/>
      <c r="HF79" s="582"/>
      <c r="HG79" s="582"/>
      <c r="HH79" s="582"/>
      <c r="HI79" s="582"/>
      <c r="HJ79" s="582"/>
      <c r="HK79" s="582"/>
      <c r="HL79" s="582"/>
      <c r="HM79" s="582"/>
      <c r="HN79" s="582"/>
      <c r="HO79" s="582"/>
      <c r="HP79" s="582"/>
      <c r="HQ79" s="582"/>
      <c r="HR79" s="582"/>
      <c r="HS79" s="582"/>
      <c r="HT79" s="582"/>
      <c r="HU79" s="582"/>
      <c r="HV79" s="582"/>
      <c r="HW79" s="582"/>
      <c r="HX79" s="582"/>
      <c r="HY79" s="582"/>
      <c r="HZ79" s="582"/>
      <c r="IA79" s="582"/>
      <c r="IB79" s="582"/>
      <c r="IC79" s="582"/>
      <c r="ID79" s="582"/>
      <c r="IE79" s="582"/>
      <c r="IF79" s="582"/>
      <c r="IG79" s="582"/>
      <c r="IH79" s="582"/>
      <c r="II79" s="582"/>
      <c r="IJ79" s="582"/>
      <c r="IK79" s="582"/>
      <c r="IL79" s="582"/>
      <c r="IM79" s="582"/>
      <c r="IN79" s="582"/>
      <c r="IO79" s="582"/>
      <c r="IP79" s="582"/>
      <c r="IQ79" s="582"/>
      <c r="IR79" s="582"/>
      <c r="IS79" s="582"/>
      <c r="IT79" s="582"/>
      <c r="IU79" s="582"/>
      <c r="IV79" s="582"/>
      <c r="IW79" s="582"/>
    </row>
    <row r="80" spans="1:257" s="641" customFormat="1" ht="15.75" hidden="1" customHeight="1">
      <c r="A80" s="699">
        <v>8</v>
      </c>
      <c r="B80" s="673" t="str">
        <f>B568</f>
        <v>Phòng Tư pháp</v>
      </c>
      <c r="C80" s="699"/>
      <c r="D80" s="699"/>
      <c r="E80" s="700"/>
      <c r="F80" s="707">
        <v>32000000</v>
      </c>
      <c r="G80" s="705" t="s">
        <v>862</v>
      </c>
      <c r="H80" s="705"/>
      <c r="I80" s="705"/>
      <c r="J80" s="707"/>
      <c r="K80" s="707"/>
      <c r="L80" s="1308"/>
      <c r="M80" s="707"/>
      <c r="N80" s="708"/>
      <c r="O80" s="708"/>
      <c r="P80" s="706" t="s">
        <v>202</v>
      </c>
      <c r="Q80" s="706"/>
      <c r="R80" s="706"/>
      <c r="S80" s="677"/>
      <c r="T80" s="678"/>
      <c r="U80" s="580"/>
      <c r="V80" s="581"/>
      <c r="W80" s="581"/>
      <c r="X80" s="578"/>
      <c r="Y80" s="582"/>
      <c r="Z80" s="582"/>
      <c r="AA80" s="582"/>
      <c r="AB80" s="582"/>
      <c r="AC80" s="582"/>
      <c r="AD80" s="582"/>
      <c r="AE80" s="582"/>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c r="BI80" s="582"/>
      <c r="BJ80" s="582"/>
      <c r="BK80" s="582"/>
      <c r="BL80" s="582"/>
      <c r="BM80" s="582"/>
      <c r="BN80" s="582"/>
      <c r="BO80" s="582"/>
      <c r="BP80" s="582"/>
      <c r="BQ80" s="582"/>
      <c r="BR80" s="582"/>
      <c r="BS80" s="582"/>
      <c r="BT80" s="582"/>
      <c r="BU80" s="582"/>
      <c r="BV80" s="582"/>
      <c r="BW80" s="582"/>
      <c r="BX80" s="582"/>
      <c r="BY80" s="582"/>
      <c r="BZ80" s="582"/>
      <c r="CA80" s="582"/>
      <c r="CB80" s="582"/>
      <c r="CC80" s="582"/>
      <c r="CD80" s="582"/>
      <c r="CE80" s="582"/>
      <c r="CF80" s="582"/>
      <c r="CG80" s="582"/>
      <c r="CH80" s="582"/>
      <c r="CI80" s="582"/>
      <c r="CJ80" s="582"/>
      <c r="CK80" s="582"/>
      <c r="CL80" s="582"/>
      <c r="CM80" s="582"/>
      <c r="CN80" s="582"/>
      <c r="CO80" s="582"/>
      <c r="CP80" s="582"/>
      <c r="CQ80" s="582"/>
      <c r="CR80" s="582"/>
      <c r="CS80" s="582"/>
      <c r="CT80" s="582"/>
      <c r="CU80" s="582"/>
      <c r="CV80" s="582"/>
      <c r="CW80" s="582"/>
      <c r="CX80" s="582"/>
      <c r="CY80" s="582"/>
      <c r="CZ80" s="582"/>
      <c r="DA80" s="582"/>
      <c r="DB80" s="582"/>
      <c r="DC80" s="582"/>
      <c r="DD80" s="582"/>
      <c r="DE80" s="582"/>
      <c r="DF80" s="582"/>
      <c r="DG80" s="582"/>
      <c r="DH80" s="582"/>
      <c r="DI80" s="582"/>
      <c r="DJ80" s="582"/>
      <c r="DK80" s="582"/>
      <c r="DL80" s="582"/>
      <c r="DM80" s="582"/>
      <c r="DN80" s="582"/>
      <c r="DO80" s="582"/>
      <c r="DP80" s="582"/>
      <c r="DQ80" s="582"/>
      <c r="DR80" s="582"/>
      <c r="DS80" s="582"/>
      <c r="DT80" s="582"/>
      <c r="DU80" s="582"/>
      <c r="DV80" s="582"/>
      <c r="DW80" s="582"/>
      <c r="DX80" s="582"/>
      <c r="DY80" s="582"/>
      <c r="DZ80" s="582"/>
      <c r="EA80" s="582"/>
      <c r="EB80" s="582"/>
      <c r="EC80" s="582"/>
      <c r="ED80" s="582"/>
      <c r="EE80" s="582"/>
      <c r="EF80" s="582"/>
      <c r="EG80" s="582"/>
      <c r="EH80" s="582"/>
      <c r="EI80" s="582"/>
      <c r="EJ80" s="582"/>
      <c r="EK80" s="582"/>
      <c r="EL80" s="582"/>
      <c r="EM80" s="582"/>
      <c r="EN80" s="582"/>
      <c r="EO80" s="582"/>
      <c r="EP80" s="582"/>
      <c r="EQ80" s="582"/>
      <c r="ER80" s="582"/>
      <c r="ES80" s="582"/>
      <c r="ET80" s="582"/>
      <c r="EU80" s="582"/>
      <c r="EV80" s="582"/>
      <c r="EW80" s="582"/>
      <c r="EX80" s="582"/>
      <c r="EY80" s="582"/>
      <c r="EZ80" s="582"/>
      <c r="FA80" s="582"/>
      <c r="FB80" s="582"/>
      <c r="FC80" s="582"/>
      <c r="FD80" s="582"/>
      <c r="FE80" s="582"/>
      <c r="FF80" s="582"/>
      <c r="FG80" s="582"/>
      <c r="FH80" s="582"/>
      <c r="FI80" s="582"/>
      <c r="FJ80" s="582"/>
      <c r="FK80" s="582"/>
      <c r="FL80" s="582"/>
      <c r="FM80" s="582"/>
      <c r="FN80" s="582"/>
      <c r="FO80" s="582"/>
      <c r="FP80" s="582"/>
      <c r="FQ80" s="582"/>
      <c r="FR80" s="582"/>
      <c r="FS80" s="582"/>
      <c r="FT80" s="582"/>
      <c r="FU80" s="582"/>
      <c r="FV80" s="582"/>
      <c r="FW80" s="582"/>
      <c r="FX80" s="582"/>
      <c r="FY80" s="582"/>
      <c r="FZ80" s="582"/>
      <c r="GA80" s="582"/>
      <c r="GB80" s="582"/>
      <c r="GC80" s="582"/>
      <c r="GD80" s="582"/>
      <c r="GE80" s="582"/>
      <c r="GF80" s="582"/>
      <c r="GG80" s="582"/>
      <c r="GH80" s="582"/>
      <c r="GI80" s="582"/>
      <c r="GJ80" s="582"/>
      <c r="GK80" s="582"/>
      <c r="GL80" s="582"/>
      <c r="GM80" s="582"/>
      <c r="GN80" s="582"/>
      <c r="GO80" s="582"/>
      <c r="GP80" s="582"/>
      <c r="GQ80" s="582"/>
      <c r="GR80" s="582"/>
      <c r="GS80" s="582"/>
      <c r="GT80" s="582"/>
      <c r="GU80" s="582"/>
      <c r="GV80" s="582"/>
      <c r="GW80" s="582"/>
      <c r="GX80" s="582"/>
      <c r="GY80" s="582"/>
      <c r="GZ80" s="582"/>
      <c r="HA80" s="582"/>
      <c r="HB80" s="582"/>
      <c r="HC80" s="582"/>
      <c r="HD80" s="582"/>
      <c r="HE80" s="582"/>
      <c r="HF80" s="582"/>
      <c r="HG80" s="582"/>
      <c r="HH80" s="582"/>
      <c r="HI80" s="582"/>
      <c r="HJ80" s="582"/>
      <c r="HK80" s="582"/>
      <c r="HL80" s="582"/>
      <c r="HM80" s="582"/>
      <c r="HN80" s="582"/>
      <c r="HO80" s="582"/>
      <c r="HP80" s="582"/>
      <c r="HQ80" s="582"/>
      <c r="HR80" s="582"/>
      <c r="HS80" s="582"/>
      <c r="HT80" s="582"/>
      <c r="HU80" s="582"/>
      <c r="HV80" s="582"/>
      <c r="HW80" s="582"/>
      <c r="HX80" s="582"/>
      <c r="HY80" s="582"/>
      <c r="HZ80" s="582"/>
      <c r="IA80" s="582"/>
      <c r="IB80" s="582"/>
      <c r="IC80" s="582"/>
      <c r="ID80" s="582"/>
      <c r="IE80" s="582"/>
      <c r="IF80" s="582"/>
      <c r="IG80" s="582"/>
      <c r="IH80" s="582"/>
      <c r="II80" s="582"/>
      <c r="IJ80" s="582"/>
      <c r="IK80" s="582"/>
      <c r="IL80" s="582"/>
      <c r="IM80" s="582"/>
      <c r="IN80" s="582"/>
      <c r="IO80" s="582"/>
      <c r="IP80" s="582"/>
      <c r="IQ80" s="582"/>
      <c r="IR80" s="582"/>
      <c r="IS80" s="582"/>
      <c r="IT80" s="582"/>
      <c r="IU80" s="582"/>
      <c r="IV80" s="582"/>
      <c r="IW80" s="582"/>
    </row>
    <row r="81" spans="1:257" s="641" customFormat="1" ht="15.75" hidden="1" customHeight="1">
      <c r="A81" s="699">
        <v>9</v>
      </c>
      <c r="B81" s="673" t="str">
        <f>B597</f>
        <v>Phòng Tài chính - Kế hoạch</v>
      </c>
      <c r="C81" s="699"/>
      <c r="D81" s="699"/>
      <c r="E81" s="700"/>
      <c r="F81" s="707">
        <v>30000000</v>
      </c>
      <c r="G81" s="705" t="s">
        <v>863</v>
      </c>
      <c r="H81" s="705"/>
      <c r="I81" s="705"/>
      <c r="J81" s="707">
        <v>7000000</v>
      </c>
      <c r="K81" s="707"/>
      <c r="L81" s="1308"/>
      <c r="M81" s="707"/>
      <c r="N81" s="708"/>
      <c r="O81" s="708"/>
      <c r="P81" s="706"/>
      <c r="Q81" s="706"/>
      <c r="R81" s="706"/>
      <c r="S81" s="677"/>
      <c r="T81" s="678"/>
      <c r="U81" s="580"/>
      <c r="V81" s="581"/>
      <c r="W81" s="581"/>
      <c r="X81" s="578"/>
      <c r="Y81" s="582"/>
      <c r="Z81" s="582"/>
      <c r="AA81" s="582"/>
      <c r="AB81" s="582"/>
      <c r="AC81" s="582"/>
      <c r="AD81" s="582"/>
      <c r="AE81" s="582"/>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c r="BI81" s="582"/>
      <c r="BJ81" s="582"/>
      <c r="BK81" s="582"/>
      <c r="BL81" s="582"/>
      <c r="BM81" s="582"/>
      <c r="BN81" s="582"/>
      <c r="BO81" s="582"/>
      <c r="BP81" s="582"/>
      <c r="BQ81" s="582"/>
      <c r="BR81" s="582"/>
      <c r="BS81" s="582"/>
      <c r="BT81" s="582"/>
      <c r="BU81" s="582"/>
      <c r="BV81" s="582"/>
      <c r="BW81" s="582"/>
      <c r="BX81" s="582"/>
      <c r="BY81" s="582"/>
      <c r="BZ81" s="582"/>
      <c r="CA81" s="582"/>
      <c r="CB81" s="582"/>
      <c r="CC81" s="582"/>
      <c r="CD81" s="582"/>
      <c r="CE81" s="582"/>
      <c r="CF81" s="582"/>
      <c r="CG81" s="582"/>
      <c r="CH81" s="582"/>
      <c r="CI81" s="582"/>
      <c r="CJ81" s="582"/>
      <c r="CK81" s="582"/>
      <c r="CL81" s="582"/>
      <c r="CM81" s="582"/>
      <c r="CN81" s="582"/>
      <c r="CO81" s="582"/>
      <c r="CP81" s="582"/>
      <c r="CQ81" s="582"/>
      <c r="CR81" s="582"/>
      <c r="CS81" s="582"/>
      <c r="CT81" s="582"/>
      <c r="CU81" s="582"/>
      <c r="CV81" s="582"/>
      <c r="CW81" s="582"/>
      <c r="CX81" s="582"/>
      <c r="CY81" s="582"/>
      <c r="CZ81" s="582"/>
      <c r="DA81" s="582"/>
      <c r="DB81" s="582"/>
      <c r="DC81" s="582"/>
      <c r="DD81" s="582"/>
      <c r="DE81" s="582"/>
      <c r="DF81" s="582"/>
      <c r="DG81" s="582"/>
      <c r="DH81" s="582"/>
      <c r="DI81" s="582"/>
      <c r="DJ81" s="582"/>
      <c r="DK81" s="582"/>
      <c r="DL81" s="582"/>
      <c r="DM81" s="582"/>
      <c r="DN81" s="582"/>
      <c r="DO81" s="582"/>
      <c r="DP81" s="582"/>
      <c r="DQ81" s="582"/>
      <c r="DR81" s="582"/>
      <c r="DS81" s="582"/>
      <c r="DT81" s="582"/>
      <c r="DU81" s="582"/>
      <c r="DV81" s="582"/>
      <c r="DW81" s="582"/>
      <c r="DX81" s="582"/>
      <c r="DY81" s="582"/>
      <c r="DZ81" s="582"/>
      <c r="EA81" s="582"/>
      <c r="EB81" s="582"/>
      <c r="EC81" s="582"/>
      <c r="ED81" s="582"/>
      <c r="EE81" s="582"/>
      <c r="EF81" s="582"/>
      <c r="EG81" s="582"/>
      <c r="EH81" s="582"/>
      <c r="EI81" s="582"/>
      <c r="EJ81" s="582"/>
      <c r="EK81" s="582"/>
      <c r="EL81" s="582"/>
      <c r="EM81" s="582"/>
      <c r="EN81" s="582"/>
      <c r="EO81" s="582"/>
      <c r="EP81" s="582"/>
      <c r="EQ81" s="582"/>
      <c r="ER81" s="582"/>
      <c r="ES81" s="582"/>
      <c r="ET81" s="582"/>
      <c r="EU81" s="582"/>
      <c r="EV81" s="582"/>
      <c r="EW81" s="582"/>
      <c r="EX81" s="582"/>
      <c r="EY81" s="582"/>
      <c r="EZ81" s="582"/>
      <c r="FA81" s="582"/>
      <c r="FB81" s="582"/>
      <c r="FC81" s="582"/>
      <c r="FD81" s="582"/>
      <c r="FE81" s="582"/>
      <c r="FF81" s="582"/>
      <c r="FG81" s="582"/>
      <c r="FH81" s="582"/>
      <c r="FI81" s="582"/>
      <c r="FJ81" s="582"/>
      <c r="FK81" s="582"/>
      <c r="FL81" s="582"/>
      <c r="FM81" s="582"/>
      <c r="FN81" s="582"/>
      <c r="FO81" s="582"/>
      <c r="FP81" s="582"/>
      <c r="FQ81" s="582"/>
      <c r="FR81" s="582"/>
      <c r="FS81" s="582"/>
      <c r="FT81" s="582"/>
      <c r="FU81" s="582"/>
      <c r="FV81" s="582"/>
      <c r="FW81" s="582"/>
      <c r="FX81" s="582"/>
      <c r="FY81" s="582"/>
      <c r="FZ81" s="582"/>
      <c r="GA81" s="582"/>
      <c r="GB81" s="582"/>
      <c r="GC81" s="582"/>
      <c r="GD81" s="582"/>
      <c r="GE81" s="582"/>
      <c r="GF81" s="582"/>
      <c r="GG81" s="582"/>
      <c r="GH81" s="582"/>
      <c r="GI81" s="582"/>
      <c r="GJ81" s="582"/>
      <c r="GK81" s="582"/>
      <c r="GL81" s="582"/>
      <c r="GM81" s="582"/>
      <c r="GN81" s="582"/>
      <c r="GO81" s="582"/>
      <c r="GP81" s="582"/>
      <c r="GQ81" s="582"/>
      <c r="GR81" s="582"/>
      <c r="GS81" s="582"/>
      <c r="GT81" s="582"/>
      <c r="GU81" s="582"/>
      <c r="GV81" s="582"/>
      <c r="GW81" s="582"/>
      <c r="GX81" s="582"/>
      <c r="GY81" s="582"/>
      <c r="GZ81" s="582"/>
      <c r="HA81" s="582"/>
      <c r="HB81" s="582"/>
      <c r="HC81" s="582"/>
      <c r="HD81" s="582"/>
      <c r="HE81" s="582"/>
      <c r="HF81" s="582"/>
      <c r="HG81" s="582"/>
      <c r="HH81" s="582"/>
      <c r="HI81" s="582"/>
      <c r="HJ81" s="582"/>
      <c r="HK81" s="582"/>
      <c r="HL81" s="582"/>
      <c r="HM81" s="582"/>
      <c r="HN81" s="582"/>
      <c r="HO81" s="582"/>
      <c r="HP81" s="582"/>
      <c r="HQ81" s="582"/>
      <c r="HR81" s="582"/>
      <c r="HS81" s="582"/>
      <c r="HT81" s="582"/>
      <c r="HU81" s="582"/>
      <c r="HV81" s="582"/>
      <c r="HW81" s="582"/>
      <c r="HX81" s="582"/>
      <c r="HY81" s="582"/>
      <c r="HZ81" s="582"/>
      <c r="IA81" s="582"/>
      <c r="IB81" s="582"/>
      <c r="IC81" s="582"/>
      <c r="ID81" s="582"/>
      <c r="IE81" s="582"/>
      <c r="IF81" s="582"/>
      <c r="IG81" s="582"/>
      <c r="IH81" s="582"/>
      <c r="II81" s="582"/>
      <c r="IJ81" s="582"/>
      <c r="IK81" s="582"/>
      <c r="IL81" s="582"/>
      <c r="IM81" s="582"/>
      <c r="IN81" s="582"/>
      <c r="IO81" s="582"/>
      <c r="IP81" s="582"/>
      <c r="IQ81" s="582"/>
      <c r="IR81" s="582"/>
      <c r="IS81" s="582"/>
      <c r="IT81" s="582"/>
      <c r="IU81" s="582"/>
      <c r="IV81" s="582"/>
      <c r="IW81" s="582"/>
    </row>
    <row r="82" spans="1:257" s="641" customFormat="1" ht="19.5" hidden="1" customHeight="1">
      <c r="A82" s="699">
        <v>10</v>
      </c>
      <c r="B82" s="673" t="str">
        <f>B656</f>
        <v>Phòng Tài Nguyên và Môi trường</v>
      </c>
      <c r="C82" s="699"/>
      <c r="D82" s="699"/>
      <c r="E82" s="700"/>
      <c r="F82" s="707">
        <v>342000000</v>
      </c>
      <c r="G82" s="705" t="s">
        <v>864</v>
      </c>
      <c r="H82" s="705"/>
      <c r="I82" s="705"/>
      <c r="J82" s="707">
        <v>50000000</v>
      </c>
      <c r="K82" s="707"/>
      <c r="L82" s="1308"/>
      <c r="M82" s="707"/>
      <c r="N82" s="708"/>
      <c r="O82" s="708"/>
      <c r="P82" s="706" t="s">
        <v>205</v>
      </c>
      <c r="Q82" s="706"/>
      <c r="R82" s="706"/>
      <c r="S82" s="677"/>
      <c r="T82" s="678"/>
      <c r="U82" s="580"/>
      <c r="V82" s="581"/>
      <c r="W82" s="581"/>
      <c r="X82" s="578"/>
      <c r="Y82" s="582"/>
      <c r="Z82" s="582"/>
      <c r="AA82" s="582"/>
      <c r="AB82" s="582"/>
      <c r="AC82" s="582"/>
      <c r="AD82" s="582"/>
      <c r="AE82" s="582"/>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c r="BI82" s="582"/>
      <c r="BJ82" s="582"/>
      <c r="BK82" s="582"/>
      <c r="BL82" s="582"/>
      <c r="BM82" s="582"/>
      <c r="BN82" s="582"/>
      <c r="BO82" s="582"/>
      <c r="BP82" s="582"/>
      <c r="BQ82" s="582"/>
      <c r="BR82" s="582"/>
      <c r="BS82" s="582"/>
      <c r="BT82" s="582"/>
      <c r="BU82" s="582"/>
      <c r="BV82" s="582"/>
      <c r="BW82" s="582"/>
      <c r="BX82" s="582"/>
      <c r="BY82" s="582"/>
      <c r="BZ82" s="582"/>
      <c r="CA82" s="582"/>
      <c r="CB82" s="582"/>
      <c r="CC82" s="582"/>
      <c r="CD82" s="582"/>
      <c r="CE82" s="582"/>
      <c r="CF82" s="582"/>
      <c r="CG82" s="582"/>
      <c r="CH82" s="582"/>
      <c r="CI82" s="582"/>
      <c r="CJ82" s="582"/>
      <c r="CK82" s="582"/>
      <c r="CL82" s="582"/>
      <c r="CM82" s="582"/>
      <c r="CN82" s="582"/>
      <c r="CO82" s="582"/>
      <c r="CP82" s="582"/>
      <c r="CQ82" s="582"/>
      <c r="CR82" s="582"/>
      <c r="CS82" s="582"/>
      <c r="CT82" s="582"/>
      <c r="CU82" s="582"/>
      <c r="CV82" s="582"/>
      <c r="CW82" s="582"/>
      <c r="CX82" s="582"/>
      <c r="CY82" s="582"/>
      <c r="CZ82" s="582"/>
      <c r="DA82" s="582"/>
      <c r="DB82" s="582"/>
      <c r="DC82" s="582"/>
      <c r="DD82" s="582"/>
      <c r="DE82" s="582"/>
      <c r="DF82" s="582"/>
      <c r="DG82" s="582"/>
      <c r="DH82" s="582"/>
      <c r="DI82" s="582"/>
      <c r="DJ82" s="582"/>
      <c r="DK82" s="582"/>
      <c r="DL82" s="582"/>
      <c r="DM82" s="582"/>
      <c r="DN82" s="582"/>
      <c r="DO82" s="582"/>
      <c r="DP82" s="582"/>
      <c r="DQ82" s="582"/>
      <c r="DR82" s="582"/>
      <c r="DS82" s="582"/>
      <c r="DT82" s="582"/>
      <c r="DU82" s="582"/>
      <c r="DV82" s="582"/>
      <c r="DW82" s="582"/>
      <c r="DX82" s="582"/>
      <c r="DY82" s="582"/>
      <c r="DZ82" s="582"/>
      <c r="EA82" s="582"/>
      <c r="EB82" s="582"/>
      <c r="EC82" s="582"/>
      <c r="ED82" s="582"/>
      <c r="EE82" s="582"/>
      <c r="EF82" s="582"/>
      <c r="EG82" s="582"/>
      <c r="EH82" s="582"/>
      <c r="EI82" s="582"/>
      <c r="EJ82" s="582"/>
      <c r="EK82" s="582"/>
      <c r="EL82" s="582"/>
      <c r="EM82" s="582"/>
      <c r="EN82" s="582"/>
      <c r="EO82" s="582"/>
      <c r="EP82" s="582"/>
      <c r="EQ82" s="582"/>
      <c r="ER82" s="582"/>
      <c r="ES82" s="582"/>
      <c r="ET82" s="582"/>
      <c r="EU82" s="582"/>
      <c r="EV82" s="582"/>
      <c r="EW82" s="582"/>
      <c r="EX82" s="582"/>
      <c r="EY82" s="582"/>
      <c r="EZ82" s="582"/>
      <c r="FA82" s="582"/>
      <c r="FB82" s="582"/>
      <c r="FC82" s="582"/>
      <c r="FD82" s="582"/>
      <c r="FE82" s="582"/>
      <c r="FF82" s="582"/>
      <c r="FG82" s="582"/>
      <c r="FH82" s="582"/>
      <c r="FI82" s="582"/>
      <c r="FJ82" s="582"/>
      <c r="FK82" s="582"/>
      <c r="FL82" s="582"/>
      <c r="FM82" s="582"/>
      <c r="FN82" s="582"/>
      <c r="FO82" s="582"/>
      <c r="FP82" s="582"/>
      <c r="FQ82" s="582"/>
      <c r="FR82" s="582"/>
      <c r="FS82" s="582"/>
      <c r="FT82" s="582"/>
      <c r="FU82" s="582"/>
      <c r="FV82" s="582"/>
      <c r="FW82" s="582"/>
      <c r="FX82" s="582"/>
      <c r="FY82" s="582"/>
      <c r="FZ82" s="582"/>
      <c r="GA82" s="582"/>
      <c r="GB82" s="582"/>
      <c r="GC82" s="582"/>
      <c r="GD82" s="582"/>
      <c r="GE82" s="582"/>
      <c r="GF82" s="582"/>
      <c r="GG82" s="582"/>
      <c r="GH82" s="582"/>
      <c r="GI82" s="582"/>
      <c r="GJ82" s="582"/>
      <c r="GK82" s="582"/>
      <c r="GL82" s="582"/>
      <c r="GM82" s="582"/>
      <c r="GN82" s="582"/>
      <c r="GO82" s="582"/>
      <c r="GP82" s="582"/>
      <c r="GQ82" s="582"/>
      <c r="GR82" s="582"/>
      <c r="GS82" s="582"/>
      <c r="GT82" s="582"/>
      <c r="GU82" s="582"/>
      <c r="GV82" s="582"/>
      <c r="GW82" s="582"/>
      <c r="GX82" s="582"/>
      <c r="GY82" s="582"/>
      <c r="GZ82" s="582"/>
      <c r="HA82" s="582"/>
      <c r="HB82" s="582"/>
      <c r="HC82" s="582"/>
      <c r="HD82" s="582"/>
      <c r="HE82" s="582"/>
      <c r="HF82" s="582"/>
      <c r="HG82" s="582"/>
      <c r="HH82" s="582"/>
      <c r="HI82" s="582"/>
      <c r="HJ82" s="582"/>
      <c r="HK82" s="582"/>
      <c r="HL82" s="582"/>
      <c r="HM82" s="582"/>
      <c r="HN82" s="582"/>
      <c r="HO82" s="582"/>
      <c r="HP82" s="582"/>
      <c r="HQ82" s="582"/>
      <c r="HR82" s="582"/>
      <c r="HS82" s="582"/>
      <c r="HT82" s="582"/>
      <c r="HU82" s="582"/>
      <c r="HV82" s="582"/>
      <c r="HW82" s="582"/>
      <c r="HX82" s="582"/>
      <c r="HY82" s="582"/>
      <c r="HZ82" s="582"/>
      <c r="IA82" s="582"/>
      <c r="IB82" s="582"/>
      <c r="IC82" s="582"/>
      <c r="ID82" s="582"/>
      <c r="IE82" s="582"/>
      <c r="IF82" s="582"/>
      <c r="IG82" s="582"/>
      <c r="IH82" s="582"/>
      <c r="II82" s="582"/>
      <c r="IJ82" s="582"/>
      <c r="IK82" s="582"/>
      <c r="IL82" s="582"/>
      <c r="IM82" s="582"/>
      <c r="IN82" s="582"/>
      <c r="IO82" s="582"/>
      <c r="IP82" s="582"/>
      <c r="IQ82" s="582"/>
      <c r="IR82" s="582"/>
      <c r="IS82" s="582"/>
      <c r="IT82" s="582"/>
      <c r="IU82" s="582"/>
      <c r="IV82" s="582"/>
      <c r="IW82" s="582"/>
    </row>
    <row r="83" spans="1:257" s="641" customFormat="1" ht="15.75" hidden="1" customHeight="1">
      <c r="A83" s="699">
        <v>11</v>
      </c>
      <c r="B83" s="673" t="str">
        <f>B697</f>
        <v>Phòng Kinh Tế</v>
      </c>
      <c r="C83" s="699"/>
      <c r="D83" s="699"/>
      <c r="E83" s="700"/>
      <c r="F83" s="707">
        <v>69000000</v>
      </c>
      <c r="G83" s="705" t="s">
        <v>865</v>
      </c>
      <c r="H83" s="705"/>
      <c r="I83" s="705"/>
      <c r="J83" s="707">
        <v>44000000</v>
      </c>
      <c r="K83" s="707"/>
      <c r="L83" s="1308"/>
      <c r="M83" s="707"/>
      <c r="N83" s="708"/>
      <c r="O83" s="708"/>
      <c r="P83" s="706" t="s">
        <v>207</v>
      </c>
      <c r="Q83" s="706"/>
      <c r="R83" s="706"/>
      <c r="S83" s="677"/>
      <c r="T83" s="678"/>
      <c r="U83" s="580"/>
      <c r="V83" s="581"/>
      <c r="W83" s="581"/>
      <c r="X83" s="578"/>
      <c r="Y83" s="582"/>
      <c r="Z83" s="582"/>
      <c r="AA83" s="582"/>
      <c r="AB83" s="582"/>
      <c r="AC83" s="582"/>
      <c r="AD83" s="582"/>
      <c r="AE83" s="582"/>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c r="BI83" s="582"/>
      <c r="BJ83" s="582"/>
      <c r="BK83" s="582"/>
      <c r="BL83" s="582"/>
      <c r="BM83" s="582"/>
      <c r="BN83" s="582"/>
      <c r="BO83" s="582"/>
      <c r="BP83" s="582"/>
      <c r="BQ83" s="582"/>
      <c r="BR83" s="582"/>
      <c r="BS83" s="582"/>
      <c r="BT83" s="582"/>
      <c r="BU83" s="582"/>
      <c r="BV83" s="582"/>
      <c r="BW83" s="582"/>
      <c r="BX83" s="582"/>
      <c r="BY83" s="582"/>
      <c r="BZ83" s="582"/>
      <c r="CA83" s="582"/>
      <c r="CB83" s="582"/>
      <c r="CC83" s="582"/>
      <c r="CD83" s="582"/>
      <c r="CE83" s="582"/>
      <c r="CF83" s="582"/>
      <c r="CG83" s="582"/>
      <c r="CH83" s="582"/>
      <c r="CI83" s="582"/>
      <c r="CJ83" s="582"/>
      <c r="CK83" s="582"/>
      <c r="CL83" s="582"/>
      <c r="CM83" s="582"/>
      <c r="CN83" s="582"/>
      <c r="CO83" s="582"/>
      <c r="CP83" s="582"/>
      <c r="CQ83" s="582"/>
      <c r="CR83" s="582"/>
      <c r="CS83" s="582"/>
      <c r="CT83" s="582"/>
      <c r="CU83" s="582"/>
      <c r="CV83" s="582"/>
      <c r="CW83" s="582"/>
      <c r="CX83" s="582"/>
      <c r="CY83" s="582"/>
      <c r="CZ83" s="582"/>
      <c r="DA83" s="582"/>
      <c r="DB83" s="582"/>
      <c r="DC83" s="582"/>
      <c r="DD83" s="582"/>
      <c r="DE83" s="582"/>
      <c r="DF83" s="582"/>
      <c r="DG83" s="582"/>
      <c r="DH83" s="582"/>
      <c r="DI83" s="582"/>
      <c r="DJ83" s="582"/>
      <c r="DK83" s="582"/>
      <c r="DL83" s="582"/>
      <c r="DM83" s="582"/>
      <c r="DN83" s="582"/>
      <c r="DO83" s="582"/>
      <c r="DP83" s="582"/>
      <c r="DQ83" s="582"/>
      <c r="DR83" s="582"/>
      <c r="DS83" s="582"/>
      <c r="DT83" s="582"/>
      <c r="DU83" s="582"/>
      <c r="DV83" s="582"/>
      <c r="DW83" s="582"/>
      <c r="DX83" s="582"/>
      <c r="DY83" s="582"/>
      <c r="DZ83" s="582"/>
      <c r="EA83" s="582"/>
      <c r="EB83" s="582"/>
      <c r="EC83" s="582"/>
      <c r="ED83" s="582"/>
      <c r="EE83" s="582"/>
      <c r="EF83" s="582"/>
      <c r="EG83" s="582"/>
      <c r="EH83" s="582"/>
      <c r="EI83" s="582"/>
      <c r="EJ83" s="582"/>
      <c r="EK83" s="582"/>
      <c r="EL83" s="582"/>
      <c r="EM83" s="582"/>
      <c r="EN83" s="582"/>
      <c r="EO83" s="582"/>
      <c r="EP83" s="582"/>
      <c r="EQ83" s="582"/>
      <c r="ER83" s="582"/>
      <c r="ES83" s="582"/>
      <c r="ET83" s="582"/>
      <c r="EU83" s="582"/>
      <c r="EV83" s="582"/>
      <c r="EW83" s="582"/>
      <c r="EX83" s="582"/>
      <c r="EY83" s="582"/>
      <c r="EZ83" s="582"/>
      <c r="FA83" s="582"/>
      <c r="FB83" s="582"/>
      <c r="FC83" s="582"/>
      <c r="FD83" s="582"/>
      <c r="FE83" s="582"/>
      <c r="FF83" s="582"/>
      <c r="FG83" s="582"/>
      <c r="FH83" s="582"/>
      <c r="FI83" s="582"/>
      <c r="FJ83" s="582"/>
      <c r="FK83" s="582"/>
      <c r="FL83" s="582"/>
      <c r="FM83" s="582"/>
      <c r="FN83" s="582"/>
      <c r="FO83" s="582"/>
      <c r="FP83" s="582"/>
      <c r="FQ83" s="582"/>
      <c r="FR83" s="582"/>
      <c r="FS83" s="582"/>
      <c r="FT83" s="582"/>
      <c r="FU83" s="582"/>
      <c r="FV83" s="582"/>
      <c r="FW83" s="582"/>
      <c r="FX83" s="582"/>
      <c r="FY83" s="582"/>
      <c r="FZ83" s="582"/>
      <c r="GA83" s="582"/>
      <c r="GB83" s="582"/>
      <c r="GC83" s="582"/>
      <c r="GD83" s="582"/>
      <c r="GE83" s="582"/>
      <c r="GF83" s="582"/>
      <c r="GG83" s="582"/>
      <c r="GH83" s="582"/>
      <c r="GI83" s="582"/>
      <c r="GJ83" s="582"/>
      <c r="GK83" s="582"/>
      <c r="GL83" s="582"/>
      <c r="GM83" s="582"/>
      <c r="GN83" s="582"/>
      <c r="GO83" s="582"/>
      <c r="GP83" s="582"/>
      <c r="GQ83" s="582"/>
      <c r="GR83" s="582"/>
      <c r="GS83" s="582"/>
      <c r="GT83" s="582"/>
      <c r="GU83" s="582"/>
      <c r="GV83" s="582"/>
      <c r="GW83" s="582"/>
      <c r="GX83" s="582"/>
      <c r="GY83" s="582"/>
      <c r="GZ83" s="582"/>
      <c r="HA83" s="582"/>
      <c r="HB83" s="582"/>
      <c r="HC83" s="582"/>
      <c r="HD83" s="582"/>
      <c r="HE83" s="582"/>
      <c r="HF83" s="582"/>
      <c r="HG83" s="582"/>
      <c r="HH83" s="582"/>
      <c r="HI83" s="582"/>
      <c r="HJ83" s="582"/>
      <c r="HK83" s="582"/>
      <c r="HL83" s="582"/>
      <c r="HM83" s="582"/>
      <c r="HN83" s="582"/>
      <c r="HO83" s="582"/>
      <c r="HP83" s="582"/>
      <c r="HQ83" s="582"/>
      <c r="HR83" s="582"/>
      <c r="HS83" s="582"/>
      <c r="HT83" s="582"/>
      <c r="HU83" s="582"/>
      <c r="HV83" s="582"/>
      <c r="HW83" s="582"/>
      <c r="HX83" s="582"/>
      <c r="HY83" s="582"/>
      <c r="HZ83" s="582"/>
      <c r="IA83" s="582"/>
      <c r="IB83" s="582"/>
      <c r="IC83" s="582"/>
      <c r="ID83" s="582"/>
      <c r="IE83" s="582"/>
      <c r="IF83" s="582"/>
      <c r="IG83" s="582"/>
      <c r="IH83" s="582"/>
      <c r="II83" s="582"/>
      <c r="IJ83" s="582"/>
      <c r="IK83" s="582"/>
      <c r="IL83" s="582"/>
      <c r="IM83" s="582"/>
      <c r="IN83" s="582"/>
      <c r="IO83" s="582"/>
      <c r="IP83" s="582"/>
      <c r="IQ83" s="582"/>
      <c r="IR83" s="582"/>
      <c r="IS83" s="582"/>
      <c r="IT83" s="582"/>
      <c r="IU83" s="582"/>
      <c r="IV83" s="582"/>
      <c r="IW83" s="582"/>
    </row>
    <row r="84" spans="1:257" s="641" customFormat="1" ht="15.75" hidden="1" customHeight="1">
      <c r="A84" s="699">
        <v>12</v>
      </c>
      <c r="B84" s="673" t="str">
        <f>B752</f>
        <v>Phòng Văn hóa và Thông tin</v>
      </c>
      <c r="C84" s="699"/>
      <c r="D84" s="699"/>
      <c r="E84" s="700"/>
      <c r="F84" s="707">
        <v>37000000</v>
      </c>
      <c r="G84" s="705" t="s">
        <v>866</v>
      </c>
      <c r="H84" s="705"/>
      <c r="I84" s="705"/>
      <c r="J84" s="707"/>
      <c r="K84" s="707"/>
      <c r="L84" s="1308"/>
      <c r="M84" s="707"/>
      <c r="N84" s="708"/>
      <c r="O84" s="708"/>
      <c r="P84" s="706"/>
      <c r="Q84" s="706"/>
      <c r="R84" s="706"/>
      <c r="S84" s="677"/>
      <c r="T84" s="678"/>
      <c r="U84" s="580"/>
      <c r="V84" s="581"/>
      <c r="W84" s="581"/>
      <c r="X84" s="578"/>
      <c r="Y84" s="582"/>
      <c r="Z84" s="582"/>
      <c r="AA84" s="582"/>
      <c r="AB84" s="582"/>
      <c r="AC84" s="582"/>
      <c r="AD84" s="582"/>
      <c r="AE84" s="582"/>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c r="BI84" s="582"/>
      <c r="BJ84" s="582"/>
      <c r="BK84" s="582"/>
      <c r="BL84" s="582"/>
      <c r="BM84" s="582"/>
      <c r="BN84" s="582"/>
      <c r="BO84" s="582"/>
      <c r="BP84" s="582"/>
      <c r="BQ84" s="582"/>
      <c r="BR84" s="582"/>
      <c r="BS84" s="582"/>
      <c r="BT84" s="582"/>
      <c r="BU84" s="582"/>
      <c r="BV84" s="582"/>
      <c r="BW84" s="582"/>
      <c r="BX84" s="582"/>
      <c r="BY84" s="582"/>
      <c r="BZ84" s="582"/>
      <c r="CA84" s="582"/>
      <c r="CB84" s="582"/>
      <c r="CC84" s="582"/>
      <c r="CD84" s="582"/>
      <c r="CE84" s="582"/>
      <c r="CF84" s="582"/>
      <c r="CG84" s="582"/>
      <c r="CH84" s="582"/>
      <c r="CI84" s="582"/>
      <c r="CJ84" s="582"/>
      <c r="CK84" s="582"/>
      <c r="CL84" s="582"/>
      <c r="CM84" s="582"/>
      <c r="CN84" s="582"/>
      <c r="CO84" s="582"/>
      <c r="CP84" s="582"/>
      <c r="CQ84" s="582"/>
      <c r="CR84" s="582"/>
      <c r="CS84" s="582"/>
      <c r="CT84" s="582"/>
      <c r="CU84" s="582"/>
      <c r="CV84" s="582"/>
      <c r="CW84" s="582"/>
      <c r="CX84" s="582"/>
      <c r="CY84" s="582"/>
      <c r="CZ84" s="582"/>
      <c r="DA84" s="582"/>
      <c r="DB84" s="582"/>
      <c r="DC84" s="582"/>
      <c r="DD84" s="582"/>
      <c r="DE84" s="582"/>
      <c r="DF84" s="582"/>
      <c r="DG84" s="582"/>
      <c r="DH84" s="582"/>
      <c r="DI84" s="582"/>
      <c r="DJ84" s="582"/>
      <c r="DK84" s="582"/>
      <c r="DL84" s="582"/>
      <c r="DM84" s="582"/>
      <c r="DN84" s="582"/>
      <c r="DO84" s="582"/>
      <c r="DP84" s="582"/>
      <c r="DQ84" s="582"/>
      <c r="DR84" s="582"/>
      <c r="DS84" s="582"/>
      <c r="DT84" s="582"/>
      <c r="DU84" s="582"/>
      <c r="DV84" s="582"/>
      <c r="DW84" s="582"/>
      <c r="DX84" s="582"/>
      <c r="DY84" s="582"/>
      <c r="DZ84" s="582"/>
      <c r="EA84" s="582"/>
      <c r="EB84" s="582"/>
      <c r="EC84" s="582"/>
      <c r="ED84" s="582"/>
      <c r="EE84" s="582"/>
      <c r="EF84" s="582"/>
      <c r="EG84" s="582"/>
      <c r="EH84" s="582"/>
      <c r="EI84" s="582"/>
      <c r="EJ84" s="582"/>
      <c r="EK84" s="582"/>
      <c r="EL84" s="582"/>
      <c r="EM84" s="582"/>
      <c r="EN84" s="582"/>
      <c r="EO84" s="582"/>
      <c r="EP84" s="582"/>
      <c r="EQ84" s="582"/>
      <c r="ER84" s="582"/>
      <c r="ES84" s="582"/>
      <c r="ET84" s="582"/>
      <c r="EU84" s="582"/>
      <c r="EV84" s="582"/>
      <c r="EW84" s="582"/>
      <c r="EX84" s="582"/>
      <c r="EY84" s="582"/>
      <c r="EZ84" s="582"/>
      <c r="FA84" s="582"/>
      <c r="FB84" s="582"/>
      <c r="FC84" s="582"/>
      <c r="FD84" s="582"/>
      <c r="FE84" s="582"/>
      <c r="FF84" s="582"/>
      <c r="FG84" s="582"/>
      <c r="FH84" s="582"/>
      <c r="FI84" s="582"/>
      <c r="FJ84" s="582"/>
      <c r="FK84" s="582"/>
      <c r="FL84" s="582"/>
      <c r="FM84" s="582"/>
      <c r="FN84" s="582"/>
      <c r="FO84" s="582"/>
      <c r="FP84" s="582"/>
      <c r="FQ84" s="582"/>
      <c r="FR84" s="582"/>
      <c r="FS84" s="582"/>
      <c r="FT84" s="582"/>
      <c r="FU84" s="582"/>
      <c r="FV84" s="582"/>
      <c r="FW84" s="582"/>
      <c r="FX84" s="582"/>
      <c r="FY84" s="582"/>
      <c r="FZ84" s="582"/>
      <c r="GA84" s="582"/>
      <c r="GB84" s="582"/>
      <c r="GC84" s="582"/>
      <c r="GD84" s="582"/>
      <c r="GE84" s="582"/>
      <c r="GF84" s="582"/>
      <c r="GG84" s="582"/>
      <c r="GH84" s="582"/>
      <c r="GI84" s="582"/>
      <c r="GJ84" s="582"/>
      <c r="GK84" s="582"/>
      <c r="GL84" s="582"/>
      <c r="GM84" s="582"/>
      <c r="GN84" s="582"/>
      <c r="GO84" s="582"/>
      <c r="GP84" s="582"/>
      <c r="GQ84" s="582"/>
      <c r="GR84" s="582"/>
      <c r="GS84" s="582"/>
      <c r="GT84" s="582"/>
      <c r="GU84" s="582"/>
      <c r="GV84" s="582"/>
      <c r="GW84" s="582"/>
      <c r="GX84" s="582"/>
      <c r="GY84" s="582"/>
      <c r="GZ84" s="582"/>
      <c r="HA84" s="582"/>
      <c r="HB84" s="582"/>
      <c r="HC84" s="582"/>
      <c r="HD84" s="582"/>
      <c r="HE84" s="582"/>
      <c r="HF84" s="582"/>
      <c r="HG84" s="582"/>
      <c r="HH84" s="582"/>
      <c r="HI84" s="582"/>
      <c r="HJ84" s="582"/>
      <c r="HK84" s="582"/>
      <c r="HL84" s="582"/>
      <c r="HM84" s="582"/>
      <c r="HN84" s="582"/>
      <c r="HO84" s="582"/>
      <c r="HP84" s="582"/>
      <c r="HQ84" s="582"/>
      <c r="HR84" s="582"/>
      <c r="HS84" s="582"/>
      <c r="HT84" s="582"/>
      <c r="HU84" s="582"/>
      <c r="HV84" s="582"/>
      <c r="HW84" s="582"/>
      <c r="HX84" s="582"/>
      <c r="HY84" s="582"/>
      <c r="HZ84" s="582"/>
      <c r="IA84" s="582"/>
      <c r="IB84" s="582"/>
      <c r="IC84" s="582"/>
      <c r="ID84" s="582"/>
      <c r="IE84" s="582"/>
      <c r="IF84" s="582"/>
      <c r="IG84" s="582"/>
      <c r="IH84" s="582"/>
      <c r="II84" s="582"/>
      <c r="IJ84" s="582"/>
      <c r="IK84" s="582"/>
      <c r="IL84" s="582"/>
      <c r="IM84" s="582"/>
      <c r="IN84" s="582"/>
      <c r="IO84" s="582"/>
      <c r="IP84" s="582"/>
      <c r="IQ84" s="582"/>
      <c r="IR84" s="582"/>
      <c r="IS84" s="582"/>
      <c r="IT84" s="582"/>
      <c r="IU84" s="582"/>
      <c r="IV84" s="582"/>
      <c r="IW84" s="582"/>
    </row>
    <row r="85" spans="1:257" s="641" customFormat="1" ht="15.75" hidden="1" customHeight="1">
      <c r="A85" s="699">
        <v>13</v>
      </c>
      <c r="B85" s="673" t="str">
        <f>B849</f>
        <v>Văn phòng Thành ủy</v>
      </c>
      <c r="C85" s="699"/>
      <c r="D85" s="699"/>
      <c r="E85" s="700"/>
      <c r="F85" s="707">
        <f>383000000+100000000-45000000</f>
        <v>438000000</v>
      </c>
      <c r="G85" s="705"/>
      <c r="H85" s="705"/>
      <c r="I85" s="705"/>
      <c r="J85" s="707"/>
      <c r="K85" s="707"/>
      <c r="L85" s="1308"/>
      <c r="M85" s="707"/>
      <c r="N85" s="708"/>
      <c r="O85" s="708"/>
      <c r="P85" s="706"/>
      <c r="Q85" s="706"/>
      <c r="R85" s="706"/>
      <c r="S85" s="677"/>
      <c r="T85" s="678"/>
      <c r="U85" s="580"/>
      <c r="V85" s="581"/>
      <c r="W85" s="581"/>
      <c r="X85" s="578"/>
      <c r="Y85" s="582"/>
      <c r="Z85" s="582"/>
      <c r="AA85" s="582"/>
      <c r="AB85" s="582"/>
      <c r="AC85" s="582"/>
      <c r="AD85" s="582"/>
      <c r="AE85" s="582"/>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c r="BI85" s="582"/>
      <c r="BJ85" s="582"/>
      <c r="BK85" s="582"/>
      <c r="BL85" s="582"/>
      <c r="BM85" s="582"/>
      <c r="BN85" s="582"/>
      <c r="BO85" s="582"/>
      <c r="BP85" s="582"/>
      <c r="BQ85" s="582"/>
      <c r="BR85" s="582"/>
      <c r="BS85" s="582"/>
      <c r="BT85" s="582"/>
      <c r="BU85" s="582"/>
      <c r="BV85" s="582"/>
      <c r="BW85" s="582"/>
      <c r="BX85" s="582"/>
      <c r="BY85" s="582"/>
      <c r="BZ85" s="582"/>
      <c r="CA85" s="582"/>
      <c r="CB85" s="582"/>
      <c r="CC85" s="582"/>
      <c r="CD85" s="582"/>
      <c r="CE85" s="582"/>
      <c r="CF85" s="582"/>
      <c r="CG85" s="582"/>
      <c r="CH85" s="582"/>
      <c r="CI85" s="582"/>
      <c r="CJ85" s="582"/>
      <c r="CK85" s="582"/>
      <c r="CL85" s="582"/>
      <c r="CM85" s="582"/>
      <c r="CN85" s="582"/>
      <c r="CO85" s="582"/>
      <c r="CP85" s="582"/>
      <c r="CQ85" s="582"/>
      <c r="CR85" s="582"/>
      <c r="CS85" s="582"/>
      <c r="CT85" s="582"/>
      <c r="CU85" s="582"/>
      <c r="CV85" s="582"/>
      <c r="CW85" s="582"/>
      <c r="CX85" s="582"/>
      <c r="CY85" s="582"/>
      <c r="CZ85" s="582"/>
      <c r="DA85" s="582"/>
      <c r="DB85" s="582"/>
      <c r="DC85" s="582"/>
      <c r="DD85" s="582"/>
      <c r="DE85" s="582"/>
      <c r="DF85" s="582"/>
      <c r="DG85" s="582"/>
      <c r="DH85" s="582"/>
      <c r="DI85" s="582"/>
      <c r="DJ85" s="582"/>
      <c r="DK85" s="582"/>
      <c r="DL85" s="582"/>
      <c r="DM85" s="582"/>
      <c r="DN85" s="582"/>
      <c r="DO85" s="582"/>
      <c r="DP85" s="582"/>
      <c r="DQ85" s="582"/>
      <c r="DR85" s="582"/>
      <c r="DS85" s="582"/>
      <c r="DT85" s="582"/>
      <c r="DU85" s="582"/>
      <c r="DV85" s="582"/>
      <c r="DW85" s="582"/>
      <c r="DX85" s="582"/>
      <c r="DY85" s="582"/>
      <c r="DZ85" s="582"/>
      <c r="EA85" s="582"/>
      <c r="EB85" s="582"/>
      <c r="EC85" s="582"/>
      <c r="ED85" s="582"/>
      <c r="EE85" s="582"/>
      <c r="EF85" s="582"/>
      <c r="EG85" s="582"/>
      <c r="EH85" s="582"/>
      <c r="EI85" s="582"/>
      <c r="EJ85" s="582"/>
      <c r="EK85" s="582"/>
      <c r="EL85" s="582"/>
      <c r="EM85" s="582"/>
      <c r="EN85" s="582"/>
      <c r="EO85" s="582"/>
      <c r="EP85" s="582"/>
      <c r="EQ85" s="582"/>
      <c r="ER85" s="582"/>
      <c r="ES85" s="582"/>
      <c r="ET85" s="582"/>
      <c r="EU85" s="582"/>
      <c r="EV85" s="582"/>
      <c r="EW85" s="582"/>
      <c r="EX85" s="582"/>
      <c r="EY85" s="582"/>
      <c r="EZ85" s="582"/>
      <c r="FA85" s="582"/>
      <c r="FB85" s="582"/>
      <c r="FC85" s="582"/>
      <c r="FD85" s="582"/>
      <c r="FE85" s="582"/>
      <c r="FF85" s="582"/>
      <c r="FG85" s="582"/>
      <c r="FH85" s="582"/>
      <c r="FI85" s="582"/>
      <c r="FJ85" s="582"/>
      <c r="FK85" s="582"/>
      <c r="FL85" s="582"/>
      <c r="FM85" s="582"/>
      <c r="FN85" s="582"/>
      <c r="FO85" s="582"/>
      <c r="FP85" s="582"/>
      <c r="FQ85" s="582"/>
      <c r="FR85" s="582"/>
      <c r="FS85" s="582"/>
      <c r="FT85" s="582"/>
      <c r="FU85" s="582"/>
      <c r="FV85" s="582"/>
      <c r="FW85" s="582"/>
      <c r="FX85" s="582"/>
      <c r="FY85" s="582"/>
      <c r="FZ85" s="582"/>
      <c r="GA85" s="582"/>
      <c r="GB85" s="582"/>
      <c r="GC85" s="582"/>
      <c r="GD85" s="582"/>
      <c r="GE85" s="582"/>
      <c r="GF85" s="582"/>
      <c r="GG85" s="582"/>
      <c r="GH85" s="582"/>
      <c r="GI85" s="582"/>
      <c r="GJ85" s="582"/>
      <c r="GK85" s="582"/>
      <c r="GL85" s="582"/>
      <c r="GM85" s="582"/>
      <c r="GN85" s="582"/>
      <c r="GO85" s="582"/>
      <c r="GP85" s="582"/>
      <c r="GQ85" s="582"/>
      <c r="GR85" s="582"/>
      <c r="GS85" s="582"/>
      <c r="GT85" s="582"/>
      <c r="GU85" s="582"/>
      <c r="GV85" s="582"/>
      <c r="GW85" s="582"/>
      <c r="GX85" s="582"/>
      <c r="GY85" s="582"/>
      <c r="GZ85" s="582"/>
      <c r="HA85" s="582"/>
      <c r="HB85" s="582"/>
      <c r="HC85" s="582"/>
      <c r="HD85" s="582"/>
      <c r="HE85" s="582"/>
      <c r="HF85" s="582"/>
      <c r="HG85" s="582"/>
      <c r="HH85" s="582"/>
      <c r="HI85" s="582"/>
      <c r="HJ85" s="582"/>
      <c r="HK85" s="582"/>
      <c r="HL85" s="582"/>
      <c r="HM85" s="582"/>
      <c r="HN85" s="582"/>
      <c r="HO85" s="582"/>
      <c r="HP85" s="582"/>
      <c r="HQ85" s="582"/>
      <c r="HR85" s="582"/>
      <c r="HS85" s="582"/>
      <c r="HT85" s="582"/>
      <c r="HU85" s="582"/>
      <c r="HV85" s="582"/>
      <c r="HW85" s="582"/>
      <c r="HX85" s="582"/>
      <c r="HY85" s="582"/>
      <c r="HZ85" s="582"/>
      <c r="IA85" s="582"/>
      <c r="IB85" s="582"/>
      <c r="IC85" s="582"/>
      <c r="ID85" s="582"/>
      <c r="IE85" s="582"/>
      <c r="IF85" s="582"/>
      <c r="IG85" s="582"/>
      <c r="IH85" s="582"/>
      <c r="II85" s="582"/>
      <c r="IJ85" s="582"/>
      <c r="IK85" s="582"/>
      <c r="IL85" s="582"/>
      <c r="IM85" s="582"/>
      <c r="IN85" s="582"/>
      <c r="IO85" s="582"/>
      <c r="IP85" s="582"/>
      <c r="IQ85" s="582"/>
      <c r="IR85" s="582"/>
      <c r="IS85" s="582"/>
      <c r="IT85" s="582"/>
      <c r="IU85" s="582"/>
      <c r="IV85" s="582"/>
      <c r="IW85" s="582"/>
    </row>
    <row r="86" spans="1:257" s="641" customFormat="1" ht="15.75" hidden="1" customHeight="1">
      <c r="A86" s="699">
        <v>14</v>
      </c>
      <c r="B86" s="673" t="s">
        <v>210</v>
      </c>
      <c r="C86" s="699"/>
      <c r="D86" s="699"/>
      <c r="E86" s="700"/>
      <c r="F86" s="707">
        <v>60000000</v>
      </c>
      <c r="G86" s="705" t="s">
        <v>867</v>
      </c>
      <c r="H86" s="705"/>
      <c r="I86" s="705"/>
      <c r="J86" s="707">
        <v>29000000</v>
      </c>
      <c r="K86" s="707"/>
      <c r="L86" s="1308"/>
      <c r="M86" s="707"/>
      <c r="N86" s="708"/>
      <c r="O86" s="708"/>
      <c r="P86" s="706" t="s">
        <v>211</v>
      </c>
      <c r="Q86" s="706"/>
      <c r="R86" s="706"/>
      <c r="S86" s="677"/>
      <c r="T86" s="678"/>
      <c r="U86" s="580"/>
      <c r="V86" s="581"/>
      <c r="W86" s="581"/>
      <c r="X86" s="578"/>
      <c r="Y86" s="582"/>
      <c r="Z86" s="582"/>
      <c r="AA86" s="582"/>
      <c r="AB86" s="582"/>
      <c r="AC86" s="582"/>
      <c r="AD86" s="582"/>
      <c r="AE86" s="582"/>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c r="BI86" s="582"/>
      <c r="BJ86" s="582"/>
      <c r="BK86" s="582"/>
      <c r="BL86" s="582"/>
      <c r="BM86" s="582"/>
      <c r="BN86" s="582"/>
      <c r="BO86" s="582"/>
      <c r="BP86" s="582"/>
      <c r="BQ86" s="582"/>
      <c r="BR86" s="582"/>
      <c r="BS86" s="582"/>
      <c r="BT86" s="582"/>
      <c r="BU86" s="582"/>
      <c r="BV86" s="582"/>
      <c r="BW86" s="582"/>
      <c r="BX86" s="582"/>
      <c r="BY86" s="582"/>
      <c r="BZ86" s="582"/>
      <c r="CA86" s="582"/>
      <c r="CB86" s="582"/>
      <c r="CC86" s="582"/>
      <c r="CD86" s="582"/>
      <c r="CE86" s="582"/>
      <c r="CF86" s="582"/>
      <c r="CG86" s="582"/>
      <c r="CH86" s="582"/>
      <c r="CI86" s="582"/>
      <c r="CJ86" s="582"/>
      <c r="CK86" s="582"/>
      <c r="CL86" s="582"/>
      <c r="CM86" s="582"/>
      <c r="CN86" s="582"/>
      <c r="CO86" s="582"/>
      <c r="CP86" s="582"/>
      <c r="CQ86" s="582"/>
      <c r="CR86" s="582"/>
      <c r="CS86" s="582"/>
      <c r="CT86" s="582"/>
      <c r="CU86" s="582"/>
      <c r="CV86" s="582"/>
      <c r="CW86" s="582"/>
      <c r="CX86" s="582"/>
      <c r="CY86" s="582"/>
      <c r="CZ86" s="582"/>
      <c r="DA86" s="582"/>
      <c r="DB86" s="582"/>
      <c r="DC86" s="582"/>
      <c r="DD86" s="582"/>
      <c r="DE86" s="582"/>
      <c r="DF86" s="582"/>
      <c r="DG86" s="582"/>
      <c r="DH86" s="582"/>
      <c r="DI86" s="582"/>
      <c r="DJ86" s="582"/>
      <c r="DK86" s="582"/>
      <c r="DL86" s="582"/>
      <c r="DM86" s="582"/>
      <c r="DN86" s="582"/>
      <c r="DO86" s="582"/>
      <c r="DP86" s="582"/>
      <c r="DQ86" s="582"/>
      <c r="DR86" s="582"/>
      <c r="DS86" s="582"/>
      <c r="DT86" s="582"/>
      <c r="DU86" s="582"/>
      <c r="DV86" s="582"/>
      <c r="DW86" s="582"/>
      <c r="DX86" s="582"/>
      <c r="DY86" s="582"/>
      <c r="DZ86" s="582"/>
      <c r="EA86" s="582"/>
      <c r="EB86" s="582"/>
      <c r="EC86" s="582"/>
      <c r="ED86" s="582"/>
      <c r="EE86" s="582"/>
      <c r="EF86" s="582"/>
      <c r="EG86" s="582"/>
      <c r="EH86" s="582"/>
      <c r="EI86" s="582"/>
      <c r="EJ86" s="582"/>
      <c r="EK86" s="582"/>
      <c r="EL86" s="582"/>
      <c r="EM86" s="582"/>
      <c r="EN86" s="582"/>
      <c r="EO86" s="582"/>
      <c r="EP86" s="582"/>
      <c r="EQ86" s="582"/>
      <c r="ER86" s="582"/>
      <c r="ES86" s="582"/>
      <c r="ET86" s="582"/>
      <c r="EU86" s="582"/>
      <c r="EV86" s="582"/>
      <c r="EW86" s="582"/>
      <c r="EX86" s="582"/>
      <c r="EY86" s="582"/>
      <c r="EZ86" s="582"/>
      <c r="FA86" s="582"/>
      <c r="FB86" s="582"/>
      <c r="FC86" s="582"/>
      <c r="FD86" s="582"/>
      <c r="FE86" s="582"/>
      <c r="FF86" s="582"/>
      <c r="FG86" s="582"/>
      <c r="FH86" s="582"/>
      <c r="FI86" s="582"/>
      <c r="FJ86" s="582"/>
      <c r="FK86" s="582"/>
      <c r="FL86" s="582"/>
      <c r="FM86" s="582"/>
      <c r="FN86" s="582"/>
      <c r="FO86" s="582"/>
      <c r="FP86" s="582"/>
      <c r="FQ86" s="582"/>
      <c r="FR86" s="582"/>
      <c r="FS86" s="582"/>
      <c r="FT86" s="582"/>
      <c r="FU86" s="582"/>
      <c r="FV86" s="582"/>
      <c r="FW86" s="582"/>
      <c r="FX86" s="582"/>
      <c r="FY86" s="582"/>
      <c r="FZ86" s="582"/>
      <c r="GA86" s="582"/>
      <c r="GB86" s="582"/>
      <c r="GC86" s="582"/>
      <c r="GD86" s="582"/>
      <c r="GE86" s="582"/>
      <c r="GF86" s="582"/>
      <c r="GG86" s="582"/>
      <c r="GH86" s="582"/>
      <c r="GI86" s="582"/>
      <c r="GJ86" s="582"/>
      <c r="GK86" s="582"/>
      <c r="GL86" s="582"/>
      <c r="GM86" s="582"/>
      <c r="GN86" s="582"/>
      <c r="GO86" s="582"/>
      <c r="GP86" s="582"/>
      <c r="GQ86" s="582"/>
      <c r="GR86" s="582"/>
      <c r="GS86" s="582"/>
      <c r="GT86" s="582"/>
      <c r="GU86" s="582"/>
      <c r="GV86" s="582"/>
      <c r="GW86" s="582"/>
      <c r="GX86" s="582"/>
      <c r="GY86" s="582"/>
      <c r="GZ86" s="582"/>
      <c r="HA86" s="582"/>
      <c r="HB86" s="582"/>
      <c r="HC86" s="582"/>
      <c r="HD86" s="582"/>
      <c r="HE86" s="582"/>
      <c r="HF86" s="582"/>
      <c r="HG86" s="582"/>
      <c r="HH86" s="582"/>
      <c r="HI86" s="582"/>
      <c r="HJ86" s="582"/>
      <c r="HK86" s="582"/>
      <c r="HL86" s="582"/>
      <c r="HM86" s="582"/>
      <c r="HN86" s="582"/>
      <c r="HO86" s="582"/>
      <c r="HP86" s="582"/>
      <c r="HQ86" s="582"/>
      <c r="HR86" s="582"/>
      <c r="HS86" s="582"/>
      <c r="HT86" s="582"/>
      <c r="HU86" s="582"/>
      <c r="HV86" s="582"/>
      <c r="HW86" s="582"/>
      <c r="HX86" s="582"/>
      <c r="HY86" s="582"/>
      <c r="HZ86" s="582"/>
      <c r="IA86" s="582"/>
      <c r="IB86" s="582"/>
      <c r="IC86" s="582"/>
      <c r="ID86" s="582"/>
      <c r="IE86" s="582"/>
      <c r="IF86" s="582"/>
      <c r="IG86" s="582"/>
      <c r="IH86" s="582"/>
      <c r="II86" s="582"/>
      <c r="IJ86" s="582"/>
      <c r="IK86" s="582"/>
      <c r="IL86" s="582"/>
      <c r="IM86" s="582"/>
      <c r="IN86" s="582"/>
      <c r="IO86" s="582"/>
      <c r="IP86" s="582"/>
      <c r="IQ86" s="582"/>
      <c r="IR86" s="582"/>
      <c r="IS86" s="582"/>
      <c r="IT86" s="582"/>
      <c r="IU86" s="582"/>
      <c r="IV86" s="582"/>
      <c r="IW86" s="582"/>
    </row>
    <row r="87" spans="1:257" s="641" customFormat="1" ht="15.75" hidden="1" customHeight="1">
      <c r="A87" s="699">
        <v>15</v>
      </c>
      <c r="B87" s="673" t="s">
        <v>212</v>
      </c>
      <c r="C87" s="699"/>
      <c r="D87" s="699"/>
      <c r="E87" s="700"/>
      <c r="F87" s="707"/>
      <c r="G87" s="705"/>
      <c r="H87" s="705"/>
      <c r="I87" s="705"/>
      <c r="J87" s="707">
        <v>196000000</v>
      </c>
      <c r="K87" s="707"/>
      <c r="L87" s="1308"/>
      <c r="M87" s="707"/>
      <c r="N87" s="708"/>
      <c r="O87" s="708"/>
      <c r="P87" s="706" t="s">
        <v>213</v>
      </c>
      <c r="Q87" s="706"/>
      <c r="R87" s="706"/>
      <c r="S87" s="677"/>
      <c r="T87" s="678"/>
      <c r="U87" s="580"/>
      <c r="V87" s="581"/>
      <c r="W87" s="581"/>
      <c r="X87" s="578"/>
      <c r="Y87" s="582"/>
      <c r="Z87" s="582"/>
      <c r="AA87" s="582"/>
      <c r="AB87" s="582"/>
      <c r="AC87" s="582"/>
      <c r="AD87" s="582"/>
      <c r="AE87" s="582"/>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c r="BI87" s="582"/>
      <c r="BJ87" s="582"/>
      <c r="BK87" s="582"/>
      <c r="BL87" s="582"/>
      <c r="BM87" s="582"/>
      <c r="BN87" s="582"/>
      <c r="BO87" s="582"/>
      <c r="BP87" s="582"/>
      <c r="BQ87" s="582"/>
      <c r="BR87" s="582"/>
      <c r="BS87" s="582"/>
      <c r="BT87" s="582"/>
      <c r="BU87" s="582"/>
      <c r="BV87" s="582"/>
      <c r="BW87" s="582"/>
      <c r="BX87" s="582"/>
      <c r="BY87" s="582"/>
      <c r="BZ87" s="582"/>
      <c r="CA87" s="582"/>
      <c r="CB87" s="582"/>
      <c r="CC87" s="582"/>
      <c r="CD87" s="582"/>
      <c r="CE87" s="582"/>
      <c r="CF87" s="582"/>
      <c r="CG87" s="582"/>
      <c r="CH87" s="582"/>
      <c r="CI87" s="582"/>
      <c r="CJ87" s="582"/>
      <c r="CK87" s="582"/>
      <c r="CL87" s="582"/>
      <c r="CM87" s="582"/>
      <c r="CN87" s="582"/>
      <c r="CO87" s="582"/>
      <c r="CP87" s="582"/>
      <c r="CQ87" s="582"/>
      <c r="CR87" s="582"/>
      <c r="CS87" s="582"/>
      <c r="CT87" s="582"/>
      <c r="CU87" s="582"/>
      <c r="CV87" s="582"/>
      <c r="CW87" s="582"/>
      <c r="CX87" s="582"/>
      <c r="CY87" s="582"/>
      <c r="CZ87" s="582"/>
      <c r="DA87" s="582"/>
      <c r="DB87" s="582"/>
      <c r="DC87" s="582"/>
      <c r="DD87" s="582"/>
      <c r="DE87" s="582"/>
      <c r="DF87" s="582"/>
      <c r="DG87" s="582"/>
      <c r="DH87" s="582"/>
      <c r="DI87" s="582"/>
      <c r="DJ87" s="582"/>
      <c r="DK87" s="582"/>
      <c r="DL87" s="582"/>
      <c r="DM87" s="582"/>
      <c r="DN87" s="582"/>
      <c r="DO87" s="582"/>
      <c r="DP87" s="582"/>
      <c r="DQ87" s="582"/>
      <c r="DR87" s="582"/>
      <c r="DS87" s="582"/>
      <c r="DT87" s="582"/>
      <c r="DU87" s="582"/>
      <c r="DV87" s="582"/>
      <c r="DW87" s="582"/>
      <c r="DX87" s="582"/>
      <c r="DY87" s="582"/>
      <c r="DZ87" s="582"/>
      <c r="EA87" s="582"/>
      <c r="EB87" s="582"/>
      <c r="EC87" s="582"/>
      <c r="ED87" s="582"/>
      <c r="EE87" s="582"/>
      <c r="EF87" s="582"/>
      <c r="EG87" s="582"/>
      <c r="EH87" s="582"/>
      <c r="EI87" s="582"/>
      <c r="EJ87" s="582"/>
      <c r="EK87" s="582"/>
      <c r="EL87" s="582"/>
      <c r="EM87" s="582"/>
      <c r="EN87" s="582"/>
      <c r="EO87" s="582"/>
      <c r="EP87" s="582"/>
      <c r="EQ87" s="582"/>
      <c r="ER87" s="582"/>
      <c r="ES87" s="582"/>
      <c r="ET87" s="582"/>
      <c r="EU87" s="582"/>
      <c r="EV87" s="582"/>
      <c r="EW87" s="582"/>
      <c r="EX87" s="582"/>
      <c r="EY87" s="582"/>
      <c r="EZ87" s="582"/>
      <c r="FA87" s="582"/>
      <c r="FB87" s="582"/>
      <c r="FC87" s="582"/>
      <c r="FD87" s="582"/>
      <c r="FE87" s="582"/>
      <c r="FF87" s="582"/>
      <c r="FG87" s="582"/>
      <c r="FH87" s="582"/>
      <c r="FI87" s="582"/>
      <c r="FJ87" s="582"/>
      <c r="FK87" s="582"/>
      <c r="FL87" s="582"/>
      <c r="FM87" s="582"/>
      <c r="FN87" s="582"/>
      <c r="FO87" s="582"/>
      <c r="FP87" s="582"/>
      <c r="FQ87" s="582"/>
      <c r="FR87" s="582"/>
      <c r="FS87" s="582"/>
      <c r="FT87" s="582"/>
      <c r="FU87" s="582"/>
      <c r="FV87" s="582"/>
      <c r="FW87" s="582"/>
      <c r="FX87" s="582"/>
      <c r="FY87" s="582"/>
      <c r="FZ87" s="582"/>
      <c r="GA87" s="582"/>
      <c r="GB87" s="582"/>
      <c r="GC87" s="582"/>
      <c r="GD87" s="582"/>
      <c r="GE87" s="582"/>
      <c r="GF87" s="582"/>
      <c r="GG87" s="582"/>
      <c r="GH87" s="582"/>
      <c r="GI87" s="582"/>
      <c r="GJ87" s="582"/>
      <c r="GK87" s="582"/>
      <c r="GL87" s="582"/>
      <c r="GM87" s="582"/>
      <c r="GN87" s="582"/>
      <c r="GO87" s="582"/>
      <c r="GP87" s="582"/>
      <c r="GQ87" s="582"/>
      <c r="GR87" s="582"/>
      <c r="GS87" s="582"/>
      <c r="GT87" s="582"/>
      <c r="GU87" s="582"/>
      <c r="GV87" s="582"/>
      <c r="GW87" s="582"/>
      <c r="GX87" s="582"/>
      <c r="GY87" s="582"/>
      <c r="GZ87" s="582"/>
      <c r="HA87" s="582"/>
      <c r="HB87" s="582"/>
      <c r="HC87" s="582"/>
      <c r="HD87" s="582"/>
      <c r="HE87" s="582"/>
      <c r="HF87" s="582"/>
      <c r="HG87" s="582"/>
      <c r="HH87" s="582"/>
      <c r="HI87" s="582"/>
      <c r="HJ87" s="582"/>
      <c r="HK87" s="582"/>
      <c r="HL87" s="582"/>
      <c r="HM87" s="582"/>
      <c r="HN87" s="582"/>
      <c r="HO87" s="582"/>
      <c r="HP87" s="582"/>
      <c r="HQ87" s="582"/>
      <c r="HR87" s="582"/>
      <c r="HS87" s="582"/>
      <c r="HT87" s="582"/>
      <c r="HU87" s="582"/>
      <c r="HV87" s="582"/>
      <c r="HW87" s="582"/>
      <c r="HX87" s="582"/>
      <c r="HY87" s="582"/>
      <c r="HZ87" s="582"/>
      <c r="IA87" s="582"/>
      <c r="IB87" s="582"/>
      <c r="IC87" s="582"/>
      <c r="ID87" s="582"/>
      <c r="IE87" s="582"/>
      <c r="IF87" s="582"/>
      <c r="IG87" s="582"/>
      <c r="IH87" s="582"/>
      <c r="II87" s="582"/>
      <c r="IJ87" s="582"/>
      <c r="IK87" s="582"/>
      <c r="IL87" s="582"/>
      <c r="IM87" s="582"/>
      <c r="IN87" s="582"/>
      <c r="IO87" s="582"/>
      <c r="IP87" s="582"/>
      <c r="IQ87" s="582"/>
      <c r="IR87" s="582"/>
      <c r="IS87" s="582"/>
      <c r="IT87" s="582"/>
      <c r="IU87" s="582"/>
      <c r="IV87" s="582"/>
      <c r="IW87" s="582"/>
    </row>
    <row r="88" spans="1:257" s="641" customFormat="1" ht="15.75" hidden="1" customHeight="1">
      <c r="A88" s="699">
        <v>16</v>
      </c>
      <c r="B88" s="673" t="s">
        <v>214</v>
      </c>
      <c r="C88" s="699"/>
      <c r="D88" s="699"/>
      <c r="E88" s="700"/>
      <c r="F88" s="707"/>
      <c r="G88" s="705"/>
      <c r="H88" s="705"/>
      <c r="I88" s="705"/>
      <c r="J88" s="707">
        <v>90000000</v>
      </c>
      <c r="K88" s="707"/>
      <c r="L88" s="1308"/>
      <c r="M88" s="707"/>
      <c r="N88" s="708"/>
      <c r="O88" s="708"/>
      <c r="P88" s="706" t="s">
        <v>215</v>
      </c>
      <c r="Q88" s="706"/>
      <c r="R88" s="706"/>
      <c r="S88" s="677"/>
      <c r="T88" s="678"/>
      <c r="U88" s="580"/>
      <c r="V88" s="581"/>
      <c r="W88" s="581"/>
      <c r="X88" s="578"/>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c r="BP88" s="582"/>
      <c r="BQ88" s="582"/>
      <c r="BR88" s="582"/>
      <c r="BS88" s="582"/>
      <c r="BT88" s="582"/>
      <c r="BU88" s="582"/>
      <c r="BV88" s="582"/>
      <c r="BW88" s="582"/>
      <c r="BX88" s="582"/>
      <c r="BY88" s="582"/>
      <c r="BZ88" s="582"/>
      <c r="CA88" s="582"/>
      <c r="CB88" s="582"/>
      <c r="CC88" s="582"/>
      <c r="CD88" s="582"/>
      <c r="CE88" s="582"/>
      <c r="CF88" s="582"/>
      <c r="CG88" s="582"/>
      <c r="CH88" s="582"/>
      <c r="CI88" s="582"/>
      <c r="CJ88" s="582"/>
      <c r="CK88" s="582"/>
      <c r="CL88" s="582"/>
      <c r="CM88" s="582"/>
      <c r="CN88" s="582"/>
      <c r="CO88" s="582"/>
      <c r="CP88" s="582"/>
      <c r="CQ88" s="582"/>
      <c r="CR88" s="582"/>
      <c r="CS88" s="582"/>
      <c r="CT88" s="582"/>
      <c r="CU88" s="582"/>
      <c r="CV88" s="582"/>
      <c r="CW88" s="582"/>
      <c r="CX88" s="582"/>
      <c r="CY88" s="582"/>
      <c r="CZ88" s="582"/>
      <c r="DA88" s="582"/>
      <c r="DB88" s="582"/>
      <c r="DC88" s="582"/>
      <c r="DD88" s="582"/>
      <c r="DE88" s="582"/>
      <c r="DF88" s="582"/>
      <c r="DG88" s="582"/>
      <c r="DH88" s="582"/>
      <c r="DI88" s="582"/>
      <c r="DJ88" s="582"/>
      <c r="DK88" s="582"/>
      <c r="DL88" s="582"/>
      <c r="DM88" s="582"/>
      <c r="DN88" s="582"/>
      <c r="DO88" s="582"/>
      <c r="DP88" s="582"/>
      <c r="DQ88" s="582"/>
      <c r="DR88" s="582"/>
      <c r="DS88" s="582"/>
      <c r="DT88" s="582"/>
      <c r="DU88" s="582"/>
      <c r="DV88" s="582"/>
      <c r="DW88" s="582"/>
      <c r="DX88" s="582"/>
      <c r="DY88" s="582"/>
      <c r="DZ88" s="582"/>
      <c r="EA88" s="582"/>
      <c r="EB88" s="582"/>
      <c r="EC88" s="582"/>
      <c r="ED88" s="582"/>
      <c r="EE88" s="582"/>
      <c r="EF88" s="582"/>
      <c r="EG88" s="582"/>
      <c r="EH88" s="582"/>
      <c r="EI88" s="582"/>
      <c r="EJ88" s="582"/>
      <c r="EK88" s="582"/>
      <c r="EL88" s="582"/>
      <c r="EM88" s="582"/>
      <c r="EN88" s="582"/>
      <c r="EO88" s="582"/>
      <c r="EP88" s="582"/>
      <c r="EQ88" s="582"/>
      <c r="ER88" s="582"/>
      <c r="ES88" s="582"/>
      <c r="ET88" s="582"/>
      <c r="EU88" s="582"/>
      <c r="EV88" s="582"/>
      <c r="EW88" s="582"/>
      <c r="EX88" s="582"/>
      <c r="EY88" s="582"/>
      <c r="EZ88" s="582"/>
      <c r="FA88" s="582"/>
      <c r="FB88" s="582"/>
      <c r="FC88" s="582"/>
      <c r="FD88" s="582"/>
      <c r="FE88" s="582"/>
      <c r="FF88" s="582"/>
      <c r="FG88" s="582"/>
      <c r="FH88" s="582"/>
      <c r="FI88" s="582"/>
      <c r="FJ88" s="582"/>
      <c r="FK88" s="582"/>
      <c r="FL88" s="582"/>
      <c r="FM88" s="582"/>
      <c r="FN88" s="582"/>
      <c r="FO88" s="582"/>
      <c r="FP88" s="582"/>
      <c r="FQ88" s="582"/>
      <c r="FR88" s="582"/>
      <c r="FS88" s="582"/>
      <c r="FT88" s="582"/>
      <c r="FU88" s="582"/>
      <c r="FV88" s="582"/>
      <c r="FW88" s="582"/>
      <c r="FX88" s="582"/>
      <c r="FY88" s="582"/>
      <c r="FZ88" s="582"/>
      <c r="GA88" s="582"/>
      <c r="GB88" s="582"/>
      <c r="GC88" s="582"/>
      <c r="GD88" s="582"/>
      <c r="GE88" s="582"/>
      <c r="GF88" s="582"/>
      <c r="GG88" s="582"/>
      <c r="GH88" s="582"/>
      <c r="GI88" s="582"/>
      <c r="GJ88" s="582"/>
      <c r="GK88" s="582"/>
      <c r="GL88" s="582"/>
      <c r="GM88" s="582"/>
      <c r="GN88" s="582"/>
      <c r="GO88" s="582"/>
      <c r="GP88" s="582"/>
      <c r="GQ88" s="582"/>
      <c r="GR88" s="582"/>
      <c r="GS88" s="582"/>
      <c r="GT88" s="582"/>
      <c r="GU88" s="582"/>
      <c r="GV88" s="582"/>
      <c r="GW88" s="582"/>
      <c r="GX88" s="582"/>
      <c r="GY88" s="582"/>
      <c r="GZ88" s="582"/>
      <c r="HA88" s="582"/>
      <c r="HB88" s="582"/>
      <c r="HC88" s="582"/>
      <c r="HD88" s="582"/>
      <c r="HE88" s="582"/>
      <c r="HF88" s="582"/>
      <c r="HG88" s="582"/>
      <c r="HH88" s="582"/>
      <c r="HI88" s="582"/>
      <c r="HJ88" s="582"/>
      <c r="HK88" s="582"/>
      <c r="HL88" s="582"/>
      <c r="HM88" s="582"/>
      <c r="HN88" s="582"/>
      <c r="HO88" s="582"/>
      <c r="HP88" s="582"/>
      <c r="HQ88" s="582"/>
      <c r="HR88" s="582"/>
      <c r="HS88" s="582"/>
      <c r="HT88" s="582"/>
      <c r="HU88" s="582"/>
      <c r="HV88" s="582"/>
      <c r="HW88" s="582"/>
      <c r="HX88" s="582"/>
      <c r="HY88" s="582"/>
      <c r="HZ88" s="582"/>
      <c r="IA88" s="582"/>
      <c r="IB88" s="582"/>
      <c r="IC88" s="582"/>
      <c r="ID88" s="582"/>
      <c r="IE88" s="582"/>
      <c r="IF88" s="582"/>
      <c r="IG88" s="582"/>
      <c r="IH88" s="582"/>
      <c r="II88" s="582"/>
      <c r="IJ88" s="582"/>
      <c r="IK88" s="582"/>
      <c r="IL88" s="582"/>
      <c r="IM88" s="582"/>
      <c r="IN88" s="582"/>
      <c r="IO88" s="582"/>
      <c r="IP88" s="582"/>
      <c r="IQ88" s="582"/>
      <c r="IR88" s="582"/>
      <c r="IS88" s="582"/>
      <c r="IT88" s="582"/>
      <c r="IU88" s="582"/>
      <c r="IV88" s="582"/>
      <c r="IW88" s="582"/>
    </row>
    <row r="89" spans="1:257" s="641" customFormat="1" ht="15.75" hidden="1" customHeight="1">
      <c r="A89" s="699">
        <v>17</v>
      </c>
      <c r="B89" s="673" t="s">
        <v>216</v>
      </c>
      <c r="C89" s="699"/>
      <c r="D89" s="699"/>
      <c r="E89" s="700"/>
      <c r="F89" s="707">
        <v>15000000</v>
      </c>
      <c r="G89" s="705" t="s">
        <v>868</v>
      </c>
      <c r="H89" s="705"/>
      <c r="I89" s="705"/>
      <c r="J89" s="707"/>
      <c r="K89" s="707"/>
      <c r="L89" s="1308"/>
      <c r="M89" s="707"/>
      <c r="N89" s="708"/>
      <c r="O89" s="708"/>
      <c r="P89" s="706"/>
      <c r="Q89" s="706"/>
      <c r="R89" s="706"/>
      <c r="S89" s="677"/>
      <c r="T89" s="678"/>
      <c r="U89" s="580"/>
      <c r="V89" s="581"/>
      <c r="W89" s="581"/>
      <c r="X89" s="578"/>
      <c r="Y89" s="582"/>
      <c r="Z89" s="582"/>
      <c r="AA89" s="582"/>
      <c r="AB89" s="582"/>
      <c r="AC89" s="582"/>
      <c r="AD89" s="582"/>
      <c r="AE89" s="582"/>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c r="BI89" s="582"/>
      <c r="BJ89" s="582"/>
      <c r="BK89" s="582"/>
      <c r="BL89" s="582"/>
      <c r="BM89" s="582"/>
      <c r="BN89" s="582"/>
      <c r="BO89" s="582"/>
      <c r="BP89" s="582"/>
      <c r="BQ89" s="582"/>
      <c r="BR89" s="582"/>
      <c r="BS89" s="582"/>
      <c r="BT89" s="582"/>
      <c r="BU89" s="582"/>
      <c r="BV89" s="582"/>
      <c r="BW89" s="582"/>
      <c r="BX89" s="582"/>
      <c r="BY89" s="582"/>
      <c r="BZ89" s="582"/>
      <c r="CA89" s="582"/>
      <c r="CB89" s="582"/>
      <c r="CC89" s="582"/>
      <c r="CD89" s="582"/>
      <c r="CE89" s="582"/>
      <c r="CF89" s="582"/>
      <c r="CG89" s="582"/>
      <c r="CH89" s="582"/>
      <c r="CI89" s="582"/>
      <c r="CJ89" s="582"/>
      <c r="CK89" s="582"/>
      <c r="CL89" s="582"/>
      <c r="CM89" s="582"/>
      <c r="CN89" s="582"/>
      <c r="CO89" s="582"/>
      <c r="CP89" s="582"/>
      <c r="CQ89" s="582"/>
      <c r="CR89" s="582"/>
      <c r="CS89" s="582"/>
      <c r="CT89" s="582"/>
      <c r="CU89" s="582"/>
      <c r="CV89" s="582"/>
      <c r="CW89" s="582"/>
      <c r="CX89" s="582"/>
      <c r="CY89" s="582"/>
      <c r="CZ89" s="582"/>
      <c r="DA89" s="582"/>
      <c r="DB89" s="582"/>
      <c r="DC89" s="582"/>
      <c r="DD89" s="582"/>
      <c r="DE89" s="582"/>
      <c r="DF89" s="582"/>
      <c r="DG89" s="582"/>
      <c r="DH89" s="582"/>
      <c r="DI89" s="582"/>
      <c r="DJ89" s="582"/>
      <c r="DK89" s="582"/>
      <c r="DL89" s="582"/>
      <c r="DM89" s="582"/>
      <c r="DN89" s="582"/>
      <c r="DO89" s="582"/>
      <c r="DP89" s="582"/>
      <c r="DQ89" s="582"/>
      <c r="DR89" s="582"/>
      <c r="DS89" s="582"/>
      <c r="DT89" s="582"/>
      <c r="DU89" s="582"/>
      <c r="DV89" s="582"/>
      <c r="DW89" s="582"/>
      <c r="DX89" s="582"/>
      <c r="DY89" s="582"/>
      <c r="DZ89" s="582"/>
      <c r="EA89" s="582"/>
      <c r="EB89" s="582"/>
      <c r="EC89" s="582"/>
      <c r="ED89" s="582"/>
      <c r="EE89" s="582"/>
      <c r="EF89" s="582"/>
      <c r="EG89" s="582"/>
      <c r="EH89" s="582"/>
      <c r="EI89" s="582"/>
      <c r="EJ89" s="582"/>
      <c r="EK89" s="582"/>
      <c r="EL89" s="582"/>
      <c r="EM89" s="582"/>
      <c r="EN89" s="582"/>
      <c r="EO89" s="582"/>
      <c r="EP89" s="582"/>
      <c r="EQ89" s="582"/>
      <c r="ER89" s="582"/>
      <c r="ES89" s="582"/>
      <c r="ET89" s="582"/>
      <c r="EU89" s="582"/>
      <c r="EV89" s="582"/>
      <c r="EW89" s="582"/>
      <c r="EX89" s="582"/>
      <c r="EY89" s="582"/>
      <c r="EZ89" s="582"/>
      <c r="FA89" s="582"/>
      <c r="FB89" s="582"/>
      <c r="FC89" s="582"/>
      <c r="FD89" s="582"/>
      <c r="FE89" s="582"/>
      <c r="FF89" s="582"/>
      <c r="FG89" s="582"/>
      <c r="FH89" s="582"/>
      <c r="FI89" s="582"/>
      <c r="FJ89" s="582"/>
      <c r="FK89" s="582"/>
      <c r="FL89" s="582"/>
      <c r="FM89" s="582"/>
      <c r="FN89" s="582"/>
      <c r="FO89" s="582"/>
      <c r="FP89" s="582"/>
      <c r="FQ89" s="582"/>
      <c r="FR89" s="582"/>
      <c r="FS89" s="582"/>
      <c r="FT89" s="582"/>
      <c r="FU89" s="582"/>
      <c r="FV89" s="582"/>
      <c r="FW89" s="582"/>
      <c r="FX89" s="582"/>
      <c r="FY89" s="582"/>
      <c r="FZ89" s="582"/>
      <c r="GA89" s="582"/>
      <c r="GB89" s="582"/>
      <c r="GC89" s="582"/>
      <c r="GD89" s="582"/>
      <c r="GE89" s="582"/>
      <c r="GF89" s="582"/>
      <c r="GG89" s="582"/>
      <c r="GH89" s="582"/>
      <c r="GI89" s="582"/>
      <c r="GJ89" s="582"/>
      <c r="GK89" s="582"/>
      <c r="GL89" s="582"/>
      <c r="GM89" s="582"/>
      <c r="GN89" s="582"/>
      <c r="GO89" s="582"/>
      <c r="GP89" s="582"/>
      <c r="GQ89" s="582"/>
      <c r="GR89" s="582"/>
      <c r="GS89" s="582"/>
      <c r="GT89" s="582"/>
      <c r="GU89" s="582"/>
      <c r="GV89" s="582"/>
      <c r="GW89" s="582"/>
      <c r="GX89" s="582"/>
      <c r="GY89" s="582"/>
      <c r="GZ89" s="582"/>
      <c r="HA89" s="582"/>
      <c r="HB89" s="582"/>
      <c r="HC89" s="582"/>
      <c r="HD89" s="582"/>
      <c r="HE89" s="582"/>
      <c r="HF89" s="582"/>
      <c r="HG89" s="582"/>
      <c r="HH89" s="582"/>
      <c r="HI89" s="582"/>
      <c r="HJ89" s="582"/>
      <c r="HK89" s="582"/>
      <c r="HL89" s="582"/>
      <c r="HM89" s="582"/>
      <c r="HN89" s="582"/>
      <c r="HO89" s="582"/>
      <c r="HP89" s="582"/>
      <c r="HQ89" s="582"/>
      <c r="HR89" s="582"/>
      <c r="HS89" s="582"/>
      <c r="HT89" s="582"/>
      <c r="HU89" s="582"/>
      <c r="HV89" s="582"/>
      <c r="HW89" s="582"/>
      <c r="HX89" s="582"/>
      <c r="HY89" s="582"/>
      <c r="HZ89" s="582"/>
      <c r="IA89" s="582"/>
      <c r="IB89" s="582"/>
      <c r="IC89" s="582"/>
      <c r="ID89" s="582"/>
      <c r="IE89" s="582"/>
      <c r="IF89" s="582"/>
      <c r="IG89" s="582"/>
      <c r="IH89" s="582"/>
      <c r="II89" s="582"/>
      <c r="IJ89" s="582"/>
      <c r="IK89" s="582"/>
      <c r="IL89" s="582"/>
      <c r="IM89" s="582"/>
      <c r="IN89" s="582"/>
      <c r="IO89" s="582"/>
      <c r="IP89" s="582"/>
      <c r="IQ89" s="582"/>
      <c r="IR89" s="582"/>
      <c r="IS89" s="582"/>
      <c r="IT89" s="582"/>
      <c r="IU89" s="582"/>
      <c r="IV89" s="582"/>
      <c r="IW89" s="582"/>
    </row>
    <row r="90" spans="1:257" s="614" customFormat="1" ht="15.75" hidden="1" customHeight="1">
      <c r="A90" s="699">
        <v>18</v>
      </c>
      <c r="B90" s="673" t="str">
        <f>B1014</f>
        <v xml:space="preserve">Hội LH Phụ Nữ </v>
      </c>
      <c r="C90" s="589"/>
      <c r="D90" s="589"/>
      <c r="E90" s="704"/>
      <c r="F90" s="707">
        <v>15000000</v>
      </c>
      <c r="G90" s="705" t="s">
        <v>869</v>
      </c>
      <c r="H90" s="705"/>
      <c r="I90" s="705"/>
      <c r="J90" s="707"/>
      <c r="K90" s="707"/>
      <c r="L90" s="1308"/>
      <c r="M90" s="707"/>
      <c r="N90" s="708"/>
      <c r="O90" s="708"/>
      <c r="P90" s="706"/>
      <c r="Q90" s="706"/>
      <c r="R90" s="610"/>
      <c r="S90" s="620"/>
      <c r="T90" s="675"/>
      <c r="U90" s="577"/>
      <c r="V90" s="701"/>
      <c r="W90" s="701"/>
      <c r="X90" s="702"/>
      <c r="Y90" s="703"/>
      <c r="Z90" s="703"/>
      <c r="AA90" s="703"/>
      <c r="AB90" s="703"/>
      <c r="AC90" s="703"/>
      <c r="AD90" s="703"/>
      <c r="AE90" s="703"/>
      <c r="AF90" s="703"/>
      <c r="AG90" s="703"/>
      <c r="AH90" s="703"/>
      <c r="AI90" s="703"/>
      <c r="AJ90" s="703"/>
      <c r="AK90" s="703"/>
      <c r="AL90" s="703"/>
      <c r="AM90" s="703"/>
      <c r="AN90" s="703"/>
      <c r="AO90" s="703"/>
      <c r="AP90" s="703"/>
      <c r="AQ90" s="703"/>
      <c r="AR90" s="703"/>
      <c r="AS90" s="703"/>
      <c r="AT90" s="703"/>
      <c r="AU90" s="703"/>
      <c r="AV90" s="703"/>
      <c r="AW90" s="703"/>
      <c r="AX90" s="703"/>
      <c r="AY90" s="703"/>
      <c r="AZ90" s="703"/>
      <c r="BA90" s="703"/>
      <c r="BB90" s="703"/>
      <c r="BC90" s="703"/>
      <c r="BD90" s="703"/>
      <c r="BE90" s="703"/>
      <c r="BF90" s="703"/>
      <c r="BG90" s="703"/>
      <c r="BH90" s="703"/>
      <c r="BI90" s="703"/>
      <c r="BJ90" s="703"/>
      <c r="BK90" s="703"/>
      <c r="BL90" s="703"/>
      <c r="BM90" s="703"/>
      <c r="BN90" s="703"/>
      <c r="BO90" s="703"/>
      <c r="BP90" s="703"/>
      <c r="BQ90" s="703"/>
      <c r="BR90" s="703"/>
      <c r="BS90" s="703"/>
      <c r="BT90" s="703"/>
      <c r="BU90" s="703"/>
      <c r="BV90" s="703"/>
      <c r="BW90" s="703"/>
      <c r="BX90" s="703"/>
      <c r="BY90" s="703"/>
      <c r="BZ90" s="703"/>
      <c r="CA90" s="703"/>
      <c r="CB90" s="703"/>
      <c r="CC90" s="703"/>
      <c r="CD90" s="703"/>
      <c r="CE90" s="703"/>
      <c r="CF90" s="703"/>
      <c r="CG90" s="703"/>
      <c r="CH90" s="703"/>
      <c r="CI90" s="703"/>
      <c r="CJ90" s="703"/>
      <c r="CK90" s="703"/>
      <c r="CL90" s="703"/>
      <c r="CM90" s="703"/>
      <c r="CN90" s="703"/>
      <c r="CO90" s="703"/>
      <c r="CP90" s="703"/>
      <c r="CQ90" s="703"/>
      <c r="CR90" s="703"/>
      <c r="CS90" s="703"/>
      <c r="CT90" s="703"/>
      <c r="CU90" s="703"/>
      <c r="CV90" s="703"/>
      <c r="CW90" s="703"/>
      <c r="CX90" s="703"/>
      <c r="CY90" s="703"/>
      <c r="CZ90" s="703"/>
      <c r="DA90" s="703"/>
      <c r="DB90" s="703"/>
      <c r="DC90" s="703"/>
      <c r="DD90" s="703"/>
      <c r="DE90" s="703"/>
      <c r="DF90" s="703"/>
      <c r="DG90" s="703"/>
      <c r="DH90" s="703"/>
      <c r="DI90" s="703"/>
      <c r="DJ90" s="703"/>
      <c r="DK90" s="703"/>
      <c r="DL90" s="703"/>
      <c r="DM90" s="703"/>
      <c r="DN90" s="703"/>
      <c r="DO90" s="703"/>
      <c r="DP90" s="703"/>
      <c r="DQ90" s="703"/>
      <c r="DR90" s="703"/>
      <c r="DS90" s="703"/>
      <c r="DT90" s="703"/>
      <c r="DU90" s="703"/>
      <c r="DV90" s="703"/>
      <c r="DW90" s="703"/>
      <c r="DX90" s="703"/>
      <c r="DY90" s="703"/>
      <c r="DZ90" s="703"/>
      <c r="EA90" s="703"/>
      <c r="EB90" s="703"/>
      <c r="EC90" s="703"/>
      <c r="ED90" s="703"/>
      <c r="EE90" s="703"/>
      <c r="EF90" s="703"/>
      <c r="EG90" s="703"/>
      <c r="EH90" s="703"/>
      <c r="EI90" s="703"/>
      <c r="EJ90" s="703"/>
      <c r="EK90" s="703"/>
      <c r="EL90" s="703"/>
      <c r="EM90" s="703"/>
      <c r="EN90" s="703"/>
      <c r="EO90" s="703"/>
      <c r="EP90" s="703"/>
      <c r="EQ90" s="703"/>
      <c r="ER90" s="703"/>
      <c r="ES90" s="703"/>
      <c r="ET90" s="703"/>
      <c r="EU90" s="703"/>
      <c r="EV90" s="703"/>
      <c r="EW90" s="703"/>
      <c r="EX90" s="703"/>
      <c r="EY90" s="703"/>
      <c r="EZ90" s="703"/>
      <c r="FA90" s="703"/>
      <c r="FB90" s="703"/>
      <c r="FC90" s="703"/>
      <c r="FD90" s="703"/>
      <c r="FE90" s="703"/>
      <c r="FF90" s="703"/>
      <c r="FG90" s="703"/>
      <c r="FH90" s="703"/>
      <c r="FI90" s="703"/>
      <c r="FJ90" s="703"/>
      <c r="FK90" s="703"/>
      <c r="FL90" s="703"/>
      <c r="FM90" s="703"/>
      <c r="FN90" s="703"/>
      <c r="FO90" s="703"/>
      <c r="FP90" s="703"/>
      <c r="FQ90" s="703"/>
      <c r="FR90" s="703"/>
      <c r="FS90" s="703"/>
      <c r="FT90" s="703"/>
      <c r="FU90" s="703"/>
      <c r="FV90" s="703"/>
      <c r="FW90" s="703"/>
      <c r="FX90" s="703"/>
      <c r="FY90" s="703"/>
      <c r="FZ90" s="703"/>
      <c r="GA90" s="703"/>
      <c r="GB90" s="703"/>
      <c r="GC90" s="703"/>
      <c r="GD90" s="703"/>
      <c r="GE90" s="703"/>
      <c r="GF90" s="703"/>
      <c r="GG90" s="703"/>
      <c r="GH90" s="703"/>
      <c r="GI90" s="703"/>
      <c r="GJ90" s="703"/>
      <c r="GK90" s="703"/>
      <c r="GL90" s="703"/>
      <c r="GM90" s="703"/>
      <c r="GN90" s="703"/>
      <c r="GO90" s="703"/>
      <c r="GP90" s="703"/>
      <c r="GQ90" s="703"/>
      <c r="GR90" s="703"/>
      <c r="GS90" s="703"/>
      <c r="GT90" s="703"/>
      <c r="GU90" s="703"/>
      <c r="GV90" s="703"/>
      <c r="GW90" s="703"/>
      <c r="GX90" s="703"/>
      <c r="GY90" s="703"/>
      <c r="GZ90" s="703"/>
      <c r="HA90" s="703"/>
      <c r="HB90" s="703"/>
      <c r="HC90" s="703"/>
      <c r="HD90" s="703"/>
      <c r="HE90" s="703"/>
      <c r="HF90" s="703"/>
      <c r="HG90" s="703"/>
      <c r="HH90" s="703"/>
      <c r="HI90" s="703"/>
      <c r="HJ90" s="703"/>
      <c r="HK90" s="703"/>
      <c r="HL90" s="703"/>
      <c r="HM90" s="703"/>
      <c r="HN90" s="703"/>
      <c r="HO90" s="703"/>
      <c r="HP90" s="703"/>
      <c r="HQ90" s="703"/>
      <c r="HR90" s="703"/>
      <c r="HS90" s="703"/>
      <c r="HT90" s="703"/>
      <c r="HU90" s="703"/>
      <c r="HV90" s="703"/>
      <c r="HW90" s="703"/>
      <c r="HX90" s="703"/>
      <c r="HY90" s="703"/>
      <c r="HZ90" s="703"/>
      <c r="IA90" s="703"/>
      <c r="IB90" s="703"/>
      <c r="IC90" s="703"/>
      <c r="ID90" s="703"/>
      <c r="IE90" s="703"/>
      <c r="IF90" s="703"/>
      <c r="IG90" s="703"/>
      <c r="IH90" s="703"/>
      <c r="II90" s="703"/>
      <c r="IJ90" s="703"/>
      <c r="IK90" s="703"/>
      <c r="IL90" s="703"/>
      <c r="IM90" s="703"/>
      <c r="IN90" s="703"/>
      <c r="IO90" s="703"/>
      <c r="IP90" s="703"/>
      <c r="IQ90" s="703"/>
      <c r="IR90" s="703"/>
      <c r="IS90" s="703"/>
      <c r="IT90" s="703"/>
      <c r="IU90" s="703"/>
      <c r="IV90" s="703"/>
      <c r="IW90" s="703"/>
    </row>
    <row r="91" spans="1:257" s="614" customFormat="1" ht="15.75" hidden="1" customHeight="1">
      <c r="A91" s="699">
        <v>19</v>
      </c>
      <c r="B91" s="673" t="str">
        <f>B1039</f>
        <v>Hội Nông dân</v>
      </c>
      <c r="C91" s="699"/>
      <c r="D91" s="699"/>
      <c r="E91" s="700"/>
      <c r="F91" s="707">
        <v>15000000</v>
      </c>
      <c r="G91" s="705" t="s">
        <v>870</v>
      </c>
      <c r="H91" s="705"/>
      <c r="I91" s="705"/>
      <c r="J91" s="707"/>
      <c r="K91" s="707"/>
      <c r="L91" s="1308"/>
      <c r="M91" s="707"/>
      <c r="N91" s="708"/>
      <c r="O91" s="708"/>
      <c r="P91" s="706"/>
      <c r="Q91" s="706"/>
      <c r="R91" s="610"/>
      <c r="S91" s="620"/>
      <c r="T91" s="675"/>
      <c r="U91" s="577"/>
      <c r="V91" s="701"/>
      <c r="W91" s="701"/>
      <c r="X91" s="702"/>
      <c r="Y91" s="703"/>
      <c r="Z91" s="703"/>
      <c r="AA91" s="703"/>
      <c r="AB91" s="703"/>
      <c r="AC91" s="703"/>
      <c r="AD91" s="703"/>
      <c r="AE91" s="703"/>
      <c r="AF91" s="703"/>
      <c r="AG91" s="703"/>
      <c r="AH91" s="703"/>
      <c r="AI91" s="703"/>
      <c r="AJ91" s="703"/>
      <c r="AK91" s="703"/>
      <c r="AL91" s="703"/>
      <c r="AM91" s="703"/>
      <c r="AN91" s="703"/>
      <c r="AO91" s="703"/>
      <c r="AP91" s="703"/>
      <c r="AQ91" s="703"/>
      <c r="AR91" s="703"/>
      <c r="AS91" s="703"/>
      <c r="AT91" s="703"/>
      <c r="AU91" s="703"/>
      <c r="AV91" s="703"/>
      <c r="AW91" s="703"/>
      <c r="AX91" s="703"/>
      <c r="AY91" s="703"/>
      <c r="AZ91" s="703"/>
      <c r="BA91" s="703"/>
      <c r="BB91" s="703"/>
      <c r="BC91" s="703"/>
      <c r="BD91" s="703"/>
      <c r="BE91" s="703"/>
      <c r="BF91" s="703"/>
      <c r="BG91" s="703"/>
      <c r="BH91" s="703"/>
      <c r="BI91" s="703"/>
      <c r="BJ91" s="703"/>
      <c r="BK91" s="703"/>
      <c r="BL91" s="703"/>
      <c r="BM91" s="703"/>
      <c r="BN91" s="703"/>
      <c r="BO91" s="703"/>
      <c r="BP91" s="703"/>
      <c r="BQ91" s="703"/>
      <c r="BR91" s="703"/>
      <c r="BS91" s="703"/>
      <c r="BT91" s="703"/>
      <c r="BU91" s="703"/>
      <c r="BV91" s="703"/>
      <c r="BW91" s="703"/>
      <c r="BX91" s="703"/>
      <c r="BY91" s="703"/>
      <c r="BZ91" s="703"/>
      <c r="CA91" s="703"/>
      <c r="CB91" s="703"/>
      <c r="CC91" s="703"/>
      <c r="CD91" s="703"/>
      <c r="CE91" s="703"/>
      <c r="CF91" s="703"/>
      <c r="CG91" s="703"/>
      <c r="CH91" s="703"/>
      <c r="CI91" s="703"/>
      <c r="CJ91" s="703"/>
      <c r="CK91" s="703"/>
      <c r="CL91" s="703"/>
      <c r="CM91" s="703"/>
      <c r="CN91" s="703"/>
      <c r="CO91" s="703"/>
      <c r="CP91" s="703"/>
      <c r="CQ91" s="703"/>
      <c r="CR91" s="703"/>
      <c r="CS91" s="703"/>
      <c r="CT91" s="703"/>
      <c r="CU91" s="703"/>
      <c r="CV91" s="703"/>
      <c r="CW91" s="703"/>
      <c r="CX91" s="703"/>
      <c r="CY91" s="703"/>
      <c r="CZ91" s="703"/>
      <c r="DA91" s="703"/>
      <c r="DB91" s="703"/>
      <c r="DC91" s="703"/>
      <c r="DD91" s="703"/>
      <c r="DE91" s="703"/>
      <c r="DF91" s="703"/>
      <c r="DG91" s="703"/>
      <c r="DH91" s="703"/>
      <c r="DI91" s="703"/>
      <c r="DJ91" s="703"/>
      <c r="DK91" s="703"/>
      <c r="DL91" s="703"/>
      <c r="DM91" s="703"/>
      <c r="DN91" s="703"/>
      <c r="DO91" s="703"/>
      <c r="DP91" s="703"/>
      <c r="DQ91" s="703"/>
      <c r="DR91" s="703"/>
      <c r="DS91" s="703"/>
      <c r="DT91" s="703"/>
      <c r="DU91" s="703"/>
      <c r="DV91" s="703"/>
      <c r="DW91" s="703"/>
      <c r="DX91" s="703"/>
      <c r="DY91" s="703"/>
      <c r="DZ91" s="703"/>
      <c r="EA91" s="703"/>
      <c r="EB91" s="703"/>
      <c r="EC91" s="703"/>
      <c r="ED91" s="703"/>
      <c r="EE91" s="703"/>
      <c r="EF91" s="703"/>
      <c r="EG91" s="703"/>
      <c r="EH91" s="703"/>
      <c r="EI91" s="703"/>
      <c r="EJ91" s="703"/>
      <c r="EK91" s="703"/>
      <c r="EL91" s="703"/>
      <c r="EM91" s="703"/>
      <c r="EN91" s="703"/>
      <c r="EO91" s="703"/>
      <c r="EP91" s="703"/>
      <c r="EQ91" s="703"/>
      <c r="ER91" s="703"/>
      <c r="ES91" s="703"/>
      <c r="ET91" s="703"/>
      <c r="EU91" s="703"/>
      <c r="EV91" s="703"/>
      <c r="EW91" s="703"/>
      <c r="EX91" s="703"/>
      <c r="EY91" s="703"/>
      <c r="EZ91" s="703"/>
      <c r="FA91" s="703"/>
      <c r="FB91" s="703"/>
      <c r="FC91" s="703"/>
      <c r="FD91" s="703"/>
      <c r="FE91" s="703"/>
      <c r="FF91" s="703"/>
      <c r="FG91" s="703"/>
      <c r="FH91" s="703"/>
      <c r="FI91" s="703"/>
      <c r="FJ91" s="703"/>
      <c r="FK91" s="703"/>
      <c r="FL91" s="703"/>
      <c r="FM91" s="703"/>
      <c r="FN91" s="703"/>
      <c r="FO91" s="703"/>
      <c r="FP91" s="703"/>
      <c r="FQ91" s="703"/>
      <c r="FR91" s="703"/>
      <c r="FS91" s="703"/>
      <c r="FT91" s="703"/>
      <c r="FU91" s="703"/>
      <c r="FV91" s="703"/>
      <c r="FW91" s="703"/>
      <c r="FX91" s="703"/>
      <c r="FY91" s="703"/>
      <c r="FZ91" s="703"/>
      <c r="GA91" s="703"/>
      <c r="GB91" s="703"/>
      <c r="GC91" s="703"/>
      <c r="GD91" s="703"/>
      <c r="GE91" s="703"/>
      <c r="GF91" s="703"/>
      <c r="GG91" s="703"/>
      <c r="GH91" s="703"/>
      <c r="GI91" s="703"/>
      <c r="GJ91" s="703"/>
      <c r="GK91" s="703"/>
      <c r="GL91" s="703"/>
      <c r="GM91" s="703"/>
      <c r="GN91" s="703"/>
      <c r="GO91" s="703"/>
      <c r="GP91" s="703"/>
      <c r="GQ91" s="703"/>
      <c r="GR91" s="703"/>
      <c r="GS91" s="703"/>
      <c r="GT91" s="703"/>
      <c r="GU91" s="703"/>
      <c r="GV91" s="703"/>
      <c r="GW91" s="703"/>
      <c r="GX91" s="703"/>
      <c r="GY91" s="703"/>
      <c r="GZ91" s="703"/>
      <c r="HA91" s="703"/>
      <c r="HB91" s="703"/>
      <c r="HC91" s="703"/>
      <c r="HD91" s="703"/>
      <c r="HE91" s="703"/>
      <c r="HF91" s="703"/>
      <c r="HG91" s="703"/>
      <c r="HH91" s="703"/>
      <c r="HI91" s="703"/>
      <c r="HJ91" s="703"/>
      <c r="HK91" s="703"/>
      <c r="HL91" s="703"/>
      <c r="HM91" s="703"/>
      <c r="HN91" s="703"/>
      <c r="HO91" s="703"/>
      <c r="HP91" s="703"/>
      <c r="HQ91" s="703"/>
      <c r="HR91" s="703"/>
      <c r="HS91" s="703"/>
      <c r="HT91" s="703"/>
      <c r="HU91" s="703"/>
      <c r="HV91" s="703"/>
      <c r="HW91" s="703"/>
      <c r="HX91" s="703"/>
      <c r="HY91" s="703"/>
      <c r="HZ91" s="703"/>
      <c r="IA91" s="703"/>
      <c r="IB91" s="703"/>
      <c r="IC91" s="703"/>
      <c r="ID91" s="703"/>
      <c r="IE91" s="703"/>
      <c r="IF91" s="703"/>
      <c r="IG91" s="703"/>
      <c r="IH91" s="703"/>
      <c r="II91" s="703"/>
      <c r="IJ91" s="703"/>
      <c r="IK91" s="703"/>
      <c r="IL91" s="703"/>
      <c r="IM91" s="703"/>
      <c r="IN91" s="703"/>
      <c r="IO91" s="703"/>
      <c r="IP91" s="703"/>
      <c r="IQ91" s="703"/>
      <c r="IR91" s="703"/>
      <c r="IS91" s="703"/>
      <c r="IT91" s="703"/>
      <c r="IU91" s="703"/>
      <c r="IV91" s="703"/>
      <c r="IW91" s="703"/>
    </row>
    <row r="92" spans="1:257" s="621" customFormat="1" ht="31.5">
      <c r="A92" s="713" t="s">
        <v>314</v>
      </c>
      <c r="B92" s="714" t="s">
        <v>219</v>
      </c>
      <c r="C92" s="715"/>
      <c r="D92" s="715"/>
      <c r="E92" s="716"/>
      <c r="F92" s="717">
        <f>7000000000-200000000</f>
        <v>6800000000</v>
      </c>
      <c r="G92" s="718"/>
      <c r="H92" s="718"/>
      <c r="I92" s="718"/>
      <c r="J92" s="618">
        <f>J93+J98+J99+J102</f>
        <v>16989100000</v>
      </c>
      <c r="K92" s="618">
        <f>K93+K98+K99+K102</f>
        <v>15400000000</v>
      </c>
      <c r="L92" s="1307">
        <f>L93+L98+L99+L102</f>
        <v>10485237800</v>
      </c>
      <c r="M92" s="717"/>
      <c r="N92" s="719"/>
      <c r="O92" s="719"/>
      <c r="P92" s="720"/>
      <c r="Q92" s="720"/>
      <c r="R92" s="706" t="s">
        <v>871</v>
      </c>
      <c r="S92" s="620">
        <f>S93+S94</f>
        <v>31147964000</v>
      </c>
      <c r="T92" s="620">
        <f>T93+T94</f>
        <v>3886952000</v>
      </c>
      <c r="U92" s="721"/>
      <c r="V92" s="722"/>
      <c r="W92" s="722"/>
      <c r="X92" s="723"/>
      <c r="Y92" s="724"/>
      <c r="Z92" s="724"/>
      <c r="AA92" s="724"/>
      <c r="AB92" s="724"/>
      <c r="AC92" s="724"/>
      <c r="AD92" s="724"/>
      <c r="AE92" s="724"/>
      <c r="AF92" s="724"/>
      <c r="AG92" s="724"/>
      <c r="AH92" s="724"/>
      <c r="AI92" s="724"/>
      <c r="AJ92" s="724"/>
      <c r="AK92" s="724"/>
      <c r="AL92" s="724"/>
      <c r="AM92" s="724"/>
      <c r="AN92" s="724"/>
      <c r="AO92" s="724"/>
      <c r="AP92" s="724"/>
      <c r="AQ92" s="724"/>
      <c r="AR92" s="724"/>
      <c r="AS92" s="724"/>
      <c r="AT92" s="724"/>
      <c r="AU92" s="724"/>
      <c r="AV92" s="724"/>
      <c r="AW92" s="724"/>
      <c r="AX92" s="724"/>
      <c r="AY92" s="724"/>
      <c r="AZ92" s="724"/>
      <c r="BA92" s="724"/>
      <c r="BB92" s="724"/>
      <c r="BC92" s="724"/>
      <c r="BD92" s="724"/>
      <c r="BE92" s="724"/>
      <c r="BF92" s="724"/>
      <c r="BG92" s="724"/>
      <c r="BH92" s="724"/>
      <c r="BI92" s="724"/>
      <c r="BJ92" s="724"/>
      <c r="BK92" s="724"/>
      <c r="BL92" s="724"/>
      <c r="BM92" s="724"/>
      <c r="BN92" s="724"/>
      <c r="BO92" s="724"/>
      <c r="BP92" s="724"/>
      <c r="BQ92" s="724"/>
      <c r="BR92" s="724"/>
      <c r="BS92" s="724"/>
      <c r="BT92" s="724"/>
      <c r="BU92" s="724"/>
      <c r="BV92" s="724"/>
      <c r="BW92" s="724"/>
      <c r="BX92" s="724"/>
      <c r="BY92" s="724"/>
      <c r="BZ92" s="724"/>
      <c r="CA92" s="724"/>
      <c r="CB92" s="724"/>
      <c r="CC92" s="724"/>
      <c r="CD92" s="724"/>
      <c r="CE92" s="724"/>
      <c r="CF92" s="724"/>
      <c r="CG92" s="724"/>
      <c r="CH92" s="724"/>
      <c r="CI92" s="724"/>
      <c r="CJ92" s="724"/>
      <c r="CK92" s="724"/>
      <c r="CL92" s="724"/>
      <c r="CM92" s="724"/>
      <c r="CN92" s="724"/>
      <c r="CO92" s="724"/>
      <c r="CP92" s="724"/>
      <c r="CQ92" s="724"/>
      <c r="CR92" s="724"/>
      <c r="CS92" s="724"/>
      <c r="CT92" s="724"/>
      <c r="CU92" s="724"/>
      <c r="CV92" s="724"/>
      <c r="CW92" s="724"/>
      <c r="CX92" s="724"/>
      <c r="CY92" s="724"/>
      <c r="CZ92" s="724"/>
      <c r="DA92" s="724"/>
      <c r="DB92" s="724"/>
      <c r="DC92" s="724"/>
      <c r="DD92" s="724"/>
      <c r="DE92" s="724"/>
      <c r="DF92" s="724"/>
      <c r="DG92" s="724"/>
      <c r="DH92" s="724"/>
      <c r="DI92" s="724"/>
      <c r="DJ92" s="724"/>
      <c r="DK92" s="724"/>
      <c r="DL92" s="724"/>
      <c r="DM92" s="724"/>
      <c r="DN92" s="724"/>
      <c r="DO92" s="724"/>
      <c r="DP92" s="724"/>
      <c r="DQ92" s="724"/>
      <c r="DR92" s="724"/>
      <c r="DS92" s="724"/>
      <c r="DT92" s="724"/>
      <c r="DU92" s="724"/>
      <c r="DV92" s="724"/>
      <c r="DW92" s="724"/>
      <c r="DX92" s="724"/>
      <c r="DY92" s="724"/>
      <c r="DZ92" s="724"/>
      <c r="EA92" s="724"/>
      <c r="EB92" s="724"/>
      <c r="EC92" s="724"/>
      <c r="ED92" s="724"/>
      <c r="EE92" s="724"/>
      <c r="EF92" s="724"/>
      <c r="EG92" s="724"/>
      <c r="EH92" s="724"/>
      <c r="EI92" s="724"/>
      <c r="EJ92" s="724"/>
      <c r="EK92" s="724"/>
      <c r="EL92" s="724"/>
      <c r="EM92" s="724"/>
      <c r="EN92" s="724"/>
      <c r="EO92" s="724"/>
      <c r="EP92" s="724"/>
      <c r="EQ92" s="724"/>
      <c r="ER92" s="724"/>
      <c r="ES92" s="724"/>
      <c r="ET92" s="724"/>
      <c r="EU92" s="724"/>
      <c r="EV92" s="724"/>
      <c r="EW92" s="724"/>
      <c r="EX92" s="724"/>
      <c r="EY92" s="724"/>
      <c r="EZ92" s="724"/>
      <c r="FA92" s="724"/>
      <c r="FB92" s="724"/>
      <c r="FC92" s="724"/>
      <c r="FD92" s="724"/>
      <c r="FE92" s="724"/>
      <c r="FF92" s="724"/>
      <c r="FG92" s="724"/>
      <c r="FH92" s="724"/>
      <c r="FI92" s="724"/>
      <c r="FJ92" s="724"/>
      <c r="FK92" s="724"/>
      <c r="FL92" s="724"/>
      <c r="FM92" s="724"/>
      <c r="FN92" s="724"/>
      <c r="FO92" s="724"/>
      <c r="FP92" s="724"/>
      <c r="FQ92" s="724"/>
      <c r="FR92" s="724"/>
      <c r="FS92" s="724"/>
      <c r="FT92" s="724"/>
      <c r="FU92" s="724"/>
      <c r="FV92" s="724"/>
      <c r="FW92" s="724"/>
      <c r="FX92" s="724"/>
      <c r="FY92" s="724"/>
      <c r="FZ92" s="724"/>
      <c r="GA92" s="724"/>
      <c r="GB92" s="724"/>
      <c r="GC92" s="724"/>
      <c r="GD92" s="724"/>
      <c r="GE92" s="724"/>
      <c r="GF92" s="724"/>
      <c r="GG92" s="724"/>
      <c r="GH92" s="724"/>
      <c r="GI92" s="724"/>
      <c r="GJ92" s="724"/>
      <c r="GK92" s="724"/>
      <c r="GL92" s="724"/>
      <c r="GM92" s="724"/>
      <c r="GN92" s="724"/>
      <c r="GO92" s="724"/>
      <c r="GP92" s="724"/>
      <c r="GQ92" s="724"/>
      <c r="GR92" s="724"/>
      <c r="GS92" s="724"/>
      <c r="GT92" s="724"/>
      <c r="GU92" s="724"/>
      <c r="GV92" s="724"/>
      <c r="GW92" s="724"/>
      <c r="GX92" s="724"/>
      <c r="GY92" s="724"/>
      <c r="GZ92" s="724"/>
      <c r="HA92" s="724"/>
      <c r="HB92" s="724"/>
      <c r="HC92" s="724"/>
      <c r="HD92" s="724"/>
      <c r="HE92" s="724"/>
      <c r="HF92" s="724"/>
      <c r="HG92" s="724"/>
      <c r="HH92" s="724"/>
      <c r="HI92" s="724"/>
      <c r="HJ92" s="724"/>
      <c r="HK92" s="724"/>
      <c r="HL92" s="724"/>
      <c r="HM92" s="724"/>
      <c r="HN92" s="724"/>
      <c r="HO92" s="724"/>
      <c r="HP92" s="724"/>
      <c r="HQ92" s="724"/>
      <c r="HR92" s="724"/>
      <c r="HS92" s="724"/>
      <c r="HT92" s="724"/>
      <c r="HU92" s="724"/>
      <c r="HV92" s="724"/>
      <c r="HW92" s="724"/>
      <c r="HX92" s="724"/>
      <c r="HY92" s="724"/>
      <c r="HZ92" s="724"/>
      <c r="IA92" s="724"/>
      <c r="IB92" s="724"/>
      <c r="IC92" s="724"/>
      <c r="ID92" s="724"/>
      <c r="IE92" s="724"/>
      <c r="IF92" s="724"/>
      <c r="IG92" s="724"/>
      <c r="IH92" s="724"/>
      <c r="II92" s="724"/>
      <c r="IJ92" s="724"/>
      <c r="IK92" s="724"/>
      <c r="IL92" s="724"/>
      <c r="IM92" s="724"/>
      <c r="IN92" s="724"/>
      <c r="IO92" s="724"/>
      <c r="IP92" s="724"/>
      <c r="IQ92" s="724"/>
      <c r="IR92" s="724"/>
      <c r="IS92" s="724"/>
      <c r="IT92" s="724"/>
      <c r="IU92" s="724"/>
      <c r="IV92" s="724"/>
      <c r="IW92" s="724"/>
    </row>
    <row r="93" spans="1:257" s="614" customFormat="1">
      <c r="A93" s="589" t="s">
        <v>872</v>
      </c>
      <c r="B93" s="671" t="s">
        <v>873</v>
      </c>
      <c r="C93" s="589"/>
      <c r="D93" s="589"/>
      <c r="E93" s="704"/>
      <c r="F93" s="603"/>
      <c r="G93" s="636"/>
      <c r="H93" s="636"/>
      <c r="I93" s="636"/>
      <c r="J93" s="609">
        <f>J94+J97</f>
        <v>4000000000</v>
      </c>
      <c r="K93" s="609"/>
      <c r="L93" s="1303"/>
      <c r="M93" s="603"/>
      <c r="N93" s="596"/>
      <c r="O93" s="596"/>
      <c r="P93" s="610"/>
      <c r="Q93" s="610"/>
      <c r="R93" s="706" t="s">
        <v>874</v>
      </c>
      <c r="S93" s="620">
        <f>L498+L515+L546+L572+L602+L633+L659+L700+L733+L755+L792+L808+L828+L852+L942+L979+L1017+L1042+L1071</f>
        <v>18826468000</v>
      </c>
      <c r="T93" s="667">
        <f>L155+L180+L260</f>
        <v>2472224000</v>
      </c>
      <c r="U93" s="577"/>
      <c r="V93" s="701"/>
      <c r="W93" s="701"/>
      <c r="X93" s="702"/>
      <c r="Y93" s="703"/>
      <c r="Z93" s="703"/>
      <c r="AA93" s="703"/>
      <c r="AB93" s="703"/>
      <c r="AC93" s="703"/>
      <c r="AD93" s="703"/>
      <c r="AE93" s="703"/>
      <c r="AF93" s="703"/>
      <c r="AG93" s="703"/>
      <c r="AH93" s="703"/>
      <c r="AI93" s="703"/>
      <c r="AJ93" s="703"/>
      <c r="AK93" s="703"/>
      <c r="AL93" s="703"/>
      <c r="AM93" s="703"/>
      <c r="AN93" s="703"/>
      <c r="AO93" s="703"/>
      <c r="AP93" s="703"/>
      <c r="AQ93" s="703"/>
      <c r="AR93" s="703"/>
      <c r="AS93" s="703"/>
      <c r="AT93" s="703"/>
      <c r="AU93" s="703"/>
      <c r="AV93" s="703"/>
      <c r="AW93" s="703"/>
      <c r="AX93" s="703"/>
      <c r="AY93" s="703"/>
      <c r="AZ93" s="703"/>
      <c r="BA93" s="703"/>
      <c r="BB93" s="703"/>
      <c r="BC93" s="703"/>
      <c r="BD93" s="703"/>
      <c r="BE93" s="703"/>
      <c r="BF93" s="703"/>
      <c r="BG93" s="703"/>
      <c r="BH93" s="703"/>
      <c r="BI93" s="703"/>
      <c r="BJ93" s="703"/>
      <c r="BK93" s="703"/>
      <c r="BL93" s="703"/>
      <c r="BM93" s="703"/>
      <c r="BN93" s="703"/>
      <c r="BO93" s="703"/>
      <c r="BP93" s="703"/>
      <c r="BQ93" s="703"/>
      <c r="BR93" s="703"/>
      <c r="BS93" s="703"/>
      <c r="BT93" s="703"/>
      <c r="BU93" s="703"/>
      <c r="BV93" s="703"/>
      <c r="BW93" s="703"/>
      <c r="BX93" s="703"/>
      <c r="BY93" s="703"/>
      <c r="BZ93" s="703"/>
      <c r="CA93" s="703"/>
      <c r="CB93" s="703"/>
      <c r="CC93" s="703"/>
      <c r="CD93" s="703"/>
      <c r="CE93" s="703"/>
      <c r="CF93" s="703"/>
      <c r="CG93" s="703"/>
      <c r="CH93" s="703"/>
      <c r="CI93" s="703"/>
      <c r="CJ93" s="703"/>
      <c r="CK93" s="703"/>
      <c r="CL93" s="703"/>
      <c r="CM93" s="703"/>
      <c r="CN93" s="703"/>
      <c r="CO93" s="703"/>
      <c r="CP93" s="703"/>
      <c r="CQ93" s="703"/>
      <c r="CR93" s="703"/>
      <c r="CS93" s="703"/>
      <c r="CT93" s="703"/>
      <c r="CU93" s="703"/>
      <c r="CV93" s="703"/>
      <c r="CW93" s="703"/>
      <c r="CX93" s="703"/>
      <c r="CY93" s="703"/>
      <c r="CZ93" s="703"/>
      <c r="DA93" s="703"/>
      <c r="DB93" s="703"/>
      <c r="DC93" s="703"/>
      <c r="DD93" s="703"/>
      <c r="DE93" s="703"/>
      <c r="DF93" s="703"/>
      <c r="DG93" s="703"/>
      <c r="DH93" s="703"/>
      <c r="DI93" s="703"/>
      <c r="DJ93" s="703"/>
      <c r="DK93" s="703"/>
      <c r="DL93" s="703"/>
      <c r="DM93" s="703"/>
      <c r="DN93" s="703"/>
      <c r="DO93" s="703"/>
      <c r="DP93" s="703"/>
      <c r="DQ93" s="703"/>
      <c r="DR93" s="703"/>
      <c r="DS93" s="703"/>
      <c r="DT93" s="703"/>
      <c r="DU93" s="703"/>
      <c r="DV93" s="703"/>
      <c r="DW93" s="703"/>
      <c r="DX93" s="703"/>
      <c r="DY93" s="703"/>
      <c r="DZ93" s="703"/>
      <c r="EA93" s="703"/>
      <c r="EB93" s="703"/>
      <c r="EC93" s="703"/>
      <c r="ED93" s="703"/>
      <c r="EE93" s="703"/>
      <c r="EF93" s="703"/>
      <c r="EG93" s="703"/>
      <c r="EH93" s="703"/>
      <c r="EI93" s="703"/>
      <c r="EJ93" s="703"/>
      <c r="EK93" s="703"/>
      <c r="EL93" s="703"/>
      <c r="EM93" s="703"/>
      <c r="EN93" s="703"/>
      <c r="EO93" s="703"/>
      <c r="EP93" s="703"/>
      <c r="EQ93" s="703"/>
      <c r="ER93" s="703"/>
      <c r="ES93" s="703"/>
      <c r="ET93" s="703"/>
      <c r="EU93" s="703"/>
      <c r="EV93" s="703"/>
      <c r="EW93" s="703"/>
      <c r="EX93" s="703"/>
      <c r="EY93" s="703"/>
      <c r="EZ93" s="703"/>
      <c r="FA93" s="703"/>
      <c r="FB93" s="703"/>
      <c r="FC93" s="703"/>
      <c r="FD93" s="703"/>
      <c r="FE93" s="703"/>
      <c r="FF93" s="703"/>
      <c r="FG93" s="703"/>
      <c r="FH93" s="703"/>
      <c r="FI93" s="703"/>
      <c r="FJ93" s="703"/>
      <c r="FK93" s="703"/>
      <c r="FL93" s="703"/>
      <c r="FM93" s="703"/>
      <c r="FN93" s="703"/>
      <c r="FO93" s="703"/>
      <c r="FP93" s="703"/>
      <c r="FQ93" s="703"/>
      <c r="FR93" s="703"/>
      <c r="FS93" s="703"/>
      <c r="FT93" s="703"/>
      <c r="FU93" s="703"/>
      <c r="FV93" s="703"/>
      <c r="FW93" s="703"/>
      <c r="FX93" s="703"/>
      <c r="FY93" s="703"/>
      <c r="FZ93" s="703"/>
      <c r="GA93" s="703"/>
      <c r="GB93" s="703"/>
      <c r="GC93" s="703"/>
      <c r="GD93" s="703"/>
      <c r="GE93" s="703"/>
      <c r="GF93" s="703"/>
      <c r="GG93" s="703"/>
      <c r="GH93" s="703"/>
      <c r="GI93" s="703"/>
      <c r="GJ93" s="703"/>
      <c r="GK93" s="703"/>
      <c r="GL93" s="703"/>
      <c r="GM93" s="703"/>
      <c r="GN93" s="703"/>
      <c r="GO93" s="703"/>
      <c r="GP93" s="703"/>
      <c r="GQ93" s="703"/>
      <c r="GR93" s="703"/>
      <c r="GS93" s="703"/>
      <c r="GT93" s="703"/>
      <c r="GU93" s="703"/>
      <c r="GV93" s="703"/>
      <c r="GW93" s="703"/>
      <c r="GX93" s="703"/>
      <c r="GY93" s="703"/>
      <c r="GZ93" s="703"/>
      <c r="HA93" s="703"/>
      <c r="HB93" s="703"/>
      <c r="HC93" s="703"/>
      <c r="HD93" s="703"/>
      <c r="HE93" s="703"/>
      <c r="HF93" s="703"/>
      <c r="HG93" s="703"/>
      <c r="HH93" s="703"/>
      <c r="HI93" s="703"/>
      <c r="HJ93" s="703"/>
      <c r="HK93" s="703"/>
      <c r="HL93" s="703"/>
      <c r="HM93" s="703"/>
      <c r="HN93" s="703"/>
      <c r="HO93" s="703"/>
      <c r="HP93" s="703"/>
      <c r="HQ93" s="703"/>
      <c r="HR93" s="703"/>
      <c r="HS93" s="703"/>
      <c r="HT93" s="703"/>
      <c r="HU93" s="703"/>
      <c r="HV93" s="703"/>
      <c r="HW93" s="703"/>
      <c r="HX93" s="703"/>
      <c r="HY93" s="703"/>
      <c r="HZ93" s="703"/>
      <c r="IA93" s="703"/>
      <c r="IB93" s="703"/>
      <c r="IC93" s="703"/>
      <c r="ID93" s="703"/>
      <c r="IE93" s="703"/>
      <c r="IF93" s="703"/>
      <c r="IG93" s="703"/>
      <c r="IH93" s="703"/>
      <c r="II93" s="703"/>
      <c r="IJ93" s="703"/>
      <c r="IK93" s="703"/>
      <c r="IL93" s="703"/>
      <c r="IM93" s="703"/>
      <c r="IN93" s="703"/>
      <c r="IO93" s="703"/>
      <c r="IP93" s="703"/>
      <c r="IQ93" s="703"/>
      <c r="IR93" s="703"/>
      <c r="IS93" s="703"/>
      <c r="IT93" s="703"/>
      <c r="IU93" s="703"/>
      <c r="IV93" s="703"/>
      <c r="IW93" s="703"/>
    </row>
    <row r="94" spans="1:257" s="641" customFormat="1" ht="15.75" hidden="1" customHeight="1">
      <c r="A94" s="699" t="s">
        <v>222</v>
      </c>
      <c r="B94" s="673" t="s">
        <v>204</v>
      </c>
      <c r="C94" s="699"/>
      <c r="D94" s="699"/>
      <c r="E94" s="700"/>
      <c r="F94" s="651"/>
      <c r="G94" s="705"/>
      <c r="H94" s="705"/>
      <c r="I94" s="705"/>
      <c r="J94" s="651">
        <f>J95+J96</f>
        <v>2000000000</v>
      </c>
      <c r="K94" s="651"/>
      <c r="L94" s="1305"/>
      <c r="M94" s="651"/>
      <c r="N94" s="655"/>
      <c r="O94" s="655"/>
      <c r="P94" s="706"/>
      <c r="Q94" s="706"/>
      <c r="R94" s="706" t="s">
        <v>875</v>
      </c>
      <c r="S94" s="620">
        <f>L499+L516+L547+L573+L603+L634+L660+L701+L734+L756+L793+L809+L829+L853+L943+L980+L1019+L1043+L1072</f>
        <v>12321496000</v>
      </c>
      <c r="T94" s="667">
        <f>L156+L181+L261</f>
        <v>1414728000</v>
      </c>
      <c r="U94" s="580"/>
      <c r="V94" s="581"/>
      <c r="W94" s="581"/>
      <c r="X94" s="578"/>
      <c r="Y94" s="582"/>
      <c r="Z94" s="582"/>
      <c r="AA94" s="582"/>
      <c r="AB94" s="582"/>
      <c r="AC94" s="582"/>
      <c r="AD94" s="582"/>
      <c r="AE94" s="582"/>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c r="BI94" s="582"/>
      <c r="BJ94" s="582"/>
      <c r="BK94" s="582"/>
      <c r="BL94" s="582"/>
      <c r="BM94" s="582"/>
      <c r="BN94" s="582"/>
      <c r="BO94" s="582"/>
      <c r="BP94" s="582"/>
      <c r="BQ94" s="582"/>
      <c r="BR94" s="582"/>
      <c r="BS94" s="582"/>
      <c r="BT94" s="582"/>
      <c r="BU94" s="582"/>
      <c r="BV94" s="582"/>
      <c r="BW94" s="582"/>
      <c r="BX94" s="582"/>
      <c r="BY94" s="582"/>
      <c r="BZ94" s="582"/>
      <c r="CA94" s="582"/>
      <c r="CB94" s="582"/>
      <c r="CC94" s="582"/>
      <c r="CD94" s="582"/>
      <c r="CE94" s="582"/>
      <c r="CF94" s="582"/>
      <c r="CG94" s="582"/>
      <c r="CH94" s="582"/>
      <c r="CI94" s="582"/>
      <c r="CJ94" s="582"/>
      <c r="CK94" s="582"/>
      <c r="CL94" s="582"/>
      <c r="CM94" s="582"/>
      <c r="CN94" s="582"/>
      <c r="CO94" s="582"/>
      <c r="CP94" s="582"/>
      <c r="CQ94" s="582"/>
      <c r="CR94" s="582"/>
      <c r="CS94" s="582"/>
      <c r="CT94" s="582"/>
      <c r="CU94" s="582"/>
      <c r="CV94" s="582"/>
      <c r="CW94" s="582"/>
      <c r="CX94" s="582"/>
      <c r="CY94" s="582"/>
      <c r="CZ94" s="582"/>
      <c r="DA94" s="582"/>
      <c r="DB94" s="582"/>
      <c r="DC94" s="582"/>
      <c r="DD94" s="582"/>
      <c r="DE94" s="582"/>
      <c r="DF94" s="582"/>
      <c r="DG94" s="582"/>
      <c r="DH94" s="582"/>
      <c r="DI94" s="582"/>
      <c r="DJ94" s="582"/>
      <c r="DK94" s="582"/>
      <c r="DL94" s="582"/>
      <c r="DM94" s="582"/>
      <c r="DN94" s="582"/>
      <c r="DO94" s="582"/>
      <c r="DP94" s="582"/>
      <c r="DQ94" s="582"/>
      <c r="DR94" s="582"/>
      <c r="DS94" s="582"/>
      <c r="DT94" s="582"/>
      <c r="DU94" s="582"/>
      <c r="DV94" s="582"/>
      <c r="DW94" s="582"/>
      <c r="DX94" s="582"/>
      <c r="DY94" s="582"/>
      <c r="DZ94" s="582"/>
      <c r="EA94" s="582"/>
      <c r="EB94" s="582"/>
      <c r="EC94" s="582"/>
      <c r="ED94" s="582"/>
      <c r="EE94" s="582"/>
      <c r="EF94" s="582"/>
      <c r="EG94" s="582"/>
      <c r="EH94" s="582"/>
      <c r="EI94" s="582"/>
      <c r="EJ94" s="582"/>
      <c r="EK94" s="582"/>
      <c r="EL94" s="582"/>
      <c r="EM94" s="582"/>
      <c r="EN94" s="582"/>
      <c r="EO94" s="582"/>
      <c r="EP94" s="582"/>
      <c r="EQ94" s="582"/>
      <c r="ER94" s="582"/>
      <c r="ES94" s="582"/>
      <c r="ET94" s="582"/>
      <c r="EU94" s="582"/>
      <c r="EV94" s="582"/>
      <c r="EW94" s="582"/>
      <c r="EX94" s="582"/>
      <c r="EY94" s="582"/>
      <c r="EZ94" s="582"/>
      <c r="FA94" s="582"/>
      <c r="FB94" s="582"/>
      <c r="FC94" s="582"/>
      <c r="FD94" s="582"/>
      <c r="FE94" s="582"/>
      <c r="FF94" s="582"/>
      <c r="FG94" s="582"/>
      <c r="FH94" s="582"/>
      <c r="FI94" s="582"/>
      <c r="FJ94" s="582"/>
      <c r="FK94" s="582"/>
      <c r="FL94" s="582"/>
      <c r="FM94" s="582"/>
      <c r="FN94" s="582"/>
      <c r="FO94" s="582"/>
      <c r="FP94" s="582"/>
      <c r="FQ94" s="582"/>
      <c r="FR94" s="582"/>
      <c r="FS94" s="582"/>
      <c r="FT94" s="582"/>
      <c r="FU94" s="582"/>
      <c r="FV94" s="582"/>
      <c r="FW94" s="582"/>
      <c r="FX94" s="582"/>
      <c r="FY94" s="582"/>
      <c r="FZ94" s="582"/>
      <c r="GA94" s="582"/>
      <c r="GB94" s="582"/>
      <c r="GC94" s="582"/>
      <c r="GD94" s="582"/>
      <c r="GE94" s="582"/>
      <c r="GF94" s="582"/>
      <c r="GG94" s="582"/>
      <c r="GH94" s="582"/>
      <c r="GI94" s="582"/>
      <c r="GJ94" s="582"/>
      <c r="GK94" s="582"/>
      <c r="GL94" s="582"/>
      <c r="GM94" s="582"/>
      <c r="GN94" s="582"/>
      <c r="GO94" s="582"/>
      <c r="GP94" s="582"/>
      <c r="GQ94" s="582"/>
      <c r="GR94" s="582"/>
      <c r="GS94" s="582"/>
      <c r="GT94" s="582"/>
      <c r="GU94" s="582"/>
      <c r="GV94" s="582"/>
      <c r="GW94" s="582"/>
      <c r="GX94" s="582"/>
      <c r="GY94" s="582"/>
      <c r="GZ94" s="582"/>
      <c r="HA94" s="582"/>
      <c r="HB94" s="582"/>
      <c r="HC94" s="582"/>
      <c r="HD94" s="582"/>
      <c r="HE94" s="582"/>
      <c r="HF94" s="582"/>
      <c r="HG94" s="582"/>
      <c r="HH94" s="582"/>
      <c r="HI94" s="582"/>
      <c r="HJ94" s="582"/>
      <c r="HK94" s="582"/>
      <c r="HL94" s="582"/>
      <c r="HM94" s="582"/>
      <c r="HN94" s="582"/>
      <c r="HO94" s="582"/>
      <c r="HP94" s="582"/>
      <c r="HQ94" s="582"/>
      <c r="HR94" s="582"/>
      <c r="HS94" s="582"/>
      <c r="HT94" s="582"/>
      <c r="HU94" s="582"/>
      <c r="HV94" s="582"/>
      <c r="HW94" s="582"/>
      <c r="HX94" s="582"/>
      <c r="HY94" s="582"/>
      <c r="HZ94" s="582"/>
      <c r="IA94" s="582"/>
      <c r="IB94" s="582"/>
      <c r="IC94" s="582"/>
      <c r="ID94" s="582"/>
      <c r="IE94" s="582"/>
      <c r="IF94" s="582"/>
      <c r="IG94" s="582"/>
      <c r="IH94" s="582"/>
      <c r="II94" s="582"/>
      <c r="IJ94" s="582"/>
      <c r="IK94" s="582"/>
      <c r="IL94" s="582"/>
      <c r="IM94" s="582"/>
      <c r="IN94" s="582"/>
      <c r="IO94" s="582"/>
      <c r="IP94" s="582"/>
      <c r="IQ94" s="582"/>
      <c r="IR94" s="582"/>
      <c r="IS94" s="582"/>
      <c r="IT94" s="582"/>
      <c r="IU94" s="582"/>
      <c r="IV94" s="582"/>
      <c r="IW94" s="582"/>
    </row>
    <row r="95" spans="1:257" s="681" customFormat="1" ht="15.75" hidden="1" customHeight="1">
      <c r="A95" s="713" t="s">
        <v>91</v>
      </c>
      <c r="B95" s="668" t="s">
        <v>223</v>
      </c>
      <c r="C95" s="713"/>
      <c r="D95" s="713"/>
      <c r="E95" s="725"/>
      <c r="F95" s="685"/>
      <c r="G95" s="709"/>
      <c r="H95" s="709"/>
      <c r="I95" s="709"/>
      <c r="J95" s="669">
        <v>1000000000</v>
      </c>
      <c r="K95" s="669"/>
      <c r="L95" s="1306"/>
      <c r="M95" s="685"/>
      <c r="N95" s="687"/>
      <c r="O95" s="687"/>
      <c r="P95" s="710"/>
      <c r="Q95" s="710"/>
      <c r="R95" s="710"/>
      <c r="S95" s="677"/>
      <c r="T95" s="678"/>
      <c r="U95" s="726"/>
      <c r="V95" s="727"/>
      <c r="W95" s="727"/>
      <c r="X95" s="728"/>
      <c r="Y95" s="682"/>
      <c r="Z95" s="682"/>
      <c r="AA95" s="682"/>
      <c r="AB95" s="682"/>
      <c r="AC95" s="682"/>
      <c r="AD95" s="682"/>
      <c r="AE95" s="682"/>
      <c r="AF95" s="682"/>
      <c r="AG95" s="682"/>
      <c r="AH95" s="682"/>
      <c r="AI95" s="682"/>
      <c r="AJ95" s="682"/>
      <c r="AK95" s="682"/>
      <c r="AL95" s="682"/>
      <c r="AM95" s="682"/>
      <c r="AN95" s="682"/>
      <c r="AO95" s="682"/>
      <c r="AP95" s="682"/>
      <c r="AQ95" s="682"/>
      <c r="AR95" s="682"/>
      <c r="AS95" s="682"/>
      <c r="AT95" s="682"/>
      <c r="AU95" s="682"/>
      <c r="AV95" s="682"/>
      <c r="AW95" s="682"/>
      <c r="AX95" s="682"/>
      <c r="AY95" s="682"/>
      <c r="AZ95" s="682"/>
      <c r="BA95" s="682"/>
      <c r="BB95" s="682"/>
      <c r="BC95" s="682"/>
      <c r="BD95" s="682"/>
      <c r="BE95" s="682"/>
      <c r="BF95" s="682"/>
      <c r="BG95" s="682"/>
      <c r="BH95" s="682"/>
      <c r="BI95" s="682"/>
      <c r="BJ95" s="682"/>
      <c r="BK95" s="682"/>
      <c r="BL95" s="682"/>
      <c r="BM95" s="682"/>
      <c r="BN95" s="682"/>
      <c r="BO95" s="682"/>
      <c r="BP95" s="682"/>
      <c r="BQ95" s="682"/>
      <c r="BR95" s="682"/>
      <c r="BS95" s="682"/>
      <c r="BT95" s="682"/>
      <c r="BU95" s="682"/>
      <c r="BV95" s="682"/>
      <c r="BW95" s="682"/>
      <c r="BX95" s="682"/>
      <c r="BY95" s="682"/>
      <c r="BZ95" s="682"/>
      <c r="CA95" s="682"/>
      <c r="CB95" s="682"/>
      <c r="CC95" s="682"/>
      <c r="CD95" s="682"/>
      <c r="CE95" s="682"/>
      <c r="CF95" s="682"/>
      <c r="CG95" s="682"/>
      <c r="CH95" s="682"/>
      <c r="CI95" s="682"/>
      <c r="CJ95" s="682"/>
      <c r="CK95" s="682"/>
      <c r="CL95" s="682"/>
      <c r="CM95" s="682"/>
      <c r="CN95" s="682"/>
      <c r="CO95" s="682"/>
      <c r="CP95" s="682"/>
      <c r="CQ95" s="682"/>
      <c r="CR95" s="682"/>
      <c r="CS95" s="682"/>
      <c r="CT95" s="682"/>
      <c r="CU95" s="682"/>
      <c r="CV95" s="682"/>
      <c r="CW95" s="682"/>
      <c r="CX95" s="682"/>
      <c r="CY95" s="682"/>
      <c r="CZ95" s="682"/>
      <c r="DA95" s="682"/>
      <c r="DB95" s="682"/>
      <c r="DC95" s="682"/>
      <c r="DD95" s="682"/>
      <c r="DE95" s="682"/>
      <c r="DF95" s="682"/>
      <c r="DG95" s="682"/>
      <c r="DH95" s="682"/>
      <c r="DI95" s="682"/>
      <c r="DJ95" s="682"/>
      <c r="DK95" s="682"/>
      <c r="DL95" s="682"/>
      <c r="DM95" s="682"/>
      <c r="DN95" s="682"/>
      <c r="DO95" s="682"/>
      <c r="DP95" s="682"/>
      <c r="DQ95" s="682"/>
      <c r="DR95" s="682"/>
      <c r="DS95" s="682"/>
      <c r="DT95" s="682"/>
      <c r="DU95" s="682"/>
      <c r="DV95" s="682"/>
      <c r="DW95" s="682"/>
      <c r="DX95" s="682"/>
      <c r="DY95" s="682"/>
      <c r="DZ95" s="682"/>
      <c r="EA95" s="682"/>
      <c r="EB95" s="682"/>
      <c r="EC95" s="682"/>
      <c r="ED95" s="682"/>
      <c r="EE95" s="682"/>
      <c r="EF95" s="682"/>
      <c r="EG95" s="682"/>
      <c r="EH95" s="682"/>
      <c r="EI95" s="682"/>
      <c r="EJ95" s="682"/>
      <c r="EK95" s="682"/>
      <c r="EL95" s="682"/>
      <c r="EM95" s="682"/>
      <c r="EN95" s="682"/>
      <c r="EO95" s="682"/>
      <c r="EP95" s="682"/>
      <c r="EQ95" s="682"/>
      <c r="ER95" s="682"/>
      <c r="ES95" s="682"/>
      <c r="ET95" s="682"/>
      <c r="EU95" s="682"/>
      <c r="EV95" s="682"/>
      <c r="EW95" s="682"/>
      <c r="EX95" s="682"/>
      <c r="EY95" s="682"/>
      <c r="EZ95" s="682"/>
      <c r="FA95" s="682"/>
      <c r="FB95" s="682"/>
      <c r="FC95" s="682"/>
      <c r="FD95" s="682"/>
      <c r="FE95" s="682"/>
      <c r="FF95" s="682"/>
      <c r="FG95" s="682"/>
      <c r="FH95" s="682"/>
      <c r="FI95" s="682"/>
      <c r="FJ95" s="682"/>
      <c r="FK95" s="682"/>
      <c r="FL95" s="682"/>
      <c r="FM95" s="682"/>
      <c r="FN95" s="682"/>
      <c r="FO95" s="682"/>
      <c r="FP95" s="682"/>
      <c r="FQ95" s="682"/>
      <c r="FR95" s="682"/>
      <c r="FS95" s="682"/>
      <c r="FT95" s="682"/>
      <c r="FU95" s="682"/>
      <c r="FV95" s="682"/>
      <c r="FW95" s="682"/>
      <c r="FX95" s="682"/>
      <c r="FY95" s="682"/>
      <c r="FZ95" s="682"/>
      <c r="GA95" s="682"/>
      <c r="GB95" s="682"/>
      <c r="GC95" s="682"/>
      <c r="GD95" s="682"/>
      <c r="GE95" s="682"/>
      <c r="GF95" s="682"/>
      <c r="GG95" s="682"/>
      <c r="GH95" s="682"/>
      <c r="GI95" s="682"/>
      <c r="GJ95" s="682"/>
      <c r="GK95" s="682"/>
      <c r="GL95" s="682"/>
      <c r="GM95" s="682"/>
      <c r="GN95" s="682"/>
      <c r="GO95" s="682"/>
      <c r="GP95" s="682"/>
      <c r="GQ95" s="682"/>
      <c r="GR95" s="682"/>
      <c r="GS95" s="682"/>
      <c r="GT95" s="682"/>
      <c r="GU95" s="682"/>
      <c r="GV95" s="682"/>
      <c r="GW95" s="682"/>
      <c r="GX95" s="682"/>
      <c r="GY95" s="682"/>
      <c r="GZ95" s="682"/>
      <c r="HA95" s="682"/>
      <c r="HB95" s="682"/>
      <c r="HC95" s="682"/>
      <c r="HD95" s="682"/>
      <c r="HE95" s="682"/>
      <c r="HF95" s="682"/>
      <c r="HG95" s="682"/>
      <c r="HH95" s="682"/>
      <c r="HI95" s="682"/>
      <c r="HJ95" s="682"/>
      <c r="HK95" s="682"/>
      <c r="HL95" s="682"/>
      <c r="HM95" s="682"/>
      <c r="HN95" s="682"/>
      <c r="HO95" s="682"/>
      <c r="HP95" s="682"/>
      <c r="HQ95" s="682"/>
      <c r="HR95" s="682"/>
      <c r="HS95" s="682"/>
      <c r="HT95" s="682"/>
      <c r="HU95" s="682"/>
      <c r="HV95" s="682"/>
      <c r="HW95" s="682"/>
      <c r="HX95" s="682"/>
      <c r="HY95" s="682"/>
      <c r="HZ95" s="682"/>
      <c r="IA95" s="682"/>
      <c r="IB95" s="682"/>
      <c r="IC95" s="682"/>
      <c r="ID95" s="682"/>
      <c r="IE95" s="682"/>
      <c r="IF95" s="682"/>
      <c r="IG95" s="682"/>
      <c r="IH95" s="682"/>
      <c r="II95" s="682"/>
      <c r="IJ95" s="682"/>
      <c r="IK95" s="682"/>
      <c r="IL95" s="682"/>
      <c r="IM95" s="682"/>
      <c r="IN95" s="682"/>
      <c r="IO95" s="682"/>
      <c r="IP95" s="682"/>
      <c r="IQ95" s="682"/>
      <c r="IR95" s="682"/>
      <c r="IS95" s="682"/>
      <c r="IT95" s="682"/>
      <c r="IU95" s="682"/>
      <c r="IV95" s="682"/>
      <c r="IW95" s="682"/>
    </row>
    <row r="96" spans="1:257" s="681" customFormat="1" ht="15.75" hidden="1" customHeight="1">
      <c r="A96" s="713" t="s">
        <v>91</v>
      </c>
      <c r="B96" s="668" t="s">
        <v>224</v>
      </c>
      <c r="C96" s="713"/>
      <c r="D96" s="713"/>
      <c r="E96" s="725"/>
      <c r="F96" s="685"/>
      <c r="G96" s="709"/>
      <c r="H96" s="709"/>
      <c r="I96" s="709"/>
      <c r="J96" s="669">
        <v>1000000000</v>
      </c>
      <c r="K96" s="669"/>
      <c r="L96" s="1306"/>
      <c r="M96" s="685"/>
      <c r="N96" s="687"/>
      <c r="O96" s="687"/>
      <c r="P96" s="710"/>
      <c r="Q96" s="710"/>
      <c r="R96" s="710"/>
      <c r="S96" s="677"/>
      <c r="T96" s="678"/>
      <c r="U96" s="726"/>
      <c r="V96" s="727"/>
      <c r="W96" s="727"/>
      <c r="X96" s="728"/>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c r="CB96" s="682"/>
      <c r="CC96" s="682"/>
      <c r="CD96" s="682"/>
      <c r="CE96" s="682"/>
      <c r="CF96" s="682"/>
      <c r="CG96" s="682"/>
      <c r="CH96" s="682"/>
      <c r="CI96" s="682"/>
      <c r="CJ96" s="682"/>
      <c r="CK96" s="682"/>
      <c r="CL96" s="682"/>
      <c r="CM96" s="682"/>
      <c r="CN96" s="682"/>
      <c r="CO96" s="682"/>
      <c r="CP96" s="682"/>
      <c r="CQ96" s="682"/>
      <c r="CR96" s="682"/>
      <c r="CS96" s="682"/>
      <c r="CT96" s="682"/>
      <c r="CU96" s="682"/>
      <c r="CV96" s="682"/>
      <c r="CW96" s="682"/>
      <c r="CX96" s="682"/>
      <c r="CY96" s="682"/>
      <c r="CZ96" s="682"/>
      <c r="DA96" s="682"/>
      <c r="DB96" s="682"/>
      <c r="DC96" s="682"/>
      <c r="DD96" s="682"/>
      <c r="DE96" s="682"/>
      <c r="DF96" s="682"/>
      <c r="DG96" s="682"/>
      <c r="DH96" s="682"/>
      <c r="DI96" s="682"/>
      <c r="DJ96" s="682"/>
      <c r="DK96" s="682"/>
      <c r="DL96" s="682"/>
      <c r="DM96" s="682"/>
      <c r="DN96" s="682"/>
      <c r="DO96" s="682"/>
      <c r="DP96" s="682"/>
      <c r="DQ96" s="682"/>
      <c r="DR96" s="682"/>
      <c r="DS96" s="682"/>
      <c r="DT96" s="682"/>
      <c r="DU96" s="682"/>
      <c r="DV96" s="682"/>
      <c r="DW96" s="682"/>
      <c r="DX96" s="682"/>
      <c r="DY96" s="682"/>
      <c r="DZ96" s="682"/>
      <c r="EA96" s="682"/>
      <c r="EB96" s="682"/>
      <c r="EC96" s="682"/>
      <c r="ED96" s="682"/>
      <c r="EE96" s="682"/>
      <c r="EF96" s="682"/>
      <c r="EG96" s="682"/>
      <c r="EH96" s="682"/>
      <c r="EI96" s="682"/>
      <c r="EJ96" s="682"/>
      <c r="EK96" s="682"/>
      <c r="EL96" s="682"/>
      <c r="EM96" s="682"/>
      <c r="EN96" s="682"/>
      <c r="EO96" s="682"/>
      <c r="EP96" s="682"/>
      <c r="EQ96" s="682"/>
      <c r="ER96" s="682"/>
      <c r="ES96" s="682"/>
      <c r="ET96" s="682"/>
      <c r="EU96" s="682"/>
      <c r="EV96" s="682"/>
      <c r="EW96" s="682"/>
      <c r="EX96" s="682"/>
      <c r="EY96" s="682"/>
      <c r="EZ96" s="682"/>
      <c r="FA96" s="682"/>
      <c r="FB96" s="682"/>
      <c r="FC96" s="682"/>
      <c r="FD96" s="682"/>
      <c r="FE96" s="682"/>
      <c r="FF96" s="682"/>
      <c r="FG96" s="682"/>
      <c r="FH96" s="682"/>
      <c r="FI96" s="682"/>
      <c r="FJ96" s="682"/>
      <c r="FK96" s="682"/>
      <c r="FL96" s="682"/>
      <c r="FM96" s="682"/>
      <c r="FN96" s="682"/>
      <c r="FO96" s="682"/>
      <c r="FP96" s="682"/>
      <c r="FQ96" s="682"/>
      <c r="FR96" s="682"/>
      <c r="FS96" s="682"/>
      <c r="FT96" s="682"/>
      <c r="FU96" s="682"/>
      <c r="FV96" s="682"/>
      <c r="FW96" s="682"/>
      <c r="FX96" s="682"/>
      <c r="FY96" s="682"/>
      <c r="FZ96" s="682"/>
      <c r="GA96" s="682"/>
      <c r="GB96" s="682"/>
      <c r="GC96" s="682"/>
      <c r="GD96" s="682"/>
      <c r="GE96" s="682"/>
      <c r="GF96" s="682"/>
      <c r="GG96" s="682"/>
      <c r="GH96" s="682"/>
      <c r="GI96" s="682"/>
      <c r="GJ96" s="682"/>
      <c r="GK96" s="682"/>
      <c r="GL96" s="682"/>
      <c r="GM96" s="682"/>
      <c r="GN96" s="682"/>
      <c r="GO96" s="682"/>
      <c r="GP96" s="682"/>
      <c r="GQ96" s="682"/>
      <c r="GR96" s="682"/>
      <c r="GS96" s="682"/>
      <c r="GT96" s="682"/>
      <c r="GU96" s="682"/>
      <c r="GV96" s="682"/>
      <c r="GW96" s="682"/>
      <c r="GX96" s="682"/>
      <c r="GY96" s="682"/>
      <c r="GZ96" s="682"/>
      <c r="HA96" s="682"/>
      <c r="HB96" s="682"/>
      <c r="HC96" s="682"/>
      <c r="HD96" s="682"/>
      <c r="HE96" s="682"/>
      <c r="HF96" s="682"/>
      <c r="HG96" s="682"/>
      <c r="HH96" s="682"/>
      <c r="HI96" s="682"/>
      <c r="HJ96" s="682"/>
      <c r="HK96" s="682"/>
      <c r="HL96" s="682"/>
      <c r="HM96" s="682"/>
      <c r="HN96" s="682"/>
      <c r="HO96" s="682"/>
      <c r="HP96" s="682"/>
      <c r="HQ96" s="682"/>
      <c r="HR96" s="682"/>
      <c r="HS96" s="682"/>
      <c r="HT96" s="682"/>
      <c r="HU96" s="682"/>
      <c r="HV96" s="682"/>
      <c r="HW96" s="682"/>
      <c r="HX96" s="682"/>
      <c r="HY96" s="682"/>
      <c r="HZ96" s="682"/>
      <c r="IA96" s="682"/>
      <c r="IB96" s="682"/>
      <c r="IC96" s="682"/>
      <c r="ID96" s="682"/>
      <c r="IE96" s="682"/>
      <c r="IF96" s="682"/>
      <c r="IG96" s="682"/>
      <c r="IH96" s="682"/>
      <c r="II96" s="682"/>
      <c r="IJ96" s="682"/>
      <c r="IK96" s="682"/>
      <c r="IL96" s="682"/>
      <c r="IM96" s="682"/>
      <c r="IN96" s="682"/>
      <c r="IO96" s="682"/>
      <c r="IP96" s="682"/>
      <c r="IQ96" s="682"/>
      <c r="IR96" s="682"/>
      <c r="IS96" s="682"/>
      <c r="IT96" s="682"/>
      <c r="IU96" s="682"/>
      <c r="IV96" s="682"/>
      <c r="IW96" s="682"/>
    </row>
    <row r="97" spans="1:257" s="641" customFormat="1" ht="15.75" hidden="1" customHeight="1">
      <c r="A97" s="699" t="s">
        <v>225</v>
      </c>
      <c r="B97" s="673" t="s">
        <v>226</v>
      </c>
      <c r="C97" s="699"/>
      <c r="D97" s="699"/>
      <c r="E97" s="700"/>
      <c r="F97" s="707"/>
      <c r="G97" s="705"/>
      <c r="H97" s="705"/>
      <c r="I97" s="705"/>
      <c r="J97" s="651">
        <v>2000000000</v>
      </c>
      <c r="K97" s="651"/>
      <c r="L97" s="1305"/>
      <c r="M97" s="707"/>
      <c r="N97" s="708"/>
      <c r="O97" s="708"/>
      <c r="P97" s="706"/>
      <c r="Q97" s="706"/>
      <c r="R97" s="706"/>
      <c r="S97" s="677"/>
      <c r="T97" s="678"/>
      <c r="U97" s="580"/>
      <c r="V97" s="581"/>
      <c r="W97" s="581"/>
      <c r="X97" s="578"/>
      <c r="Y97" s="582"/>
      <c r="Z97" s="582"/>
      <c r="AA97" s="582"/>
      <c r="AB97" s="582"/>
      <c r="AC97" s="582"/>
      <c r="AD97" s="582"/>
      <c r="AE97" s="582"/>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c r="BI97" s="582"/>
      <c r="BJ97" s="582"/>
      <c r="BK97" s="582"/>
      <c r="BL97" s="582"/>
      <c r="BM97" s="582"/>
      <c r="BN97" s="582"/>
      <c r="BO97" s="582"/>
      <c r="BP97" s="582"/>
      <c r="BQ97" s="582"/>
      <c r="BR97" s="582"/>
      <c r="BS97" s="582"/>
      <c r="BT97" s="582"/>
      <c r="BU97" s="582"/>
      <c r="BV97" s="582"/>
      <c r="BW97" s="582"/>
      <c r="BX97" s="582"/>
      <c r="BY97" s="582"/>
      <c r="BZ97" s="582"/>
      <c r="CA97" s="582"/>
      <c r="CB97" s="582"/>
      <c r="CC97" s="582"/>
      <c r="CD97" s="582"/>
      <c r="CE97" s="582"/>
      <c r="CF97" s="582"/>
      <c r="CG97" s="582"/>
      <c r="CH97" s="582"/>
      <c r="CI97" s="582"/>
      <c r="CJ97" s="582"/>
      <c r="CK97" s="582"/>
      <c r="CL97" s="582"/>
      <c r="CM97" s="582"/>
      <c r="CN97" s="582"/>
      <c r="CO97" s="582"/>
      <c r="CP97" s="582"/>
      <c r="CQ97" s="582"/>
      <c r="CR97" s="582"/>
      <c r="CS97" s="582"/>
      <c r="CT97" s="582"/>
      <c r="CU97" s="582"/>
      <c r="CV97" s="582"/>
      <c r="CW97" s="582"/>
      <c r="CX97" s="582"/>
      <c r="CY97" s="582"/>
      <c r="CZ97" s="582"/>
      <c r="DA97" s="582"/>
      <c r="DB97" s="582"/>
      <c r="DC97" s="582"/>
      <c r="DD97" s="582"/>
      <c r="DE97" s="582"/>
      <c r="DF97" s="582"/>
      <c r="DG97" s="582"/>
      <c r="DH97" s="582"/>
      <c r="DI97" s="582"/>
      <c r="DJ97" s="582"/>
      <c r="DK97" s="582"/>
      <c r="DL97" s="582"/>
      <c r="DM97" s="582"/>
      <c r="DN97" s="582"/>
      <c r="DO97" s="582"/>
      <c r="DP97" s="582"/>
      <c r="DQ97" s="582"/>
      <c r="DR97" s="582"/>
      <c r="DS97" s="582"/>
      <c r="DT97" s="582"/>
      <c r="DU97" s="582"/>
      <c r="DV97" s="582"/>
      <c r="DW97" s="582"/>
      <c r="DX97" s="582"/>
      <c r="DY97" s="582"/>
      <c r="DZ97" s="582"/>
      <c r="EA97" s="582"/>
      <c r="EB97" s="582"/>
      <c r="EC97" s="582"/>
      <c r="ED97" s="582"/>
      <c r="EE97" s="582"/>
      <c r="EF97" s="582"/>
      <c r="EG97" s="582"/>
      <c r="EH97" s="582"/>
      <c r="EI97" s="582"/>
      <c r="EJ97" s="582"/>
      <c r="EK97" s="582"/>
      <c r="EL97" s="582"/>
      <c r="EM97" s="582"/>
      <c r="EN97" s="582"/>
      <c r="EO97" s="582"/>
      <c r="EP97" s="582"/>
      <c r="EQ97" s="582"/>
      <c r="ER97" s="582"/>
      <c r="ES97" s="582"/>
      <c r="ET97" s="582"/>
      <c r="EU97" s="582"/>
      <c r="EV97" s="582"/>
      <c r="EW97" s="582"/>
      <c r="EX97" s="582"/>
      <c r="EY97" s="582"/>
      <c r="EZ97" s="582"/>
      <c r="FA97" s="582"/>
      <c r="FB97" s="582"/>
      <c r="FC97" s="582"/>
      <c r="FD97" s="582"/>
      <c r="FE97" s="582"/>
      <c r="FF97" s="582"/>
      <c r="FG97" s="582"/>
      <c r="FH97" s="582"/>
      <c r="FI97" s="582"/>
      <c r="FJ97" s="582"/>
      <c r="FK97" s="582"/>
      <c r="FL97" s="582"/>
      <c r="FM97" s="582"/>
      <c r="FN97" s="582"/>
      <c r="FO97" s="582"/>
      <c r="FP97" s="582"/>
      <c r="FQ97" s="582"/>
      <c r="FR97" s="582"/>
      <c r="FS97" s="582"/>
      <c r="FT97" s="582"/>
      <c r="FU97" s="582"/>
      <c r="FV97" s="582"/>
      <c r="FW97" s="582"/>
      <c r="FX97" s="582"/>
      <c r="FY97" s="582"/>
      <c r="FZ97" s="582"/>
      <c r="GA97" s="582"/>
      <c r="GB97" s="582"/>
      <c r="GC97" s="582"/>
      <c r="GD97" s="582"/>
      <c r="GE97" s="582"/>
      <c r="GF97" s="582"/>
      <c r="GG97" s="582"/>
      <c r="GH97" s="582"/>
      <c r="GI97" s="582"/>
      <c r="GJ97" s="582"/>
      <c r="GK97" s="582"/>
      <c r="GL97" s="582"/>
      <c r="GM97" s="582"/>
      <c r="GN97" s="582"/>
      <c r="GO97" s="582"/>
      <c r="GP97" s="582"/>
      <c r="GQ97" s="582"/>
      <c r="GR97" s="582"/>
      <c r="GS97" s="582"/>
      <c r="GT97" s="582"/>
      <c r="GU97" s="582"/>
      <c r="GV97" s="582"/>
      <c r="GW97" s="582"/>
      <c r="GX97" s="582"/>
      <c r="GY97" s="582"/>
      <c r="GZ97" s="582"/>
      <c r="HA97" s="582"/>
      <c r="HB97" s="582"/>
      <c r="HC97" s="582"/>
      <c r="HD97" s="582"/>
      <c r="HE97" s="582"/>
      <c r="HF97" s="582"/>
      <c r="HG97" s="582"/>
      <c r="HH97" s="582"/>
      <c r="HI97" s="582"/>
      <c r="HJ97" s="582"/>
      <c r="HK97" s="582"/>
      <c r="HL97" s="582"/>
      <c r="HM97" s="582"/>
      <c r="HN97" s="582"/>
      <c r="HO97" s="582"/>
      <c r="HP97" s="582"/>
      <c r="HQ97" s="582"/>
      <c r="HR97" s="582"/>
      <c r="HS97" s="582"/>
      <c r="HT97" s="582"/>
      <c r="HU97" s="582"/>
      <c r="HV97" s="582"/>
      <c r="HW97" s="582"/>
      <c r="HX97" s="582"/>
      <c r="HY97" s="582"/>
      <c r="HZ97" s="582"/>
      <c r="IA97" s="582"/>
      <c r="IB97" s="582"/>
      <c r="IC97" s="582"/>
      <c r="ID97" s="582"/>
      <c r="IE97" s="582"/>
      <c r="IF97" s="582"/>
      <c r="IG97" s="582"/>
      <c r="IH97" s="582"/>
      <c r="II97" s="582"/>
      <c r="IJ97" s="582"/>
      <c r="IK97" s="582"/>
      <c r="IL97" s="582"/>
      <c r="IM97" s="582"/>
      <c r="IN97" s="582"/>
      <c r="IO97" s="582"/>
      <c r="IP97" s="582"/>
      <c r="IQ97" s="582"/>
      <c r="IR97" s="582"/>
      <c r="IS97" s="582"/>
      <c r="IT97" s="582"/>
      <c r="IU97" s="582"/>
      <c r="IV97" s="582"/>
      <c r="IW97" s="582"/>
    </row>
    <row r="98" spans="1:257" s="665" customFormat="1" ht="47.25">
      <c r="A98" s="729" t="s">
        <v>876</v>
      </c>
      <c r="B98" s="730" t="s">
        <v>877</v>
      </c>
      <c r="C98" s="729"/>
      <c r="D98" s="729"/>
      <c r="E98" s="731"/>
      <c r="F98" s="626"/>
      <c r="G98" s="732"/>
      <c r="H98" s="732"/>
      <c r="I98" s="732"/>
      <c r="J98" s="660">
        <v>6000000000</v>
      </c>
      <c r="K98" s="660">
        <v>6000000000</v>
      </c>
      <c r="L98" s="1303">
        <v>8485237800</v>
      </c>
      <c r="M98" s="626" t="s">
        <v>878</v>
      </c>
      <c r="N98" s="660">
        <f>[5]Vân!$L$98</f>
        <v>8485237800</v>
      </c>
      <c r="O98" s="627"/>
      <c r="P98" s="629"/>
      <c r="Q98" s="629"/>
      <c r="R98" s="629" t="s">
        <v>879</v>
      </c>
      <c r="S98" s="633"/>
      <c r="T98" s="733"/>
      <c r="U98" s="734"/>
      <c r="V98" s="735"/>
      <c r="W98" s="735"/>
      <c r="X98" s="736"/>
      <c r="Y98" s="737"/>
      <c r="Z98" s="737"/>
      <c r="AA98" s="737"/>
      <c r="AB98" s="737"/>
      <c r="AC98" s="737"/>
      <c r="AD98" s="737"/>
      <c r="AE98" s="737"/>
      <c r="AF98" s="737"/>
      <c r="AG98" s="737"/>
      <c r="AH98" s="737"/>
      <c r="AI98" s="737"/>
      <c r="AJ98" s="737"/>
      <c r="AK98" s="737"/>
      <c r="AL98" s="737"/>
      <c r="AM98" s="737"/>
      <c r="AN98" s="737"/>
      <c r="AO98" s="737"/>
      <c r="AP98" s="737"/>
      <c r="AQ98" s="737"/>
      <c r="AR98" s="737"/>
      <c r="AS98" s="737"/>
      <c r="AT98" s="737"/>
      <c r="AU98" s="737"/>
      <c r="AV98" s="737"/>
      <c r="AW98" s="737"/>
      <c r="AX98" s="737"/>
      <c r="AY98" s="737"/>
      <c r="AZ98" s="737"/>
      <c r="BA98" s="737"/>
      <c r="BB98" s="737"/>
      <c r="BC98" s="737"/>
      <c r="BD98" s="737"/>
      <c r="BE98" s="737"/>
      <c r="BF98" s="737"/>
      <c r="BG98" s="737"/>
      <c r="BH98" s="737"/>
      <c r="BI98" s="737"/>
      <c r="BJ98" s="737"/>
      <c r="BK98" s="737"/>
      <c r="BL98" s="737"/>
      <c r="BM98" s="737"/>
      <c r="BN98" s="737"/>
      <c r="BO98" s="737"/>
      <c r="BP98" s="737"/>
      <c r="BQ98" s="737"/>
      <c r="BR98" s="737"/>
      <c r="BS98" s="737"/>
      <c r="BT98" s="737"/>
      <c r="BU98" s="737"/>
      <c r="BV98" s="737"/>
      <c r="BW98" s="737"/>
      <c r="BX98" s="737"/>
      <c r="BY98" s="737"/>
      <c r="BZ98" s="737"/>
      <c r="CA98" s="737"/>
      <c r="CB98" s="737"/>
      <c r="CC98" s="737"/>
      <c r="CD98" s="737"/>
      <c r="CE98" s="737"/>
      <c r="CF98" s="737"/>
      <c r="CG98" s="737"/>
      <c r="CH98" s="737"/>
      <c r="CI98" s="737"/>
      <c r="CJ98" s="737"/>
      <c r="CK98" s="737"/>
      <c r="CL98" s="737"/>
      <c r="CM98" s="737"/>
      <c r="CN98" s="737"/>
      <c r="CO98" s="737"/>
      <c r="CP98" s="737"/>
      <c r="CQ98" s="737"/>
      <c r="CR98" s="737"/>
      <c r="CS98" s="737"/>
      <c r="CT98" s="737"/>
      <c r="CU98" s="737"/>
      <c r="CV98" s="737"/>
      <c r="CW98" s="737"/>
      <c r="CX98" s="737"/>
      <c r="CY98" s="737"/>
      <c r="CZ98" s="737"/>
      <c r="DA98" s="737"/>
      <c r="DB98" s="737"/>
      <c r="DC98" s="737"/>
      <c r="DD98" s="737"/>
      <c r="DE98" s="737"/>
      <c r="DF98" s="737"/>
      <c r="DG98" s="737"/>
      <c r="DH98" s="737"/>
      <c r="DI98" s="737"/>
      <c r="DJ98" s="737"/>
      <c r="DK98" s="737"/>
      <c r="DL98" s="737"/>
      <c r="DM98" s="737"/>
      <c r="DN98" s="737"/>
      <c r="DO98" s="737"/>
      <c r="DP98" s="737"/>
      <c r="DQ98" s="737"/>
      <c r="DR98" s="737"/>
      <c r="DS98" s="737"/>
      <c r="DT98" s="737"/>
      <c r="DU98" s="737"/>
      <c r="DV98" s="737"/>
      <c r="DW98" s="737"/>
      <c r="DX98" s="737"/>
      <c r="DY98" s="737"/>
      <c r="DZ98" s="737"/>
      <c r="EA98" s="737"/>
      <c r="EB98" s="737"/>
      <c r="EC98" s="737"/>
      <c r="ED98" s="737"/>
      <c r="EE98" s="737"/>
      <c r="EF98" s="737"/>
      <c r="EG98" s="737"/>
      <c r="EH98" s="737"/>
      <c r="EI98" s="737"/>
      <c r="EJ98" s="737"/>
      <c r="EK98" s="737"/>
      <c r="EL98" s="737"/>
      <c r="EM98" s="737"/>
      <c r="EN98" s="737"/>
      <c r="EO98" s="737"/>
      <c r="EP98" s="737"/>
      <c r="EQ98" s="737"/>
      <c r="ER98" s="737"/>
      <c r="ES98" s="737"/>
      <c r="ET98" s="737"/>
      <c r="EU98" s="737"/>
      <c r="EV98" s="737"/>
      <c r="EW98" s="737"/>
      <c r="EX98" s="737"/>
      <c r="EY98" s="737"/>
      <c r="EZ98" s="737"/>
      <c r="FA98" s="737"/>
      <c r="FB98" s="737"/>
      <c r="FC98" s="737"/>
      <c r="FD98" s="737"/>
      <c r="FE98" s="737"/>
      <c r="FF98" s="737"/>
      <c r="FG98" s="737"/>
      <c r="FH98" s="737"/>
      <c r="FI98" s="737"/>
      <c r="FJ98" s="737"/>
      <c r="FK98" s="737"/>
      <c r="FL98" s="737"/>
      <c r="FM98" s="737"/>
      <c r="FN98" s="737"/>
      <c r="FO98" s="737"/>
      <c r="FP98" s="737"/>
      <c r="FQ98" s="737"/>
      <c r="FR98" s="737"/>
      <c r="FS98" s="737"/>
      <c r="FT98" s="737"/>
      <c r="FU98" s="737"/>
      <c r="FV98" s="737"/>
      <c r="FW98" s="737"/>
      <c r="FX98" s="737"/>
      <c r="FY98" s="737"/>
      <c r="FZ98" s="737"/>
      <c r="GA98" s="737"/>
      <c r="GB98" s="737"/>
      <c r="GC98" s="737"/>
      <c r="GD98" s="737"/>
      <c r="GE98" s="737"/>
      <c r="GF98" s="737"/>
      <c r="GG98" s="737"/>
      <c r="GH98" s="737"/>
      <c r="GI98" s="737"/>
      <c r="GJ98" s="737"/>
      <c r="GK98" s="737"/>
      <c r="GL98" s="737"/>
      <c r="GM98" s="737"/>
      <c r="GN98" s="737"/>
      <c r="GO98" s="737"/>
      <c r="GP98" s="737"/>
      <c r="GQ98" s="737"/>
      <c r="GR98" s="737"/>
      <c r="GS98" s="737"/>
      <c r="GT98" s="737"/>
      <c r="GU98" s="737"/>
      <c r="GV98" s="737"/>
      <c r="GW98" s="737"/>
      <c r="GX98" s="737"/>
      <c r="GY98" s="737"/>
      <c r="GZ98" s="737"/>
      <c r="HA98" s="737"/>
      <c r="HB98" s="737"/>
      <c r="HC98" s="737"/>
      <c r="HD98" s="737"/>
      <c r="HE98" s="737"/>
      <c r="HF98" s="737"/>
      <c r="HG98" s="737"/>
      <c r="HH98" s="737"/>
      <c r="HI98" s="737"/>
      <c r="HJ98" s="737"/>
      <c r="HK98" s="737"/>
      <c r="HL98" s="737"/>
      <c r="HM98" s="737"/>
      <c r="HN98" s="737"/>
      <c r="HO98" s="737"/>
      <c r="HP98" s="737"/>
      <c r="HQ98" s="737"/>
      <c r="HR98" s="737"/>
      <c r="HS98" s="737"/>
      <c r="HT98" s="737"/>
      <c r="HU98" s="737"/>
      <c r="HV98" s="737"/>
      <c r="HW98" s="737"/>
      <c r="HX98" s="737"/>
      <c r="HY98" s="737"/>
      <c r="HZ98" s="737"/>
      <c r="IA98" s="737"/>
      <c r="IB98" s="737"/>
      <c r="IC98" s="737"/>
      <c r="ID98" s="737"/>
      <c r="IE98" s="737"/>
      <c r="IF98" s="737"/>
      <c r="IG98" s="737"/>
      <c r="IH98" s="737"/>
      <c r="II98" s="737"/>
      <c r="IJ98" s="737"/>
      <c r="IK98" s="737"/>
      <c r="IL98" s="737"/>
      <c r="IM98" s="737"/>
      <c r="IN98" s="737"/>
      <c r="IO98" s="737"/>
      <c r="IP98" s="737"/>
      <c r="IQ98" s="737"/>
      <c r="IR98" s="737"/>
      <c r="IS98" s="737"/>
      <c r="IT98" s="737"/>
      <c r="IU98" s="737"/>
      <c r="IV98" s="737"/>
      <c r="IW98" s="737"/>
    </row>
    <row r="99" spans="1:257" s="614" customFormat="1">
      <c r="A99" s="589" t="s">
        <v>880</v>
      </c>
      <c r="B99" s="671" t="s">
        <v>231</v>
      </c>
      <c r="C99" s="589"/>
      <c r="D99" s="589"/>
      <c r="E99" s="704"/>
      <c r="F99" s="603"/>
      <c r="G99" s="636"/>
      <c r="H99" s="636"/>
      <c r="I99" s="636"/>
      <c r="J99" s="609">
        <v>6000000000</v>
      </c>
      <c r="K99" s="609">
        <f>K100+K101</f>
        <v>9400000000</v>
      </c>
      <c r="L99" s="1303">
        <f>L100+L101</f>
        <v>2000000000</v>
      </c>
      <c r="M99" s="603"/>
      <c r="N99" s="596"/>
      <c r="O99" s="596"/>
      <c r="P99" s="610"/>
      <c r="Q99" s="610"/>
      <c r="R99" s="610"/>
      <c r="S99" s="620"/>
      <c r="T99" s="675"/>
      <c r="U99" s="577"/>
      <c r="V99" s="701"/>
      <c r="W99" s="701"/>
      <c r="X99" s="702"/>
      <c r="Y99" s="703"/>
      <c r="Z99" s="703"/>
      <c r="AA99" s="703"/>
      <c r="AB99" s="703"/>
      <c r="AC99" s="703"/>
      <c r="AD99" s="703"/>
      <c r="AE99" s="703"/>
      <c r="AF99" s="703"/>
      <c r="AG99" s="703"/>
      <c r="AH99" s="703"/>
      <c r="AI99" s="703"/>
      <c r="AJ99" s="703"/>
      <c r="AK99" s="703"/>
      <c r="AL99" s="703"/>
      <c r="AM99" s="703"/>
      <c r="AN99" s="703"/>
      <c r="AO99" s="703"/>
      <c r="AP99" s="703"/>
      <c r="AQ99" s="703"/>
      <c r="AR99" s="703"/>
      <c r="AS99" s="703"/>
      <c r="AT99" s="703"/>
      <c r="AU99" s="703"/>
      <c r="AV99" s="703"/>
      <c r="AW99" s="703"/>
      <c r="AX99" s="703"/>
      <c r="AY99" s="703"/>
      <c r="AZ99" s="703"/>
      <c r="BA99" s="703"/>
      <c r="BB99" s="703"/>
      <c r="BC99" s="703"/>
      <c r="BD99" s="703"/>
      <c r="BE99" s="703"/>
      <c r="BF99" s="703"/>
      <c r="BG99" s="703"/>
      <c r="BH99" s="703"/>
      <c r="BI99" s="703"/>
      <c r="BJ99" s="703"/>
      <c r="BK99" s="703"/>
      <c r="BL99" s="703"/>
      <c r="BM99" s="703"/>
      <c r="BN99" s="703"/>
      <c r="BO99" s="703"/>
      <c r="BP99" s="703"/>
      <c r="BQ99" s="703"/>
      <c r="BR99" s="703"/>
      <c r="BS99" s="703"/>
      <c r="BT99" s="703"/>
      <c r="BU99" s="703"/>
      <c r="BV99" s="703"/>
      <c r="BW99" s="703"/>
      <c r="BX99" s="703"/>
      <c r="BY99" s="703"/>
      <c r="BZ99" s="703"/>
      <c r="CA99" s="703"/>
      <c r="CB99" s="703"/>
      <c r="CC99" s="703"/>
      <c r="CD99" s="703"/>
      <c r="CE99" s="703"/>
      <c r="CF99" s="703"/>
      <c r="CG99" s="703"/>
      <c r="CH99" s="703"/>
      <c r="CI99" s="703"/>
      <c r="CJ99" s="703"/>
      <c r="CK99" s="703"/>
      <c r="CL99" s="703"/>
      <c r="CM99" s="703"/>
      <c r="CN99" s="703"/>
      <c r="CO99" s="703"/>
      <c r="CP99" s="703"/>
      <c r="CQ99" s="703"/>
      <c r="CR99" s="703"/>
      <c r="CS99" s="703"/>
      <c r="CT99" s="703"/>
      <c r="CU99" s="703"/>
      <c r="CV99" s="703"/>
      <c r="CW99" s="703"/>
      <c r="CX99" s="703"/>
      <c r="CY99" s="703"/>
      <c r="CZ99" s="703"/>
      <c r="DA99" s="703"/>
      <c r="DB99" s="703"/>
      <c r="DC99" s="703"/>
      <c r="DD99" s="703"/>
      <c r="DE99" s="703"/>
      <c r="DF99" s="703"/>
      <c r="DG99" s="703"/>
      <c r="DH99" s="703"/>
      <c r="DI99" s="703"/>
      <c r="DJ99" s="703"/>
      <c r="DK99" s="703"/>
      <c r="DL99" s="703"/>
      <c r="DM99" s="703"/>
      <c r="DN99" s="703"/>
      <c r="DO99" s="703"/>
      <c r="DP99" s="703"/>
      <c r="DQ99" s="703"/>
      <c r="DR99" s="703"/>
      <c r="DS99" s="703"/>
      <c r="DT99" s="703"/>
      <c r="DU99" s="703"/>
      <c r="DV99" s="703"/>
      <c r="DW99" s="703"/>
      <c r="DX99" s="703"/>
      <c r="DY99" s="703"/>
      <c r="DZ99" s="703"/>
      <c r="EA99" s="703"/>
      <c r="EB99" s="703"/>
      <c r="EC99" s="703"/>
      <c r="ED99" s="703"/>
      <c r="EE99" s="703"/>
      <c r="EF99" s="703"/>
      <c r="EG99" s="703"/>
      <c r="EH99" s="703"/>
      <c r="EI99" s="703"/>
      <c r="EJ99" s="703"/>
      <c r="EK99" s="703"/>
      <c r="EL99" s="703"/>
      <c r="EM99" s="703"/>
      <c r="EN99" s="703"/>
      <c r="EO99" s="703"/>
      <c r="EP99" s="703"/>
      <c r="EQ99" s="703"/>
      <c r="ER99" s="703"/>
      <c r="ES99" s="703"/>
      <c r="ET99" s="703"/>
      <c r="EU99" s="703"/>
      <c r="EV99" s="703"/>
      <c r="EW99" s="703"/>
      <c r="EX99" s="703"/>
      <c r="EY99" s="703"/>
      <c r="EZ99" s="703"/>
      <c r="FA99" s="703"/>
      <c r="FB99" s="703"/>
      <c r="FC99" s="703"/>
      <c r="FD99" s="703"/>
      <c r="FE99" s="703"/>
      <c r="FF99" s="703"/>
      <c r="FG99" s="703"/>
      <c r="FH99" s="703"/>
      <c r="FI99" s="703"/>
      <c r="FJ99" s="703"/>
      <c r="FK99" s="703"/>
      <c r="FL99" s="703"/>
      <c r="FM99" s="703"/>
      <c r="FN99" s="703"/>
      <c r="FO99" s="703"/>
      <c r="FP99" s="703"/>
      <c r="FQ99" s="703"/>
      <c r="FR99" s="703"/>
      <c r="FS99" s="703"/>
      <c r="FT99" s="703"/>
      <c r="FU99" s="703"/>
      <c r="FV99" s="703"/>
      <c r="FW99" s="703"/>
      <c r="FX99" s="703"/>
      <c r="FY99" s="703"/>
      <c r="FZ99" s="703"/>
      <c r="GA99" s="703"/>
      <c r="GB99" s="703"/>
      <c r="GC99" s="703"/>
      <c r="GD99" s="703"/>
      <c r="GE99" s="703"/>
      <c r="GF99" s="703"/>
      <c r="GG99" s="703"/>
      <c r="GH99" s="703"/>
      <c r="GI99" s="703"/>
      <c r="GJ99" s="703"/>
      <c r="GK99" s="703"/>
      <c r="GL99" s="703"/>
      <c r="GM99" s="703"/>
      <c r="GN99" s="703"/>
      <c r="GO99" s="703"/>
      <c r="GP99" s="703"/>
      <c r="GQ99" s="703"/>
      <c r="GR99" s="703"/>
      <c r="GS99" s="703"/>
      <c r="GT99" s="703"/>
      <c r="GU99" s="703"/>
      <c r="GV99" s="703"/>
      <c r="GW99" s="703"/>
      <c r="GX99" s="703"/>
      <c r="GY99" s="703"/>
      <c r="GZ99" s="703"/>
      <c r="HA99" s="703"/>
      <c r="HB99" s="703"/>
      <c r="HC99" s="703"/>
      <c r="HD99" s="703"/>
      <c r="HE99" s="703"/>
      <c r="HF99" s="703"/>
      <c r="HG99" s="703"/>
      <c r="HH99" s="703"/>
      <c r="HI99" s="703"/>
      <c r="HJ99" s="703"/>
      <c r="HK99" s="703"/>
      <c r="HL99" s="703"/>
      <c r="HM99" s="703"/>
      <c r="HN99" s="703"/>
      <c r="HO99" s="703"/>
      <c r="HP99" s="703"/>
      <c r="HQ99" s="703"/>
      <c r="HR99" s="703"/>
      <c r="HS99" s="703"/>
      <c r="HT99" s="703"/>
      <c r="HU99" s="703"/>
      <c r="HV99" s="703"/>
      <c r="HW99" s="703"/>
      <c r="HX99" s="703"/>
      <c r="HY99" s="703"/>
      <c r="HZ99" s="703"/>
      <c r="IA99" s="703"/>
      <c r="IB99" s="703"/>
      <c r="IC99" s="703"/>
      <c r="ID99" s="703"/>
      <c r="IE99" s="703"/>
      <c r="IF99" s="703"/>
      <c r="IG99" s="703"/>
      <c r="IH99" s="703"/>
      <c r="II99" s="703"/>
      <c r="IJ99" s="703"/>
      <c r="IK99" s="703"/>
      <c r="IL99" s="703"/>
      <c r="IM99" s="703"/>
      <c r="IN99" s="703"/>
      <c r="IO99" s="703"/>
      <c r="IP99" s="703"/>
      <c r="IQ99" s="703"/>
      <c r="IR99" s="703"/>
      <c r="IS99" s="703"/>
      <c r="IT99" s="703"/>
      <c r="IU99" s="703"/>
      <c r="IV99" s="703"/>
      <c r="IW99" s="703"/>
    </row>
    <row r="100" spans="1:257" s="749" customFormat="1" hidden="1">
      <c r="A100" s="738" t="s">
        <v>91</v>
      </c>
      <c r="B100" s="739" t="s">
        <v>881</v>
      </c>
      <c r="C100" s="738"/>
      <c r="D100" s="738"/>
      <c r="E100" s="740"/>
      <c r="F100" s="741"/>
      <c r="G100" s="742"/>
      <c r="H100" s="742"/>
      <c r="I100" s="742"/>
      <c r="J100" s="676"/>
      <c r="K100" s="676">
        <v>7000000000</v>
      </c>
      <c r="L100" s="1305">
        <v>2000000000</v>
      </c>
      <c r="M100" s="741"/>
      <c r="N100" s="743"/>
      <c r="O100" s="743"/>
      <c r="P100" s="744"/>
      <c r="Q100" s="744"/>
      <c r="R100" s="744"/>
      <c r="S100" s="690"/>
      <c r="T100" s="691"/>
      <c r="U100" s="745"/>
      <c r="V100" s="746"/>
      <c r="W100" s="746"/>
      <c r="X100" s="747"/>
      <c r="Y100" s="748"/>
      <c r="Z100" s="748"/>
      <c r="AA100" s="748"/>
      <c r="AB100" s="748"/>
      <c r="AC100" s="748"/>
      <c r="AD100" s="748"/>
      <c r="AE100" s="748"/>
      <c r="AF100" s="748"/>
      <c r="AG100" s="748"/>
      <c r="AH100" s="748"/>
      <c r="AI100" s="748"/>
      <c r="AJ100" s="748"/>
      <c r="AK100" s="748"/>
      <c r="AL100" s="748"/>
      <c r="AM100" s="748"/>
      <c r="AN100" s="748"/>
      <c r="AO100" s="748"/>
      <c r="AP100" s="748"/>
      <c r="AQ100" s="748"/>
      <c r="AR100" s="748"/>
      <c r="AS100" s="748"/>
      <c r="AT100" s="748"/>
      <c r="AU100" s="748"/>
      <c r="AV100" s="748"/>
      <c r="AW100" s="748"/>
      <c r="AX100" s="748"/>
      <c r="AY100" s="748"/>
      <c r="AZ100" s="748"/>
      <c r="BA100" s="748"/>
      <c r="BB100" s="748"/>
      <c r="BC100" s="748"/>
      <c r="BD100" s="748"/>
      <c r="BE100" s="748"/>
      <c r="BF100" s="748"/>
      <c r="BG100" s="748"/>
      <c r="BH100" s="748"/>
      <c r="BI100" s="748"/>
      <c r="BJ100" s="748"/>
      <c r="BK100" s="748"/>
      <c r="BL100" s="748"/>
      <c r="BM100" s="748"/>
      <c r="BN100" s="748"/>
      <c r="BO100" s="748"/>
      <c r="BP100" s="748"/>
      <c r="BQ100" s="748"/>
      <c r="BR100" s="748"/>
      <c r="BS100" s="748"/>
      <c r="BT100" s="748"/>
      <c r="BU100" s="748"/>
      <c r="BV100" s="748"/>
      <c r="BW100" s="748"/>
      <c r="BX100" s="748"/>
      <c r="BY100" s="748"/>
      <c r="BZ100" s="748"/>
      <c r="CA100" s="748"/>
      <c r="CB100" s="748"/>
      <c r="CC100" s="748"/>
      <c r="CD100" s="748"/>
      <c r="CE100" s="748"/>
      <c r="CF100" s="748"/>
      <c r="CG100" s="748"/>
      <c r="CH100" s="748"/>
      <c r="CI100" s="748"/>
      <c r="CJ100" s="748"/>
      <c r="CK100" s="748"/>
      <c r="CL100" s="748"/>
      <c r="CM100" s="748"/>
      <c r="CN100" s="748"/>
      <c r="CO100" s="748"/>
      <c r="CP100" s="748"/>
      <c r="CQ100" s="748"/>
      <c r="CR100" s="748"/>
      <c r="CS100" s="748"/>
      <c r="CT100" s="748"/>
      <c r="CU100" s="748"/>
      <c r="CV100" s="748"/>
      <c r="CW100" s="748"/>
      <c r="CX100" s="748"/>
      <c r="CY100" s="748"/>
      <c r="CZ100" s="748"/>
      <c r="DA100" s="748"/>
      <c r="DB100" s="748"/>
      <c r="DC100" s="748"/>
      <c r="DD100" s="748"/>
      <c r="DE100" s="748"/>
      <c r="DF100" s="748"/>
      <c r="DG100" s="748"/>
      <c r="DH100" s="748"/>
      <c r="DI100" s="748"/>
      <c r="DJ100" s="748"/>
      <c r="DK100" s="748"/>
      <c r="DL100" s="748"/>
      <c r="DM100" s="748"/>
      <c r="DN100" s="748"/>
      <c r="DO100" s="748"/>
      <c r="DP100" s="748"/>
      <c r="DQ100" s="748"/>
      <c r="DR100" s="748"/>
      <c r="DS100" s="748"/>
      <c r="DT100" s="748"/>
      <c r="DU100" s="748"/>
      <c r="DV100" s="748"/>
      <c r="DW100" s="748"/>
      <c r="DX100" s="748"/>
      <c r="DY100" s="748"/>
      <c r="DZ100" s="748"/>
      <c r="EA100" s="748"/>
      <c r="EB100" s="748"/>
      <c r="EC100" s="748"/>
      <c r="ED100" s="748"/>
      <c r="EE100" s="748"/>
      <c r="EF100" s="748"/>
      <c r="EG100" s="748"/>
      <c r="EH100" s="748"/>
      <c r="EI100" s="748"/>
      <c r="EJ100" s="748"/>
      <c r="EK100" s="748"/>
      <c r="EL100" s="748"/>
      <c r="EM100" s="748"/>
      <c r="EN100" s="748"/>
      <c r="EO100" s="748"/>
      <c r="EP100" s="748"/>
      <c r="EQ100" s="748"/>
      <c r="ER100" s="748"/>
      <c r="ES100" s="748"/>
      <c r="ET100" s="748"/>
      <c r="EU100" s="748"/>
      <c r="EV100" s="748"/>
      <c r="EW100" s="748"/>
      <c r="EX100" s="748"/>
      <c r="EY100" s="748"/>
      <c r="EZ100" s="748"/>
      <c r="FA100" s="748"/>
      <c r="FB100" s="748"/>
      <c r="FC100" s="748"/>
      <c r="FD100" s="748"/>
      <c r="FE100" s="748"/>
      <c r="FF100" s="748"/>
      <c r="FG100" s="748"/>
      <c r="FH100" s="748"/>
      <c r="FI100" s="748"/>
      <c r="FJ100" s="748"/>
      <c r="FK100" s="748"/>
      <c r="FL100" s="748"/>
      <c r="FM100" s="748"/>
      <c r="FN100" s="748"/>
      <c r="FO100" s="748"/>
      <c r="FP100" s="748"/>
      <c r="FQ100" s="748"/>
      <c r="FR100" s="748"/>
      <c r="FS100" s="748"/>
      <c r="FT100" s="748"/>
      <c r="FU100" s="748"/>
      <c r="FV100" s="748"/>
      <c r="FW100" s="748"/>
      <c r="FX100" s="748"/>
      <c r="FY100" s="748"/>
      <c r="FZ100" s="748"/>
      <c r="GA100" s="748"/>
      <c r="GB100" s="748"/>
      <c r="GC100" s="748"/>
      <c r="GD100" s="748"/>
      <c r="GE100" s="748"/>
      <c r="GF100" s="748"/>
      <c r="GG100" s="748"/>
      <c r="GH100" s="748"/>
      <c r="GI100" s="748"/>
      <c r="GJ100" s="748"/>
      <c r="GK100" s="748"/>
      <c r="GL100" s="748"/>
      <c r="GM100" s="748"/>
      <c r="GN100" s="748"/>
      <c r="GO100" s="748"/>
      <c r="GP100" s="748"/>
      <c r="GQ100" s="748"/>
      <c r="GR100" s="748"/>
      <c r="GS100" s="748"/>
      <c r="GT100" s="748"/>
      <c r="GU100" s="748"/>
      <c r="GV100" s="748"/>
      <c r="GW100" s="748"/>
      <c r="GX100" s="748"/>
      <c r="GY100" s="748"/>
      <c r="GZ100" s="748"/>
      <c r="HA100" s="748"/>
      <c r="HB100" s="748"/>
      <c r="HC100" s="748"/>
      <c r="HD100" s="748"/>
      <c r="HE100" s="748"/>
      <c r="HF100" s="748"/>
      <c r="HG100" s="748"/>
      <c r="HH100" s="748"/>
      <c r="HI100" s="748"/>
      <c r="HJ100" s="748"/>
      <c r="HK100" s="748"/>
      <c r="HL100" s="748"/>
      <c r="HM100" s="748"/>
      <c r="HN100" s="748"/>
      <c r="HO100" s="748"/>
      <c r="HP100" s="748"/>
      <c r="HQ100" s="748"/>
      <c r="HR100" s="748"/>
      <c r="HS100" s="748"/>
      <c r="HT100" s="748"/>
      <c r="HU100" s="748"/>
      <c r="HV100" s="748"/>
      <c r="HW100" s="748"/>
      <c r="HX100" s="748"/>
      <c r="HY100" s="748"/>
      <c r="HZ100" s="748"/>
      <c r="IA100" s="748"/>
      <c r="IB100" s="748"/>
      <c r="IC100" s="748"/>
      <c r="ID100" s="748"/>
      <c r="IE100" s="748"/>
      <c r="IF100" s="748"/>
      <c r="IG100" s="748"/>
      <c r="IH100" s="748"/>
      <c r="II100" s="748"/>
      <c r="IJ100" s="748"/>
      <c r="IK100" s="748"/>
      <c r="IL100" s="748"/>
      <c r="IM100" s="748"/>
      <c r="IN100" s="748"/>
      <c r="IO100" s="748"/>
      <c r="IP100" s="748"/>
      <c r="IQ100" s="748"/>
      <c r="IR100" s="748"/>
      <c r="IS100" s="748"/>
      <c r="IT100" s="748"/>
      <c r="IU100" s="748"/>
      <c r="IV100" s="748"/>
      <c r="IW100" s="748"/>
    </row>
    <row r="101" spans="1:257" s="749" customFormat="1" hidden="1">
      <c r="A101" s="738" t="s">
        <v>91</v>
      </c>
      <c r="B101" s="739" t="s">
        <v>212</v>
      </c>
      <c r="C101" s="738"/>
      <c r="D101" s="738"/>
      <c r="E101" s="740"/>
      <c r="F101" s="741"/>
      <c r="G101" s="742"/>
      <c r="H101" s="742"/>
      <c r="I101" s="742"/>
      <c r="J101" s="676"/>
      <c r="K101" s="676">
        <v>2400000000</v>
      </c>
      <c r="L101" s="1305">
        <v>0</v>
      </c>
      <c r="M101" s="741"/>
      <c r="N101" s="743"/>
      <c r="O101" s="743"/>
      <c r="P101" s="744"/>
      <c r="Q101" s="744"/>
      <c r="R101" s="744"/>
      <c r="S101" s="690"/>
      <c r="T101" s="691"/>
      <c r="U101" s="745"/>
      <c r="V101" s="746"/>
      <c r="W101" s="746"/>
      <c r="X101" s="747"/>
      <c r="Y101" s="748"/>
      <c r="Z101" s="748"/>
      <c r="AA101" s="748"/>
      <c r="AB101" s="748"/>
      <c r="AC101" s="748"/>
      <c r="AD101" s="748"/>
      <c r="AE101" s="748"/>
      <c r="AF101" s="748"/>
      <c r="AG101" s="748"/>
      <c r="AH101" s="748"/>
      <c r="AI101" s="748"/>
      <c r="AJ101" s="748"/>
      <c r="AK101" s="748"/>
      <c r="AL101" s="748"/>
      <c r="AM101" s="748"/>
      <c r="AN101" s="748"/>
      <c r="AO101" s="748"/>
      <c r="AP101" s="748"/>
      <c r="AQ101" s="748"/>
      <c r="AR101" s="748"/>
      <c r="AS101" s="748"/>
      <c r="AT101" s="748"/>
      <c r="AU101" s="748"/>
      <c r="AV101" s="748"/>
      <c r="AW101" s="748"/>
      <c r="AX101" s="748"/>
      <c r="AY101" s="748"/>
      <c r="AZ101" s="748"/>
      <c r="BA101" s="748"/>
      <c r="BB101" s="748"/>
      <c r="BC101" s="748"/>
      <c r="BD101" s="748"/>
      <c r="BE101" s="748"/>
      <c r="BF101" s="748"/>
      <c r="BG101" s="748"/>
      <c r="BH101" s="748"/>
      <c r="BI101" s="748"/>
      <c r="BJ101" s="748"/>
      <c r="BK101" s="748"/>
      <c r="BL101" s="748"/>
      <c r="BM101" s="748"/>
      <c r="BN101" s="748"/>
      <c r="BO101" s="748"/>
      <c r="BP101" s="748"/>
      <c r="BQ101" s="748"/>
      <c r="BR101" s="748"/>
      <c r="BS101" s="748"/>
      <c r="BT101" s="748"/>
      <c r="BU101" s="748"/>
      <c r="BV101" s="748"/>
      <c r="BW101" s="748"/>
      <c r="BX101" s="748"/>
      <c r="BY101" s="748"/>
      <c r="BZ101" s="748"/>
      <c r="CA101" s="748"/>
      <c r="CB101" s="748"/>
      <c r="CC101" s="748"/>
      <c r="CD101" s="748"/>
      <c r="CE101" s="748"/>
      <c r="CF101" s="748"/>
      <c r="CG101" s="748"/>
      <c r="CH101" s="748"/>
      <c r="CI101" s="748"/>
      <c r="CJ101" s="748"/>
      <c r="CK101" s="748"/>
      <c r="CL101" s="748"/>
      <c r="CM101" s="748"/>
      <c r="CN101" s="748"/>
      <c r="CO101" s="748"/>
      <c r="CP101" s="748"/>
      <c r="CQ101" s="748"/>
      <c r="CR101" s="748"/>
      <c r="CS101" s="748"/>
      <c r="CT101" s="748"/>
      <c r="CU101" s="748"/>
      <c r="CV101" s="748"/>
      <c r="CW101" s="748"/>
      <c r="CX101" s="748"/>
      <c r="CY101" s="748"/>
      <c r="CZ101" s="748"/>
      <c r="DA101" s="748"/>
      <c r="DB101" s="748"/>
      <c r="DC101" s="748"/>
      <c r="DD101" s="748"/>
      <c r="DE101" s="748"/>
      <c r="DF101" s="748"/>
      <c r="DG101" s="748"/>
      <c r="DH101" s="748"/>
      <c r="DI101" s="748"/>
      <c r="DJ101" s="748"/>
      <c r="DK101" s="748"/>
      <c r="DL101" s="748"/>
      <c r="DM101" s="748"/>
      <c r="DN101" s="748"/>
      <c r="DO101" s="748"/>
      <c r="DP101" s="748"/>
      <c r="DQ101" s="748"/>
      <c r="DR101" s="748"/>
      <c r="DS101" s="748"/>
      <c r="DT101" s="748"/>
      <c r="DU101" s="748"/>
      <c r="DV101" s="748"/>
      <c r="DW101" s="748"/>
      <c r="DX101" s="748"/>
      <c r="DY101" s="748"/>
      <c r="DZ101" s="748"/>
      <c r="EA101" s="748"/>
      <c r="EB101" s="748"/>
      <c r="EC101" s="748"/>
      <c r="ED101" s="748"/>
      <c r="EE101" s="748"/>
      <c r="EF101" s="748"/>
      <c r="EG101" s="748"/>
      <c r="EH101" s="748"/>
      <c r="EI101" s="748"/>
      <c r="EJ101" s="748"/>
      <c r="EK101" s="748"/>
      <c r="EL101" s="748"/>
      <c r="EM101" s="748"/>
      <c r="EN101" s="748"/>
      <c r="EO101" s="748"/>
      <c r="EP101" s="748"/>
      <c r="EQ101" s="748"/>
      <c r="ER101" s="748"/>
      <c r="ES101" s="748"/>
      <c r="ET101" s="748"/>
      <c r="EU101" s="748"/>
      <c r="EV101" s="748"/>
      <c r="EW101" s="748"/>
      <c r="EX101" s="748"/>
      <c r="EY101" s="748"/>
      <c r="EZ101" s="748"/>
      <c r="FA101" s="748"/>
      <c r="FB101" s="748"/>
      <c r="FC101" s="748"/>
      <c r="FD101" s="748"/>
      <c r="FE101" s="748"/>
      <c r="FF101" s="748"/>
      <c r="FG101" s="748"/>
      <c r="FH101" s="748"/>
      <c r="FI101" s="748"/>
      <c r="FJ101" s="748"/>
      <c r="FK101" s="748"/>
      <c r="FL101" s="748"/>
      <c r="FM101" s="748"/>
      <c r="FN101" s="748"/>
      <c r="FO101" s="748"/>
      <c r="FP101" s="748"/>
      <c r="FQ101" s="748"/>
      <c r="FR101" s="748"/>
      <c r="FS101" s="748"/>
      <c r="FT101" s="748"/>
      <c r="FU101" s="748"/>
      <c r="FV101" s="748"/>
      <c r="FW101" s="748"/>
      <c r="FX101" s="748"/>
      <c r="FY101" s="748"/>
      <c r="FZ101" s="748"/>
      <c r="GA101" s="748"/>
      <c r="GB101" s="748"/>
      <c r="GC101" s="748"/>
      <c r="GD101" s="748"/>
      <c r="GE101" s="748"/>
      <c r="GF101" s="748"/>
      <c r="GG101" s="748"/>
      <c r="GH101" s="748"/>
      <c r="GI101" s="748"/>
      <c r="GJ101" s="748"/>
      <c r="GK101" s="748"/>
      <c r="GL101" s="748"/>
      <c r="GM101" s="748"/>
      <c r="GN101" s="748"/>
      <c r="GO101" s="748"/>
      <c r="GP101" s="748"/>
      <c r="GQ101" s="748"/>
      <c r="GR101" s="748"/>
      <c r="GS101" s="748"/>
      <c r="GT101" s="748"/>
      <c r="GU101" s="748"/>
      <c r="GV101" s="748"/>
      <c r="GW101" s="748"/>
      <c r="GX101" s="748"/>
      <c r="GY101" s="748"/>
      <c r="GZ101" s="748"/>
      <c r="HA101" s="748"/>
      <c r="HB101" s="748"/>
      <c r="HC101" s="748"/>
      <c r="HD101" s="748"/>
      <c r="HE101" s="748"/>
      <c r="HF101" s="748"/>
      <c r="HG101" s="748"/>
      <c r="HH101" s="748"/>
      <c r="HI101" s="748"/>
      <c r="HJ101" s="748"/>
      <c r="HK101" s="748"/>
      <c r="HL101" s="748"/>
      <c r="HM101" s="748"/>
      <c r="HN101" s="748"/>
      <c r="HO101" s="748"/>
      <c r="HP101" s="748"/>
      <c r="HQ101" s="748"/>
      <c r="HR101" s="748"/>
      <c r="HS101" s="748"/>
      <c r="HT101" s="748"/>
      <c r="HU101" s="748"/>
      <c r="HV101" s="748"/>
      <c r="HW101" s="748"/>
      <c r="HX101" s="748"/>
      <c r="HY101" s="748"/>
      <c r="HZ101" s="748"/>
      <c r="IA101" s="748"/>
      <c r="IB101" s="748"/>
      <c r="IC101" s="748"/>
      <c r="ID101" s="748"/>
      <c r="IE101" s="748"/>
      <c r="IF101" s="748"/>
      <c r="IG101" s="748"/>
      <c r="IH101" s="748"/>
      <c r="II101" s="748"/>
      <c r="IJ101" s="748"/>
      <c r="IK101" s="748"/>
      <c r="IL101" s="748"/>
      <c r="IM101" s="748"/>
      <c r="IN101" s="748"/>
      <c r="IO101" s="748"/>
      <c r="IP101" s="748"/>
      <c r="IQ101" s="748"/>
      <c r="IR101" s="748"/>
      <c r="IS101" s="748"/>
      <c r="IT101" s="748"/>
      <c r="IU101" s="748"/>
      <c r="IV101" s="748"/>
      <c r="IW101" s="748"/>
    </row>
    <row r="102" spans="1:257" s="614" customFormat="1">
      <c r="A102" s="589" t="s">
        <v>882</v>
      </c>
      <c r="B102" s="671" t="s">
        <v>233</v>
      </c>
      <c r="C102" s="589"/>
      <c r="D102" s="589"/>
      <c r="E102" s="704"/>
      <c r="F102" s="603"/>
      <c r="G102" s="636"/>
      <c r="H102" s="636"/>
      <c r="I102" s="636"/>
      <c r="J102" s="609">
        <v>989100000</v>
      </c>
      <c r="K102" s="609"/>
      <c r="L102" s="1303"/>
      <c r="M102" s="603"/>
      <c r="N102" s="596"/>
      <c r="O102" s="596"/>
      <c r="P102" s="610"/>
      <c r="Q102" s="610"/>
      <c r="R102" s="610"/>
      <c r="S102" s="620"/>
      <c r="T102" s="675"/>
      <c r="U102" s="577"/>
      <c r="V102" s="701"/>
      <c r="W102" s="701"/>
      <c r="X102" s="702"/>
      <c r="Y102" s="703"/>
      <c r="Z102" s="703"/>
      <c r="AA102" s="703"/>
      <c r="AB102" s="703"/>
      <c r="AC102" s="703"/>
      <c r="AD102" s="703"/>
      <c r="AE102" s="703"/>
      <c r="AF102" s="703"/>
      <c r="AG102" s="703"/>
      <c r="AH102" s="703"/>
      <c r="AI102" s="703"/>
      <c r="AJ102" s="703"/>
      <c r="AK102" s="703"/>
      <c r="AL102" s="703"/>
      <c r="AM102" s="703"/>
      <c r="AN102" s="703"/>
      <c r="AO102" s="703"/>
      <c r="AP102" s="703"/>
      <c r="AQ102" s="703"/>
      <c r="AR102" s="703"/>
      <c r="AS102" s="703"/>
      <c r="AT102" s="703"/>
      <c r="AU102" s="703"/>
      <c r="AV102" s="703"/>
      <c r="AW102" s="703"/>
      <c r="AX102" s="703"/>
      <c r="AY102" s="703"/>
      <c r="AZ102" s="703"/>
      <c r="BA102" s="703"/>
      <c r="BB102" s="703"/>
      <c r="BC102" s="703"/>
      <c r="BD102" s="703"/>
      <c r="BE102" s="703"/>
      <c r="BF102" s="703"/>
      <c r="BG102" s="703"/>
      <c r="BH102" s="703"/>
      <c r="BI102" s="703"/>
      <c r="BJ102" s="703"/>
      <c r="BK102" s="703"/>
      <c r="BL102" s="703"/>
      <c r="BM102" s="703"/>
      <c r="BN102" s="703"/>
      <c r="BO102" s="703"/>
      <c r="BP102" s="703"/>
      <c r="BQ102" s="703"/>
      <c r="BR102" s="703"/>
      <c r="BS102" s="703"/>
      <c r="BT102" s="703"/>
      <c r="BU102" s="703"/>
      <c r="BV102" s="703"/>
      <c r="BW102" s="703"/>
      <c r="BX102" s="703"/>
      <c r="BY102" s="703"/>
      <c r="BZ102" s="703"/>
      <c r="CA102" s="703"/>
      <c r="CB102" s="703"/>
      <c r="CC102" s="703"/>
      <c r="CD102" s="703"/>
      <c r="CE102" s="703"/>
      <c r="CF102" s="703"/>
      <c r="CG102" s="703"/>
      <c r="CH102" s="703"/>
      <c r="CI102" s="703"/>
      <c r="CJ102" s="703"/>
      <c r="CK102" s="703"/>
      <c r="CL102" s="703"/>
      <c r="CM102" s="703"/>
      <c r="CN102" s="703"/>
      <c r="CO102" s="703"/>
      <c r="CP102" s="703"/>
      <c r="CQ102" s="703"/>
      <c r="CR102" s="703"/>
      <c r="CS102" s="703"/>
      <c r="CT102" s="703"/>
      <c r="CU102" s="703"/>
      <c r="CV102" s="703"/>
      <c r="CW102" s="703"/>
      <c r="CX102" s="703"/>
      <c r="CY102" s="703"/>
      <c r="CZ102" s="703"/>
      <c r="DA102" s="703"/>
      <c r="DB102" s="703"/>
      <c r="DC102" s="703"/>
      <c r="DD102" s="703"/>
      <c r="DE102" s="703"/>
      <c r="DF102" s="703"/>
      <c r="DG102" s="703"/>
      <c r="DH102" s="703"/>
      <c r="DI102" s="703"/>
      <c r="DJ102" s="703"/>
      <c r="DK102" s="703"/>
      <c r="DL102" s="703"/>
      <c r="DM102" s="703"/>
      <c r="DN102" s="703"/>
      <c r="DO102" s="703"/>
      <c r="DP102" s="703"/>
      <c r="DQ102" s="703"/>
      <c r="DR102" s="703"/>
      <c r="DS102" s="703"/>
      <c r="DT102" s="703"/>
      <c r="DU102" s="703"/>
      <c r="DV102" s="703"/>
      <c r="DW102" s="703"/>
      <c r="DX102" s="703"/>
      <c r="DY102" s="703"/>
      <c r="DZ102" s="703"/>
      <c r="EA102" s="703"/>
      <c r="EB102" s="703"/>
      <c r="EC102" s="703"/>
      <c r="ED102" s="703"/>
      <c r="EE102" s="703"/>
      <c r="EF102" s="703"/>
      <c r="EG102" s="703"/>
      <c r="EH102" s="703"/>
      <c r="EI102" s="703"/>
      <c r="EJ102" s="703"/>
      <c r="EK102" s="703"/>
      <c r="EL102" s="703"/>
      <c r="EM102" s="703"/>
      <c r="EN102" s="703"/>
      <c r="EO102" s="703"/>
      <c r="EP102" s="703"/>
      <c r="EQ102" s="703"/>
      <c r="ER102" s="703"/>
      <c r="ES102" s="703"/>
      <c r="ET102" s="703"/>
      <c r="EU102" s="703"/>
      <c r="EV102" s="703"/>
      <c r="EW102" s="703"/>
      <c r="EX102" s="703"/>
      <c r="EY102" s="703"/>
      <c r="EZ102" s="703"/>
      <c r="FA102" s="703"/>
      <c r="FB102" s="703"/>
      <c r="FC102" s="703"/>
      <c r="FD102" s="703"/>
      <c r="FE102" s="703"/>
      <c r="FF102" s="703"/>
      <c r="FG102" s="703"/>
      <c r="FH102" s="703"/>
      <c r="FI102" s="703"/>
      <c r="FJ102" s="703"/>
      <c r="FK102" s="703"/>
      <c r="FL102" s="703"/>
      <c r="FM102" s="703"/>
      <c r="FN102" s="703"/>
      <c r="FO102" s="703"/>
      <c r="FP102" s="703"/>
      <c r="FQ102" s="703"/>
      <c r="FR102" s="703"/>
      <c r="FS102" s="703"/>
      <c r="FT102" s="703"/>
      <c r="FU102" s="703"/>
      <c r="FV102" s="703"/>
      <c r="FW102" s="703"/>
      <c r="FX102" s="703"/>
      <c r="FY102" s="703"/>
      <c r="FZ102" s="703"/>
      <c r="GA102" s="703"/>
      <c r="GB102" s="703"/>
      <c r="GC102" s="703"/>
      <c r="GD102" s="703"/>
      <c r="GE102" s="703"/>
      <c r="GF102" s="703"/>
      <c r="GG102" s="703"/>
      <c r="GH102" s="703"/>
      <c r="GI102" s="703"/>
      <c r="GJ102" s="703"/>
      <c r="GK102" s="703"/>
      <c r="GL102" s="703"/>
      <c r="GM102" s="703"/>
      <c r="GN102" s="703"/>
      <c r="GO102" s="703"/>
      <c r="GP102" s="703"/>
      <c r="GQ102" s="703"/>
      <c r="GR102" s="703"/>
      <c r="GS102" s="703"/>
      <c r="GT102" s="703"/>
      <c r="GU102" s="703"/>
      <c r="GV102" s="703"/>
      <c r="GW102" s="703"/>
      <c r="GX102" s="703"/>
      <c r="GY102" s="703"/>
      <c r="GZ102" s="703"/>
      <c r="HA102" s="703"/>
      <c r="HB102" s="703"/>
      <c r="HC102" s="703"/>
      <c r="HD102" s="703"/>
      <c r="HE102" s="703"/>
      <c r="HF102" s="703"/>
      <c r="HG102" s="703"/>
      <c r="HH102" s="703"/>
      <c r="HI102" s="703"/>
      <c r="HJ102" s="703"/>
      <c r="HK102" s="703"/>
      <c r="HL102" s="703"/>
      <c r="HM102" s="703"/>
      <c r="HN102" s="703"/>
      <c r="HO102" s="703"/>
      <c r="HP102" s="703"/>
      <c r="HQ102" s="703"/>
      <c r="HR102" s="703"/>
      <c r="HS102" s="703"/>
      <c r="HT102" s="703"/>
      <c r="HU102" s="703"/>
      <c r="HV102" s="703"/>
      <c r="HW102" s="703"/>
      <c r="HX102" s="703"/>
      <c r="HY102" s="703"/>
      <c r="HZ102" s="703"/>
      <c r="IA102" s="703"/>
      <c r="IB102" s="703"/>
      <c r="IC102" s="703"/>
      <c r="ID102" s="703"/>
      <c r="IE102" s="703"/>
      <c r="IF102" s="703"/>
      <c r="IG102" s="703"/>
      <c r="IH102" s="703"/>
      <c r="II102" s="703"/>
      <c r="IJ102" s="703"/>
      <c r="IK102" s="703"/>
      <c r="IL102" s="703"/>
      <c r="IM102" s="703"/>
      <c r="IN102" s="703"/>
      <c r="IO102" s="703"/>
      <c r="IP102" s="703"/>
      <c r="IQ102" s="703"/>
      <c r="IR102" s="703"/>
      <c r="IS102" s="703"/>
      <c r="IT102" s="703"/>
      <c r="IU102" s="703"/>
      <c r="IV102" s="703"/>
      <c r="IW102" s="703"/>
    </row>
    <row r="103" spans="1:257" s="641" customFormat="1">
      <c r="A103" s="699"/>
      <c r="B103" s="668" t="s">
        <v>263</v>
      </c>
      <c r="C103" s="699"/>
      <c r="D103" s="699"/>
      <c r="E103" s="700"/>
      <c r="F103" s="669">
        <f t="shared" ref="F103:J103" si="3">F71*10%</f>
        <v>1380900000</v>
      </c>
      <c r="G103" s="669">
        <f t="shared" si="3"/>
        <v>0</v>
      </c>
      <c r="H103" s="669">
        <f t="shared" si="3"/>
        <v>0</v>
      </c>
      <c r="I103" s="669">
        <f t="shared" si="3"/>
        <v>0</v>
      </c>
      <c r="J103" s="669">
        <f t="shared" si="3"/>
        <v>1698910000</v>
      </c>
      <c r="K103" s="669"/>
      <c r="L103" s="1306"/>
      <c r="M103" s="669"/>
      <c r="N103" s="670"/>
      <c r="O103" s="670"/>
      <c r="P103" s="706"/>
      <c r="Q103" s="706"/>
      <c r="R103" s="750"/>
      <c r="S103" s="751"/>
      <c r="T103" s="579"/>
      <c r="U103" s="580"/>
      <c r="V103" s="581"/>
      <c r="W103" s="581"/>
      <c r="X103" s="578"/>
      <c r="Y103" s="582"/>
      <c r="Z103" s="582"/>
      <c r="AA103" s="582"/>
      <c r="AB103" s="582"/>
      <c r="AC103" s="582"/>
      <c r="AD103" s="582"/>
      <c r="AE103" s="582"/>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c r="BI103" s="582"/>
      <c r="BJ103" s="582"/>
      <c r="BK103" s="582"/>
      <c r="BL103" s="582"/>
      <c r="BM103" s="582"/>
      <c r="BN103" s="582"/>
      <c r="BO103" s="582"/>
      <c r="BP103" s="582"/>
      <c r="BQ103" s="582"/>
      <c r="BR103" s="582"/>
      <c r="BS103" s="582"/>
      <c r="BT103" s="582"/>
      <c r="BU103" s="582"/>
      <c r="BV103" s="582"/>
      <c r="BW103" s="582"/>
      <c r="BX103" s="582"/>
      <c r="BY103" s="582"/>
      <c r="BZ103" s="582"/>
      <c r="CA103" s="582"/>
      <c r="CB103" s="582"/>
      <c r="CC103" s="582"/>
      <c r="CD103" s="582"/>
      <c r="CE103" s="582"/>
      <c r="CF103" s="582"/>
      <c r="CG103" s="582"/>
      <c r="CH103" s="582"/>
      <c r="CI103" s="582"/>
      <c r="CJ103" s="582"/>
      <c r="CK103" s="582"/>
      <c r="CL103" s="582"/>
      <c r="CM103" s="582"/>
      <c r="CN103" s="582"/>
      <c r="CO103" s="582"/>
      <c r="CP103" s="582"/>
      <c r="CQ103" s="582"/>
      <c r="CR103" s="582"/>
      <c r="CS103" s="582"/>
      <c r="CT103" s="582"/>
      <c r="CU103" s="582"/>
      <c r="CV103" s="582"/>
      <c r="CW103" s="582"/>
      <c r="CX103" s="582"/>
      <c r="CY103" s="582"/>
      <c r="CZ103" s="582"/>
      <c r="DA103" s="582"/>
      <c r="DB103" s="582"/>
      <c r="DC103" s="582"/>
      <c r="DD103" s="582"/>
      <c r="DE103" s="582"/>
      <c r="DF103" s="582"/>
      <c r="DG103" s="582"/>
      <c r="DH103" s="582"/>
      <c r="DI103" s="582"/>
      <c r="DJ103" s="582"/>
      <c r="DK103" s="582"/>
      <c r="DL103" s="582"/>
      <c r="DM103" s="582"/>
      <c r="DN103" s="582"/>
      <c r="DO103" s="582"/>
      <c r="DP103" s="582"/>
      <c r="DQ103" s="582"/>
      <c r="DR103" s="582"/>
      <c r="DS103" s="582"/>
      <c r="DT103" s="582"/>
      <c r="DU103" s="582"/>
      <c r="DV103" s="582"/>
      <c r="DW103" s="582"/>
      <c r="DX103" s="582"/>
      <c r="DY103" s="582"/>
      <c r="DZ103" s="582"/>
      <c r="EA103" s="582"/>
      <c r="EB103" s="582"/>
      <c r="EC103" s="582"/>
      <c r="ED103" s="582"/>
      <c r="EE103" s="582"/>
      <c r="EF103" s="582"/>
      <c r="EG103" s="582"/>
      <c r="EH103" s="582"/>
      <c r="EI103" s="582"/>
      <c r="EJ103" s="582"/>
      <c r="EK103" s="582"/>
      <c r="EL103" s="582"/>
      <c r="EM103" s="582"/>
      <c r="EN103" s="582"/>
      <c r="EO103" s="582"/>
      <c r="EP103" s="582"/>
      <c r="EQ103" s="582"/>
      <c r="ER103" s="582"/>
      <c r="ES103" s="582"/>
      <c r="ET103" s="582"/>
      <c r="EU103" s="582"/>
      <c r="EV103" s="582"/>
      <c r="EW103" s="582"/>
      <c r="EX103" s="582"/>
      <c r="EY103" s="582"/>
      <c r="EZ103" s="582"/>
      <c r="FA103" s="582"/>
      <c r="FB103" s="582"/>
      <c r="FC103" s="582"/>
      <c r="FD103" s="582"/>
      <c r="FE103" s="582"/>
      <c r="FF103" s="582"/>
      <c r="FG103" s="582"/>
      <c r="FH103" s="582"/>
      <c r="FI103" s="582"/>
      <c r="FJ103" s="582"/>
      <c r="FK103" s="582"/>
      <c r="FL103" s="582"/>
      <c r="FM103" s="582"/>
      <c r="FN103" s="582"/>
      <c r="FO103" s="582"/>
      <c r="FP103" s="582"/>
      <c r="FQ103" s="582"/>
      <c r="FR103" s="582"/>
      <c r="FS103" s="582"/>
      <c r="FT103" s="582"/>
      <c r="FU103" s="582"/>
      <c r="FV103" s="582"/>
      <c r="FW103" s="582"/>
      <c r="FX103" s="582"/>
      <c r="FY103" s="582"/>
      <c r="FZ103" s="582"/>
      <c r="GA103" s="582"/>
      <c r="GB103" s="582"/>
      <c r="GC103" s="582"/>
      <c r="GD103" s="582"/>
      <c r="GE103" s="582"/>
      <c r="GF103" s="582"/>
      <c r="GG103" s="582"/>
      <c r="GH103" s="582"/>
      <c r="GI103" s="582"/>
      <c r="GJ103" s="582"/>
      <c r="GK103" s="582"/>
      <c r="GL103" s="582"/>
      <c r="GM103" s="582"/>
      <c r="GN103" s="582"/>
      <c r="GO103" s="582"/>
      <c r="GP103" s="582"/>
      <c r="GQ103" s="582"/>
      <c r="GR103" s="582"/>
      <c r="GS103" s="582"/>
      <c r="GT103" s="582"/>
      <c r="GU103" s="582"/>
      <c r="GV103" s="582"/>
      <c r="GW103" s="582"/>
      <c r="GX103" s="582"/>
      <c r="GY103" s="582"/>
      <c r="GZ103" s="582"/>
      <c r="HA103" s="582"/>
      <c r="HB103" s="582"/>
      <c r="HC103" s="582"/>
      <c r="HD103" s="582"/>
      <c r="HE103" s="582"/>
      <c r="HF103" s="582"/>
      <c r="HG103" s="582"/>
      <c r="HH103" s="582"/>
      <c r="HI103" s="582"/>
      <c r="HJ103" s="582"/>
      <c r="HK103" s="582"/>
      <c r="HL103" s="582"/>
      <c r="HM103" s="582"/>
      <c r="HN103" s="582"/>
      <c r="HO103" s="582"/>
      <c r="HP103" s="582"/>
      <c r="HQ103" s="582"/>
      <c r="HR103" s="582"/>
      <c r="HS103" s="582"/>
      <c r="HT103" s="582"/>
      <c r="HU103" s="582"/>
      <c r="HV103" s="582"/>
      <c r="HW103" s="582"/>
      <c r="HX103" s="582"/>
      <c r="HY103" s="582"/>
      <c r="HZ103" s="582"/>
      <c r="IA103" s="582"/>
      <c r="IB103" s="582"/>
      <c r="IC103" s="582"/>
      <c r="ID103" s="582"/>
      <c r="IE103" s="582"/>
      <c r="IF103" s="582"/>
      <c r="IG103" s="582"/>
      <c r="IH103" s="582"/>
      <c r="II103" s="582"/>
      <c r="IJ103" s="582"/>
      <c r="IK103" s="582"/>
      <c r="IL103" s="582"/>
      <c r="IM103" s="582"/>
      <c r="IN103" s="582"/>
      <c r="IO103" s="582"/>
      <c r="IP103" s="582"/>
      <c r="IQ103" s="582"/>
      <c r="IR103" s="582"/>
      <c r="IS103" s="582"/>
      <c r="IT103" s="582"/>
      <c r="IU103" s="582"/>
      <c r="IV103" s="582"/>
      <c r="IW103" s="582"/>
    </row>
    <row r="104" spans="1:257" s="614" customFormat="1">
      <c r="A104" s="589" t="s">
        <v>320</v>
      </c>
      <c r="B104" s="714" t="s">
        <v>234</v>
      </c>
      <c r="C104" s="589"/>
      <c r="D104" s="589"/>
      <c r="E104" s="704"/>
      <c r="F104" s="618"/>
      <c r="G104" s="618"/>
      <c r="H104" s="618"/>
      <c r="I104" s="618"/>
      <c r="J104" s="618"/>
      <c r="K104" s="618">
        <f>K105+K106</f>
        <v>3110000000</v>
      </c>
      <c r="L104" s="1307">
        <v>12433379332</v>
      </c>
      <c r="M104" s="618" t="s">
        <v>1979</v>
      </c>
      <c r="N104" s="618">
        <f>[5]Vân!$L$104</f>
        <v>12433379332</v>
      </c>
      <c r="O104" s="667"/>
      <c r="P104" s="610"/>
      <c r="Q104" s="610"/>
      <c r="R104" s="752"/>
      <c r="S104" s="753"/>
      <c r="T104" s="754"/>
      <c r="U104" s="577"/>
      <c r="V104" s="701"/>
      <c r="W104" s="701"/>
      <c r="X104" s="702"/>
      <c r="Y104" s="703"/>
      <c r="Z104" s="703"/>
      <c r="AA104" s="703"/>
      <c r="AB104" s="703"/>
      <c r="AC104" s="703"/>
      <c r="AD104" s="703"/>
      <c r="AE104" s="703"/>
      <c r="AF104" s="703"/>
      <c r="AG104" s="703"/>
      <c r="AH104" s="703"/>
      <c r="AI104" s="703"/>
      <c r="AJ104" s="703"/>
      <c r="AK104" s="703"/>
      <c r="AL104" s="703"/>
      <c r="AM104" s="703"/>
      <c r="AN104" s="703"/>
      <c r="AO104" s="703"/>
      <c r="AP104" s="703"/>
      <c r="AQ104" s="703"/>
      <c r="AR104" s="703"/>
      <c r="AS104" s="703"/>
      <c r="AT104" s="703"/>
      <c r="AU104" s="703"/>
      <c r="AV104" s="703"/>
      <c r="AW104" s="703"/>
      <c r="AX104" s="703"/>
      <c r="AY104" s="703"/>
      <c r="AZ104" s="703"/>
      <c r="BA104" s="703"/>
      <c r="BB104" s="703"/>
      <c r="BC104" s="703"/>
      <c r="BD104" s="703"/>
      <c r="BE104" s="703"/>
      <c r="BF104" s="703"/>
      <c r="BG104" s="703"/>
      <c r="BH104" s="703"/>
      <c r="BI104" s="703"/>
      <c r="BJ104" s="703"/>
      <c r="BK104" s="703"/>
      <c r="BL104" s="703"/>
      <c r="BM104" s="703"/>
      <c r="BN104" s="703"/>
      <c r="BO104" s="703"/>
      <c r="BP104" s="703"/>
      <c r="BQ104" s="703"/>
      <c r="BR104" s="703"/>
      <c r="BS104" s="703"/>
      <c r="BT104" s="703"/>
      <c r="BU104" s="703"/>
      <c r="BV104" s="703"/>
      <c r="BW104" s="703"/>
      <c r="BX104" s="703"/>
      <c r="BY104" s="703"/>
      <c r="BZ104" s="703"/>
      <c r="CA104" s="703"/>
      <c r="CB104" s="703"/>
      <c r="CC104" s="703"/>
      <c r="CD104" s="703"/>
      <c r="CE104" s="703"/>
      <c r="CF104" s="703"/>
      <c r="CG104" s="703"/>
      <c r="CH104" s="703"/>
      <c r="CI104" s="703"/>
      <c r="CJ104" s="703"/>
      <c r="CK104" s="703"/>
      <c r="CL104" s="703"/>
      <c r="CM104" s="703"/>
      <c r="CN104" s="703"/>
      <c r="CO104" s="703"/>
      <c r="CP104" s="703"/>
      <c r="CQ104" s="703"/>
      <c r="CR104" s="703"/>
      <c r="CS104" s="703"/>
      <c r="CT104" s="703"/>
      <c r="CU104" s="703"/>
      <c r="CV104" s="703"/>
      <c r="CW104" s="703"/>
      <c r="CX104" s="703"/>
      <c r="CY104" s="703"/>
      <c r="CZ104" s="703"/>
      <c r="DA104" s="703"/>
      <c r="DB104" s="703"/>
      <c r="DC104" s="703"/>
      <c r="DD104" s="703"/>
      <c r="DE104" s="703"/>
      <c r="DF104" s="703"/>
      <c r="DG104" s="703"/>
      <c r="DH104" s="703"/>
      <c r="DI104" s="703"/>
      <c r="DJ104" s="703"/>
      <c r="DK104" s="703"/>
      <c r="DL104" s="703"/>
      <c r="DM104" s="703"/>
      <c r="DN104" s="703"/>
      <c r="DO104" s="703"/>
      <c r="DP104" s="703"/>
      <c r="DQ104" s="703"/>
      <c r="DR104" s="703"/>
      <c r="DS104" s="703"/>
      <c r="DT104" s="703"/>
      <c r="DU104" s="703"/>
      <c r="DV104" s="703"/>
      <c r="DW104" s="703"/>
      <c r="DX104" s="703"/>
      <c r="DY104" s="703"/>
      <c r="DZ104" s="703"/>
      <c r="EA104" s="703"/>
      <c r="EB104" s="703"/>
      <c r="EC104" s="703"/>
      <c r="ED104" s="703"/>
      <c r="EE104" s="703"/>
      <c r="EF104" s="703"/>
      <c r="EG104" s="703"/>
      <c r="EH104" s="703"/>
      <c r="EI104" s="703"/>
      <c r="EJ104" s="703"/>
      <c r="EK104" s="703"/>
      <c r="EL104" s="703"/>
      <c r="EM104" s="703"/>
      <c r="EN104" s="703"/>
      <c r="EO104" s="703"/>
      <c r="EP104" s="703"/>
      <c r="EQ104" s="703"/>
      <c r="ER104" s="703"/>
      <c r="ES104" s="703"/>
      <c r="ET104" s="703"/>
      <c r="EU104" s="703"/>
      <c r="EV104" s="703"/>
      <c r="EW104" s="703"/>
      <c r="EX104" s="703"/>
      <c r="EY104" s="703"/>
      <c r="EZ104" s="703"/>
      <c r="FA104" s="703"/>
      <c r="FB104" s="703"/>
      <c r="FC104" s="703"/>
      <c r="FD104" s="703"/>
      <c r="FE104" s="703"/>
      <c r="FF104" s="703"/>
      <c r="FG104" s="703"/>
      <c r="FH104" s="703"/>
      <c r="FI104" s="703"/>
      <c r="FJ104" s="703"/>
      <c r="FK104" s="703"/>
      <c r="FL104" s="703"/>
      <c r="FM104" s="703"/>
      <c r="FN104" s="703"/>
      <c r="FO104" s="703"/>
      <c r="FP104" s="703"/>
      <c r="FQ104" s="703"/>
      <c r="FR104" s="703"/>
      <c r="FS104" s="703"/>
      <c r="FT104" s="703"/>
      <c r="FU104" s="703"/>
      <c r="FV104" s="703"/>
      <c r="FW104" s="703"/>
      <c r="FX104" s="703"/>
      <c r="FY104" s="703"/>
      <c r="FZ104" s="703"/>
      <c r="GA104" s="703"/>
      <c r="GB104" s="703"/>
      <c r="GC104" s="703"/>
      <c r="GD104" s="703"/>
      <c r="GE104" s="703"/>
      <c r="GF104" s="703"/>
      <c r="GG104" s="703"/>
      <c r="GH104" s="703"/>
      <c r="GI104" s="703"/>
      <c r="GJ104" s="703"/>
      <c r="GK104" s="703"/>
      <c r="GL104" s="703"/>
      <c r="GM104" s="703"/>
      <c r="GN104" s="703"/>
      <c r="GO104" s="703"/>
      <c r="GP104" s="703"/>
      <c r="GQ104" s="703"/>
      <c r="GR104" s="703"/>
      <c r="GS104" s="703"/>
      <c r="GT104" s="703"/>
      <c r="GU104" s="703"/>
      <c r="GV104" s="703"/>
      <c r="GW104" s="703"/>
      <c r="GX104" s="703"/>
      <c r="GY104" s="703"/>
      <c r="GZ104" s="703"/>
      <c r="HA104" s="703"/>
      <c r="HB104" s="703"/>
      <c r="HC104" s="703"/>
      <c r="HD104" s="703"/>
      <c r="HE104" s="703"/>
      <c r="HF104" s="703"/>
      <c r="HG104" s="703"/>
      <c r="HH104" s="703"/>
      <c r="HI104" s="703"/>
      <c r="HJ104" s="703"/>
      <c r="HK104" s="703"/>
      <c r="HL104" s="703"/>
      <c r="HM104" s="703"/>
      <c r="HN104" s="703"/>
      <c r="HO104" s="703"/>
      <c r="HP104" s="703"/>
      <c r="HQ104" s="703"/>
      <c r="HR104" s="703"/>
      <c r="HS104" s="703"/>
      <c r="HT104" s="703"/>
      <c r="HU104" s="703"/>
      <c r="HV104" s="703"/>
      <c r="HW104" s="703"/>
      <c r="HX104" s="703"/>
      <c r="HY104" s="703"/>
      <c r="HZ104" s="703"/>
      <c r="IA104" s="703"/>
      <c r="IB104" s="703"/>
      <c r="IC104" s="703"/>
      <c r="ID104" s="703"/>
      <c r="IE104" s="703"/>
      <c r="IF104" s="703"/>
      <c r="IG104" s="703"/>
      <c r="IH104" s="703"/>
      <c r="II104" s="703"/>
      <c r="IJ104" s="703"/>
      <c r="IK104" s="703"/>
      <c r="IL104" s="703"/>
      <c r="IM104" s="703"/>
      <c r="IN104" s="703"/>
      <c r="IO104" s="703"/>
      <c r="IP104" s="703"/>
      <c r="IQ104" s="703"/>
      <c r="IR104" s="703"/>
      <c r="IS104" s="703"/>
      <c r="IT104" s="703"/>
      <c r="IU104" s="703"/>
      <c r="IV104" s="703"/>
      <c r="IW104" s="703"/>
    </row>
    <row r="105" spans="1:257" s="614" customFormat="1" ht="31.5">
      <c r="A105" s="589" t="s">
        <v>222</v>
      </c>
      <c r="B105" s="714" t="s">
        <v>883</v>
      </c>
      <c r="C105" s="589"/>
      <c r="D105" s="589"/>
      <c r="E105" s="704"/>
      <c r="F105" s="618"/>
      <c r="G105" s="618"/>
      <c r="H105" s="618"/>
      <c r="I105" s="618"/>
      <c r="J105" s="618"/>
      <c r="K105" s="618"/>
      <c r="L105" s="1307"/>
      <c r="M105" s="618"/>
      <c r="N105" s="667"/>
      <c r="O105" s="667"/>
      <c r="P105" s="610"/>
      <c r="Q105" s="610"/>
      <c r="R105" s="752"/>
      <c r="S105" s="753"/>
      <c r="T105" s="754"/>
      <c r="U105" s="577"/>
      <c r="V105" s="701"/>
      <c r="W105" s="701"/>
      <c r="X105" s="702"/>
      <c r="Y105" s="703"/>
      <c r="Z105" s="703"/>
      <c r="AA105" s="703"/>
      <c r="AB105" s="703"/>
      <c r="AC105" s="703"/>
      <c r="AD105" s="703"/>
      <c r="AE105" s="703"/>
      <c r="AF105" s="703"/>
      <c r="AG105" s="703"/>
      <c r="AH105" s="703"/>
      <c r="AI105" s="703"/>
      <c r="AJ105" s="703"/>
      <c r="AK105" s="703"/>
      <c r="AL105" s="703"/>
      <c r="AM105" s="703"/>
      <c r="AN105" s="703"/>
      <c r="AO105" s="703"/>
      <c r="AP105" s="703"/>
      <c r="AQ105" s="703"/>
      <c r="AR105" s="703"/>
      <c r="AS105" s="703"/>
      <c r="AT105" s="703"/>
      <c r="AU105" s="703"/>
      <c r="AV105" s="703"/>
      <c r="AW105" s="703"/>
      <c r="AX105" s="703"/>
      <c r="AY105" s="703"/>
      <c r="AZ105" s="703"/>
      <c r="BA105" s="703"/>
      <c r="BB105" s="703"/>
      <c r="BC105" s="703"/>
      <c r="BD105" s="703"/>
      <c r="BE105" s="703"/>
      <c r="BF105" s="703"/>
      <c r="BG105" s="703"/>
      <c r="BH105" s="703"/>
      <c r="BI105" s="703"/>
      <c r="BJ105" s="703"/>
      <c r="BK105" s="703"/>
      <c r="BL105" s="703"/>
      <c r="BM105" s="703"/>
      <c r="BN105" s="703"/>
      <c r="BO105" s="703"/>
      <c r="BP105" s="703"/>
      <c r="BQ105" s="703"/>
      <c r="BR105" s="703"/>
      <c r="BS105" s="703"/>
      <c r="BT105" s="703"/>
      <c r="BU105" s="703"/>
      <c r="BV105" s="703"/>
      <c r="BW105" s="703"/>
      <c r="BX105" s="703"/>
      <c r="BY105" s="703"/>
      <c r="BZ105" s="703"/>
      <c r="CA105" s="703"/>
      <c r="CB105" s="703"/>
      <c r="CC105" s="703"/>
      <c r="CD105" s="703"/>
      <c r="CE105" s="703"/>
      <c r="CF105" s="703"/>
      <c r="CG105" s="703"/>
      <c r="CH105" s="703"/>
      <c r="CI105" s="703"/>
      <c r="CJ105" s="703"/>
      <c r="CK105" s="703"/>
      <c r="CL105" s="703"/>
      <c r="CM105" s="703"/>
      <c r="CN105" s="703"/>
      <c r="CO105" s="703"/>
      <c r="CP105" s="703"/>
      <c r="CQ105" s="703"/>
      <c r="CR105" s="703"/>
      <c r="CS105" s="703"/>
      <c r="CT105" s="703"/>
      <c r="CU105" s="703"/>
      <c r="CV105" s="703"/>
      <c r="CW105" s="703"/>
      <c r="CX105" s="703"/>
      <c r="CY105" s="703"/>
      <c r="CZ105" s="703"/>
      <c r="DA105" s="703"/>
      <c r="DB105" s="703"/>
      <c r="DC105" s="703"/>
      <c r="DD105" s="703"/>
      <c r="DE105" s="703"/>
      <c r="DF105" s="703"/>
      <c r="DG105" s="703"/>
      <c r="DH105" s="703"/>
      <c r="DI105" s="703"/>
      <c r="DJ105" s="703"/>
      <c r="DK105" s="703"/>
      <c r="DL105" s="703"/>
      <c r="DM105" s="703"/>
      <c r="DN105" s="703"/>
      <c r="DO105" s="703"/>
      <c r="DP105" s="703"/>
      <c r="DQ105" s="703"/>
      <c r="DR105" s="703"/>
      <c r="DS105" s="703"/>
      <c r="DT105" s="703"/>
      <c r="DU105" s="703"/>
      <c r="DV105" s="703"/>
      <c r="DW105" s="703"/>
      <c r="DX105" s="703"/>
      <c r="DY105" s="703"/>
      <c r="DZ105" s="703"/>
      <c r="EA105" s="703"/>
      <c r="EB105" s="703"/>
      <c r="EC105" s="703"/>
      <c r="ED105" s="703"/>
      <c r="EE105" s="703"/>
      <c r="EF105" s="703"/>
      <c r="EG105" s="703"/>
      <c r="EH105" s="703"/>
      <c r="EI105" s="703"/>
      <c r="EJ105" s="703"/>
      <c r="EK105" s="703"/>
      <c r="EL105" s="703"/>
      <c r="EM105" s="703"/>
      <c r="EN105" s="703"/>
      <c r="EO105" s="703"/>
      <c r="EP105" s="703"/>
      <c r="EQ105" s="703"/>
      <c r="ER105" s="703"/>
      <c r="ES105" s="703"/>
      <c r="ET105" s="703"/>
      <c r="EU105" s="703"/>
      <c r="EV105" s="703"/>
      <c r="EW105" s="703"/>
      <c r="EX105" s="703"/>
      <c r="EY105" s="703"/>
      <c r="EZ105" s="703"/>
      <c r="FA105" s="703"/>
      <c r="FB105" s="703"/>
      <c r="FC105" s="703"/>
      <c r="FD105" s="703"/>
      <c r="FE105" s="703"/>
      <c r="FF105" s="703"/>
      <c r="FG105" s="703"/>
      <c r="FH105" s="703"/>
      <c r="FI105" s="703"/>
      <c r="FJ105" s="703"/>
      <c r="FK105" s="703"/>
      <c r="FL105" s="703"/>
      <c r="FM105" s="703"/>
      <c r="FN105" s="703"/>
      <c r="FO105" s="703"/>
      <c r="FP105" s="703"/>
      <c r="FQ105" s="703"/>
      <c r="FR105" s="703"/>
      <c r="FS105" s="703"/>
      <c r="FT105" s="703"/>
      <c r="FU105" s="703"/>
      <c r="FV105" s="703"/>
      <c r="FW105" s="703"/>
      <c r="FX105" s="703"/>
      <c r="FY105" s="703"/>
      <c r="FZ105" s="703"/>
      <c r="GA105" s="703"/>
      <c r="GB105" s="703"/>
      <c r="GC105" s="703"/>
      <c r="GD105" s="703"/>
      <c r="GE105" s="703"/>
      <c r="GF105" s="703"/>
      <c r="GG105" s="703"/>
      <c r="GH105" s="703"/>
      <c r="GI105" s="703"/>
      <c r="GJ105" s="703"/>
      <c r="GK105" s="703"/>
      <c r="GL105" s="703"/>
      <c r="GM105" s="703"/>
      <c r="GN105" s="703"/>
      <c r="GO105" s="703"/>
      <c r="GP105" s="703"/>
      <c r="GQ105" s="703"/>
      <c r="GR105" s="703"/>
      <c r="GS105" s="703"/>
      <c r="GT105" s="703"/>
      <c r="GU105" s="703"/>
      <c r="GV105" s="703"/>
      <c r="GW105" s="703"/>
      <c r="GX105" s="703"/>
      <c r="GY105" s="703"/>
      <c r="GZ105" s="703"/>
      <c r="HA105" s="703"/>
      <c r="HB105" s="703"/>
      <c r="HC105" s="703"/>
      <c r="HD105" s="703"/>
      <c r="HE105" s="703"/>
      <c r="HF105" s="703"/>
      <c r="HG105" s="703"/>
      <c r="HH105" s="703"/>
      <c r="HI105" s="703"/>
      <c r="HJ105" s="703"/>
      <c r="HK105" s="703"/>
      <c r="HL105" s="703"/>
      <c r="HM105" s="703"/>
      <c r="HN105" s="703"/>
      <c r="HO105" s="703"/>
      <c r="HP105" s="703"/>
      <c r="HQ105" s="703"/>
      <c r="HR105" s="703"/>
      <c r="HS105" s="703"/>
      <c r="HT105" s="703"/>
      <c r="HU105" s="703"/>
      <c r="HV105" s="703"/>
      <c r="HW105" s="703"/>
      <c r="HX105" s="703"/>
      <c r="HY105" s="703"/>
      <c r="HZ105" s="703"/>
      <c r="IA105" s="703"/>
      <c r="IB105" s="703"/>
      <c r="IC105" s="703"/>
      <c r="ID105" s="703"/>
      <c r="IE105" s="703"/>
      <c r="IF105" s="703"/>
      <c r="IG105" s="703"/>
      <c r="IH105" s="703"/>
      <c r="II105" s="703"/>
      <c r="IJ105" s="703"/>
      <c r="IK105" s="703"/>
      <c r="IL105" s="703"/>
      <c r="IM105" s="703"/>
      <c r="IN105" s="703"/>
      <c r="IO105" s="703"/>
      <c r="IP105" s="703"/>
      <c r="IQ105" s="703"/>
      <c r="IR105" s="703"/>
      <c r="IS105" s="703"/>
      <c r="IT105" s="703"/>
      <c r="IU105" s="703"/>
      <c r="IV105" s="703"/>
      <c r="IW105" s="703"/>
    </row>
    <row r="106" spans="1:257" s="614" customFormat="1" hidden="1">
      <c r="A106" s="589" t="s">
        <v>225</v>
      </c>
      <c r="B106" s="714" t="s">
        <v>884</v>
      </c>
      <c r="C106" s="589"/>
      <c r="D106" s="589"/>
      <c r="E106" s="704"/>
      <c r="F106" s="618"/>
      <c r="G106" s="618"/>
      <c r="H106" s="618"/>
      <c r="I106" s="618"/>
      <c r="J106" s="618"/>
      <c r="K106" s="609">
        <f>5000000000-1947000000+57000000</f>
        <v>3110000000</v>
      </c>
      <c r="L106" s="1303">
        <f>7000000000+18800437</f>
        <v>7018800437</v>
      </c>
      <c r="M106" s="618" t="s">
        <v>1679</v>
      </c>
      <c r="N106" s="667"/>
      <c r="O106" s="667"/>
      <c r="P106" s="610"/>
      <c r="Q106" s="610"/>
      <c r="R106" s="752"/>
      <c r="S106" s="753"/>
      <c r="T106" s="754"/>
      <c r="U106" s="577"/>
      <c r="V106" s="701"/>
      <c r="W106" s="701"/>
      <c r="X106" s="702"/>
      <c r="Y106" s="703"/>
      <c r="Z106" s="703"/>
      <c r="AA106" s="703"/>
      <c r="AB106" s="703"/>
      <c r="AC106" s="703"/>
      <c r="AD106" s="703"/>
      <c r="AE106" s="703"/>
      <c r="AF106" s="703"/>
      <c r="AG106" s="703"/>
      <c r="AH106" s="703"/>
      <c r="AI106" s="703"/>
      <c r="AJ106" s="703"/>
      <c r="AK106" s="703"/>
      <c r="AL106" s="703"/>
      <c r="AM106" s="703"/>
      <c r="AN106" s="703"/>
      <c r="AO106" s="703"/>
      <c r="AP106" s="703"/>
      <c r="AQ106" s="703"/>
      <c r="AR106" s="703"/>
      <c r="AS106" s="703"/>
      <c r="AT106" s="703"/>
      <c r="AU106" s="703"/>
      <c r="AV106" s="703"/>
      <c r="AW106" s="703"/>
      <c r="AX106" s="703"/>
      <c r="AY106" s="703"/>
      <c r="AZ106" s="703"/>
      <c r="BA106" s="703"/>
      <c r="BB106" s="703"/>
      <c r="BC106" s="703"/>
      <c r="BD106" s="703"/>
      <c r="BE106" s="703"/>
      <c r="BF106" s="703"/>
      <c r="BG106" s="703"/>
      <c r="BH106" s="703"/>
      <c r="BI106" s="703"/>
      <c r="BJ106" s="703"/>
      <c r="BK106" s="703"/>
      <c r="BL106" s="703"/>
      <c r="BM106" s="703"/>
      <c r="BN106" s="703"/>
      <c r="BO106" s="703"/>
      <c r="BP106" s="703"/>
      <c r="BQ106" s="703"/>
      <c r="BR106" s="703"/>
      <c r="BS106" s="703"/>
      <c r="BT106" s="703"/>
      <c r="BU106" s="703"/>
      <c r="BV106" s="703"/>
      <c r="BW106" s="703"/>
      <c r="BX106" s="703"/>
      <c r="BY106" s="703"/>
      <c r="BZ106" s="703"/>
      <c r="CA106" s="703"/>
      <c r="CB106" s="703"/>
      <c r="CC106" s="703"/>
      <c r="CD106" s="703"/>
      <c r="CE106" s="703"/>
      <c r="CF106" s="703"/>
      <c r="CG106" s="703"/>
      <c r="CH106" s="703"/>
      <c r="CI106" s="703"/>
      <c r="CJ106" s="703"/>
      <c r="CK106" s="703"/>
      <c r="CL106" s="703"/>
      <c r="CM106" s="703"/>
      <c r="CN106" s="703"/>
      <c r="CO106" s="703"/>
      <c r="CP106" s="703"/>
      <c r="CQ106" s="703"/>
      <c r="CR106" s="703"/>
      <c r="CS106" s="703"/>
      <c r="CT106" s="703"/>
      <c r="CU106" s="703"/>
      <c r="CV106" s="703"/>
      <c r="CW106" s="703"/>
      <c r="CX106" s="703"/>
      <c r="CY106" s="703"/>
      <c r="CZ106" s="703"/>
      <c r="DA106" s="703"/>
      <c r="DB106" s="703"/>
      <c r="DC106" s="703"/>
      <c r="DD106" s="703"/>
      <c r="DE106" s="703"/>
      <c r="DF106" s="703"/>
      <c r="DG106" s="703"/>
      <c r="DH106" s="703"/>
      <c r="DI106" s="703"/>
      <c r="DJ106" s="703"/>
      <c r="DK106" s="703"/>
      <c r="DL106" s="703"/>
      <c r="DM106" s="703"/>
      <c r="DN106" s="703"/>
      <c r="DO106" s="703"/>
      <c r="DP106" s="703"/>
      <c r="DQ106" s="703"/>
      <c r="DR106" s="703"/>
      <c r="DS106" s="703"/>
      <c r="DT106" s="703"/>
      <c r="DU106" s="703"/>
      <c r="DV106" s="703"/>
      <c r="DW106" s="703"/>
      <c r="DX106" s="703"/>
      <c r="DY106" s="703"/>
      <c r="DZ106" s="703"/>
      <c r="EA106" s="703"/>
      <c r="EB106" s="703"/>
      <c r="EC106" s="703"/>
      <c r="ED106" s="703"/>
      <c r="EE106" s="703"/>
      <c r="EF106" s="703"/>
      <c r="EG106" s="703"/>
      <c r="EH106" s="703"/>
      <c r="EI106" s="703"/>
      <c r="EJ106" s="703"/>
      <c r="EK106" s="703"/>
      <c r="EL106" s="703"/>
      <c r="EM106" s="703"/>
      <c r="EN106" s="703"/>
      <c r="EO106" s="703"/>
      <c r="EP106" s="703"/>
      <c r="EQ106" s="703"/>
      <c r="ER106" s="703"/>
      <c r="ES106" s="703"/>
      <c r="ET106" s="703"/>
      <c r="EU106" s="703"/>
      <c r="EV106" s="703"/>
      <c r="EW106" s="703"/>
      <c r="EX106" s="703"/>
      <c r="EY106" s="703"/>
      <c r="EZ106" s="703"/>
      <c r="FA106" s="703"/>
      <c r="FB106" s="703"/>
      <c r="FC106" s="703"/>
      <c r="FD106" s="703"/>
      <c r="FE106" s="703"/>
      <c r="FF106" s="703"/>
      <c r="FG106" s="703"/>
      <c r="FH106" s="703"/>
      <c r="FI106" s="703"/>
      <c r="FJ106" s="703"/>
      <c r="FK106" s="703"/>
      <c r="FL106" s="703"/>
      <c r="FM106" s="703"/>
      <c r="FN106" s="703"/>
      <c r="FO106" s="703"/>
      <c r="FP106" s="703"/>
      <c r="FQ106" s="703"/>
      <c r="FR106" s="703"/>
      <c r="FS106" s="703"/>
      <c r="FT106" s="703"/>
      <c r="FU106" s="703"/>
      <c r="FV106" s="703"/>
      <c r="FW106" s="703"/>
      <c r="FX106" s="703"/>
      <c r="FY106" s="703"/>
      <c r="FZ106" s="703"/>
      <c r="GA106" s="703"/>
      <c r="GB106" s="703"/>
      <c r="GC106" s="703"/>
      <c r="GD106" s="703"/>
      <c r="GE106" s="703"/>
      <c r="GF106" s="703"/>
      <c r="GG106" s="703"/>
      <c r="GH106" s="703"/>
      <c r="GI106" s="703"/>
      <c r="GJ106" s="703"/>
      <c r="GK106" s="703"/>
      <c r="GL106" s="703"/>
      <c r="GM106" s="703"/>
      <c r="GN106" s="703"/>
      <c r="GO106" s="703"/>
      <c r="GP106" s="703"/>
      <c r="GQ106" s="703"/>
      <c r="GR106" s="703"/>
      <c r="GS106" s="703"/>
      <c r="GT106" s="703"/>
      <c r="GU106" s="703"/>
      <c r="GV106" s="703"/>
      <c r="GW106" s="703"/>
      <c r="GX106" s="703"/>
      <c r="GY106" s="703"/>
      <c r="GZ106" s="703"/>
      <c r="HA106" s="703"/>
      <c r="HB106" s="703"/>
      <c r="HC106" s="703"/>
      <c r="HD106" s="703"/>
      <c r="HE106" s="703"/>
      <c r="HF106" s="703"/>
      <c r="HG106" s="703"/>
      <c r="HH106" s="703"/>
      <c r="HI106" s="703"/>
      <c r="HJ106" s="703"/>
      <c r="HK106" s="703"/>
      <c r="HL106" s="703"/>
      <c r="HM106" s="703"/>
      <c r="HN106" s="703"/>
      <c r="HO106" s="703"/>
      <c r="HP106" s="703"/>
      <c r="HQ106" s="703"/>
      <c r="HR106" s="703"/>
      <c r="HS106" s="703"/>
      <c r="HT106" s="703"/>
      <c r="HU106" s="703"/>
      <c r="HV106" s="703"/>
      <c r="HW106" s="703"/>
      <c r="HX106" s="703"/>
      <c r="HY106" s="703"/>
      <c r="HZ106" s="703"/>
      <c r="IA106" s="703"/>
      <c r="IB106" s="703"/>
      <c r="IC106" s="703"/>
      <c r="ID106" s="703"/>
      <c r="IE106" s="703"/>
      <c r="IF106" s="703"/>
      <c r="IG106" s="703"/>
      <c r="IH106" s="703"/>
      <c r="II106" s="703"/>
      <c r="IJ106" s="703"/>
      <c r="IK106" s="703"/>
      <c r="IL106" s="703"/>
      <c r="IM106" s="703"/>
      <c r="IN106" s="703"/>
      <c r="IO106" s="703"/>
      <c r="IP106" s="703"/>
      <c r="IQ106" s="703"/>
      <c r="IR106" s="703"/>
      <c r="IS106" s="703"/>
      <c r="IT106" s="703"/>
      <c r="IU106" s="703"/>
      <c r="IV106" s="703"/>
      <c r="IW106" s="703"/>
    </row>
    <row r="107" spans="1:257" s="641" customFormat="1" ht="15.75" hidden="1" customHeight="1">
      <c r="A107" s="699"/>
      <c r="B107" s="668"/>
      <c r="C107" s="699"/>
      <c r="D107" s="699"/>
      <c r="E107" s="700"/>
      <c r="F107" s="669"/>
      <c r="G107" s="669"/>
      <c r="H107" s="669"/>
      <c r="I107" s="669"/>
      <c r="J107" s="669"/>
      <c r="K107" s="669"/>
      <c r="L107" s="1306"/>
      <c r="M107" s="669"/>
      <c r="N107" s="670"/>
      <c r="O107" s="670"/>
      <c r="P107" s="706"/>
      <c r="Q107" s="706"/>
      <c r="R107" s="750"/>
      <c r="S107" s="751"/>
      <c r="T107" s="579"/>
      <c r="U107" s="580"/>
      <c r="V107" s="581"/>
      <c r="W107" s="581"/>
      <c r="X107" s="578"/>
      <c r="Y107" s="582"/>
      <c r="Z107" s="582"/>
      <c r="AA107" s="582"/>
      <c r="AB107" s="582"/>
      <c r="AC107" s="582"/>
      <c r="AD107" s="582"/>
      <c r="AE107" s="582"/>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c r="BI107" s="582"/>
      <c r="BJ107" s="582"/>
      <c r="BK107" s="582"/>
      <c r="BL107" s="582"/>
      <c r="BM107" s="582"/>
      <c r="BN107" s="582"/>
      <c r="BO107" s="582"/>
      <c r="BP107" s="582"/>
      <c r="BQ107" s="582"/>
      <c r="BR107" s="582"/>
      <c r="BS107" s="582"/>
      <c r="BT107" s="582"/>
      <c r="BU107" s="582"/>
      <c r="BV107" s="582"/>
      <c r="BW107" s="582"/>
      <c r="BX107" s="582"/>
      <c r="BY107" s="582"/>
      <c r="BZ107" s="582"/>
      <c r="CA107" s="582"/>
      <c r="CB107" s="582"/>
      <c r="CC107" s="582"/>
      <c r="CD107" s="582"/>
      <c r="CE107" s="582"/>
      <c r="CF107" s="582"/>
      <c r="CG107" s="582"/>
      <c r="CH107" s="582"/>
      <c r="CI107" s="582"/>
      <c r="CJ107" s="582"/>
      <c r="CK107" s="582"/>
      <c r="CL107" s="582"/>
      <c r="CM107" s="582"/>
      <c r="CN107" s="582"/>
      <c r="CO107" s="582"/>
      <c r="CP107" s="582"/>
      <c r="CQ107" s="582"/>
      <c r="CR107" s="582"/>
      <c r="CS107" s="582"/>
      <c r="CT107" s="582"/>
      <c r="CU107" s="582"/>
      <c r="CV107" s="582"/>
      <c r="CW107" s="582"/>
      <c r="CX107" s="582"/>
      <c r="CY107" s="582"/>
      <c r="CZ107" s="582"/>
      <c r="DA107" s="582"/>
      <c r="DB107" s="582"/>
      <c r="DC107" s="582"/>
      <c r="DD107" s="582"/>
      <c r="DE107" s="582"/>
      <c r="DF107" s="582"/>
      <c r="DG107" s="582"/>
      <c r="DH107" s="582"/>
      <c r="DI107" s="582"/>
      <c r="DJ107" s="582"/>
      <c r="DK107" s="582"/>
      <c r="DL107" s="582"/>
      <c r="DM107" s="582"/>
      <c r="DN107" s="582"/>
      <c r="DO107" s="582"/>
      <c r="DP107" s="582"/>
      <c r="DQ107" s="582"/>
      <c r="DR107" s="582"/>
      <c r="DS107" s="582"/>
      <c r="DT107" s="582"/>
      <c r="DU107" s="582"/>
      <c r="DV107" s="582"/>
      <c r="DW107" s="582"/>
      <c r="DX107" s="582"/>
      <c r="DY107" s="582"/>
      <c r="DZ107" s="582"/>
      <c r="EA107" s="582"/>
      <c r="EB107" s="582"/>
      <c r="EC107" s="582"/>
      <c r="ED107" s="582"/>
      <c r="EE107" s="582"/>
      <c r="EF107" s="582"/>
      <c r="EG107" s="582"/>
      <c r="EH107" s="582"/>
      <c r="EI107" s="582"/>
      <c r="EJ107" s="582"/>
      <c r="EK107" s="582"/>
      <c r="EL107" s="582"/>
      <c r="EM107" s="582"/>
      <c r="EN107" s="582"/>
      <c r="EO107" s="582"/>
      <c r="EP107" s="582"/>
      <c r="EQ107" s="582"/>
      <c r="ER107" s="582"/>
      <c r="ES107" s="582"/>
      <c r="ET107" s="582"/>
      <c r="EU107" s="582"/>
      <c r="EV107" s="582"/>
      <c r="EW107" s="582"/>
      <c r="EX107" s="582"/>
      <c r="EY107" s="582"/>
      <c r="EZ107" s="582"/>
      <c r="FA107" s="582"/>
      <c r="FB107" s="582"/>
      <c r="FC107" s="582"/>
      <c r="FD107" s="582"/>
      <c r="FE107" s="582"/>
      <c r="FF107" s="582"/>
      <c r="FG107" s="582"/>
      <c r="FH107" s="582"/>
      <c r="FI107" s="582"/>
      <c r="FJ107" s="582"/>
      <c r="FK107" s="582"/>
      <c r="FL107" s="582"/>
      <c r="FM107" s="582"/>
      <c r="FN107" s="582"/>
      <c r="FO107" s="582"/>
      <c r="FP107" s="582"/>
      <c r="FQ107" s="582"/>
      <c r="FR107" s="582"/>
      <c r="FS107" s="582"/>
      <c r="FT107" s="582"/>
      <c r="FU107" s="582"/>
      <c r="FV107" s="582"/>
      <c r="FW107" s="582"/>
      <c r="FX107" s="582"/>
      <c r="FY107" s="582"/>
      <c r="FZ107" s="582"/>
      <c r="GA107" s="582"/>
      <c r="GB107" s="582"/>
      <c r="GC107" s="582"/>
      <c r="GD107" s="582"/>
      <c r="GE107" s="582"/>
      <c r="GF107" s="582"/>
      <c r="GG107" s="582"/>
      <c r="GH107" s="582"/>
      <c r="GI107" s="582"/>
      <c r="GJ107" s="582"/>
      <c r="GK107" s="582"/>
      <c r="GL107" s="582"/>
      <c r="GM107" s="582"/>
      <c r="GN107" s="582"/>
      <c r="GO107" s="582"/>
      <c r="GP107" s="582"/>
      <c r="GQ107" s="582"/>
      <c r="GR107" s="582"/>
      <c r="GS107" s="582"/>
      <c r="GT107" s="582"/>
      <c r="GU107" s="582"/>
      <c r="GV107" s="582"/>
      <c r="GW107" s="582"/>
      <c r="GX107" s="582"/>
      <c r="GY107" s="582"/>
      <c r="GZ107" s="582"/>
      <c r="HA107" s="582"/>
      <c r="HB107" s="582"/>
      <c r="HC107" s="582"/>
      <c r="HD107" s="582"/>
      <c r="HE107" s="582"/>
      <c r="HF107" s="582"/>
      <c r="HG107" s="582"/>
      <c r="HH107" s="582"/>
      <c r="HI107" s="582"/>
      <c r="HJ107" s="582"/>
      <c r="HK107" s="582"/>
      <c r="HL107" s="582"/>
      <c r="HM107" s="582"/>
      <c r="HN107" s="582"/>
      <c r="HO107" s="582"/>
      <c r="HP107" s="582"/>
      <c r="HQ107" s="582"/>
      <c r="HR107" s="582"/>
      <c r="HS107" s="582"/>
      <c r="HT107" s="582"/>
      <c r="HU107" s="582"/>
      <c r="HV107" s="582"/>
      <c r="HW107" s="582"/>
      <c r="HX107" s="582"/>
      <c r="HY107" s="582"/>
      <c r="HZ107" s="582"/>
      <c r="IA107" s="582"/>
      <c r="IB107" s="582"/>
      <c r="IC107" s="582"/>
      <c r="ID107" s="582"/>
      <c r="IE107" s="582"/>
      <c r="IF107" s="582"/>
      <c r="IG107" s="582"/>
      <c r="IH107" s="582"/>
      <c r="II107" s="582"/>
      <c r="IJ107" s="582"/>
      <c r="IK107" s="582"/>
      <c r="IL107" s="582"/>
      <c r="IM107" s="582"/>
      <c r="IN107" s="582"/>
      <c r="IO107" s="582"/>
      <c r="IP107" s="582"/>
      <c r="IQ107" s="582"/>
      <c r="IR107" s="582"/>
      <c r="IS107" s="582"/>
      <c r="IT107" s="582"/>
      <c r="IU107" s="582"/>
      <c r="IV107" s="582"/>
      <c r="IW107" s="582"/>
    </row>
    <row r="108" spans="1:257" s="641" customFormat="1" hidden="1">
      <c r="A108" s="699" t="s">
        <v>91</v>
      </c>
      <c r="B108" s="668" t="s">
        <v>885</v>
      </c>
      <c r="C108" s="699"/>
      <c r="D108" s="699"/>
      <c r="E108" s="700"/>
      <c r="F108" s="669"/>
      <c r="G108" s="669"/>
      <c r="H108" s="669"/>
      <c r="I108" s="669"/>
      <c r="J108" s="669"/>
      <c r="K108" s="669"/>
      <c r="L108" s="1306"/>
      <c r="M108" s="669"/>
      <c r="N108" s="670"/>
      <c r="O108" s="670"/>
      <c r="P108" s="706"/>
      <c r="Q108" s="706"/>
      <c r="R108" s="750"/>
      <c r="S108" s="751"/>
      <c r="T108" s="579"/>
      <c r="U108" s="580"/>
      <c r="V108" s="581"/>
      <c r="W108" s="581"/>
      <c r="X108" s="578"/>
      <c r="Y108" s="582"/>
      <c r="Z108" s="582"/>
      <c r="AA108" s="582"/>
      <c r="AB108" s="582"/>
      <c r="AC108" s="582"/>
      <c r="AD108" s="582"/>
      <c r="AE108" s="582"/>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c r="BI108" s="582"/>
      <c r="BJ108" s="582"/>
      <c r="BK108" s="582"/>
      <c r="BL108" s="582"/>
      <c r="BM108" s="582"/>
      <c r="BN108" s="582"/>
      <c r="BO108" s="582"/>
      <c r="BP108" s="582"/>
      <c r="BQ108" s="582"/>
      <c r="BR108" s="582"/>
      <c r="BS108" s="582"/>
      <c r="BT108" s="582"/>
      <c r="BU108" s="582"/>
      <c r="BV108" s="582"/>
      <c r="BW108" s="582"/>
      <c r="BX108" s="582"/>
      <c r="BY108" s="582"/>
      <c r="BZ108" s="582"/>
      <c r="CA108" s="582"/>
      <c r="CB108" s="582"/>
      <c r="CC108" s="582"/>
      <c r="CD108" s="582"/>
      <c r="CE108" s="582"/>
      <c r="CF108" s="582"/>
      <c r="CG108" s="582"/>
      <c r="CH108" s="582"/>
      <c r="CI108" s="582"/>
      <c r="CJ108" s="582"/>
      <c r="CK108" s="582"/>
      <c r="CL108" s="582"/>
      <c r="CM108" s="582"/>
      <c r="CN108" s="582"/>
      <c r="CO108" s="582"/>
      <c r="CP108" s="582"/>
      <c r="CQ108" s="582"/>
      <c r="CR108" s="582"/>
      <c r="CS108" s="582"/>
      <c r="CT108" s="582"/>
      <c r="CU108" s="582"/>
      <c r="CV108" s="582"/>
      <c r="CW108" s="582"/>
      <c r="CX108" s="582"/>
      <c r="CY108" s="582"/>
      <c r="CZ108" s="582"/>
      <c r="DA108" s="582"/>
      <c r="DB108" s="582"/>
      <c r="DC108" s="582"/>
      <c r="DD108" s="582"/>
      <c r="DE108" s="582"/>
      <c r="DF108" s="582"/>
      <c r="DG108" s="582"/>
      <c r="DH108" s="582"/>
      <c r="DI108" s="582"/>
      <c r="DJ108" s="582"/>
      <c r="DK108" s="582"/>
      <c r="DL108" s="582"/>
      <c r="DM108" s="582"/>
      <c r="DN108" s="582"/>
      <c r="DO108" s="582"/>
      <c r="DP108" s="582"/>
      <c r="DQ108" s="582"/>
      <c r="DR108" s="582"/>
      <c r="DS108" s="582"/>
      <c r="DT108" s="582"/>
      <c r="DU108" s="582"/>
      <c r="DV108" s="582"/>
      <c r="DW108" s="582"/>
      <c r="DX108" s="582"/>
      <c r="DY108" s="582"/>
      <c r="DZ108" s="582"/>
      <c r="EA108" s="582"/>
      <c r="EB108" s="582"/>
      <c r="EC108" s="582"/>
      <c r="ED108" s="582"/>
      <c r="EE108" s="582"/>
      <c r="EF108" s="582"/>
      <c r="EG108" s="582"/>
      <c r="EH108" s="582"/>
      <c r="EI108" s="582"/>
      <c r="EJ108" s="582"/>
      <c r="EK108" s="582"/>
      <c r="EL108" s="582"/>
      <c r="EM108" s="582"/>
      <c r="EN108" s="582"/>
      <c r="EO108" s="582"/>
      <c r="EP108" s="582"/>
      <c r="EQ108" s="582"/>
      <c r="ER108" s="582"/>
      <c r="ES108" s="582"/>
      <c r="ET108" s="582"/>
      <c r="EU108" s="582"/>
      <c r="EV108" s="582"/>
      <c r="EW108" s="582"/>
      <c r="EX108" s="582"/>
      <c r="EY108" s="582"/>
      <c r="EZ108" s="582"/>
      <c r="FA108" s="582"/>
      <c r="FB108" s="582"/>
      <c r="FC108" s="582"/>
      <c r="FD108" s="582"/>
      <c r="FE108" s="582"/>
      <c r="FF108" s="582"/>
      <c r="FG108" s="582"/>
      <c r="FH108" s="582"/>
      <c r="FI108" s="582"/>
      <c r="FJ108" s="582"/>
      <c r="FK108" s="582"/>
      <c r="FL108" s="582"/>
      <c r="FM108" s="582"/>
      <c r="FN108" s="582"/>
      <c r="FO108" s="582"/>
      <c r="FP108" s="582"/>
      <c r="FQ108" s="582"/>
      <c r="FR108" s="582"/>
      <c r="FS108" s="582"/>
      <c r="FT108" s="582"/>
      <c r="FU108" s="582"/>
      <c r="FV108" s="582"/>
      <c r="FW108" s="582"/>
      <c r="FX108" s="582"/>
      <c r="FY108" s="582"/>
      <c r="FZ108" s="582"/>
      <c r="GA108" s="582"/>
      <c r="GB108" s="582"/>
      <c r="GC108" s="582"/>
      <c r="GD108" s="582"/>
      <c r="GE108" s="582"/>
      <c r="GF108" s="582"/>
      <c r="GG108" s="582"/>
      <c r="GH108" s="582"/>
      <c r="GI108" s="582"/>
      <c r="GJ108" s="582"/>
      <c r="GK108" s="582"/>
      <c r="GL108" s="582"/>
      <c r="GM108" s="582"/>
      <c r="GN108" s="582"/>
      <c r="GO108" s="582"/>
      <c r="GP108" s="582"/>
      <c r="GQ108" s="582"/>
      <c r="GR108" s="582"/>
      <c r="GS108" s="582"/>
      <c r="GT108" s="582"/>
      <c r="GU108" s="582"/>
      <c r="GV108" s="582"/>
      <c r="GW108" s="582"/>
      <c r="GX108" s="582"/>
      <c r="GY108" s="582"/>
      <c r="GZ108" s="582"/>
      <c r="HA108" s="582"/>
      <c r="HB108" s="582"/>
      <c r="HC108" s="582"/>
      <c r="HD108" s="582"/>
      <c r="HE108" s="582"/>
      <c r="HF108" s="582"/>
      <c r="HG108" s="582"/>
      <c r="HH108" s="582"/>
      <c r="HI108" s="582"/>
      <c r="HJ108" s="582"/>
      <c r="HK108" s="582"/>
      <c r="HL108" s="582"/>
      <c r="HM108" s="582"/>
      <c r="HN108" s="582"/>
      <c r="HO108" s="582"/>
      <c r="HP108" s="582"/>
      <c r="HQ108" s="582"/>
      <c r="HR108" s="582"/>
      <c r="HS108" s="582"/>
      <c r="HT108" s="582"/>
      <c r="HU108" s="582"/>
      <c r="HV108" s="582"/>
      <c r="HW108" s="582"/>
      <c r="HX108" s="582"/>
      <c r="HY108" s="582"/>
      <c r="HZ108" s="582"/>
      <c r="IA108" s="582"/>
      <c r="IB108" s="582"/>
      <c r="IC108" s="582"/>
      <c r="ID108" s="582"/>
      <c r="IE108" s="582"/>
      <c r="IF108" s="582"/>
      <c r="IG108" s="582"/>
      <c r="IH108" s="582"/>
      <c r="II108" s="582"/>
      <c r="IJ108" s="582"/>
      <c r="IK108" s="582"/>
      <c r="IL108" s="582"/>
      <c r="IM108" s="582"/>
      <c r="IN108" s="582"/>
      <c r="IO108" s="582"/>
      <c r="IP108" s="582"/>
      <c r="IQ108" s="582"/>
      <c r="IR108" s="582"/>
      <c r="IS108" s="582"/>
      <c r="IT108" s="582"/>
      <c r="IU108" s="582"/>
      <c r="IV108" s="582"/>
      <c r="IW108" s="582"/>
    </row>
    <row r="109" spans="1:257" s="641" customFormat="1" hidden="1">
      <c r="A109" s="699" t="s">
        <v>91</v>
      </c>
      <c r="B109" s="668" t="s">
        <v>235</v>
      </c>
      <c r="C109" s="699"/>
      <c r="D109" s="699"/>
      <c r="E109" s="700"/>
      <c r="F109" s="669"/>
      <c r="G109" s="669"/>
      <c r="H109" s="669"/>
      <c r="I109" s="669"/>
      <c r="J109" s="669"/>
      <c r="K109" s="669"/>
      <c r="L109" s="1306"/>
      <c r="M109" s="669"/>
      <c r="N109" s="670"/>
      <c r="O109" s="670"/>
      <c r="P109" s="706"/>
      <c r="Q109" s="706"/>
      <c r="R109" s="750"/>
      <c r="S109" s="751"/>
      <c r="T109" s="579"/>
      <c r="U109" s="580"/>
      <c r="V109" s="581"/>
      <c r="W109" s="581"/>
      <c r="X109" s="578"/>
      <c r="Y109" s="582"/>
      <c r="Z109" s="582"/>
      <c r="AA109" s="582"/>
      <c r="AB109" s="582"/>
      <c r="AC109" s="582"/>
      <c r="AD109" s="582"/>
      <c r="AE109" s="582"/>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c r="BI109" s="582"/>
      <c r="BJ109" s="582"/>
      <c r="BK109" s="582"/>
      <c r="BL109" s="582"/>
      <c r="BM109" s="582"/>
      <c r="BN109" s="582"/>
      <c r="BO109" s="582"/>
      <c r="BP109" s="582"/>
      <c r="BQ109" s="582"/>
      <c r="BR109" s="582"/>
      <c r="BS109" s="582"/>
      <c r="BT109" s="582"/>
      <c r="BU109" s="582"/>
      <c r="BV109" s="582"/>
      <c r="BW109" s="582"/>
      <c r="BX109" s="582"/>
      <c r="BY109" s="582"/>
      <c r="BZ109" s="582"/>
      <c r="CA109" s="582"/>
      <c r="CB109" s="582"/>
      <c r="CC109" s="582"/>
      <c r="CD109" s="582"/>
      <c r="CE109" s="582"/>
      <c r="CF109" s="582"/>
      <c r="CG109" s="582"/>
      <c r="CH109" s="582"/>
      <c r="CI109" s="582"/>
      <c r="CJ109" s="582"/>
      <c r="CK109" s="582"/>
      <c r="CL109" s="582"/>
      <c r="CM109" s="582"/>
      <c r="CN109" s="582"/>
      <c r="CO109" s="582"/>
      <c r="CP109" s="582"/>
      <c r="CQ109" s="582"/>
      <c r="CR109" s="582"/>
      <c r="CS109" s="582"/>
      <c r="CT109" s="582"/>
      <c r="CU109" s="582"/>
      <c r="CV109" s="582"/>
      <c r="CW109" s="582"/>
      <c r="CX109" s="582"/>
      <c r="CY109" s="582"/>
      <c r="CZ109" s="582"/>
      <c r="DA109" s="582"/>
      <c r="DB109" s="582"/>
      <c r="DC109" s="582"/>
      <c r="DD109" s="582"/>
      <c r="DE109" s="582"/>
      <c r="DF109" s="582"/>
      <c r="DG109" s="582"/>
      <c r="DH109" s="582"/>
      <c r="DI109" s="582"/>
      <c r="DJ109" s="582"/>
      <c r="DK109" s="582"/>
      <c r="DL109" s="582"/>
      <c r="DM109" s="582"/>
      <c r="DN109" s="582"/>
      <c r="DO109" s="582"/>
      <c r="DP109" s="582"/>
      <c r="DQ109" s="582"/>
      <c r="DR109" s="582"/>
      <c r="DS109" s="582"/>
      <c r="DT109" s="582"/>
      <c r="DU109" s="582"/>
      <c r="DV109" s="582"/>
      <c r="DW109" s="582"/>
      <c r="DX109" s="582"/>
      <c r="DY109" s="582"/>
      <c r="DZ109" s="582"/>
      <c r="EA109" s="582"/>
      <c r="EB109" s="582"/>
      <c r="EC109" s="582"/>
      <c r="ED109" s="582"/>
      <c r="EE109" s="582"/>
      <c r="EF109" s="582"/>
      <c r="EG109" s="582"/>
      <c r="EH109" s="582"/>
      <c r="EI109" s="582"/>
      <c r="EJ109" s="582"/>
      <c r="EK109" s="582"/>
      <c r="EL109" s="582"/>
      <c r="EM109" s="582"/>
      <c r="EN109" s="582"/>
      <c r="EO109" s="582"/>
      <c r="EP109" s="582"/>
      <c r="EQ109" s="582"/>
      <c r="ER109" s="582"/>
      <c r="ES109" s="582"/>
      <c r="ET109" s="582"/>
      <c r="EU109" s="582"/>
      <c r="EV109" s="582"/>
      <c r="EW109" s="582"/>
      <c r="EX109" s="582"/>
      <c r="EY109" s="582"/>
      <c r="EZ109" s="582"/>
      <c r="FA109" s="582"/>
      <c r="FB109" s="582"/>
      <c r="FC109" s="582"/>
      <c r="FD109" s="582"/>
      <c r="FE109" s="582"/>
      <c r="FF109" s="582"/>
      <c r="FG109" s="582"/>
      <c r="FH109" s="582"/>
      <c r="FI109" s="582"/>
      <c r="FJ109" s="582"/>
      <c r="FK109" s="582"/>
      <c r="FL109" s="582"/>
      <c r="FM109" s="582"/>
      <c r="FN109" s="582"/>
      <c r="FO109" s="582"/>
      <c r="FP109" s="582"/>
      <c r="FQ109" s="582"/>
      <c r="FR109" s="582"/>
      <c r="FS109" s="582"/>
      <c r="FT109" s="582"/>
      <c r="FU109" s="582"/>
      <c r="FV109" s="582"/>
      <c r="FW109" s="582"/>
      <c r="FX109" s="582"/>
      <c r="FY109" s="582"/>
      <c r="FZ109" s="582"/>
      <c r="GA109" s="582"/>
      <c r="GB109" s="582"/>
      <c r="GC109" s="582"/>
      <c r="GD109" s="582"/>
      <c r="GE109" s="582"/>
      <c r="GF109" s="582"/>
      <c r="GG109" s="582"/>
      <c r="GH109" s="582"/>
      <c r="GI109" s="582"/>
      <c r="GJ109" s="582"/>
      <c r="GK109" s="582"/>
      <c r="GL109" s="582"/>
      <c r="GM109" s="582"/>
      <c r="GN109" s="582"/>
      <c r="GO109" s="582"/>
      <c r="GP109" s="582"/>
      <c r="GQ109" s="582"/>
      <c r="GR109" s="582"/>
      <c r="GS109" s="582"/>
      <c r="GT109" s="582"/>
      <c r="GU109" s="582"/>
      <c r="GV109" s="582"/>
      <c r="GW109" s="582"/>
      <c r="GX109" s="582"/>
      <c r="GY109" s="582"/>
      <c r="GZ109" s="582"/>
      <c r="HA109" s="582"/>
      <c r="HB109" s="582"/>
      <c r="HC109" s="582"/>
      <c r="HD109" s="582"/>
      <c r="HE109" s="582"/>
      <c r="HF109" s="582"/>
      <c r="HG109" s="582"/>
      <c r="HH109" s="582"/>
      <c r="HI109" s="582"/>
      <c r="HJ109" s="582"/>
      <c r="HK109" s="582"/>
      <c r="HL109" s="582"/>
      <c r="HM109" s="582"/>
      <c r="HN109" s="582"/>
      <c r="HO109" s="582"/>
      <c r="HP109" s="582"/>
      <c r="HQ109" s="582"/>
      <c r="HR109" s="582"/>
      <c r="HS109" s="582"/>
      <c r="HT109" s="582"/>
      <c r="HU109" s="582"/>
      <c r="HV109" s="582"/>
      <c r="HW109" s="582"/>
      <c r="HX109" s="582"/>
      <c r="HY109" s="582"/>
      <c r="HZ109" s="582"/>
      <c r="IA109" s="582"/>
      <c r="IB109" s="582"/>
      <c r="IC109" s="582"/>
      <c r="ID109" s="582"/>
      <c r="IE109" s="582"/>
      <c r="IF109" s="582"/>
      <c r="IG109" s="582"/>
      <c r="IH109" s="582"/>
      <c r="II109" s="582"/>
      <c r="IJ109" s="582"/>
      <c r="IK109" s="582"/>
      <c r="IL109" s="582"/>
      <c r="IM109" s="582"/>
      <c r="IN109" s="582"/>
      <c r="IO109" s="582"/>
      <c r="IP109" s="582"/>
      <c r="IQ109" s="582"/>
      <c r="IR109" s="582"/>
      <c r="IS109" s="582"/>
      <c r="IT109" s="582"/>
      <c r="IU109" s="582"/>
      <c r="IV109" s="582"/>
      <c r="IW109" s="582"/>
    </row>
    <row r="110" spans="1:257" s="614" customFormat="1" ht="47.25">
      <c r="A110" s="589" t="s">
        <v>322</v>
      </c>
      <c r="B110" s="671" t="s">
        <v>237</v>
      </c>
      <c r="C110" s="589"/>
      <c r="D110" s="589"/>
      <c r="E110" s="704"/>
      <c r="F110" s="609"/>
      <c r="G110" s="609"/>
      <c r="H110" s="609"/>
      <c r="I110" s="609"/>
      <c r="J110" s="609"/>
      <c r="K110" s="609">
        <f>5153000000+20000000-560000000+17000000-29000000-250000000-100000000-373000000+1000000000-320000000-40000000</f>
        <v>4518000000</v>
      </c>
      <c r="L110" s="1303">
        <f>[5]Vân!$L$110</f>
        <v>4000000000</v>
      </c>
      <c r="M110" s="609"/>
      <c r="N110" s="637"/>
      <c r="O110" s="637"/>
      <c r="P110" s="610"/>
      <c r="Q110" s="610"/>
      <c r="R110" s="752"/>
      <c r="S110" s="753"/>
      <c r="T110" s="754"/>
      <c r="U110" s="577"/>
      <c r="V110" s="701"/>
      <c r="W110" s="701"/>
      <c r="X110" s="702"/>
      <c r="Y110" s="703"/>
      <c r="Z110" s="703"/>
      <c r="AA110" s="703"/>
      <c r="AB110" s="703"/>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3"/>
      <c r="BU110" s="703"/>
      <c r="BV110" s="703"/>
      <c r="BW110" s="703"/>
      <c r="BX110" s="703"/>
      <c r="BY110" s="703"/>
      <c r="BZ110" s="703"/>
      <c r="CA110" s="703"/>
      <c r="CB110" s="703"/>
      <c r="CC110" s="703"/>
      <c r="CD110" s="703"/>
      <c r="CE110" s="703"/>
      <c r="CF110" s="703"/>
      <c r="CG110" s="703"/>
      <c r="CH110" s="703"/>
      <c r="CI110" s="703"/>
      <c r="CJ110" s="703"/>
      <c r="CK110" s="703"/>
      <c r="CL110" s="703"/>
      <c r="CM110" s="703"/>
      <c r="CN110" s="703"/>
      <c r="CO110" s="703"/>
      <c r="CP110" s="703"/>
      <c r="CQ110" s="703"/>
      <c r="CR110" s="703"/>
      <c r="CS110" s="703"/>
      <c r="CT110" s="703"/>
      <c r="CU110" s="703"/>
      <c r="CV110" s="703"/>
      <c r="CW110" s="703"/>
      <c r="CX110" s="703"/>
      <c r="CY110" s="703"/>
      <c r="CZ110" s="703"/>
      <c r="DA110" s="703"/>
      <c r="DB110" s="703"/>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703"/>
      <c r="FY110" s="703"/>
      <c r="FZ110" s="703"/>
      <c r="GA110" s="703"/>
      <c r="GB110" s="703"/>
      <c r="GC110" s="703"/>
      <c r="GD110" s="703"/>
      <c r="GE110" s="703"/>
      <c r="GF110" s="703"/>
      <c r="GG110" s="703"/>
      <c r="GH110" s="703"/>
      <c r="GI110" s="703"/>
      <c r="GJ110" s="703"/>
      <c r="GK110" s="703"/>
      <c r="GL110" s="703"/>
      <c r="GM110" s="703"/>
      <c r="GN110" s="703"/>
      <c r="GO110" s="703"/>
      <c r="GP110" s="703"/>
      <c r="GQ110" s="703"/>
      <c r="GR110" s="703"/>
      <c r="GS110" s="703"/>
      <c r="GT110" s="703"/>
      <c r="GU110" s="703"/>
      <c r="GV110" s="703"/>
      <c r="GW110" s="703"/>
      <c r="GX110" s="703"/>
      <c r="GY110" s="703"/>
      <c r="GZ110" s="703"/>
      <c r="HA110" s="703"/>
      <c r="HB110" s="703"/>
      <c r="HC110" s="703"/>
      <c r="HD110" s="703"/>
      <c r="HE110" s="703"/>
      <c r="HF110" s="703"/>
      <c r="HG110" s="703"/>
      <c r="HH110" s="703"/>
      <c r="HI110" s="703"/>
      <c r="HJ110" s="703"/>
      <c r="HK110" s="703"/>
      <c r="HL110" s="703"/>
      <c r="HM110" s="703"/>
      <c r="HN110" s="703"/>
      <c r="HO110" s="703"/>
      <c r="HP110" s="703"/>
      <c r="HQ110" s="703"/>
      <c r="HR110" s="703"/>
      <c r="HS110" s="703"/>
      <c r="HT110" s="703"/>
      <c r="HU110" s="703"/>
      <c r="HV110" s="703"/>
      <c r="HW110" s="703"/>
      <c r="HX110" s="703"/>
      <c r="HY110" s="703"/>
      <c r="HZ110" s="703"/>
      <c r="IA110" s="703"/>
      <c r="IB110" s="703"/>
      <c r="IC110" s="703"/>
      <c r="ID110" s="703"/>
      <c r="IE110" s="703"/>
      <c r="IF110" s="703"/>
      <c r="IG110" s="703"/>
      <c r="IH110" s="703"/>
      <c r="II110" s="703"/>
      <c r="IJ110" s="703"/>
      <c r="IK110" s="703"/>
      <c r="IL110" s="703"/>
      <c r="IM110" s="703"/>
      <c r="IN110" s="703"/>
      <c r="IO110" s="703"/>
      <c r="IP110" s="703"/>
      <c r="IQ110" s="703"/>
      <c r="IR110" s="703"/>
      <c r="IS110" s="703"/>
      <c r="IT110" s="703"/>
      <c r="IU110" s="703"/>
      <c r="IV110" s="703"/>
      <c r="IW110" s="703"/>
    </row>
    <row r="111" spans="1:257" s="1240" customFormat="1">
      <c r="A111" s="1229">
        <v>7</v>
      </c>
      <c r="B111" s="1230" t="s">
        <v>238</v>
      </c>
      <c r="C111" s="1229"/>
      <c r="D111" s="1229"/>
      <c r="E111" s="1230"/>
      <c r="F111" s="1230">
        <v>1000000000</v>
      </c>
      <c r="G111" s="1231"/>
      <c r="H111" s="1231"/>
      <c r="I111" s="1231"/>
      <c r="J111" s="1230">
        <v>1000000000</v>
      </c>
      <c r="K111" s="1230">
        <v>500000000</v>
      </c>
      <c r="L111" s="1303">
        <v>500000000</v>
      </c>
      <c r="M111" s="1230" t="s">
        <v>1986</v>
      </c>
      <c r="N111" s="1232"/>
      <c r="O111" s="1232"/>
      <c r="P111" s="1233"/>
      <c r="Q111" s="1233"/>
      <c r="R111" s="1233"/>
      <c r="S111" s="1234"/>
      <c r="T111" s="1235"/>
      <c r="U111" s="1236"/>
      <c r="V111" s="1237"/>
      <c r="W111" s="1238"/>
      <c r="X111" s="1239"/>
    </row>
    <row r="112" spans="1:257" s="665" customFormat="1">
      <c r="A112" s="758"/>
      <c r="B112" s="759" t="s">
        <v>263</v>
      </c>
      <c r="C112" s="758"/>
      <c r="D112" s="758"/>
      <c r="E112" s="760"/>
      <c r="F112" s="761">
        <f t="shared" ref="F112:L112" si="4">F111*10%</f>
        <v>100000000</v>
      </c>
      <c r="G112" s="761">
        <f t="shared" si="4"/>
        <v>0</v>
      </c>
      <c r="H112" s="761">
        <f t="shared" si="4"/>
        <v>0</v>
      </c>
      <c r="I112" s="761">
        <f t="shared" si="4"/>
        <v>0</v>
      </c>
      <c r="J112" s="761">
        <f t="shared" si="4"/>
        <v>100000000</v>
      </c>
      <c r="K112" s="761">
        <f>K111*10%</f>
        <v>50000000</v>
      </c>
      <c r="L112" s="1306">
        <f t="shared" si="4"/>
        <v>50000000</v>
      </c>
      <c r="M112" s="761"/>
      <c r="N112" s="762"/>
      <c r="O112" s="762"/>
      <c r="P112" s="763"/>
      <c r="Q112" s="763"/>
      <c r="R112" s="744"/>
      <c r="S112" s="757"/>
      <c r="T112" s="764"/>
      <c r="U112" s="648"/>
      <c r="V112" s="664"/>
      <c r="W112" s="756"/>
      <c r="X112" s="757"/>
      <c r="Y112" s="695"/>
      <c r="Z112" s="695"/>
      <c r="AA112" s="695"/>
      <c r="AB112" s="695"/>
      <c r="AC112" s="695"/>
      <c r="AD112" s="695"/>
      <c r="AE112" s="695"/>
      <c r="AF112" s="695"/>
      <c r="AG112" s="695"/>
      <c r="AH112" s="695"/>
      <c r="AI112" s="695"/>
      <c r="AJ112" s="695"/>
      <c r="AK112" s="695"/>
      <c r="AL112" s="695"/>
      <c r="AM112" s="695"/>
      <c r="AN112" s="695"/>
      <c r="AO112" s="695"/>
      <c r="AP112" s="695"/>
      <c r="AQ112" s="695"/>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5"/>
      <c r="BU112" s="695"/>
      <c r="BV112" s="695"/>
      <c r="BW112" s="695"/>
      <c r="BX112" s="695"/>
      <c r="BY112" s="695"/>
      <c r="BZ112" s="695"/>
      <c r="CA112" s="695"/>
      <c r="CB112" s="695"/>
      <c r="CC112" s="695"/>
      <c r="CD112" s="695"/>
      <c r="CE112" s="695"/>
      <c r="CF112" s="695"/>
      <c r="CG112" s="695"/>
      <c r="CH112" s="695"/>
      <c r="CI112" s="695"/>
      <c r="CJ112" s="695"/>
      <c r="CK112" s="695"/>
      <c r="CL112" s="695"/>
      <c r="CM112" s="695"/>
      <c r="CN112" s="695"/>
      <c r="CO112" s="695"/>
      <c r="CP112" s="695"/>
      <c r="CQ112" s="695"/>
      <c r="CR112" s="695"/>
      <c r="CS112" s="695"/>
      <c r="CT112" s="695"/>
      <c r="CU112" s="695"/>
      <c r="CV112" s="695"/>
      <c r="CW112" s="695"/>
      <c r="CX112" s="695"/>
      <c r="CY112" s="695"/>
      <c r="CZ112" s="695"/>
      <c r="DA112" s="695"/>
      <c r="DB112" s="695"/>
      <c r="DC112" s="695"/>
      <c r="DD112" s="695"/>
      <c r="DE112" s="695"/>
      <c r="DF112" s="695"/>
      <c r="DG112" s="695"/>
      <c r="DH112" s="695"/>
      <c r="DI112" s="695"/>
      <c r="DJ112" s="695"/>
      <c r="DK112" s="695"/>
      <c r="DL112" s="695"/>
      <c r="DM112" s="695"/>
      <c r="DN112" s="695"/>
      <c r="DO112" s="695"/>
      <c r="DP112" s="695"/>
      <c r="DQ112" s="695"/>
      <c r="DR112" s="695"/>
      <c r="DS112" s="695"/>
      <c r="DT112" s="695"/>
      <c r="DU112" s="695"/>
      <c r="DV112" s="695"/>
      <c r="DW112" s="695"/>
      <c r="DX112" s="695"/>
      <c r="DY112" s="695"/>
      <c r="DZ112" s="695"/>
      <c r="EA112" s="695"/>
      <c r="EB112" s="695"/>
      <c r="EC112" s="695"/>
      <c r="ED112" s="695"/>
      <c r="EE112" s="695"/>
      <c r="EF112" s="695"/>
      <c r="EG112" s="695"/>
      <c r="EH112" s="695"/>
      <c r="EI112" s="695"/>
      <c r="EJ112" s="695"/>
      <c r="EK112" s="695"/>
      <c r="EL112" s="695"/>
      <c r="EM112" s="695"/>
      <c r="EN112" s="695"/>
      <c r="EO112" s="695"/>
      <c r="EP112" s="695"/>
      <c r="EQ112" s="695"/>
      <c r="ER112" s="695"/>
      <c r="ES112" s="695"/>
      <c r="ET112" s="695"/>
      <c r="EU112" s="695"/>
      <c r="EV112" s="695"/>
      <c r="EW112" s="695"/>
      <c r="EX112" s="695"/>
      <c r="EY112" s="695"/>
      <c r="EZ112" s="695"/>
      <c r="FA112" s="695"/>
      <c r="FB112" s="695"/>
      <c r="FC112" s="695"/>
      <c r="FD112" s="695"/>
      <c r="FE112" s="695"/>
      <c r="FF112" s="695"/>
      <c r="FG112" s="695"/>
      <c r="FH112" s="695"/>
      <c r="FI112" s="695"/>
      <c r="FJ112" s="695"/>
      <c r="FK112" s="695"/>
      <c r="FL112" s="695"/>
      <c r="FM112" s="695"/>
      <c r="FN112" s="695"/>
      <c r="FO112" s="695"/>
      <c r="FP112" s="695"/>
      <c r="FQ112" s="695"/>
      <c r="FR112" s="695"/>
      <c r="FS112" s="695"/>
      <c r="FT112" s="695"/>
      <c r="FU112" s="695"/>
      <c r="FV112" s="695"/>
      <c r="FW112" s="695"/>
      <c r="FX112" s="695"/>
      <c r="FY112" s="695"/>
      <c r="FZ112" s="695"/>
      <c r="GA112" s="695"/>
      <c r="GB112" s="695"/>
      <c r="GC112" s="695"/>
      <c r="GD112" s="695"/>
      <c r="GE112" s="695"/>
      <c r="GF112" s="695"/>
      <c r="GG112" s="695"/>
      <c r="GH112" s="695"/>
      <c r="GI112" s="695"/>
      <c r="GJ112" s="695"/>
      <c r="GK112" s="695"/>
      <c r="GL112" s="695"/>
      <c r="GM112" s="695"/>
      <c r="GN112" s="695"/>
      <c r="GO112" s="695"/>
      <c r="GP112" s="695"/>
      <c r="GQ112" s="695"/>
      <c r="GR112" s="695"/>
      <c r="GS112" s="695"/>
      <c r="GT112" s="695"/>
      <c r="GU112" s="695"/>
      <c r="GV112" s="695"/>
      <c r="GW112" s="695"/>
      <c r="GX112" s="695"/>
      <c r="GY112" s="695"/>
      <c r="GZ112" s="695"/>
      <c r="HA112" s="695"/>
      <c r="HB112" s="695"/>
      <c r="HC112" s="695"/>
      <c r="HD112" s="695"/>
      <c r="HE112" s="695"/>
      <c r="HF112" s="695"/>
      <c r="HG112" s="695"/>
      <c r="HH112" s="695"/>
      <c r="HI112" s="695"/>
      <c r="HJ112" s="695"/>
      <c r="HK112" s="695"/>
      <c r="HL112" s="695"/>
      <c r="HM112" s="695"/>
      <c r="HN112" s="695"/>
      <c r="HO112" s="695"/>
      <c r="HP112" s="695"/>
      <c r="HQ112" s="695"/>
      <c r="HR112" s="695"/>
      <c r="HS112" s="695"/>
      <c r="HT112" s="695"/>
      <c r="HU112" s="695"/>
      <c r="HV112" s="695"/>
      <c r="HW112" s="695"/>
      <c r="HX112" s="695"/>
      <c r="HY112" s="695"/>
      <c r="HZ112" s="695"/>
      <c r="IA112" s="695"/>
      <c r="IB112" s="695"/>
      <c r="IC112" s="695"/>
      <c r="ID112" s="695"/>
      <c r="IE112" s="695"/>
      <c r="IF112" s="695"/>
      <c r="IG112" s="695"/>
      <c r="IH112" s="695"/>
      <c r="II112" s="695"/>
      <c r="IJ112" s="695"/>
      <c r="IK112" s="695"/>
      <c r="IL112" s="695"/>
      <c r="IM112" s="695"/>
      <c r="IN112" s="695"/>
      <c r="IO112" s="695"/>
      <c r="IP112" s="695"/>
      <c r="IQ112" s="695"/>
      <c r="IR112" s="695"/>
      <c r="IS112" s="695"/>
      <c r="IT112" s="695"/>
      <c r="IU112" s="695"/>
      <c r="IV112" s="695"/>
      <c r="IW112" s="695"/>
    </row>
    <row r="113" spans="1:257" s="695" customFormat="1" ht="24" customHeight="1">
      <c r="A113" s="622">
        <v>8</v>
      </c>
      <c r="B113" s="660" t="s">
        <v>239</v>
      </c>
      <c r="C113" s="622"/>
      <c r="D113" s="622"/>
      <c r="E113" s="660"/>
      <c r="F113" s="660">
        <v>1000000000</v>
      </c>
      <c r="G113" s="765"/>
      <c r="H113" s="765"/>
      <c r="I113" s="765"/>
      <c r="J113" s="660">
        <v>1000000000</v>
      </c>
      <c r="K113" s="660">
        <v>500000000</v>
      </c>
      <c r="L113" s="1303"/>
      <c r="M113" s="660" t="s">
        <v>1987</v>
      </c>
      <c r="N113" s="648"/>
      <c r="O113" s="648"/>
      <c r="P113" s="766"/>
      <c r="Q113" s="766"/>
      <c r="R113" s="767"/>
      <c r="S113" s="630"/>
      <c r="T113" s="768"/>
      <c r="U113" s="755"/>
      <c r="V113" s="756"/>
      <c r="W113" s="756"/>
      <c r="X113" s="757"/>
    </row>
    <row r="114" spans="1:257" s="665" customFormat="1">
      <c r="A114" s="758"/>
      <c r="B114" s="759" t="s">
        <v>263</v>
      </c>
      <c r="C114" s="758"/>
      <c r="D114" s="758"/>
      <c r="E114" s="760"/>
      <c r="F114" s="761">
        <f t="shared" ref="F114:L114" si="5">F113*10%</f>
        <v>100000000</v>
      </c>
      <c r="G114" s="761">
        <f t="shared" si="5"/>
        <v>0</v>
      </c>
      <c r="H114" s="761">
        <f t="shared" si="5"/>
        <v>0</v>
      </c>
      <c r="I114" s="761">
        <f t="shared" si="5"/>
        <v>0</v>
      </c>
      <c r="J114" s="761">
        <f t="shared" si="5"/>
        <v>100000000</v>
      </c>
      <c r="K114" s="761">
        <f>K113*10%</f>
        <v>50000000</v>
      </c>
      <c r="L114" s="1306">
        <f t="shared" si="5"/>
        <v>0</v>
      </c>
      <c r="M114" s="761"/>
      <c r="N114" s="762"/>
      <c r="O114" s="762"/>
      <c r="P114" s="763"/>
      <c r="Q114" s="763"/>
      <c r="R114" s="629"/>
      <c r="S114" s="769"/>
      <c r="T114" s="764"/>
      <c r="U114" s="648"/>
      <c r="V114" s="664"/>
      <c r="W114" s="756"/>
      <c r="X114" s="757"/>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c r="CA114" s="695"/>
      <c r="CB114" s="695"/>
      <c r="CC114" s="695"/>
      <c r="CD114" s="695"/>
      <c r="CE114" s="695"/>
      <c r="CF114" s="695"/>
      <c r="CG114" s="695"/>
      <c r="CH114" s="695"/>
      <c r="CI114" s="695"/>
      <c r="CJ114" s="695"/>
      <c r="CK114" s="695"/>
      <c r="CL114" s="695"/>
      <c r="CM114" s="695"/>
      <c r="CN114" s="695"/>
      <c r="CO114" s="695"/>
      <c r="CP114" s="695"/>
      <c r="CQ114" s="695"/>
      <c r="CR114" s="695"/>
      <c r="CS114" s="695"/>
      <c r="CT114" s="695"/>
      <c r="CU114" s="695"/>
      <c r="CV114" s="695"/>
      <c r="CW114" s="695"/>
      <c r="CX114" s="695"/>
      <c r="CY114" s="695"/>
      <c r="CZ114" s="695"/>
      <c r="DA114" s="695"/>
      <c r="DB114" s="695"/>
      <c r="DC114" s="695"/>
      <c r="DD114" s="695"/>
      <c r="DE114" s="695"/>
      <c r="DF114" s="695"/>
      <c r="DG114" s="695"/>
      <c r="DH114" s="695"/>
      <c r="DI114" s="695"/>
      <c r="DJ114" s="695"/>
      <c r="DK114" s="695"/>
      <c r="DL114" s="695"/>
      <c r="DM114" s="695"/>
      <c r="DN114" s="695"/>
      <c r="DO114" s="695"/>
      <c r="DP114" s="695"/>
      <c r="DQ114" s="695"/>
      <c r="DR114" s="695"/>
      <c r="DS114" s="695"/>
      <c r="DT114" s="695"/>
      <c r="DU114" s="695"/>
      <c r="DV114" s="695"/>
      <c r="DW114" s="695"/>
      <c r="DX114" s="695"/>
      <c r="DY114" s="695"/>
      <c r="DZ114" s="695"/>
      <c r="EA114" s="695"/>
      <c r="EB114" s="695"/>
      <c r="EC114" s="695"/>
      <c r="ED114" s="695"/>
      <c r="EE114" s="695"/>
      <c r="EF114" s="695"/>
      <c r="EG114" s="695"/>
      <c r="EH114" s="695"/>
      <c r="EI114" s="695"/>
      <c r="EJ114" s="695"/>
      <c r="EK114" s="695"/>
      <c r="EL114" s="695"/>
      <c r="EM114" s="695"/>
      <c r="EN114" s="695"/>
      <c r="EO114" s="695"/>
      <c r="EP114" s="695"/>
      <c r="EQ114" s="695"/>
      <c r="ER114" s="695"/>
      <c r="ES114" s="695"/>
      <c r="ET114" s="695"/>
      <c r="EU114" s="695"/>
      <c r="EV114" s="695"/>
      <c r="EW114" s="695"/>
      <c r="EX114" s="695"/>
      <c r="EY114" s="695"/>
      <c r="EZ114" s="695"/>
      <c r="FA114" s="695"/>
      <c r="FB114" s="695"/>
      <c r="FC114" s="695"/>
      <c r="FD114" s="695"/>
      <c r="FE114" s="695"/>
      <c r="FF114" s="695"/>
      <c r="FG114" s="695"/>
      <c r="FH114" s="695"/>
      <c r="FI114" s="695"/>
      <c r="FJ114" s="695"/>
      <c r="FK114" s="695"/>
      <c r="FL114" s="695"/>
      <c r="FM114" s="695"/>
      <c r="FN114" s="695"/>
      <c r="FO114" s="695"/>
      <c r="FP114" s="695"/>
      <c r="FQ114" s="695"/>
      <c r="FR114" s="695"/>
      <c r="FS114" s="695"/>
      <c r="FT114" s="695"/>
      <c r="FU114" s="695"/>
      <c r="FV114" s="695"/>
      <c r="FW114" s="695"/>
      <c r="FX114" s="695"/>
      <c r="FY114" s="695"/>
      <c r="FZ114" s="695"/>
      <c r="GA114" s="695"/>
      <c r="GB114" s="695"/>
      <c r="GC114" s="695"/>
      <c r="GD114" s="695"/>
      <c r="GE114" s="695"/>
      <c r="GF114" s="695"/>
      <c r="GG114" s="695"/>
      <c r="GH114" s="695"/>
      <c r="GI114" s="695"/>
      <c r="GJ114" s="695"/>
      <c r="GK114" s="695"/>
      <c r="GL114" s="695"/>
      <c r="GM114" s="695"/>
      <c r="GN114" s="695"/>
      <c r="GO114" s="695"/>
      <c r="GP114" s="695"/>
      <c r="GQ114" s="695"/>
      <c r="GR114" s="695"/>
      <c r="GS114" s="695"/>
      <c r="GT114" s="695"/>
      <c r="GU114" s="695"/>
      <c r="GV114" s="695"/>
      <c r="GW114" s="695"/>
      <c r="GX114" s="695"/>
      <c r="GY114" s="695"/>
      <c r="GZ114" s="695"/>
      <c r="HA114" s="695"/>
      <c r="HB114" s="695"/>
      <c r="HC114" s="695"/>
      <c r="HD114" s="695"/>
      <c r="HE114" s="695"/>
      <c r="HF114" s="695"/>
      <c r="HG114" s="695"/>
      <c r="HH114" s="695"/>
      <c r="HI114" s="695"/>
      <c r="HJ114" s="695"/>
      <c r="HK114" s="695"/>
      <c r="HL114" s="695"/>
      <c r="HM114" s="695"/>
      <c r="HN114" s="695"/>
      <c r="HO114" s="695"/>
      <c r="HP114" s="695"/>
      <c r="HQ114" s="695"/>
      <c r="HR114" s="695"/>
      <c r="HS114" s="695"/>
      <c r="HT114" s="695"/>
      <c r="HU114" s="695"/>
      <c r="HV114" s="695"/>
      <c r="HW114" s="695"/>
      <c r="HX114" s="695"/>
      <c r="HY114" s="695"/>
      <c r="HZ114" s="695"/>
      <c r="IA114" s="695"/>
      <c r="IB114" s="695"/>
      <c r="IC114" s="695"/>
      <c r="ID114" s="695"/>
      <c r="IE114" s="695"/>
      <c r="IF114" s="695"/>
      <c r="IG114" s="695"/>
      <c r="IH114" s="695"/>
      <c r="II114" s="695"/>
      <c r="IJ114" s="695"/>
      <c r="IK114" s="695"/>
      <c r="IL114" s="695"/>
      <c r="IM114" s="695"/>
      <c r="IN114" s="695"/>
      <c r="IO114" s="695"/>
      <c r="IP114" s="695"/>
      <c r="IQ114" s="695"/>
      <c r="IR114" s="695"/>
      <c r="IS114" s="695"/>
      <c r="IT114" s="695"/>
      <c r="IU114" s="695"/>
      <c r="IV114" s="695"/>
      <c r="IW114" s="695"/>
    </row>
    <row r="115" spans="1:257" s="682" customFormat="1" ht="31.5">
      <c r="A115" s="589">
        <v>9</v>
      </c>
      <c r="B115" s="671" t="s">
        <v>886</v>
      </c>
      <c r="C115" s="589"/>
      <c r="D115" s="589"/>
      <c r="E115" s="704"/>
      <c r="F115" s="704">
        <v>1000000000</v>
      </c>
      <c r="G115" s="592" t="s">
        <v>887</v>
      </c>
      <c r="H115" s="592"/>
      <c r="I115" s="592"/>
      <c r="J115" s="704"/>
      <c r="K115" s="704"/>
      <c r="L115" s="1310"/>
      <c r="M115" s="609"/>
      <c r="N115" s="770"/>
      <c r="O115" s="770"/>
      <c r="P115" s="593"/>
      <c r="Q115" s="593"/>
      <c r="R115" s="771"/>
      <c r="S115" s="723"/>
      <c r="T115" s="772"/>
      <c r="U115" s="726"/>
      <c r="V115" s="727"/>
      <c r="W115" s="613"/>
      <c r="X115" s="611"/>
      <c r="Y115" s="614"/>
      <c r="Z115" s="614"/>
      <c r="AA115" s="614"/>
      <c r="AB115" s="614"/>
      <c r="AC115" s="614"/>
      <c r="AD115" s="614"/>
      <c r="AE115" s="614"/>
      <c r="AF115" s="614"/>
      <c r="AG115" s="614"/>
      <c r="AH115" s="614"/>
      <c r="AI115" s="614"/>
      <c r="AJ115" s="614"/>
      <c r="AK115" s="614"/>
      <c r="AL115" s="614"/>
      <c r="AM115" s="614"/>
      <c r="AN115" s="614"/>
      <c r="AO115" s="614"/>
      <c r="AP115" s="614"/>
      <c r="AQ115" s="614"/>
      <c r="AR115" s="614"/>
      <c r="AS115" s="614"/>
      <c r="AT115" s="614"/>
      <c r="AU115" s="614"/>
      <c r="AV115" s="614"/>
      <c r="AW115" s="614"/>
      <c r="AX115" s="614"/>
      <c r="AY115" s="614"/>
      <c r="AZ115" s="614"/>
      <c r="BA115" s="614"/>
      <c r="BB115" s="614"/>
      <c r="BC115" s="614"/>
      <c r="BD115" s="614"/>
      <c r="BE115" s="614"/>
      <c r="BF115" s="614"/>
      <c r="BG115" s="614"/>
      <c r="BH115" s="614"/>
      <c r="BI115" s="614"/>
      <c r="BJ115" s="614"/>
      <c r="BK115" s="614"/>
      <c r="BL115" s="614"/>
      <c r="BM115" s="614"/>
      <c r="BN115" s="614"/>
      <c r="BO115" s="614"/>
      <c r="BP115" s="614"/>
      <c r="BQ115" s="614"/>
      <c r="BR115" s="614"/>
      <c r="BS115" s="614"/>
      <c r="BT115" s="614"/>
      <c r="BU115" s="614"/>
      <c r="BV115" s="614"/>
      <c r="BW115" s="614"/>
      <c r="BX115" s="614"/>
      <c r="BY115" s="614"/>
      <c r="BZ115" s="614"/>
      <c r="CA115" s="614"/>
      <c r="CB115" s="614"/>
      <c r="CC115" s="614"/>
      <c r="CD115" s="614"/>
      <c r="CE115" s="614"/>
      <c r="CF115" s="614"/>
      <c r="CG115" s="614"/>
      <c r="CH115" s="614"/>
      <c r="CI115" s="614"/>
      <c r="CJ115" s="614"/>
      <c r="CK115" s="614"/>
      <c r="CL115" s="614"/>
      <c r="CM115" s="614"/>
      <c r="CN115" s="614"/>
      <c r="CO115" s="614"/>
      <c r="CP115" s="614"/>
      <c r="CQ115" s="614"/>
      <c r="CR115" s="614"/>
      <c r="CS115" s="614"/>
      <c r="CT115" s="614"/>
      <c r="CU115" s="614"/>
      <c r="CV115" s="614"/>
      <c r="CW115" s="614"/>
      <c r="CX115" s="614"/>
      <c r="CY115" s="614"/>
      <c r="CZ115" s="614"/>
      <c r="DA115" s="614"/>
      <c r="DB115" s="614"/>
      <c r="DC115" s="614"/>
      <c r="DD115" s="614"/>
      <c r="DE115" s="614"/>
      <c r="DF115" s="614"/>
      <c r="DG115" s="614"/>
      <c r="DH115" s="614"/>
      <c r="DI115" s="614"/>
      <c r="DJ115" s="614"/>
      <c r="DK115" s="614"/>
      <c r="DL115" s="614"/>
      <c r="DM115" s="614"/>
      <c r="DN115" s="614"/>
      <c r="DO115" s="614"/>
      <c r="DP115" s="614"/>
      <c r="DQ115" s="614"/>
      <c r="DR115" s="614"/>
      <c r="DS115" s="614"/>
      <c r="DT115" s="614"/>
      <c r="DU115" s="614"/>
      <c r="DV115" s="614"/>
      <c r="DW115" s="614"/>
      <c r="DX115" s="614"/>
      <c r="DY115" s="614"/>
      <c r="DZ115" s="614"/>
      <c r="EA115" s="614"/>
      <c r="EB115" s="614"/>
      <c r="EC115" s="614"/>
      <c r="ED115" s="614"/>
      <c r="EE115" s="614"/>
      <c r="EF115" s="614"/>
      <c r="EG115" s="614"/>
      <c r="EH115" s="614"/>
      <c r="EI115" s="614"/>
      <c r="EJ115" s="614"/>
      <c r="EK115" s="614"/>
      <c r="EL115" s="614"/>
      <c r="EM115" s="614"/>
      <c r="EN115" s="614"/>
      <c r="EO115" s="614"/>
      <c r="EP115" s="614"/>
      <c r="EQ115" s="614"/>
      <c r="ER115" s="614"/>
      <c r="ES115" s="614"/>
      <c r="ET115" s="614"/>
      <c r="EU115" s="614"/>
      <c r="EV115" s="614"/>
      <c r="EW115" s="614"/>
      <c r="EX115" s="614"/>
      <c r="EY115" s="614"/>
      <c r="EZ115" s="614"/>
      <c r="FA115" s="614"/>
      <c r="FB115" s="614"/>
      <c r="FC115" s="614"/>
      <c r="FD115" s="614"/>
      <c r="FE115" s="614"/>
      <c r="FF115" s="614"/>
      <c r="FG115" s="614"/>
      <c r="FH115" s="614"/>
      <c r="FI115" s="614"/>
      <c r="FJ115" s="614"/>
      <c r="FK115" s="614"/>
      <c r="FL115" s="614"/>
      <c r="FM115" s="614"/>
      <c r="FN115" s="614"/>
      <c r="FO115" s="614"/>
      <c r="FP115" s="614"/>
      <c r="FQ115" s="614"/>
      <c r="FR115" s="614"/>
      <c r="FS115" s="614"/>
      <c r="FT115" s="614"/>
      <c r="FU115" s="614"/>
      <c r="FV115" s="614"/>
      <c r="FW115" s="614"/>
      <c r="FX115" s="614"/>
      <c r="FY115" s="614"/>
      <c r="FZ115" s="614"/>
      <c r="GA115" s="614"/>
      <c r="GB115" s="614"/>
      <c r="GC115" s="614"/>
      <c r="GD115" s="614"/>
      <c r="GE115" s="614"/>
      <c r="GF115" s="614"/>
      <c r="GG115" s="614"/>
      <c r="GH115" s="614"/>
      <c r="GI115" s="614"/>
      <c r="GJ115" s="614"/>
      <c r="GK115" s="614"/>
      <c r="GL115" s="614"/>
      <c r="GM115" s="614"/>
      <c r="GN115" s="614"/>
      <c r="GO115" s="614"/>
      <c r="GP115" s="614"/>
      <c r="GQ115" s="614"/>
      <c r="GR115" s="614"/>
      <c r="GS115" s="614"/>
      <c r="GT115" s="614"/>
      <c r="GU115" s="614"/>
      <c r="GV115" s="614"/>
      <c r="GW115" s="614"/>
      <c r="GX115" s="614"/>
      <c r="GY115" s="614"/>
      <c r="GZ115" s="614"/>
      <c r="HA115" s="614"/>
      <c r="HB115" s="614"/>
      <c r="HC115" s="614"/>
      <c r="HD115" s="614"/>
      <c r="HE115" s="614"/>
      <c r="HF115" s="614"/>
      <c r="HG115" s="614"/>
      <c r="HH115" s="614"/>
      <c r="HI115" s="614"/>
      <c r="HJ115" s="614"/>
      <c r="HK115" s="614"/>
      <c r="HL115" s="614"/>
      <c r="HM115" s="614"/>
      <c r="HN115" s="614"/>
      <c r="HO115" s="614"/>
      <c r="HP115" s="614"/>
      <c r="HQ115" s="614"/>
      <c r="HR115" s="614"/>
      <c r="HS115" s="614"/>
      <c r="HT115" s="614"/>
      <c r="HU115" s="614"/>
      <c r="HV115" s="614"/>
      <c r="HW115" s="614"/>
      <c r="HX115" s="614"/>
      <c r="HY115" s="614"/>
      <c r="HZ115" s="614"/>
      <c r="IA115" s="614"/>
      <c r="IB115" s="614"/>
      <c r="IC115" s="614"/>
      <c r="ID115" s="614"/>
      <c r="IE115" s="614"/>
      <c r="IF115" s="614"/>
      <c r="IG115" s="614"/>
      <c r="IH115" s="614"/>
      <c r="II115" s="614"/>
      <c r="IJ115" s="614"/>
      <c r="IK115" s="614"/>
      <c r="IL115" s="614"/>
      <c r="IM115" s="614"/>
      <c r="IN115" s="614"/>
      <c r="IO115" s="614"/>
      <c r="IP115" s="614"/>
      <c r="IQ115" s="614"/>
      <c r="IR115" s="614"/>
      <c r="IS115" s="614"/>
      <c r="IT115" s="614"/>
      <c r="IU115" s="614"/>
      <c r="IV115" s="614"/>
      <c r="IW115" s="614"/>
    </row>
    <row r="116" spans="1:257" s="695" customFormat="1">
      <c r="A116" s="622">
        <v>10</v>
      </c>
      <c r="B116" s="660" t="s">
        <v>240</v>
      </c>
      <c r="C116" s="622"/>
      <c r="D116" s="622"/>
      <c r="E116" s="660"/>
      <c r="F116" s="660">
        <f>F117+F119+F120</f>
        <v>1710000000</v>
      </c>
      <c r="G116" s="660">
        <f>G117+G119+G120</f>
        <v>0</v>
      </c>
      <c r="H116" s="660">
        <f>H117+H119+H120</f>
        <v>0</v>
      </c>
      <c r="I116" s="660">
        <f>I117+I119+I120</f>
        <v>0</v>
      </c>
      <c r="J116" s="660">
        <f>J117+J119+J120</f>
        <v>1980000000</v>
      </c>
      <c r="K116" s="660">
        <f>SUM(K117:K120)</f>
        <v>1950000000</v>
      </c>
      <c r="L116" s="1303">
        <f>SUM(L117:L120)</f>
        <v>1950000000</v>
      </c>
      <c r="M116" s="660" t="s">
        <v>1988</v>
      </c>
      <c r="N116" s="648"/>
      <c r="O116" s="648"/>
      <c r="P116" s="773"/>
      <c r="Q116" s="773"/>
      <c r="R116" s="767"/>
      <c r="S116" s="630"/>
      <c r="T116" s="768"/>
      <c r="U116" s="755"/>
      <c r="V116" s="756"/>
      <c r="W116" s="756"/>
      <c r="X116" s="757"/>
    </row>
    <row r="117" spans="1:257" s="695" customFormat="1">
      <c r="A117" s="774" t="s">
        <v>91</v>
      </c>
      <c r="B117" s="676" t="s">
        <v>241</v>
      </c>
      <c r="C117" s="774"/>
      <c r="D117" s="774"/>
      <c r="E117" s="676"/>
      <c r="F117" s="676">
        <v>300000000</v>
      </c>
      <c r="G117" s="775"/>
      <c r="H117" s="775"/>
      <c r="I117" s="775"/>
      <c r="J117" s="676">
        <f>355000000+70000000</f>
        <v>425000000</v>
      </c>
      <c r="K117" s="676">
        <v>355000000</v>
      </c>
      <c r="L117" s="1305">
        <v>355000000</v>
      </c>
      <c r="M117" s="676"/>
      <c r="N117" s="776"/>
      <c r="O117" s="776"/>
      <c r="P117" s="777"/>
      <c r="Q117" s="777"/>
      <c r="R117" s="778"/>
      <c r="S117" s="663"/>
      <c r="T117" s="631"/>
      <c r="U117" s="755"/>
      <c r="V117" s="756"/>
      <c r="W117" s="756"/>
      <c r="X117" s="757"/>
    </row>
    <row r="118" spans="1:257" s="695" customFormat="1">
      <c r="A118" s="774"/>
      <c r="B118" s="676" t="s">
        <v>888</v>
      </c>
      <c r="C118" s="774"/>
      <c r="D118" s="774"/>
      <c r="E118" s="676"/>
      <c r="F118" s="676"/>
      <c r="G118" s="775"/>
      <c r="H118" s="775"/>
      <c r="I118" s="775"/>
      <c r="J118" s="676"/>
      <c r="K118" s="676">
        <v>60000000</v>
      </c>
      <c r="L118" s="1305">
        <v>60000000</v>
      </c>
      <c r="M118" s="676"/>
      <c r="N118" s="776"/>
      <c r="O118" s="776"/>
      <c r="P118" s="777"/>
      <c r="Q118" s="777"/>
      <c r="R118" s="778"/>
      <c r="S118" s="663"/>
      <c r="T118" s="631"/>
      <c r="U118" s="755"/>
      <c r="V118" s="756"/>
      <c r="W118" s="756"/>
      <c r="X118" s="757"/>
    </row>
    <row r="119" spans="1:257" s="695" customFormat="1">
      <c r="A119" s="774" t="s">
        <v>91</v>
      </c>
      <c r="B119" s="676" t="s">
        <v>242</v>
      </c>
      <c r="C119" s="774"/>
      <c r="D119" s="774"/>
      <c r="E119" s="676"/>
      <c r="F119" s="676">
        <v>410000000</v>
      </c>
      <c r="G119" s="775"/>
      <c r="H119" s="775"/>
      <c r="I119" s="775"/>
      <c r="J119" s="676">
        <v>555000000</v>
      </c>
      <c r="K119" s="676">
        <v>535000000</v>
      </c>
      <c r="L119" s="1305">
        <v>535000000</v>
      </c>
      <c r="M119" s="676"/>
      <c r="N119" s="776"/>
      <c r="O119" s="776"/>
      <c r="P119" s="777"/>
      <c r="Q119" s="777"/>
      <c r="R119" s="778"/>
      <c r="S119" s="663"/>
      <c r="T119" s="631"/>
      <c r="U119" s="755"/>
      <c r="V119" s="756"/>
      <c r="W119" s="756"/>
      <c r="X119" s="757"/>
    </row>
    <row r="120" spans="1:257" s="695" customFormat="1">
      <c r="A120" s="774" t="s">
        <v>91</v>
      </c>
      <c r="B120" s="676" t="s">
        <v>243</v>
      </c>
      <c r="C120" s="774"/>
      <c r="D120" s="774"/>
      <c r="E120" s="676"/>
      <c r="F120" s="676">
        <v>1000000000</v>
      </c>
      <c r="G120" s="775"/>
      <c r="H120" s="775"/>
      <c r="I120" s="775"/>
      <c r="J120" s="676">
        <v>1000000000</v>
      </c>
      <c r="K120" s="676">
        <v>1000000000</v>
      </c>
      <c r="L120" s="1305">
        <v>1000000000</v>
      </c>
      <c r="M120" s="676"/>
      <c r="N120" s="776"/>
      <c r="O120" s="776"/>
      <c r="P120" s="777"/>
      <c r="Q120" s="777"/>
      <c r="R120" s="778"/>
      <c r="S120" s="663"/>
      <c r="T120" s="631"/>
      <c r="U120" s="755"/>
      <c r="V120" s="756"/>
      <c r="W120" s="756"/>
      <c r="X120" s="757"/>
    </row>
    <row r="121" spans="1:257" s="665" customFormat="1">
      <c r="A121" s="758"/>
      <c r="B121" s="759" t="s">
        <v>263</v>
      </c>
      <c r="C121" s="758"/>
      <c r="D121" s="758"/>
      <c r="E121" s="760"/>
      <c r="F121" s="761">
        <f>(F116+F115)*10%</f>
        <v>271000000</v>
      </c>
      <c r="G121" s="779"/>
      <c r="H121" s="779"/>
      <c r="I121" s="779"/>
      <c r="J121" s="761">
        <f>J116*10%</f>
        <v>198000000</v>
      </c>
      <c r="K121" s="761">
        <f>K116*10%</f>
        <v>195000000</v>
      </c>
      <c r="L121" s="1306">
        <f>L116*10%</f>
        <v>195000000</v>
      </c>
      <c r="M121" s="761"/>
      <c r="N121" s="762"/>
      <c r="O121" s="762"/>
      <c r="P121" s="763"/>
      <c r="Q121" s="763"/>
      <c r="R121" s="780"/>
      <c r="S121" s="757"/>
      <c r="T121" s="764"/>
      <c r="U121" s="648"/>
      <c r="V121" s="664"/>
      <c r="W121" s="756"/>
      <c r="X121" s="757"/>
      <c r="Y121" s="695"/>
      <c r="Z121" s="695"/>
      <c r="AA121" s="695"/>
      <c r="AB121" s="695"/>
      <c r="AC121" s="695"/>
      <c r="AD121" s="695"/>
      <c r="AE121" s="695"/>
      <c r="AF121" s="695"/>
      <c r="AG121" s="695"/>
      <c r="AH121" s="695"/>
      <c r="AI121" s="695"/>
      <c r="AJ121" s="695"/>
      <c r="AK121" s="695"/>
      <c r="AL121" s="695"/>
      <c r="AM121" s="695"/>
      <c r="AN121" s="695"/>
      <c r="AO121" s="695"/>
      <c r="AP121" s="695"/>
      <c r="AQ121" s="695"/>
      <c r="AR121" s="695"/>
      <c r="AS121" s="695"/>
      <c r="AT121" s="695"/>
      <c r="AU121" s="695"/>
      <c r="AV121" s="695"/>
      <c r="AW121" s="695"/>
      <c r="AX121" s="695"/>
      <c r="AY121" s="695"/>
      <c r="AZ121" s="695"/>
      <c r="BA121" s="695"/>
      <c r="BB121" s="695"/>
      <c r="BC121" s="695"/>
      <c r="BD121" s="695"/>
      <c r="BE121" s="695"/>
      <c r="BF121" s="695"/>
      <c r="BG121" s="695"/>
      <c r="BH121" s="695"/>
      <c r="BI121" s="695"/>
      <c r="BJ121" s="695"/>
      <c r="BK121" s="695"/>
      <c r="BL121" s="695"/>
      <c r="BM121" s="695"/>
      <c r="BN121" s="695"/>
      <c r="BO121" s="695"/>
      <c r="BP121" s="695"/>
      <c r="BQ121" s="695"/>
      <c r="BR121" s="695"/>
      <c r="BS121" s="695"/>
      <c r="BT121" s="695"/>
      <c r="BU121" s="695"/>
      <c r="BV121" s="695"/>
      <c r="BW121" s="695"/>
      <c r="BX121" s="695"/>
      <c r="BY121" s="695"/>
      <c r="BZ121" s="695"/>
      <c r="CA121" s="695"/>
      <c r="CB121" s="695"/>
      <c r="CC121" s="695"/>
      <c r="CD121" s="695"/>
      <c r="CE121" s="695"/>
      <c r="CF121" s="695"/>
      <c r="CG121" s="695"/>
      <c r="CH121" s="695"/>
      <c r="CI121" s="695"/>
      <c r="CJ121" s="695"/>
      <c r="CK121" s="695"/>
      <c r="CL121" s="695"/>
      <c r="CM121" s="695"/>
      <c r="CN121" s="695"/>
      <c r="CO121" s="695"/>
      <c r="CP121" s="695"/>
      <c r="CQ121" s="695"/>
      <c r="CR121" s="695"/>
      <c r="CS121" s="695"/>
      <c r="CT121" s="695"/>
      <c r="CU121" s="695"/>
      <c r="CV121" s="695"/>
      <c r="CW121" s="695"/>
      <c r="CX121" s="695"/>
      <c r="CY121" s="695"/>
      <c r="CZ121" s="695"/>
      <c r="DA121" s="695"/>
      <c r="DB121" s="695"/>
      <c r="DC121" s="695"/>
      <c r="DD121" s="695"/>
      <c r="DE121" s="695"/>
      <c r="DF121" s="695"/>
      <c r="DG121" s="695"/>
      <c r="DH121" s="695"/>
      <c r="DI121" s="695"/>
      <c r="DJ121" s="695"/>
      <c r="DK121" s="695"/>
      <c r="DL121" s="695"/>
      <c r="DM121" s="695"/>
      <c r="DN121" s="695"/>
      <c r="DO121" s="695"/>
      <c r="DP121" s="695"/>
      <c r="DQ121" s="695"/>
      <c r="DR121" s="695"/>
      <c r="DS121" s="695"/>
      <c r="DT121" s="695"/>
      <c r="DU121" s="695"/>
      <c r="DV121" s="695"/>
      <c r="DW121" s="695"/>
      <c r="DX121" s="695"/>
      <c r="DY121" s="695"/>
      <c r="DZ121" s="695"/>
      <c r="EA121" s="695"/>
      <c r="EB121" s="695"/>
      <c r="EC121" s="695"/>
      <c r="ED121" s="695"/>
      <c r="EE121" s="695"/>
      <c r="EF121" s="695"/>
      <c r="EG121" s="695"/>
      <c r="EH121" s="695"/>
      <c r="EI121" s="695"/>
      <c r="EJ121" s="695"/>
      <c r="EK121" s="695"/>
      <c r="EL121" s="695"/>
      <c r="EM121" s="695"/>
      <c r="EN121" s="695"/>
      <c r="EO121" s="695"/>
      <c r="EP121" s="695"/>
      <c r="EQ121" s="695"/>
      <c r="ER121" s="695"/>
      <c r="ES121" s="695"/>
      <c r="ET121" s="695"/>
      <c r="EU121" s="695"/>
      <c r="EV121" s="695"/>
      <c r="EW121" s="695"/>
      <c r="EX121" s="695"/>
      <c r="EY121" s="695"/>
      <c r="EZ121" s="695"/>
      <c r="FA121" s="695"/>
      <c r="FB121" s="695"/>
      <c r="FC121" s="695"/>
      <c r="FD121" s="695"/>
      <c r="FE121" s="695"/>
      <c r="FF121" s="695"/>
      <c r="FG121" s="695"/>
      <c r="FH121" s="695"/>
      <c r="FI121" s="695"/>
      <c r="FJ121" s="695"/>
      <c r="FK121" s="695"/>
      <c r="FL121" s="695"/>
      <c r="FM121" s="695"/>
      <c r="FN121" s="695"/>
      <c r="FO121" s="695"/>
      <c r="FP121" s="695"/>
      <c r="FQ121" s="695"/>
      <c r="FR121" s="695"/>
      <c r="FS121" s="695"/>
      <c r="FT121" s="695"/>
      <c r="FU121" s="695"/>
      <c r="FV121" s="695"/>
      <c r="FW121" s="695"/>
      <c r="FX121" s="695"/>
      <c r="FY121" s="695"/>
      <c r="FZ121" s="695"/>
      <c r="GA121" s="695"/>
      <c r="GB121" s="695"/>
      <c r="GC121" s="695"/>
      <c r="GD121" s="695"/>
      <c r="GE121" s="695"/>
      <c r="GF121" s="695"/>
      <c r="GG121" s="695"/>
      <c r="GH121" s="695"/>
      <c r="GI121" s="695"/>
      <c r="GJ121" s="695"/>
      <c r="GK121" s="695"/>
      <c r="GL121" s="695"/>
      <c r="GM121" s="695"/>
      <c r="GN121" s="695"/>
      <c r="GO121" s="695"/>
      <c r="GP121" s="695"/>
      <c r="GQ121" s="695"/>
      <c r="GR121" s="695"/>
      <c r="GS121" s="695"/>
      <c r="GT121" s="695"/>
      <c r="GU121" s="695"/>
      <c r="GV121" s="695"/>
      <c r="GW121" s="695"/>
      <c r="GX121" s="695"/>
      <c r="GY121" s="695"/>
      <c r="GZ121" s="695"/>
      <c r="HA121" s="695"/>
      <c r="HB121" s="695"/>
      <c r="HC121" s="695"/>
      <c r="HD121" s="695"/>
      <c r="HE121" s="695"/>
      <c r="HF121" s="695"/>
      <c r="HG121" s="695"/>
      <c r="HH121" s="695"/>
      <c r="HI121" s="695"/>
      <c r="HJ121" s="695"/>
      <c r="HK121" s="695"/>
      <c r="HL121" s="695"/>
      <c r="HM121" s="695"/>
      <c r="HN121" s="695"/>
      <c r="HO121" s="695"/>
      <c r="HP121" s="695"/>
      <c r="HQ121" s="695"/>
      <c r="HR121" s="695"/>
      <c r="HS121" s="695"/>
      <c r="HT121" s="695"/>
      <c r="HU121" s="695"/>
      <c r="HV121" s="695"/>
      <c r="HW121" s="695"/>
      <c r="HX121" s="695"/>
      <c r="HY121" s="695"/>
      <c r="HZ121" s="695"/>
      <c r="IA121" s="695"/>
      <c r="IB121" s="695"/>
      <c r="IC121" s="695"/>
      <c r="ID121" s="695"/>
      <c r="IE121" s="695"/>
      <c r="IF121" s="695"/>
      <c r="IG121" s="695"/>
      <c r="IH121" s="695"/>
      <c r="II121" s="695"/>
      <c r="IJ121" s="695"/>
      <c r="IK121" s="695"/>
      <c r="IL121" s="695"/>
      <c r="IM121" s="695"/>
      <c r="IN121" s="695"/>
      <c r="IO121" s="695"/>
      <c r="IP121" s="695"/>
      <c r="IQ121" s="695"/>
      <c r="IR121" s="695"/>
      <c r="IS121" s="695"/>
      <c r="IT121" s="695"/>
      <c r="IU121" s="695"/>
      <c r="IV121" s="695"/>
      <c r="IW121" s="695"/>
    </row>
    <row r="122" spans="1:257" s="641" customFormat="1" ht="25.5" hidden="1" customHeight="1">
      <c r="A122" s="713"/>
      <c r="B122" s="668"/>
      <c r="C122" s="713"/>
      <c r="D122" s="713"/>
      <c r="E122" s="725"/>
      <c r="F122" s="725"/>
      <c r="G122" s="781"/>
      <c r="H122" s="781"/>
      <c r="I122" s="781"/>
      <c r="J122" s="725"/>
      <c r="K122" s="725"/>
      <c r="L122" s="1311"/>
      <c r="M122" s="669"/>
      <c r="N122" s="782"/>
      <c r="O122" s="782"/>
      <c r="P122" s="783"/>
      <c r="Q122" s="783"/>
      <c r="R122" s="644"/>
      <c r="S122" s="728"/>
      <c r="T122" s="772"/>
      <c r="U122" s="726"/>
      <c r="V122" s="727"/>
      <c r="W122" s="613"/>
      <c r="X122" s="611"/>
      <c r="Y122" s="614"/>
      <c r="Z122" s="614"/>
      <c r="AA122" s="614"/>
      <c r="AB122" s="614"/>
      <c r="AC122" s="614"/>
      <c r="AD122" s="614"/>
      <c r="AE122" s="614"/>
      <c r="AF122" s="614"/>
      <c r="AG122" s="614"/>
      <c r="AH122" s="614"/>
      <c r="AI122" s="614"/>
      <c r="AJ122" s="614"/>
      <c r="AK122" s="614"/>
      <c r="AL122" s="614"/>
      <c r="AM122" s="614"/>
      <c r="AN122" s="614"/>
      <c r="AO122" s="614"/>
      <c r="AP122" s="614"/>
      <c r="AQ122" s="614"/>
      <c r="AR122" s="614"/>
      <c r="AS122" s="614"/>
      <c r="AT122" s="614"/>
      <c r="AU122" s="614"/>
      <c r="AV122" s="614"/>
      <c r="AW122" s="614"/>
      <c r="AX122" s="614"/>
      <c r="AY122" s="614"/>
      <c r="AZ122" s="614"/>
      <c r="BA122" s="614"/>
      <c r="BB122" s="614"/>
      <c r="BC122" s="614"/>
      <c r="BD122" s="614"/>
      <c r="BE122" s="614"/>
      <c r="BF122" s="614"/>
      <c r="BG122" s="614"/>
      <c r="BH122" s="614"/>
      <c r="BI122" s="614"/>
      <c r="BJ122" s="614"/>
      <c r="BK122" s="614"/>
      <c r="BL122" s="614"/>
      <c r="BM122" s="614"/>
      <c r="BN122" s="614"/>
      <c r="BO122" s="614"/>
      <c r="BP122" s="614"/>
      <c r="BQ122" s="614"/>
      <c r="BR122" s="614"/>
      <c r="BS122" s="614"/>
      <c r="BT122" s="614"/>
      <c r="BU122" s="614"/>
      <c r="BV122" s="614"/>
      <c r="BW122" s="614"/>
      <c r="BX122" s="614"/>
      <c r="BY122" s="614"/>
      <c r="BZ122" s="614"/>
      <c r="CA122" s="614"/>
      <c r="CB122" s="614"/>
      <c r="CC122" s="614"/>
      <c r="CD122" s="614"/>
      <c r="CE122" s="614"/>
      <c r="CF122" s="614"/>
      <c r="CG122" s="614"/>
      <c r="CH122" s="614"/>
      <c r="CI122" s="614"/>
      <c r="CJ122" s="614"/>
      <c r="CK122" s="614"/>
      <c r="CL122" s="614"/>
      <c r="CM122" s="614"/>
      <c r="CN122" s="614"/>
      <c r="CO122" s="614"/>
      <c r="CP122" s="614"/>
      <c r="CQ122" s="614"/>
      <c r="CR122" s="614"/>
      <c r="CS122" s="614"/>
      <c r="CT122" s="614"/>
      <c r="CU122" s="614"/>
      <c r="CV122" s="614"/>
      <c r="CW122" s="614"/>
      <c r="CX122" s="614"/>
      <c r="CY122" s="614"/>
      <c r="CZ122" s="614"/>
      <c r="DA122" s="614"/>
      <c r="DB122" s="614"/>
      <c r="DC122" s="614"/>
      <c r="DD122" s="614"/>
      <c r="DE122" s="614"/>
      <c r="DF122" s="614"/>
      <c r="DG122" s="614"/>
      <c r="DH122" s="614"/>
      <c r="DI122" s="614"/>
      <c r="DJ122" s="614"/>
      <c r="DK122" s="614"/>
      <c r="DL122" s="614"/>
      <c r="DM122" s="614"/>
      <c r="DN122" s="614"/>
      <c r="DO122" s="614"/>
      <c r="DP122" s="614"/>
      <c r="DQ122" s="614"/>
      <c r="DR122" s="614"/>
      <c r="DS122" s="614"/>
      <c r="DT122" s="614"/>
      <c r="DU122" s="614"/>
      <c r="DV122" s="614"/>
      <c r="DW122" s="614"/>
      <c r="DX122" s="614"/>
      <c r="DY122" s="614"/>
      <c r="DZ122" s="614"/>
      <c r="EA122" s="614"/>
      <c r="EB122" s="614"/>
      <c r="EC122" s="614"/>
      <c r="ED122" s="614"/>
      <c r="EE122" s="614"/>
      <c r="EF122" s="614"/>
      <c r="EG122" s="614"/>
      <c r="EH122" s="614"/>
      <c r="EI122" s="614"/>
      <c r="EJ122" s="614"/>
      <c r="EK122" s="614"/>
      <c r="EL122" s="614"/>
      <c r="EM122" s="614"/>
      <c r="EN122" s="614"/>
      <c r="EO122" s="614"/>
      <c r="EP122" s="614"/>
      <c r="EQ122" s="614"/>
      <c r="ER122" s="614"/>
      <c r="ES122" s="614"/>
      <c r="ET122" s="614"/>
      <c r="EU122" s="614"/>
      <c r="EV122" s="614"/>
      <c r="EW122" s="614"/>
      <c r="EX122" s="614"/>
      <c r="EY122" s="614"/>
      <c r="EZ122" s="614"/>
      <c r="FA122" s="614"/>
      <c r="FB122" s="614"/>
      <c r="FC122" s="614"/>
      <c r="FD122" s="614"/>
      <c r="FE122" s="614"/>
      <c r="FF122" s="614"/>
      <c r="FG122" s="614"/>
      <c r="FH122" s="614"/>
      <c r="FI122" s="614"/>
      <c r="FJ122" s="614"/>
      <c r="FK122" s="614"/>
      <c r="FL122" s="614"/>
      <c r="FM122" s="614"/>
      <c r="FN122" s="614"/>
      <c r="FO122" s="614"/>
      <c r="FP122" s="614"/>
      <c r="FQ122" s="614"/>
      <c r="FR122" s="614"/>
      <c r="FS122" s="614"/>
      <c r="FT122" s="614"/>
      <c r="FU122" s="614"/>
      <c r="FV122" s="614"/>
      <c r="FW122" s="614"/>
      <c r="FX122" s="614"/>
      <c r="FY122" s="614"/>
      <c r="FZ122" s="614"/>
      <c r="GA122" s="614"/>
      <c r="GB122" s="614"/>
      <c r="GC122" s="614"/>
      <c r="GD122" s="614"/>
      <c r="GE122" s="614"/>
      <c r="GF122" s="614"/>
      <c r="GG122" s="614"/>
      <c r="GH122" s="614"/>
      <c r="GI122" s="614"/>
      <c r="GJ122" s="614"/>
      <c r="GK122" s="614"/>
      <c r="GL122" s="614"/>
      <c r="GM122" s="614"/>
      <c r="GN122" s="614"/>
      <c r="GO122" s="614"/>
      <c r="GP122" s="614"/>
      <c r="GQ122" s="614"/>
      <c r="GR122" s="614"/>
      <c r="GS122" s="614"/>
      <c r="GT122" s="614"/>
      <c r="GU122" s="614"/>
      <c r="GV122" s="614"/>
      <c r="GW122" s="614"/>
      <c r="GX122" s="614"/>
      <c r="GY122" s="614"/>
      <c r="GZ122" s="614"/>
      <c r="HA122" s="614"/>
      <c r="HB122" s="614"/>
      <c r="HC122" s="614"/>
      <c r="HD122" s="614"/>
      <c r="HE122" s="614"/>
      <c r="HF122" s="614"/>
      <c r="HG122" s="614"/>
      <c r="HH122" s="614"/>
      <c r="HI122" s="614"/>
      <c r="HJ122" s="614"/>
      <c r="HK122" s="614"/>
      <c r="HL122" s="614"/>
      <c r="HM122" s="614"/>
      <c r="HN122" s="614"/>
      <c r="HO122" s="614"/>
      <c r="HP122" s="614"/>
      <c r="HQ122" s="614"/>
      <c r="HR122" s="614"/>
      <c r="HS122" s="614"/>
      <c r="HT122" s="614"/>
      <c r="HU122" s="614"/>
      <c r="HV122" s="614"/>
      <c r="HW122" s="614"/>
      <c r="HX122" s="614"/>
      <c r="HY122" s="614"/>
      <c r="HZ122" s="614"/>
      <c r="IA122" s="614"/>
      <c r="IB122" s="614"/>
      <c r="IC122" s="614"/>
      <c r="ID122" s="614"/>
      <c r="IE122" s="614"/>
      <c r="IF122" s="614"/>
      <c r="IG122" s="614"/>
      <c r="IH122" s="614"/>
      <c r="II122" s="614"/>
      <c r="IJ122" s="614"/>
      <c r="IK122" s="614"/>
      <c r="IL122" s="614"/>
      <c r="IM122" s="614"/>
      <c r="IN122" s="614"/>
      <c r="IO122" s="614"/>
      <c r="IP122" s="614"/>
      <c r="IQ122" s="614"/>
      <c r="IR122" s="614"/>
      <c r="IS122" s="614"/>
      <c r="IT122" s="614"/>
      <c r="IU122" s="614"/>
      <c r="IV122" s="614"/>
      <c r="IW122" s="614"/>
    </row>
    <row r="123" spans="1:257" s="748" customFormat="1">
      <c r="A123" s="622">
        <v>11</v>
      </c>
      <c r="B123" s="660" t="s">
        <v>244</v>
      </c>
      <c r="C123" s="622"/>
      <c r="D123" s="622"/>
      <c r="E123" s="660"/>
      <c r="F123" s="626">
        <f t="shared" ref="F123:J123" si="6">SUM(F124:F134)</f>
        <v>91380000000</v>
      </c>
      <c r="G123" s="626">
        <f t="shared" si="6"/>
        <v>0</v>
      </c>
      <c r="H123" s="626">
        <f t="shared" si="6"/>
        <v>0</v>
      </c>
      <c r="I123" s="626">
        <f t="shared" si="6"/>
        <v>0</v>
      </c>
      <c r="J123" s="626">
        <f t="shared" si="6"/>
        <v>136188000000</v>
      </c>
      <c r="K123" s="626">
        <f>SUM(K124:K134)</f>
        <v>160000000000</v>
      </c>
      <c r="L123" s="1302">
        <f>SUM(L124:L134)</f>
        <v>160000000000</v>
      </c>
      <c r="M123" s="1201">
        <f>85000+100000</f>
        <v>185000</v>
      </c>
      <c r="N123" s="627"/>
      <c r="O123" s="627"/>
      <c r="P123" s="629"/>
      <c r="Q123" s="629"/>
      <c r="R123" s="780">
        <v>11</v>
      </c>
      <c r="S123" s="1787">
        <f>85000000000-F123</f>
        <v>-6380000000</v>
      </c>
      <c r="T123" s="1788"/>
      <c r="U123" s="648"/>
      <c r="V123" s="664"/>
      <c r="W123" s="756"/>
      <c r="X123" s="757"/>
      <c r="Y123" s="695"/>
      <c r="Z123" s="695"/>
      <c r="AA123" s="695"/>
      <c r="AB123" s="695"/>
      <c r="AC123" s="695"/>
      <c r="AD123" s="695"/>
      <c r="AE123" s="695"/>
      <c r="AF123" s="695"/>
      <c r="AG123" s="695"/>
      <c r="AH123" s="695"/>
      <c r="AI123" s="695"/>
      <c r="AJ123" s="695"/>
      <c r="AK123" s="695"/>
      <c r="AL123" s="695"/>
      <c r="AM123" s="695"/>
      <c r="AN123" s="695"/>
      <c r="AO123" s="695"/>
      <c r="AP123" s="695"/>
      <c r="AQ123" s="695"/>
      <c r="AR123" s="695"/>
      <c r="AS123" s="695"/>
      <c r="AT123" s="695"/>
      <c r="AU123" s="695"/>
      <c r="AV123" s="695"/>
      <c r="AW123" s="695"/>
      <c r="AX123" s="695"/>
      <c r="AY123" s="695"/>
      <c r="AZ123" s="695"/>
      <c r="BA123" s="695"/>
      <c r="BB123" s="695"/>
      <c r="BC123" s="695"/>
      <c r="BD123" s="695"/>
      <c r="BE123" s="695"/>
      <c r="BF123" s="695"/>
      <c r="BG123" s="695"/>
      <c r="BH123" s="695"/>
      <c r="BI123" s="695"/>
      <c r="BJ123" s="695"/>
      <c r="BK123" s="695"/>
      <c r="BL123" s="695"/>
      <c r="BM123" s="695"/>
      <c r="BN123" s="695"/>
      <c r="BO123" s="695"/>
      <c r="BP123" s="695"/>
      <c r="BQ123" s="695"/>
      <c r="BR123" s="695"/>
      <c r="BS123" s="695"/>
      <c r="BT123" s="695"/>
      <c r="BU123" s="695"/>
      <c r="BV123" s="695"/>
      <c r="BW123" s="695"/>
      <c r="BX123" s="695"/>
      <c r="BY123" s="695"/>
      <c r="BZ123" s="695"/>
      <c r="CA123" s="695"/>
      <c r="CB123" s="695"/>
      <c r="CC123" s="695"/>
      <c r="CD123" s="695"/>
      <c r="CE123" s="695"/>
      <c r="CF123" s="695"/>
      <c r="CG123" s="695"/>
      <c r="CH123" s="695"/>
      <c r="CI123" s="695"/>
      <c r="CJ123" s="695"/>
      <c r="CK123" s="695"/>
      <c r="CL123" s="695"/>
      <c r="CM123" s="695"/>
      <c r="CN123" s="695"/>
      <c r="CO123" s="695"/>
      <c r="CP123" s="695"/>
      <c r="CQ123" s="695"/>
      <c r="CR123" s="695"/>
      <c r="CS123" s="695"/>
      <c r="CT123" s="695"/>
      <c r="CU123" s="695"/>
      <c r="CV123" s="695"/>
      <c r="CW123" s="695"/>
      <c r="CX123" s="695"/>
      <c r="CY123" s="695"/>
      <c r="CZ123" s="695"/>
      <c r="DA123" s="695"/>
      <c r="DB123" s="695"/>
      <c r="DC123" s="695"/>
      <c r="DD123" s="695"/>
      <c r="DE123" s="695"/>
      <c r="DF123" s="695"/>
      <c r="DG123" s="695"/>
      <c r="DH123" s="695"/>
      <c r="DI123" s="695"/>
      <c r="DJ123" s="695"/>
      <c r="DK123" s="695"/>
      <c r="DL123" s="695"/>
      <c r="DM123" s="695"/>
      <c r="DN123" s="695"/>
      <c r="DO123" s="695"/>
      <c r="DP123" s="695"/>
      <c r="DQ123" s="695"/>
      <c r="DR123" s="695"/>
      <c r="DS123" s="695"/>
      <c r="DT123" s="695"/>
      <c r="DU123" s="695"/>
      <c r="DV123" s="695"/>
      <c r="DW123" s="695"/>
      <c r="DX123" s="695"/>
      <c r="DY123" s="695"/>
      <c r="DZ123" s="695"/>
      <c r="EA123" s="695"/>
      <c r="EB123" s="695"/>
      <c r="EC123" s="695"/>
      <c r="ED123" s="695"/>
      <c r="EE123" s="695"/>
      <c r="EF123" s="695"/>
      <c r="EG123" s="695"/>
      <c r="EH123" s="695"/>
      <c r="EI123" s="695"/>
      <c r="EJ123" s="695"/>
      <c r="EK123" s="695"/>
      <c r="EL123" s="695"/>
      <c r="EM123" s="695"/>
      <c r="EN123" s="695"/>
      <c r="EO123" s="695"/>
      <c r="EP123" s="695"/>
      <c r="EQ123" s="695"/>
      <c r="ER123" s="695"/>
      <c r="ES123" s="695"/>
      <c r="ET123" s="695"/>
      <c r="EU123" s="695"/>
      <c r="EV123" s="695"/>
      <c r="EW123" s="695"/>
      <c r="EX123" s="695"/>
      <c r="EY123" s="695"/>
      <c r="EZ123" s="695"/>
      <c r="FA123" s="695"/>
      <c r="FB123" s="695"/>
      <c r="FC123" s="695"/>
      <c r="FD123" s="695"/>
      <c r="FE123" s="695"/>
      <c r="FF123" s="695"/>
      <c r="FG123" s="695"/>
      <c r="FH123" s="695"/>
      <c r="FI123" s="695"/>
      <c r="FJ123" s="695"/>
      <c r="FK123" s="695"/>
      <c r="FL123" s="695"/>
      <c r="FM123" s="695"/>
      <c r="FN123" s="695"/>
      <c r="FO123" s="695"/>
      <c r="FP123" s="695"/>
      <c r="FQ123" s="695"/>
      <c r="FR123" s="695"/>
      <c r="FS123" s="695"/>
      <c r="FT123" s="695"/>
      <c r="FU123" s="695"/>
      <c r="FV123" s="695"/>
      <c r="FW123" s="695"/>
      <c r="FX123" s="695"/>
      <c r="FY123" s="695"/>
      <c r="FZ123" s="695"/>
      <c r="GA123" s="695"/>
      <c r="GB123" s="695"/>
      <c r="GC123" s="695"/>
      <c r="GD123" s="695"/>
      <c r="GE123" s="695"/>
      <c r="GF123" s="695"/>
      <c r="GG123" s="695"/>
      <c r="GH123" s="695"/>
      <c r="GI123" s="695"/>
      <c r="GJ123" s="695"/>
      <c r="GK123" s="695"/>
      <c r="GL123" s="695"/>
      <c r="GM123" s="695"/>
      <c r="GN123" s="695"/>
      <c r="GO123" s="695"/>
      <c r="GP123" s="695"/>
      <c r="GQ123" s="695"/>
      <c r="GR123" s="695"/>
      <c r="GS123" s="695"/>
      <c r="GT123" s="695"/>
      <c r="GU123" s="695"/>
      <c r="GV123" s="695"/>
      <c r="GW123" s="695"/>
      <c r="GX123" s="695"/>
      <c r="GY123" s="695"/>
      <c r="GZ123" s="695"/>
      <c r="HA123" s="695"/>
      <c r="HB123" s="695"/>
      <c r="HC123" s="695"/>
      <c r="HD123" s="695"/>
      <c r="HE123" s="695"/>
      <c r="HF123" s="695"/>
      <c r="HG123" s="695"/>
      <c r="HH123" s="695"/>
      <c r="HI123" s="695"/>
      <c r="HJ123" s="695"/>
      <c r="HK123" s="695"/>
      <c r="HL123" s="695"/>
      <c r="HM123" s="695"/>
      <c r="HN123" s="695"/>
      <c r="HO123" s="695"/>
      <c r="HP123" s="695"/>
      <c r="HQ123" s="695"/>
      <c r="HR123" s="695"/>
      <c r="HS123" s="695"/>
      <c r="HT123" s="695"/>
      <c r="HU123" s="695"/>
      <c r="HV123" s="695"/>
      <c r="HW123" s="695"/>
      <c r="HX123" s="695"/>
      <c r="HY123" s="695"/>
      <c r="HZ123" s="695"/>
      <c r="IA123" s="695"/>
      <c r="IB123" s="695"/>
      <c r="IC123" s="695"/>
      <c r="ID123" s="695"/>
      <c r="IE123" s="695"/>
      <c r="IF123" s="695"/>
      <c r="IG123" s="695"/>
      <c r="IH123" s="695"/>
      <c r="II123" s="695"/>
      <c r="IJ123" s="695"/>
      <c r="IK123" s="695"/>
      <c r="IL123" s="695"/>
      <c r="IM123" s="695"/>
      <c r="IN123" s="695"/>
      <c r="IO123" s="695"/>
      <c r="IP123" s="695"/>
      <c r="IQ123" s="695"/>
      <c r="IR123" s="695"/>
      <c r="IS123" s="695"/>
      <c r="IT123" s="695"/>
      <c r="IU123" s="695"/>
      <c r="IV123" s="695"/>
      <c r="IW123" s="695"/>
    </row>
    <row r="124" spans="1:257" s="748" customFormat="1" ht="44.25" customHeight="1">
      <c r="A124" s="774" t="s">
        <v>91</v>
      </c>
      <c r="B124" s="676" t="s">
        <v>889</v>
      </c>
      <c r="C124" s="774"/>
      <c r="D124" s="774"/>
      <c r="E124" s="676"/>
      <c r="F124" s="676">
        <f>29567000000+27533000000+1500000000</f>
        <v>58600000000</v>
      </c>
      <c r="G124" s="742"/>
      <c r="H124" s="742"/>
      <c r="I124" s="742"/>
      <c r="J124" s="676">
        <v>82520000000</v>
      </c>
      <c r="K124" s="1793">
        <v>85500000000</v>
      </c>
      <c r="L124" s="1789">
        <v>60000000000</v>
      </c>
      <c r="M124" s="676" t="s">
        <v>1984</v>
      </c>
      <c r="N124" s="776"/>
      <c r="O124" s="776"/>
      <c r="P124" s="744"/>
      <c r="Q124" s="744"/>
      <c r="R124" s="780"/>
      <c r="S124" s="780"/>
      <c r="T124" s="780"/>
      <c r="U124" s="776"/>
      <c r="V124" s="784"/>
      <c r="W124" s="756"/>
      <c r="X124" s="757"/>
      <c r="Y124" s="695"/>
      <c r="Z124" s="695"/>
      <c r="AA124" s="695"/>
      <c r="AB124" s="695"/>
      <c r="AC124" s="695"/>
      <c r="AD124" s="695"/>
      <c r="AE124" s="695"/>
      <c r="AF124" s="695"/>
      <c r="AG124" s="695"/>
      <c r="AH124" s="695"/>
      <c r="AI124" s="695"/>
      <c r="AJ124" s="695"/>
      <c r="AK124" s="695"/>
      <c r="AL124" s="695"/>
      <c r="AM124" s="695"/>
      <c r="AN124" s="695"/>
      <c r="AO124" s="695"/>
      <c r="AP124" s="695"/>
      <c r="AQ124" s="695"/>
      <c r="AR124" s="695"/>
      <c r="AS124" s="695"/>
      <c r="AT124" s="695"/>
      <c r="AU124" s="695"/>
      <c r="AV124" s="695"/>
      <c r="AW124" s="695"/>
      <c r="AX124" s="695"/>
      <c r="AY124" s="695"/>
      <c r="AZ124" s="695"/>
      <c r="BA124" s="695"/>
      <c r="BB124" s="695"/>
      <c r="BC124" s="695"/>
      <c r="BD124" s="695"/>
      <c r="BE124" s="695"/>
      <c r="BF124" s="695"/>
      <c r="BG124" s="695"/>
      <c r="BH124" s="695"/>
      <c r="BI124" s="695"/>
      <c r="BJ124" s="695"/>
      <c r="BK124" s="695"/>
      <c r="BL124" s="695"/>
      <c r="BM124" s="695"/>
      <c r="BN124" s="695"/>
      <c r="BO124" s="695"/>
      <c r="BP124" s="695"/>
      <c r="BQ124" s="695"/>
      <c r="BR124" s="695"/>
      <c r="BS124" s="695"/>
      <c r="BT124" s="695"/>
      <c r="BU124" s="695"/>
      <c r="BV124" s="695"/>
      <c r="BW124" s="695"/>
      <c r="BX124" s="695"/>
      <c r="BY124" s="695"/>
      <c r="BZ124" s="695"/>
      <c r="CA124" s="695"/>
      <c r="CB124" s="695"/>
      <c r="CC124" s="695"/>
      <c r="CD124" s="695"/>
      <c r="CE124" s="695"/>
      <c r="CF124" s="695"/>
      <c r="CG124" s="695"/>
      <c r="CH124" s="695"/>
      <c r="CI124" s="695"/>
      <c r="CJ124" s="695"/>
      <c r="CK124" s="695"/>
      <c r="CL124" s="695"/>
      <c r="CM124" s="695"/>
      <c r="CN124" s="695"/>
      <c r="CO124" s="695"/>
      <c r="CP124" s="695"/>
      <c r="CQ124" s="695"/>
      <c r="CR124" s="695"/>
      <c r="CS124" s="695"/>
      <c r="CT124" s="695"/>
      <c r="CU124" s="695"/>
      <c r="CV124" s="695"/>
      <c r="CW124" s="695"/>
      <c r="CX124" s="695"/>
      <c r="CY124" s="695"/>
      <c r="CZ124" s="695"/>
      <c r="DA124" s="695"/>
      <c r="DB124" s="695"/>
      <c r="DC124" s="695"/>
      <c r="DD124" s="695"/>
      <c r="DE124" s="695"/>
      <c r="DF124" s="695"/>
      <c r="DG124" s="695"/>
      <c r="DH124" s="695"/>
      <c r="DI124" s="695"/>
      <c r="DJ124" s="695"/>
      <c r="DK124" s="695"/>
      <c r="DL124" s="695"/>
      <c r="DM124" s="695"/>
      <c r="DN124" s="695"/>
      <c r="DO124" s="695"/>
      <c r="DP124" s="695"/>
      <c r="DQ124" s="695"/>
      <c r="DR124" s="695"/>
      <c r="DS124" s="695"/>
      <c r="DT124" s="695"/>
      <c r="DU124" s="695"/>
      <c r="DV124" s="695"/>
      <c r="DW124" s="695"/>
      <c r="DX124" s="695"/>
      <c r="DY124" s="695"/>
      <c r="DZ124" s="695"/>
      <c r="EA124" s="695"/>
      <c r="EB124" s="695"/>
      <c r="EC124" s="695"/>
      <c r="ED124" s="695"/>
      <c r="EE124" s="695"/>
      <c r="EF124" s="695"/>
      <c r="EG124" s="695"/>
      <c r="EH124" s="695"/>
      <c r="EI124" s="695"/>
      <c r="EJ124" s="695"/>
      <c r="EK124" s="695"/>
      <c r="EL124" s="695"/>
      <c r="EM124" s="695"/>
      <c r="EN124" s="695"/>
      <c r="EO124" s="695"/>
      <c r="EP124" s="695"/>
      <c r="EQ124" s="695"/>
      <c r="ER124" s="695"/>
      <c r="ES124" s="695"/>
      <c r="ET124" s="695"/>
      <c r="EU124" s="695"/>
      <c r="EV124" s="695"/>
      <c r="EW124" s="695"/>
      <c r="EX124" s="695"/>
      <c r="EY124" s="695"/>
      <c r="EZ124" s="695"/>
      <c r="FA124" s="695"/>
      <c r="FB124" s="695"/>
      <c r="FC124" s="695"/>
      <c r="FD124" s="695"/>
      <c r="FE124" s="695"/>
      <c r="FF124" s="695"/>
      <c r="FG124" s="695"/>
      <c r="FH124" s="695"/>
      <c r="FI124" s="695"/>
      <c r="FJ124" s="695"/>
      <c r="FK124" s="695"/>
      <c r="FL124" s="695"/>
      <c r="FM124" s="695"/>
      <c r="FN124" s="695"/>
      <c r="FO124" s="695"/>
      <c r="FP124" s="695"/>
      <c r="FQ124" s="695"/>
      <c r="FR124" s="695"/>
      <c r="FS124" s="695"/>
      <c r="FT124" s="695"/>
      <c r="FU124" s="695"/>
      <c r="FV124" s="695"/>
      <c r="FW124" s="695"/>
      <c r="FX124" s="695"/>
      <c r="FY124" s="695"/>
      <c r="FZ124" s="695"/>
      <c r="GA124" s="695"/>
      <c r="GB124" s="695"/>
      <c r="GC124" s="695"/>
      <c r="GD124" s="695"/>
      <c r="GE124" s="695"/>
      <c r="GF124" s="695"/>
      <c r="GG124" s="695"/>
      <c r="GH124" s="695"/>
      <c r="GI124" s="695"/>
      <c r="GJ124" s="695"/>
      <c r="GK124" s="695"/>
      <c r="GL124" s="695"/>
      <c r="GM124" s="695"/>
      <c r="GN124" s="695"/>
      <c r="GO124" s="695"/>
      <c r="GP124" s="695"/>
      <c r="GQ124" s="695"/>
      <c r="GR124" s="695"/>
      <c r="GS124" s="695"/>
      <c r="GT124" s="695"/>
      <c r="GU124" s="695"/>
      <c r="GV124" s="695"/>
      <c r="GW124" s="695"/>
      <c r="GX124" s="695"/>
      <c r="GY124" s="695"/>
      <c r="GZ124" s="695"/>
      <c r="HA124" s="695"/>
      <c r="HB124" s="695"/>
      <c r="HC124" s="695"/>
      <c r="HD124" s="695"/>
      <c r="HE124" s="695"/>
      <c r="HF124" s="695"/>
      <c r="HG124" s="695"/>
      <c r="HH124" s="695"/>
      <c r="HI124" s="695"/>
      <c r="HJ124" s="695"/>
      <c r="HK124" s="695"/>
      <c r="HL124" s="695"/>
      <c r="HM124" s="695"/>
      <c r="HN124" s="695"/>
      <c r="HO124" s="695"/>
      <c r="HP124" s="695"/>
      <c r="HQ124" s="695"/>
      <c r="HR124" s="695"/>
      <c r="HS124" s="695"/>
      <c r="HT124" s="695"/>
      <c r="HU124" s="695"/>
      <c r="HV124" s="695"/>
      <c r="HW124" s="695"/>
      <c r="HX124" s="695"/>
      <c r="HY124" s="695"/>
      <c r="HZ124" s="695"/>
      <c r="IA124" s="695"/>
      <c r="IB124" s="695"/>
      <c r="IC124" s="695"/>
      <c r="ID124" s="695"/>
      <c r="IE124" s="695"/>
      <c r="IF124" s="695"/>
      <c r="IG124" s="695"/>
      <c r="IH124" s="695"/>
      <c r="II124" s="695"/>
      <c r="IJ124" s="695"/>
      <c r="IK124" s="695"/>
      <c r="IL124" s="695"/>
      <c r="IM124" s="695"/>
      <c r="IN124" s="695"/>
      <c r="IO124" s="695"/>
      <c r="IP124" s="695"/>
      <c r="IQ124" s="695"/>
      <c r="IR124" s="695"/>
      <c r="IS124" s="695"/>
      <c r="IT124" s="695"/>
      <c r="IU124" s="695"/>
      <c r="IV124" s="695"/>
      <c r="IW124" s="695"/>
    </row>
    <row r="125" spans="1:257" s="748" customFormat="1" ht="15.75" customHeight="1">
      <c r="A125" s="774" t="s">
        <v>91</v>
      </c>
      <c r="B125" s="676" t="s">
        <v>890</v>
      </c>
      <c r="C125" s="774"/>
      <c r="D125" s="774"/>
      <c r="E125" s="676"/>
      <c r="F125" s="676"/>
      <c r="G125" s="742"/>
      <c r="H125" s="742"/>
      <c r="I125" s="742"/>
      <c r="J125" s="676"/>
      <c r="K125" s="1794"/>
      <c r="L125" s="1790"/>
      <c r="M125" s="676"/>
      <c r="N125" s="776"/>
      <c r="O125" s="776"/>
      <c r="P125" s="744"/>
      <c r="Q125" s="744"/>
      <c r="R125" s="780"/>
      <c r="S125" s="780"/>
      <c r="T125" s="780"/>
      <c r="U125" s="776"/>
      <c r="V125" s="784"/>
      <c r="W125" s="756"/>
      <c r="X125" s="757"/>
      <c r="Y125" s="695"/>
      <c r="Z125" s="695"/>
      <c r="AA125" s="695"/>
      <c r="AB125" s="695"/>
      <c r="AC125" s="695"/>
      <c r="AD125" s="695"/>
      <c r="AE125" s="695"/>
      <c r="AF125" s="695"/>
      <c r="AG125" s="695"/>
      <c r="AH125" s="695"/>
      <c r="AI125" s="695"/>
      <c r="AJ125" s="695"/>
      <c r="AK125" s="695"/>
      <c r="AL125" s="695"/>
      <c r="AM125" s="695"/>
      <c r="AN125" s="695"/>
      <c r="AO125" s="695"/>
      <c r="AP125" s="695"/>
      <c r="AQ125" s="695"/>
      <c r="AR125" s="695"/>
      <c r="AS125" s="695"/>
      <c r="AT125" s="695"/>
      <c r="AU125" s="695"/>
      <c r="AV125" s="695"/>
      <c r="AW125" s="695"/>
      <c r="AX125" s="695"/>
      <c r="AY125" s="695"/>
      <c r="AZ125" s="695"/>
      <c r="BA125" s="695"/>
      <c r="BB125" s="695"/>
      <c r="BC125" s="695"/>
      <c r="BD125" s="695"/>
      <c r="BE125" s="695"/>
      <c r="BF125" s="695"/>
      <c r="BG125" s="695"/>
      <c r="BH125" s="695"/>
      <c r="BI125" s="695"/>
      <c r="BJ125" s="695"/>
      <c r="BK125" s="695"/>
      <c r="BL125" s="695"/>
      <c r="BM125" s="695"/>
      <c r="BN125" s="695"/>
      <c r="BO125" s="695"/>
      <c r="BP125" s="695"/>
      <c r="BQ125" s="695"/>
      <c r="BR125" s="695"/>
      <c r="BS125" s="695"/>
      <c r="BT125" s="695"/>
      <c r="BU125" s="695"/>
      <c r="BV125" s="695"/>
      <c r="BW125" s="695"/>
      <c r="BX125" s="695"/>
      <c r="BY125" s="695"/>
      <c r="BZ125" s="695"/>
      <c r="CA125" s="695"/>
      <c r="CB125" s="695"/>
      <c r="CC125" s="695"/>
      <c r="CD125" s="695"/>
      <c r="CE125" s="695"/>
      <c r="CF125" s="695"/>
      <c r="CG125" s="695"/>
      <c r="CH125" s="695"/>
      <c r="CI125" s="695"/>
      <c r="CJ125" s="695"/>
      <c r="CK125" s="695"/>
      <c r="CL125" s="695"/>
      <c r="CM125" s="695"/>
      <c r="CN125" s="695"/>
      <c r="CO125" s="695"/>
      <c r="CP125" s="695"/>
      <c r="CQ125" s="695"/>
      <c r="CR125" s="695"/>
      <c r="CS125" s="695"/>
      <c r="CT125" s="695"/>
      <c r="CU125" s="695"/>
      <c r="CV125" s="695"/>
      <c r="CW125" s="695"/>
      <c r="CX125" s="695"/>
      <c r="CY125" s="695"/>
      <c r="CZ125" s="695"/>
      <c r="DA125" s="695"/>
      <c r="DB125" s="695"/>
      <c r="DC125" s="695"/>
      <c r="DD125" s="695"/>
      <c r="DE125" s="695"/>
      <c r="DF125" s="695"/>
      <c r="DG125" s="695"/>
      <c r="DH125" s="695"/>
      <c r="DI125" s="695"/>
      <c r="DJ125" s="695"/>
      <c r="DK125" s="695"/>
      <c r="DL125" s="695"/>
      <c r="DM125" s="695"/>
      <c r="DN125" s="695"/>
      <c r="DO125" s="695"/>
      <c r="DP125" s="695"/>
      <c r="DQ125" s="695"/>
      <c r="DR125" s="695"/>
      <c r="DS125" s="695"/>
      <c r="DT125" s="695"/>
      <c r="DU125" s="695"/>
      <c r="DV125" s="695"/>
      <c r="DW125" s="695"/>
      <c r="DX125" s="695"/>
      <c r="DY125" s="695"/>
      <c r="DZ125" s="695"/>
      <c r="EA125" s="695"/>
      <c r="EB125" s="695"/>
      <c r="EC125" s="695"/>
      <c r="ED125" s="695"/>
      <c r="EE125" s="695"/>
      <c r="EF125" s="695"/>
      <c r="EG125" s="695"/>
      <c r="EH125" s="695"/>
      <c r="EI125" s="695"/>
      <c r="EJ125" s="695"/>
      <c r="EK125" s="695"/>
      <c r="EL125" s="695"/>
      <c r="EM125" s="695"/>
      <c r="EN125" s="695"/>
      <c r="EO125" s="695"/>
      <c r="EP125" s="695"/>
      <c r="EQ125" s="695"/>
      <c r="ER125" s="695"/>
      <c r="ES125" s="695"/>
      <c r="ET125" s="695"/>
      <c r="EU125" s="695"/>
      <c r="EV125" s="695"/>
      <c r="EW125" s="695"/>
      <c r="EX125" s="695"/>
      <c r="EY125" s="695"/>
      <c r="EZ125" s="695"/>
      <c r="FA125" s="695"/>
      <c r="FB125" s="695"/>
      <c r="FC125" s="695"/>
      <c r="FD125" s="695"/>
      <c r="FE125" s="695"/>
      <c r="FF125" s="695"/>
      <c r="FG125" s="695"/>
      <c r="FH125" s="695"/>
      <c r="FI125" s="695"/>
      <c r="FJ125" s="695"/>
      <c r="FK125" s="695"/>
      <c r="FL125" s="695"/>
      <c r="FM125" s="695"/>
      <c r="FN125" s="695"/>
      <c r="FO125" s="695"/>
      <c r="FP125" s="695"/>
      <c r="FQ125" s="695"/>
      <c r="FR125" s="695"/>
      <c r="FS125" s="695"/>
      <c r="FT125" s="695"/>
      <c r="FU125" s="695"/>
      <c r="FV125" s="695"/>
      <c r="FW125" s="695"/>
      <c r="FX125" s="695"/>
      <c r="FY125" s="695"/>
      <c r="FZ125" s="695"/>
      <c r="GA125" s="695"/>
      <c r="GB125" s="695"/>
      <c r="GC125" s="695"/>
      <c r="GD125" s="695"/>
      <c r="GE125" s="695"/>
      <c r="GF125" s="695"/>
      <c r="GG125" s="695"/>
      <c r="GH125" s="695"/>
      <c r="GI125" s="695"/>
      <c r="GJ125" s="695"/>
      <c r="GK125" s="695"/>
      <c r="GL125" s="695"/>
      <c r="GM125" s="695"/>
      <c r="GN125" s="695"/>
      <c r="GO125" s="695"/>
      <c r="GP125" s="695"/>
      <c r="GQ125" s="695"/>
      <c r="GR125" s="695"/>
      <c r="GS125" s="695"/>
      <c r="GT125" s="695"/>
      <c r="GU125" s="695"/>
      <c r="GV125" s="695"/>
      <c r="GW125" s="695"/>
      <c r="GX125" s="695"/>
      <c r="GY125" s="695"/>
      <c r="GZ125" s="695"/>
      <c r="HA125" s="695"/>
      <c r="HB125" s="695"/>
      <c r="HC125" s="695"/>
      <c r="HD125" s="695"/>
      <c r="HE125" s="695"/>
      <c r="HF125" s="695"/>
      <c r="HG125" s="695"/>
      <c r="HH125" s="695"/>
      <c r="HI125" s="695"/>
      <c r="HJ125" s="695"/>
      <c r="HK125" s="695"/>
      <c r="HL125" s="695"/>
      <c r="HM125" s="695"/>
      <c r="HN125" s="695"/>
      <c r="HO125" s="695"/>
      <c r="HP125" s="695"/>
      <c r="HQ125" s="695"/>
      <c r="HR125" s="695"/>
      <c r="HS125" s="695"/>
      <c r="HT125" s="695"/>
      <c r="HU125" s="695"/>
      <c r="HV125" s="695"/>
      <c r="HW125" s="695"/>
      <c r="HX125" s="695"/>
      <c r="HY125" s="695"/>
      <c r="HZ125" s="695"/>
      <c r="IA125" s="695"/>
      <c r="IB125" s="695"/>
      <c r="IC125" s="695"/>
      <c r="ID125" s="695"/>
      <c r="IE125" s="695"/>
      <c r="IF125" s="695"/>
      <c r="IG125" s="695"/>
      <c r="IH125" s="695"/>
      <c r="II125" s="695"/>
      <c r="IJ125" s="695"/>
      <c r="IK125" s="695"/>
      <c r="IL125" s="695"/>
      <c r="IM125" s="695"/>
      <c r="IN125" s="695"/>
      <c r="IO125" s="695"/>
      <c r="IP125" s="695"/>
      <c r="IQ125" s="695"/>
      <c r="IR125" s="695"/>
      <c r="IS125" s="695"/>
      <c r="IT125" s="695"/>
      <c r="IU125" s="695"/>
      <c r="IV125" s="695"/>
      <c r="IW125" s="695"/>
    </row>
    <row r="126" spans="1:257" s="748" customFormat="1" ht="31.5" customHeight="1">
      <c r="A126" s="774" t="s">
        <v>91</v>
      </c>
      <c r="B126" s="676" t="s">
        <v>891</v>
      </c>
      <c r="C126" s="622"/>
      <c r="D126" s="622"/>
      <c r="E126" s="660"/>
      <c r="F126" s="676">
        <f>18000000000</f>
        <v>18000000000</v>
      </c>
      <c r="G126" s="661" t="s">
        <v>892</v>
      </c>
      <c r="H126" s="661"/>
      <c r="I126" s="661"/>
      <c r="J126" s="676">
        <v>25000000000</v>
      </c>
      <c r="K126" s="676">
        <v>25000000000</v>
      </c>
      <c r="L126" s="1305">
        <v>25000000000</v>
      </c>
      <c r="M126" s="676"/>
      <c r="N126" s="776"/>
      <c r="O126" s="776"/>
      <c r="P126" s="767"/>
      <c r="Q126" s="767"/>
      <c r="R126" s="780"/>
      <c r="S126" s="780"/>
      <c r="T126" s="780"/>
      <c r="U126" s="648"/>
      <c r="V126" s="664"/>
      <c r="W126" s="756"/>
      <c r="X126" s="757"/>
      <c r="Y126" s="695"/>
      <c r="Z126" s="695"/>
      <c r="AA126" s="695"/>
      <c r="AB126" s="695"/>
      <c r="AC126" s="695"/>
      <c r="AD126" s="695"/>
      <c r="AE126" s="695"/>
      <c r="AF126" s="695"/>
      <c r="AG126" s="695"/>
      <c r="AH126" s="695"/>
      <c r="AI126" s="695"/>
      <c r="AJ126" s="695"/>
      <c r="AK126" s="695"/>
      <c r="AL126" s="695"/>
      <c r="AM126" s="695"/>
      <c r="AN126" s="695"/>
      <c r="AO126" s="695"/>
      <c r="AP126" s="695"/>
      <c r="AQ126" s="695"/>
      <c r="AR126" s="695"/>
      <c r="AS126" s="695"/>
      <c r="AT126" s="695"/>
      <c r="AU126" s="695"/>
      <c r="AV126" s="695"/>
      <c r="AW126" s="695"/>
      <c r="AX126" s="695"/>
      <c r="AY126" s="695"/>
      <c r="AZ126" s="695"/>
      <c r="BA126" s="695"/>
      <c r="BB126" s="695"/>
      <c r="BC126" s="695"/>
      <c r="BD126" s="695"/>
      <c r="BE126" s="695"/>
      <c r="BF126" s="695"/>
      <c r="BG126" s="695"/>
      <c r="BH126" s="695"/>
      <c r="BI126" s="695"/>
      <c r="BJ126" s="695"/>
      <c r="BK126" s="695"/>
      <c r="BL126" s="695"/>
      <c r="BM126" s="695"/>
      <c r="BN126" s="695"/>
      <c r="BO126" s="695"/>
      <c r="BP126" s="695"/>
      <c r="BQ126" s="695"/>
      <c r="BR126" s="695"/>
      <c r="BS126" s="695"/>
      <c r="BT126" s="695"/>
      <c r="BU126" s="695"/>
      <c r="BV126" s="695"/>
      <c r="BW126" s="695"/>
      <c r="BX126" s="695"/>
      <c r="BY126" s="695"/>
      <c r="BZ126" s="695"/>
      <c r="CA126" s="695"/>
      <c r="CB126" s="695"/>
      <c r="CC126" s="695"/>
      <c r="CD126" s="695"/>
      <c r="CE126" s="695"/>
      <c r="CF126" s="695"/>
      <c r="CG126" s="695"/>
      <c r="CH126" s="695"/>
      <c r="CI126" s="695"/>
      <c r="CJ126" s="695"/>
      <c r="CK126" s="695"/>
      <c r="CL126" s="695"/>
      <c r="CM126" s="695"/>
      <c r="CN126" s="695"/>
      <c r="CO126" s="695"/>
      <c r="CP126" s="695"/>
      <c r="CQ126" s="695"/>
      <c r="CR126" s="695"/>
      <c r="CS126" s="695"/>
      <c r="CT126" s="695"/>
      <c r="CU126" s="695"/>
      <c r="CV126" s="695"/>
      <c r="CW126" s="695"/>
      <c r="CX126" s="695"/>
      <c r="CY126" s="695"/>
      <c r="CZ126" s="695"/>
      <c r="DA126" s="695"/>
      <c r="DB126" s="695"/>
      <c r="DC126" s="695"/>
      <c r="DD126" s="695"/>
      <c r="DE126" s="695"/>
      <c r="DF126" s="695"/>
      <c r="DG126" s="695"/>
      <c r="DH126" s="695"/>
      <c r="DI126" s="695"/>
      <c r="DJ126" s="695"/>
      <c r="DK126" s="695"/>
      <c r="DL126" s="695"/>
      <c r="DM126" s="695"/>
      <c r="DN126" s="695"/>
      <c r="DO126" s="695"/>
      <c r="DP126" s="695"/>
      <c r="DQ126" s="695"/>
      <c r="DR126" s="695"/>
      <c r="DS126" s="695"/>
      <c r="DT126" s="695"/>
      <c r="DU126" s="695"/>
      <c r="DV126" s="695"/>
      <c r="DW126" s="695"/>
      <c r="DX126" s="695"/>
      <c r="DY126" s="695"/>
      <c r="DZ126" s="695"/>
      <c r="EA126" s="695"/>
      <c r="EB126" s="695"/>
      <c r="EC126" s="695"/>
      <c r="ED126" s="695"/>
      <c r="EE126" s="695"/>
      <c r="EF126" s="695"/>
      <c r="EG126" s="695"/>
      <c r="EH126" s="695"/>
      <c r="EI126" s="695"/>
      <c r="EJ126" s="695"/>
      <c r="EK126" s="695"/>
      <c r="EL126" s="695"/>
      <c r="EM126" s="695"/>
      <c r="EN126" s="695"/>
      <c r="EO126" s="695"/>
      <c r="EP126" s="695"/>
      <c r="EQ126" s="695"/>
      <c r="ER126" s="695"/>
      <c r="ES126" s="695"/>
      <c r="ET126" s="695"/>
      <c r="EU126" s="695"/>
      <c r="EV126" s="695"/>
      <c r="EW126" s="695"/>
      <c r="EX126" s="695"/>
      <c r="EY126" s="695"/>
      <c r="EZ126" s="695"/>
      <c r="FA126" s="695"/>
      <c r="FB126" s="695"/>
      <c r="FC126" s="695"/>
      <c r="FD126" s="695"/>
      <c r="FE126" s="695"/>
      <c r="FF126" s="695"/>
      <c r="FG126" s="695"/>
      <c r="FH126" s="695"/>
      <c r="FI126" s="695"/>
      <c r="FJ126" s="695"/>
      <c r="FK126" s="695"/>
      <c r="FL126" s="695"/>
      <c r="FM126" s="695"/>
      <c r="FN126" s="695"/>
      <c r="FO126" s="695"/>
      <c r="FP126" s="695"/>
      <c r="FQ126" s="695"/>
      <c r="FR126" s="695"/>
      <c r="FS126" s="695"/>
      <c r="FT126" s="695"/>
      <c r="FU126" s="695"/>
      <c r="FV126" s="695"/>
      <c r="FW126" s="695"/>
      <c r="FX126" s="695"/>
      <c r="FY126" s="695"/>
      <c r="FZ126" s="695"/>
      <c r="GA126" s="695"/>
      <c r="GB126" s="695"/>
      <c r="GC126" s="695"/>
      <c r="GD126" s="695"/>
      <c r="GE126" s="695"/>
      <c r="GF126" s="695"/>
      <c r="GG126" s="695"/>
      <c r="GH126" s="695"/>
      <c r="GI126" s="695"/>
      <c r="GJ126" s="695"/>
      <c r="GK126" s="695"/>
      <c r="GL126" s="695"/>
      <c r="GM126" s="695"/>
      <c r="GN126" s="695"/>
      <c r="GO126" s="695"/>
      <c r="GP126" s="695"/>
      <c r="GQ126" s="695"/>
      <c r="GR126" s="695"/>
      <c r="GS126" s="695"/>
      <c r="GT126" s="695"/>
      <c r="GU126" s="695"/>
      <c r="GV126" s="695"/>
      <c r="GW126" s="695"/>
      <c r="GX126" s="695"/>
      <c r="GY126" s="695"/>
      <c r="GZ126" s="695"/>
      <c r="HA126" s="695"/>
      <c r="HB126" s="695"/>
      <c r="HC126" s="695"/>
      <c r="HD126" s="695"/>
      <c r="HE126" s="695"/>
      <c r="HF126" s="695"/>
      <c r="HG126" s="695"/>
      <c r="HH126" s="695"/>
      <c r="HI126" s="695"/>
      <c r="HJ126" s="695"/>
      <c r="HK126" s="695"/>
      <c r="HL126" s="695"/>
      <c r="HM126" s="695"/>
      <c r="HN126" s="695"/>
      <c r="HO126" s="695"/>
      <c r="HP126" s="695"/>
      <c r="HQ126" s="695"/>
      <c r="HR126" s="695"/>
      <c r="HS126" s="695"/>
      <c r="HT126" s="695"/>
      <c r="HU126" s="695"/>
      <c r="HV126" s="695"/>
      <c r="HW126" s="695"/>
      <c r="HX126" s="695"/>
      <c r="HY126" s="695"/>
      <c r="HZ126" s="695"/>
      <c r="IA126" s="695"/>
      <c r="IB126" s="695"/>
      <c r="IC126" s="695"/>
      <c r="ID126" s="695"/>
      <c r="IE126" s="695"/>
      <c r="IF126" s="695"/>
      <c r="IG126" s="695"/>
      <c r="IH126" s="695"/>
      <c r="II126" s="695"/>
      <c r="IJ126" s="695"/>
      <c r="IK126" s="695"/>
      <c r="IL126" s="695"/>
      <c r="IM126" s="695"/>
      <c r="IN126" s="695"/>
      <c r="IO126" s="695"/>
      <c r="IP126" s="695"/>
      <c r="IQ126" s="695"/>
      <c r="IR126" s="695"/>
      <c r="IS126" s="695"/>
      <c r="IT126" s="695"/>
      <c r="IU126" s="695"/>
      <c r="IV126" s="695"/>
      <c r="IW126" s="695"/>
    </row>
    <row r="127" spans="1:257" s="748" customFormat="1" ht="31.5" customHeight="1">
      <c r="A127" s="774" t="s">
        <v>91</v>
      </c>
      <c r="B127" s="739" t="s">
        <v>893</v>
      </c>
      <c r="C127" s="774"/>
      <c r="D127" s="774"/>
      <c r="E127" s="676"/>
      <c r="F127" s="676">
        <v>12000000000</v>
      </c>
      <c r="G127" s="661"/>
      <c r="H127" s="661"/>
      <c r="I127" s="661"/>
      <c r="J127" s="676">
        <v>20168000000</v>
      </c>
      <c r="K127" s="676">
        <v>20000000000</v>
      </c>
      <c r="L127" s="1305">
        <v>20000000000</v>
      </c>
      <c r="M127" s="676"/>
      <c r="N127" s="776"/>
      <c r="O127" s="776"/>
      <c r="P127" s="767"/>
      <c r="Q127" s="767"/>
      <c r="R127" s="780"/>
      <c r="S127" s="780"/>
      <c r="T127" s="780"/>
      <c r="U127" s="648"/>
      <c r="V127" s="664"/>
      <c r="W127" s="756"/>
      <c r="X127" s="757"/>
      <c r="Y127" s="695"/>
      <c r="Z127" s="695"/>
      <c r="AA127" s="695"/>
      <c r="AB127" s="695"/>
      <c r="AC127" s="695"/>
      <c r="AD127" s="695"/>
      <c r="AE127" s="695"/>
      <c r="AF127" s="695"/>
      <c r="AG127" s="695"/>
      <c r="AH127" s="695"/>
      <c r="AI127" s="695"/>
      <c r="AJ127" s="695"/>
      <c r="AK127" s="695"/>
      <c r="AL127" s="695"/>
      <c r="AM127" s="695"/>
      <c r="AN127" s="695"/>
      <c r="AO127" s="695"/>
      <c r="AP127" s="695"/>
      <c r="AQ127" s="695"/>
      <c r="AR127" s="695"/>
      <c r="AS127" s="695"/>
      <c r="AT127" s="695"/>
      <c r="AU127" s="695"/>
      <c r="AV127" s="695"/>
      <c r="AW127" s="695"/>
      <c r="AX127" s="695"/>
      <c r="AY127" s="695"/>
      <c r="AZ127" s="695"/>
      <c r="BA127" s="695"/>
      <c r="BB127" s="695"/>
      <c r="BC127" s="695"/>
      <c r="BD127" s="695"/>
      <c r="BE127" s="695"/>
      <c r="BF127" s="695"/>
      <c r="BG127" s="695"/>
      <c r="BH127" s="695"/>
      <c r="BI127" s="695"/>
      <c r="BJ127" s="695"/>
      <c r="BK127" s="695"/>
      <c r="BL127" s="695"/>
      <c r="BM127" s="695"/>
      <c r="BN127" s="695"/>
      <c r="BO127" s="695"/>
      <c r="BP127" s="695"/>
      <c r="BQ127" s="695"/>
      <c r="BR127" s="695"/>
      <c r="BS127" s="695"/>
      <c r="BT127" s="695"/>
      <c r="BU127" s="695"/>
      <c r="BV127" s="695"/>
      <c r="BW127" s="695"/>
      <c r="BX127" s="695"/>
      <c r="BY127" s="695"/>
      <c r="BZ127" s="695"/>
      <c r="CA127" s="695"/>
      <c r="CB127" s="695"/>
      <c r="CC127" s="695"/>
      <c r="CD127" s="695"/>
      <c r="CE127" s="695"/>
      <c r="CF127" s="695"/>
      <c r="CG127" s="695"/>
      <c r="CH127" s="695"/>
      <c r="CI127" s="695"/>
      <c r="CJ127" s="695"/>
      <c r="CK127" s="695"/>
      <c r="CL127" s="695"/>
      <c r="CM127" s="695"/>
      <c r="CN127" s="695"/>
      <c r="CO127" s="695"/>
      <c r="CP127" s="695"/>
      <c r="CQ127" s="695"/>
      <c r="CR127" s="695"/>
      <c r="CS127" s="695"/>
      <c r="CT127" s="695"/>
      <c r="CU127" s="695"/>
      <c r="CV127" s="695"/>
      <c r="CW127" s="695"/>
      <c r="CX127" s="695"/>
      <c r="CY127" s="695"/>
      <c r="CZ127" s="695"/>
      <c r="DA127" s="695"/>
      <c r="DB127" s="695"/>
      <c r="DC127" s="695"/>
      <c r="DD127" s="695"/>
      <c r="DE127" s="695"/>
      <c r="DF127" s="695"/>
      <c r="DG127" s="695"/>
      <c r="DH127" s="695"/>
      <c r="DI127" s="695"/>
      <c r="DJ127" s="695"/>
      <c r="DK127" s="695"/>
      <c r="DL127" s="695"/>
      <c r="DM127" s="695"/>
      <c r="DN127" s="695"/>
      <c r="DO127" s="695"/>
      <c r="DP127" s="695"/>
      <c r="DQ127" s="695"/>
      <c r="DR127" s="695"/>
      <c r="DS127" s="695"/>
      <c r="DT127" s="695"/>
      <c r="DU127" s="695"/>
      <c r="DV127" s="695"/>
      <c r="DW127" s="695"/>
      <c r="DX127" s="695"/>
      <c r="DY127" s="695"/>
      <c r="DZ127" s="695"/>
      <c r="EA127" s="695"/>
      <c r="EB127" s="695"/>
      <c r="EC127" s="695"/>
      <c r="ED127" s="695"/>
      <c r="EE127" s="695"/>
      <c r="EF127" s="695"/>
      <c r="EG127" s="695"/>
      <c r="EH127" s="695"/>
      <c r="EI127" s="695"/>
      <c r="EJ127" s="695"/>
      <c r="EK127" s="695"/>
      <c r="EL127" s="695"/>
      <c r="EM127" s="695"/>
      <c r="EN127" s="695"/>
      <c r="EO127" s="695"/>
      <c r="EP127" s="695"/>
      <c r="EQ127" s="695"/>
      <c r="ER127" s="695"/>
      <c r="ES127" s="695"/>
      <c r="ET127" s="695"/>
      <c r="EU127" s="695"/>
      <c r="EV127" s="695"/>
      <c r="EW127" s="695"/>
      <c r="EX127" s="695"/>
      <c r="EY127" s="695"/>
      <c r="EZ127" s="695"/>
      <c r="FA127" s="695"/>
      <c r="FB127" s="695"/>
      <c r="FC127" s="695"/>
      <c r="FD127" s="695"/>
      <c r="FE127" s="695"/>
      <c r="FF127" s="695"/>
      <c r="FG127" s="695"/>
      <c r="FH127" s="695"/>
      <c r="FI127" s="695"/>
      <c r="FJ127" s="695"/>
      <c r="FK127" s="695"/>
      <c r="FL127" s="695"/>
      <c r="FM127" s="695"/>
      <c r="FN127" s="695"/>
      <c r="FO127" s="695"/>
      <c r="FP127" s="695"/>
      <c r="FQ127" s="695"/>
      <c r="FR127" s="695"/>
      <c r="FS127" s="695"/>
      <c r="FT127" s="695"/>
      <c r="FU127" s="695"/>
      <c r="FV127" s="695"/>
      <c r="FW127" s="695"/>
      <c r="FX127" s="695"/>
      <c r="FY127" s="695"/>
      <c r="FZ127" s="695"/>
      <c r="GA127" s="695"/>
      <c r="GB127" s="695"/>
      <c r="GC127" s="695"/>
      <c r="GD127" s="695"/>
      <c r="GE127" s="695"/>
      <c r="GF127" s="695"/>
      <c r="GG127" s="695"/>
      <c r="GH127" s="695"/>
      <c r="GI127" s="695"/>
      <c r="GJ127" s="695"/>
      <c r="GK127" s="695"/>
      <c r="GL127" s="695"/>
      <c r="GM127" s="695"/>
      <c r="GN127" s="695"/>
      <c r="GO127" s="695"/>
      <c r="GP127" s="695"/>
      <c r="GQ127" s="695"/>
      <c r="GR127" s="695"/>
      <c r="GS127" s="695"/>
      <c r="GT127" s="695"/>
      <c r="GU127" s="695"/>
      <c r="GV127" s="695"/>
      <c r="GW127" s="695"/>
      <c r="GX127" s="695"/>
      <c r="GY127" s="695"/>
      <c r="GZ127" s="695"/>
      <c r="HA127" s="695"/>
      <c r="HB127" s="695"/>
      <c r="HC127" s="695"/>
      <c r="HD127" s="695"/>
      <c r="HE127" s="695"/>
      <c r="HF127" s="695"/>
      <c r="HG127" s="695"/>
      <c r="HH127" s="695"/>
      <c r="HI127" s="695"/>
      <c r="HJ127" s="695"/>
      <c r="HK127" s="695"/>
      <c r="HL127" s="695"/>
      <c r="HM127" s="695"/>
      <c r="HN127" s="695"/>
      <c r="HO127" s="695"/>
      <c r="HP127" s="695"/>
      <c r="HQ127" s="695"/>
      <c r="HR127" s="695"/>
      <c r="HS127" s="695"/>
      <c r="HT127" s="695"/>
      <c r="HU127" s="695"/>
      <c r="HV127" s="695"/>
      <c r="HW127" s="695"/>
      <c r="HX127" s="695"/>
      <c r="HY127" s="695"/>
      <c r="HZ127" s="695"/>
      <c r="IA127" s="695"/>
      <c r="IB127" s="695"/>
      <c r="IC127" s="695"/>
      <c r="ID127" s="695"/>
      <c r="IE127" s="695"/>
      <c r="IF127" s="695"/>
      <c r="IG127" s="695"/>
      <c r="IH127" s="695"/>
      <c r="II127" s="695"/>
      <c r="IJ127" s="695"/>
      <c r="IK127" s="695"/>
      <c r="IL127" s="695"/>
      <c r="IM127" s="695"/>
      <c r="IN127" s="695"/>
      <c r="IO127" s="695"/>
      <c r="IP127" s="695"/>
      <c r="IQ127" s="695"/>
      <c r="IR127" s="695"/>
      <c r="IS127" s="695"/>
      <c r="IT127" s="695"/>
      <c r="IU127" s="695"/>
      <c r="IV127" s="695"/>
      <c r="IW127" s="695"/>
    </row>
    <row r="128" spans="1:257" s="748" customFormat="1" ht="15.75" customHeight="1">
      <c r="A128" s="774" t="s">
        <v>91</v>
      </c>
      <c r="B128" s="676" t="s">
        <v>894</v>
      </c>
      <c r="C128" s="622"/>
      <c r="D128" s="622"/>
      <c r="E128" s="660"/>
      <c r="F128" s="676">
        <v>1700000000</v>
      </c>
      <c r="G128" s="661"/>
      <c r="H128" s="661"/>
      <c r="I128" s="661"/>
      <c r="J128" s="676">
        <v>8500000000</v>
      </c>
      <c r="K128" s="676">
        <v>8000000000</v>
      </c>
      <c r="L128" s="1305">
        <v>8000000000</v>
      </c>
      <c r="M128" s="676"/>
      <c r="N128" s="776"/>
      <c r="O128" s="776"/>
      <c r="P128" s="767"/>
      <c r="Q128" s="767"/>
      <c r="R128" s="785">
        <v>4000000000</v>
      </c>
      <c r="S128" s="780"/>
      <c r="T128" s="780"/>
      <c r="U128" s="648"/>
      <c r="V128" s="664"/>
      <c r="W128" s="756"/>
      <c r="X128" s="757"/>
      <c r="Y128" s="695"/>
      <c r="Z128" s="695"/>
      <c r="AA128" s="695"/>
      <c r="AB128" s="695"/>
      <c r="AC128" s="695"/>
      <c r="AD128" s="695"/>
      <c r="AE128" s="695"/>
      <c r="AF128" s="695"/>
      <c r="AG128" s="695"/>
      <c r="AH128" s="695"/>
      <c r="AI128" s="695"/>
      <c r="AJ128" s="695"/>
      <c r="AK128" s="695"/>
      <c r="AL128" s="695"/>
      <c r="AM128" s="695"/>
      <c r="AN128" s="695"/>
      <c r="AO128" s="695"/>
      <c r="AP128" s="695"/>
      <c r="AQ128" s="695"/>
      <c r="AR128" s="695"/>
      <c r="AS128" s="695"/>
      <c r="AT128" s="695"/>
      <c r="AU128" s="695"/>
      <c r="AV128" s="695"/>
      <c r="AW128" s="695"/>
      <c r="AX128" s="695"/>
      <c r="AY128" s="695"/>
      <c r="AZ128" s="695"/>
      <c r="BA128" s="695"/>
      <c r="BB128" s="695"/>
      <c r="BC128" s="695"/>
      <c r="BD128" s="695"/>
      <c r="BE128" s="695"/>
      <c r="BF128" s="695"/>
      <c r="BG128" s="695"/>
      <c r="BH128" s="695"/>
      <c r="BI128" s="695"/>
      <c r="BJ128" s="695"/>
      <c r="BK128" s="695"/>
      <c r="BL128" s="695"/>
      <c r="BM128" s="695"/>
      <c r="BN128" s="695"/>
      <c r="BO128" s="695"/>
      <c r="BP128" s="695"/>
      <c r="BQ128" s="695"/>
      <c r="BR128" s="695"/>
      <c r="BS128" s="695"/>
      <c r="BT128" s="695"/>
      <c r="BU128" s="695"/>
      <c r="BV128" s="695"/>
      <c r="BW128" s="695"/>
      <c r="BX128" s="695"/>
      <c r="BY128" s="695"/>
      <c r="BZ128" s="695"/>
      <c r="CA128" s="695"/>
      <c r="CB128" s="695"/>
      <c r="CC128" s="695"/>
      <c r="CD128" s="695"/>
      <c r="CE128" s="695"/>
      <c r="CF128" s="695"/>
      <c r="CG128" s="695"/>
      <c r="CH128" s="695"/>
      <c r="CI128" s="695"/>
      <c r="CJ128" s="695"/>
      <c r="CK128" s="695"/>
      <c r="CL128" s="695"/>
      <c r="CM128" s="695"/>
      <c r="CN128" s="695"/>
      <c r="CO128" s="695"/>
      <c r="CP128" s="695"/>
      <c r="CQ128" s="695"/>
      <c r="CR128" s="695"/>
      <c r="CS128" s="695"/>
      <c r="CT128" s="695"/>
      <c r="CU128" s="695"/>
      <c r="CV128" s="695"/>
      <c r="CW128" s="695"/>
      <c r="CX128" s="695"/>
      <c r="CY128" s="695"/>
      <c r="CZ128" s="695"/>
      <c r="DA128" s="695"/>
      <c r="DB128" s="695"/>
      <c r="DC128" s="695"/>
      <c r="DD128" s="695"/>
      <c r="DE128" s="695"/>
      <c r="DF128" s="695"/>
      <c r="DG128" s="695"/>
      <c r="DH128" s="695"/>
      <c r="DI128" s="695"/>
      <c r="DJ128" s="695"/>
      <c r="DK128" s="695"/>
      <c r="DL128" s="695"/>
      <c r="DM128" s="695"/>
      <c r="DN128" s="695"/>
      <c r="DO128" s="695"/>
      <c r="DP128" s="695"/>
      <c r="DQ128" s="695"/>
      <c r="DR128" s="695"/>
      <c r="DS128" s="695"/>
      <c r="DT128" s="695"/>
      <c r="DU128" s="695"/>
      <c r="DV128" s="695"/>
      <c r="DW128" s="695"/>
      <c r="DX128" s="695"/>
      <c r="DY128" s="695"/>
      <c r="DZ128" s="695"/>
      <c r="EA128" s="695"/>
      <c r="EB128" s="695"/>
      <c r="EC128" s="695"/>
      <c r="ED128" s="695"/>
      <c r="EE128" s="695"/>
      <c r="EF128" s="695"/>
      <c r="EG128" s="695"/>
      <c r="EH128" s="695"/>
      <c r="EI128" s="695"/>
      <c r="EJ128" s="695"/>
      <c r="EK128" s="695"/>
      <c r="EL128" s="695"/>
      <c r="EM128" s="695"/>
      <c r="EN128" s="695"/>
      <c r="EO128" s="695"/>
      <c r="EP128" s="695"/>
      <c r="EQ128" s="695"/>
      <c r="ER128" s="695"/>
      <c r="ES128" s="695"/>
      <c r="ET128" s="695"/>
      <c r="EU128" s="695"/>
      <c r="EV128" s="695"/>
      <c r="EW128" s="695"/>
      <c r="EX128" s="695"/>
      <c r="EY128" s="695"/>
      <c r="EZ128" s="695"/>
      <c r="FA128" s="695"/>
      <c r="FB128" s="695"/>
      <c r="FC128" s="695"/>
      <c r="FD128" s="695"/>
      <c r="FE128" s="695"/>
      <c r="FF128" s="695"/>
      <c r="FG128" s="695"/>
      <c r="FH128" s="695"/>
      <c r="FI128" s="695"/>
      <c r="FJ128" s="695"/>
      <c r="FK128" s="695"/>
      <c r="FL128" s="695"/>
      <c r="FM128" s="695"/>
      <c r="FN128" s="695"/>
      <c r="FO128" s="695"/>
      <c r="FP128" s="695"/>
      <c r="FQ128" s="695"/>
      <c r="FR128" s="695"/>
      <c r="FS128" s="695"/>
      <c r="FT128" s="695"/>
      <c r="FU128" s="695"/>
      <c r="FV128" s="695"/>
      <c r="FW128" s="695"/>
      <c r="FX128" s="695"/>
      <c r="FY128" s="695"/>
      <c r="FZ128" s="695"/>
      <c r="GA128" s="695"/>
      <c r="GB128" s="695"/>
      <c r="GC128" s="695"/>
      <c r="GD128" s="695"/>
      <c r="GE128" s="695"/>
      <c r="GF128" s="695"/>
      <c r="GG128" s="695"/>
      <c r="GH128" s="695"/>
      <c r="GI128" s="695"/>
      <c r="GJ128" s="695"/>
      <c r="GK128" s="695"/>
      <c r="GL128" s="695"/>
      <c r="GM128" s="695"/>
      <c r="GN128" s="695"/>
      <c r="GO128" s="695"/>
      <c r="GP128" s="695"/>
      <c r="GQ128" s="695"/>
      <c r="GR128" s="695"/>
      <c r="GS128" s="695"/>
      <c r="GT128" s="695"/>
      <c r="GU128" s="695"/>
      <c r="GV128" s="695"/>
      <c r="GW128" s="695"/>
      <c r="GX128" s="695"/>
      <c r="GY128" s="695"/>
      <c r="GZ128" s="695"/>
      <c r="HA128" s="695"/>
      <c r="HB128" s="695"/>
      <c r="HC128" s="695"/>
      <c r="HD128" s="695"/>
      <c r="HE128" s="695"/>
      <c r="HF128" s="695"/>
      <c r="HG128" s="695"/>
      <c r="HH128" s="695"/>
      <c r="HI128" s="695"/>
      <c r="HJ128" s="695"/>
      <c r="HK128" s="695"/>
      <c r="HL128" s="695"/>
      <c r="HM128" s="695"/>
      <c r="HN128" s="695"/>
      <c r="HO128" s="695"/>
      <c r="HP128" s="695"/>
      <c r="HQ128" s="695"/>
      <c r="HR128" s="695"/>
      <c r="HS128" s="695"/>
      <c r="HT128" s="695"/>
      <c r="HU128" s="695"/>
      <c r="HV128" s="695"/>
      <c r="HW128" s="695"/>
      <c r="HX128" s="695"/>
      <c r="HY128" s="695"/>
      <c r="HZ128" s="695"/>
      <c r="IA128" s="695"/>
      <c r="IB128" s="695"/>
      <c r="IC128" s="695"/>
      <c r="ID128" s="695"/>
      <c r="IE128" s="695"/>
      <c r="IF128" s="695"/>
      <c r="IG128" s="695"/>
      <c r="IH128" s="695"/>
      <c r="II128" s="695"/>
      <c r="IJ128" s="695"/>
      <c r="IK128" s="695"/>
      <c r="IL128" s="695"/>
      <c r="IM128" s="695"/>
      <c r="IN128" s="695"/>
      <c r="IO128" s="695"/>
      <c r="IP128" s="695"/>
      <c r="IQ128" s="695"/>
      <c r="IR128" s="695"/>
      <c r="IS128" s="695"/>
      <c r="IT128" s="695"/>
      <c r="IU128" s="695"/>
      <c r="IV128" s="695"/>
      <c r="IW128" s="695"/>
    </row>
    <row r="129" spans="1:257" s="748" customFormat="1" ht="15.75" customHeight="1">
      <c r="A129" s="774" t="s">
        <v>91</v>
      </c>
      <c r="B129" s="676" t="s">
        <v>895</v>
      </c>
      <c r="C129" s="622"/>
      <c r="D129" s="622"/>
      <c r="E129" s="660"/>
      <c r="F129" s="676"/>
      <c r="G129" s="661"/>
      <c r="H129" s="661"/>
      <c r="I129" s="661"/>
      <c r="J129" s="676"/>
      <c r="K129" s="676">
        <v>7000000000</v>
      </c>
      <c r="L129" s="1305">
        <v>0</v>
      </c>
      <c r="M129" s="676"/>
      <c r="N129" s="776"/>
      <c r="O129" s="776"/>
      <c r="P129" s="767"/>
      <c r="Q129" s="767"/>
      <c r="R129" s="780"/>
      <c r="S129" s="780"/>
      <c r="T129" s="780"/>
      <c r="U129" s="648"/>
      <c r="V129" s="664"/>
      <c r="W129" s="756"/>
      <c r="X129" s="757"/>
      <c r="Y129" s="695"/>
      <c r="Z129" s="695"/>
      <c r="AA129" s="695"/>
      <c r="AB129" s="695"/>
      <c r="AC129" s="695"/>
      <c r="AD129" s="695"/>
      <c r="AE129" s="695"/>
      <c r="AF129" s="695"/>
      <c r="AG129" s="695"/>
      <c r="AH129" s="695"/>
      <c r="AI129" s="695"/>
      <c r="AJ129" s="695"/>
      <c r="AK129" s="695"/>
      <c r="AL129" s="695"/>
      <c r="AM129" s="695"/>
      <c r="AN129" s="695"/>
      <c r="AO129" s="695"/>
      <c r="AP129" s="695"/>
      <c r="AQ129" s="695"/>
      <c r="AR129" s="695"/>
      <c r="AS129" s="695"/>
      <c r="AT129" s="695"/>
      <c r="AU129" s="695"/>
      <c r="AV129" s="695"/>
      <c r="AW129" s="695"/>
      <c r="AX129" s="695"/>
      <c r="AY129" s="695"/>
      <c r="AZ129" s="695"/>
      <c r="BA129" s="695"/>
      <c r="BB129" s="695"/>
      <c r="BC129" s="695"/>
      <c r="BD129" s="695"/>
      <c r="BE129" s="695"/>
      <c r="BF129" s="695"/>
      <c r="BG129" s="695"/>
      <c r="BH129" s="695"/>
      <c r="BI129" s="695"/>
      <c r="BJ129" s="695"/>
      <c r="BK129" s="695"/>
      <c r="BL129" s="695"/>
      <c r="BM129" s="695"/>
      <c r="BN129" s="695"/>
      <c r="BO129" s="695"/>
      <c r="BP129" s="695"/>
      <c r="BQ129" s="695"/>
      <c r="BR129" s="695"/>
      <c r="BS129" s="695"/>
      <c r="BT129" s="695"/>
      <c r="BU129" s="695"/>
      <c r="BV129" s="695"/>
      <c r="BW129" s="695"/>
      <c r="BX129" s="695"/>
      <c r="BY129" s="695"/>
      <c r="BZ129" s="695"/>
      <c r="CA129" s="695"/>
      <c r="CB129" s="695"/>
      <c r="CC129" s="695"/>
      <c r="CD129" s="695"/>
      <c r="CE129" s="695"/>
      <c r="CF129" s="695"/>
      <c r="CG129" s="695"/>
      <c r="CH129" s="695"/>
      <c r="CI129" s="695"/>
      <c r="CJ129" s="695"/>
      <c r="CK129" s="695"/>
      <c r="CL129" s="695"/>
      <c r="CM129" s="695"/>
      <c r="CN129" s="695"/>
      <c r="CO129" s="695"/>
      <c r="CP129" s="695"/>
      <c r="CQ129" s="695"/>
      <c r="CR129" s="695"/>
      <c r="CS129" s="695"/>
      <c r="CT129" s="695"/>
      <c r="CU129" s="695"/>
      <c r="CV129" s="695"/>
      <c r="CW129" s="695"/>
      <c r="CX129" s="695"/>
      <c r="CY129" s="695"/>
      <c r="CZ129" s="695"/>
      <c r="DA129" s="695"/>
      <c r="DB129" s="695"/>
      <c r="DC129" s="695"/>
      <c r="DD129" s="695"/>
      <c r="DE129" s="695"/>
      <c r="DF129" s="695"/>
      <c r="DG129" s="695"/>
      <c r="DH129" s="695"/>
      <c r="DI129" s="695"/>
      <c r="DJ129" s="695"/>
      <c r="DK129" s="695"/>
      <c r="DL129" s="695"/>
      <c r="DM129" s="695"/>
      <c r="DN129" s="695"/>
      <c r="DO129" s="695"/>
      <c r="DP129" s="695"/>
      <c r="DQ129" s="695"/>
      <c r="DR129" s="695"/>
      <c r="DS129" s="695"/>
      <c r="DT129" s="695"/>
      <c r="DU129" s="695"/>
      <c r="DV129" s="695"/>
      <c r="DW129" s="695"/>
      <c r="DX129" s="695"/>
      <c r="DY129" s="695"/>
      <c r="DZ129" s="695"/>
      <c r="EA129" s="695"/>
      <c r="EB129" s="695"/>
      <c r="EC129" s="695"/>
      <c r="ED129" s="695"/>
      <c r="EE129" s="695"/>
      <c r="EF129" s="695"/>
      <c r="EG129" s="695"/>
      <c r="EH129" s="695"/>
      <c r="EI129" s="695"/>
      <c r="EJ129" s="695"/>
      <c r="EK129" s="695"/>
      <c r="EL129" s="695"/>
      <c r="EM129" s="695"/>
      <c r="EN129" s="695"/>
      <c r="EO129" s="695"/>
      <c r="EP129" s="695"/>
      <c r="EQ129" s="695"/>
      <c r="ER129" s="695"/>
      <c r="ES129" s="695"/>
      <c r="ET129" s="695"/>
      <c r="EU129" s="695"/>
      <c r="EV129" s="695"/>
      <c r="EW129" s="695"/>
      <c r="EX129" s="695"/>
      <c r="EY129" s="695"/>
      <c r="EZ129" s="695"/>
      <c r="FA129" s="695"/>
      <c r="FB129" s="695"/>
      <c r="FC129" s="695"/>
      <c r="FD129" s="695"/>
      <c r="FE129" s="695"/>
      <c r="FF129" s="695"/>
      <c r="FG129" s="695"/>
      <c r="FH129" s="695"/>
      <c r="FI129" s="695"/>
      <c r="FJ129" s="695"/>
      <c r="FK129" s="695"/>
      <c r="FL129" s="695"/>
      <c r="FM129" s="695"/>
      <c r="FN129" s="695"/>
      <c r="FO129" s="695"/>
      <c r="FP129" s="695"/>
      <c r="FQ129" s="695"/>
      <c r="FR129" s="695"/>
      <c r="FS129" s="695"/>
      <c r="FT129" s="695"/>
      <c r="FU129" s="695"/>
      <c r="FV129" s="695"/>
      <c r="FW129" s="695"/>
      <c r="FX129" s="695"/>
      <c r="FY129" s="695"/>
      <c r="FZ129" s="695"/>
      <c r="GA129" s="695"/>
      <c r="GB129" s="695"/>
      <c r="GC129" s="695"/>
      <c r="GD129" s="695"/>
      <c r="GE129" s="695"/>
      <c r="GF129" s="695"/>
      <c r="GG129" s="695"/>
      <c r="GH129" s="695"/>
      <c r="GI129" s="695"/>
      <c r="GJ129" s="695"/>
      <c r="GK129" s="695"/>
      <c r="GL129" s="695"/>
      <c r="GM129" s="695"/>
      <c r="GN129" s="695"/>
      <c r="GO129" s="695"/>
      <c r="GP129" s="695"/>
      <c r="GQ129" s="695"/>
      <c r="GR129" s="695"/>
      <c r="GS129" s="695"/>
      <c r="GT129" s="695"/>
      <c r="GU129" s="695"/>
      <c r="GV129" s="695"/>
      <c r="GW129" s="695"/>
      <c r="GX129" s="695"/>
      <c r="GY129" s="695"/>
      <c r="GZ129" s="695"/>
      <c r="HA129" s="695"/>
      <c r="HB129" s="695"/>
      <c r="HC129" s="695"/>
      <c r="HD129" s="695"/>
      <c r="HE129" s="695"/>
      <c r="HF129" s="695"/>
      <c r="HG129" s="695"/>
      <c r="HH129" s="695"/>
      <c r="HI129" s="695"/>
      <c r="HJ129" s="695"/>
      <c r="HK129" s="695"/>
      <c r="HL129" s="695"/>
      <c r="HM129" s="695"/>
      <c r="HN129" s="695"/>
      <c r="HO129" s="695"/>
      <c r="HP129" s="695"/>
      <c r="HQ129" s="695"/>
      <c r="HR129" s="695"/>
      <c r="HS129" s="695"/>
      <c r="HT129" s="695"/>
      <c r="HU129" s="695"/>
      <c r="HV129" s="695"/>
      <c r="HW129" s="695"/>
      <c r="HX129" s="695"/>
      <c r="HY129" s="695"/>
      <c r="HZ129" s="695"/>
      <c r="IA129" s="695"/>
      <c r="IB129" s="695"/>
      <c r="IC129" s="695"/>
      <c r="ID129" s="695"/>
      <c r="IE129" s="695"/>
      <c r="IF129" s="695"/>
      <c r="IG129" s="695"/>
      <c r="IH129" s="695"/>
      <c r="II129" s="695"/>
      <c r="IJ129" s="695"/>
      <c r="IK129" s="695"/>
      <c r="IL129" s="695"/>
      <c r="IM129" s="695"/>
      <c r="IN129" s="695"/>
      <c r="IO129" s="695"/>
      <c r="IP129" s="695"/>
      <c r="IQ129" s="695"/>
      <c r="IR129" s="695"/>
      <c r="IS129" s="695"/>
      <c r="IT129" s="695"/>
      <c r="IU129" s="695"/>
      <c r="IV129" s="695"/>
      <c r="IW129" s="695"/>
    </row>
    <row r="130" spans="1:257" s="748" customFormat="1" ht="15.75" customHeight="1">
      <c r="A130" s="774"/>
      <c r="B130" s="676" t="s">
        <v>896</v>
      </c>
      <c r="C130" s="622"/>
      <c r="D130" s="622"/>
      <c r="E130" s="660"/>
      <c r="F130" s="676"/>
      <c r="G130" s="661"/>
      <c r="H130" s="661"/>
      <c r="I130" s="661"/>
      <c r="J130" s="676"/>
      <c r="K130" s="676">
        <v>3700000000</v>
      </c>
      <c r="L130" s="1305">
        <v>0</v>
      </c>
      <c r="M130" s="676"/>
      <c r="N130" s="776"/>
      <c r="O130" s="776"/>
      <c r="P130" s="767"/>
      <c r="Q130" s="767"/>
      <c r="R130" s="780"/>
      <c r="S130" s="780"/>
      <c r="T130" s="780"/>
      <c r="U130" s="648"/>
      <c r="V130" s="664"/>
      <c r="W130" s="756"/>
      <c r="X130" s="757"/>
      <c r="Y130" s="695"/>
      <c r="Z130" s="695"/>
      <c r="AA130" s="695"/>
      <c r="AB130" s="695"/>
      <c r="AC130" s="695"/>
      <c r="AD130" s="695"/>
      <c r="AE130" s="695"/>
      <c r="AF130" s="695"/>
      <c r="AG130" s="695"/>
      <c r="AH130" s="695"/>
      <c r="AI130" s="695"/>
      <c r="AJ130" s="695"/>
      <c r="AK130" s="695"/>
      <c r="AL130" s="695"/>
      <c r="AM130" s="695"/>
      <c r="AN130" s="695"/>
      <c r="AO130" s="695"/>
      <c r="AP130" s="695"/>
      <c r="AQ130" s="695"/>
      <c r="AR130" s="695"/>
      <c r="AS130" s="695"/>
      <c r="AT130" s="695"/>
      <c r="AU130" s="695"/>
      <c r="AV130" s="695"/>
      <c r="AW130" s="695"/>
      <c r="AX130" s="695"/>
      <c r="AY130" s="695"/>
      <c r="AZ130" s="695"/>
      <c r="BA130" s="695"/>
      <c r="BB130" s="695"/>
      <c r="BC130" s="695"/>
      <c r="BD130" s="695"/>
      <c r="BE130" s="695"/>
      <c r="BF130" s="695"/>
      <c r="BG130" s="695"/>
      <c r="BH130" s="695"/>
      <c r="BI130" s="695"/>
      <c r="BJ130" s="695"/>
      <c r="BK130" s="695"/>
      <c r="BL130" s="695"/>
      <c r="BM130" s="695"/>
      <c r="BN130" s="695"/>
      <c r="BO130" s="695"/>
      <c r="BP130" s="695"/>
      <c r="BQ130" s="695"/>
      <c r="BR130" s="695"/>
      <c r="BS130" s="695"/>
      <c r="BT130" s="695"/>
      <c r="BU130" s="695"/>
      <c r="BV130" s="695"/>
      <c r="BW130" s="695"/>
      <c r="BX130" s="695"/>
      <c r="BY130" s="695"/>
      <c r="BZ130" s="695"/>
      <c r="CA130" s="695"/>
      <c r="CB130" s="695"/>
      <c r="CC130" s="695"/>
      <c r="CD130" s="695"/>
      <c r="CE130" s="695"/>
      <c r="CF130" s="695"/>
      <c r="CG130" s="695"/>
      <c r="CH130" s="695"/>
      <c r="CI130" s="695"/>
      <c r="CJ130" s="695"/>
      <c r="CK130" s="695"/>
      <c r="CL130" s="695"/>
      <c r="CM130" s="695"/>
      <c r="CN130" s="695"/>
      <c r="CO130" s="695"/>
      <c r="CP130" s="695"/>
      <c r="CQ130" s="695"/>
      <c r="CR130" s="695"/>
      <c r="CS130" s="695"/>
      <c r="CT130" s="695"/>
      <c r="CU130" s="695"/>
      <c r="CV130" s="695"/>
      <c r="CW130" s="695"/>
      <c r="CX130" s="695"/>
      <c r="CY130" s="695"/>
      <c r="CZ130" s="695"/>
      <c r="DA130" s="695"/>
      <c r="DB130" s="695"/>
      <c r="DC130" s="695"/>
      <c r="DD130" s="695"/>
      <c r="DE130" s="695"/>
      <c r="DF130" s="695"/>
      <c r="DG130" s="695"/>
      <c r="DH130" s="695"/>
      <c r="DI130" s="695"/>
      <c r="DJ130" s="695"/>
      <c r="DK130" s="695"/>
      <c r="DL130" s="695"/>
      <c r="DM130" s="695"/>
      <c r="DN130" s="695"/>
      <c r="DO130" s="695"/>
      <c r="DP130" s="695"/>
      <c r="DQ130" s="695"/>
      <c r="DR130" s="695"/>
      <c r="DS130" s="695"/>
      <c r="DT130" s="695"/>
      <c r="DU130" s="695"/>
      <c r="DV130" s="695"/>
      <c r="DW130" s="695"/>
      <c r="DX130" s="695"/>
      <c r="DY130" s="695"/>
      <c r="DZ130" s="695"/>
      <c r="EA130" s="695"/>
      <c r="EB130" s="695"/>
      <c r="EC130" s="695"/>
      <c r="ED130" s="695"/>
      <c r="EE130" s="695"/>
      <c r="EF130" s="695"/>
      <c r="EG130" s="695"/>
      <c r="EH130" s="695"/>
      <c r="EI130" s="695"/>
      <c r="EJ130" s="695"/>
      <c r="EK130" s="695"/>
      <c r="EL130" s="695"/>
      <c r="EM130" s="695"/>
      <c r="EN130" s="695"/>
      <c r="EO130" s="695"/>
      <c r="EP130" s="695"/>
      <c r="EQ130" s="695"/>
      <c r="ER130" s="695"/>
      <c r="ES130" s="695"/>
      <c r="ET130" s="695"/>
      <c r="EU130" s="695"/>
      <c r="EV130" s="695"/>
      <c r="EW130" s="695"/>
      <c r="EX130" s="695"/>
      <c r="EY130" s="695"/>
      <c r="EZ130" s="695"/>
      <c r="FA130" s="695"/>
      <c r="FB130" s="695"/>
      <c r="FC130" s="695"/>
      <c r="FD130" s="695"/>
      <c r="FE130" s="695"/>
      <c r="FF130" s="695"/>
      <c r="FG130" s="695"/>
      <c r="FH130" s="695"/>
      <c r="FI130" s="695"/>
      <c r="FJ130" s="695"/>
      <c r="FK130" s="695"/>
      <c r="FL130" s="695"/>
      <c r="FM130" s="695"/>
      <c r="FN130" s="695"/>
      <c r="FO130" s="695"/>
      <c r="FP130" s="695"/>
      <c r="FQ130" s="695"/>
      <c r="FR130" s="695"/>
      <c r="FS130" s="695"/>
      <c r="FT130" s="695"/>
      <c r="FU130" s="695"/>
      <c r="FV130" s="695"/>
      <c r="FW130" s="695"/>
      <c r="FX130" s="695"/>
      <c r="FY130" s="695"/>
      <c r="FZ130" s="695"/>
      <c r="GA130" s="695"/>
      <c r="GB130" s="695"/>
      <c r="GC130" s="695"/>
      <c r="GD130" s="695"/>
      <c r="GE130" s="695"/>
      <c r="GF130" s="695"/>
      <c r="GG130" s="695"/>
      <c r="GH130" s="695"/>
      <c r="GI130" s="695"/>
      <c r="GJ130" s="695"/>
      <c r="GK130" s="695"/>
      <c r="GL130" s="695"/>
      <c r="GM130" s="695"/>
      <c r="GN130" s="695"/>
      <c r="GO130" s="695"/>
      <c r="GP130" s="695"/>
      <c r="GQ130" s="695"/>
      <c r="GR130" s="695"/>
      <c r="GS130" s="695"/>
      <c r="GT130" s="695"/>
      <c r="GU130" s="695"/>
      <c r="GV130" s="695"/>
      <c r="GW130" s="695"/>
      <c r="GX130" s="695"/>
      <c r="GY130" s="695"/>
      <c r="GZ130" s="695"/>
      <c r="HA130" s="695"/>
      <c r="HB130" s="695"/>
      <c r="HC130" s="695"/>
      <c r="HD130" s="695"/>
      <c r="HE130" s="695"/>
      <c r="HF130" s="695"/>
      <c r="HG130" s="695"/>
      <c r="HH130" s="695"/>
      <c r="HI130" s="695"/>
      <c r="HJ130" s="695"/>
      <c r="HK130" s="695"/>
      <c r="HL130" s="695"/>
      <c r="HM130" s="695"/>
      <c r="HN130" s="695"/>
      <c r="HO130" s="695"/>
      <c r="HP130" s="695"/>
      <c r="HQ130" s="695"/>
      <c r="HR130" s="695"/>
      <c r="HS130" s="695"/>
      <c r="HT130" s="695"/>
      <c r="HU130" s="695"/>
      <c r="HV130" s="695"/>
      <c r="HW130" s="695"/>
      <c r="HX130" s="695"/>
      <c r="HY130" s="695"/>
      <c r="HZ130" s="695"/>
      <c r="IA130" s="695"/>
      <c r="IB130" s="695"/>
      <c r="IC130" s="695"/>
      <c r="ID130" s="695"/>
      <c r="IE130" s="695"/>
      <c r="IF130" s="695"/>
      <c r="IG130" s="695"/>
      <c r="IH130" s="695"/>
      <c r="II130" s="695"/>
      <c r="IJ130" s="695"/>
      <c r="IK130" s="695"/>
      <c r="IL130" s="695"/>
      <c r="IM130" s="695"/>
      <c r="IN130" s="695"/>
      <c r="IO130" s="695"/>
      <c r="IP130" s="695"/>
      <c r="IQ130" s="695"/>
      <c r="IR130" s="695"/>
      <c r="IS130" s="695"/>
      <c r="IT130" s="695"/>
      <c r="IU130" s="695"/>
      <c r="IV130" s="695"/>
      <c r="IW130" s="695"/>
    </row>
    <row r="131" spans="1:257" s="748" customFormat="1" ht="15.75" customHeight="1">
      <c r="A131" s="774"/>
      <c r="B131" s="676" t="s">
        <v>897</v>
      </c>
      <c r="C131" s="622"/>
      <c r="D131" s="622"/>
      <c r="E131" s="660"/>
      <c r="F131" s="676"/>
      <c r="G131" s="661"/>
      <c r="H131" s="661"/>
      <c r="I131" s="661"/>
      <c r="J131" s="676"/>
      <c r="K131" s="676">
        <f>10800000000</f>
        <v>10800000000</v>
      </c>
      <c r="L131" s="1305">
        <f>10000000000</f>
        <v>10000000000</v>
      </c>
      <c r="M131" s="676"/>
      <c r="N131" s="776"/>
      <c r="O131" s="776"/>
      <c r="P131" s="767"/>
      <c r="Q131" s="767"/>
      <c r="R131" s="780"/>
      <c r="S131" s="780"/>
      <c r="T131" s="780"/>
      <c r="U131" s="648"/>
      <c r="V131" s="664"/>
      <c r="W131" s="756"/>
      <c r="X131" s="757"/>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AT131" s="695"/>
      <c r="AU131" s="695"/>
      <c r="AV131" s="695"/>
      <c r="AW131" s="695"/>
      <c r="AX131" s="695"/>
      <c r="AY131" s="695"/>
      <c r="AZ131" s="695"/>
      <c r="BA131" s="695"/>
      <c r="BB131" s="695"/>
      <c r="BC131" s="695"/>
      <c r="BD131" s="695"/>
      <c r="BE131" s="695"/>
      <c r="BF131" s="695"/>
      <c r="BG131" s="695"/>
      <c r="BH131" s="695"/>
      <c r="BI131" s="695"/>
      <c r="BJ131" s="695"/>
      <c r="BK131" s="695"/>
      <c r="BL131" s="695"/>
      <c r="BM131" s="695"/>
      <c r="BN131" s="695"/>
      <c r="BO131" s="695"/>
      <c r="BP131" s="695"/>
      <c r="BQ131" s="695"/>
      <c r="BR131" s="695"/>
      <c r="BS131" s="695"/>
      <c r="BT131" s="695"/>
      <c r="BU131" s="695"/>
      <c r="BV131" s="695"/>
      <c r="BW131" s="695"/>
      <c r="BX131" s="695"/>
      <c r="BY131" s="695"/>
      <c r="BZ131" s="695"/>
      <c r="CA131" s="695"/>
      <c r="CB131" s="695"/>
      <c r="CC131" s="695"/>
      <c r="CD131" s="695"/>
      <c r="CE131" s="695"/>
      <c r="CF131" s="695"/>
      <c r="CG131" s="695"/>
      <c r="CH131" s="695"/>
      <c r="CI131" s="695"/>
      <c r="CJ131" s="695"/>
      <c r="CK131" s="695"/>
      <c r="CL131" s="695"/>
      <c r="CM131" s="695"/>
      <c r="CN131" s="695"/>
      <c r="CO131" s="695"/>
      <c r="CP131" s="695"/>
      <c r="CQ131" s="695"/>
      <c r="CR131" s="695"/>
      <c r="CS131" s="695"/>
      <c r="CT131" s="695"/>
      <c r="CU131" s="695"/>
      <c r="CV131" s="695"/>
      <c r="CW131" s="695"/>
      <c r="CX131" s="695"/>
      <c r="CY131" s="695"/>
      <c r="CZ131" s="695"/>
      <c r="DA131" s="695"/>
      <c r="DB131" s="695"/>
      <c r="DC131" s="695"/>
      <c r="DD131" s="695"/>
      <c r="DE131" s="695"/>
      <c r="DF131" s="695"/>
      <c r="DG131" s="695"/>
      <c r="DH131" s="695"/>
      <c r="DI131" s="695"/>
      <c r="DJ131" s="695"/>
      <c r="DK131" s="695"/>
      <c r="DL131" s="695"/>
      <c r="DM131" s="695"/>
      <c r="DN131" s="695"/>
      <c r="DO131" s="695"/>
      <c r="DP131" s="695"/>
      <c r="DQ131" s="695"/>
      <c r="DR131" s="695"/>
      <c r="DS131" s="695"/>
      <c r="DT131" s="695"/>
      <c r="DU131" s="695"/>
      <c r="DV131" s="695"/>
      <c r="DW131" s="695"/>
      <c r="DX131" s="695"/>
      <c r="DY131" s="695"/>
      <c r="DZ131" s="695"/>
      <c r="EA131" s="695"/>
      <c r="EB131" s="695"/>
      <c r="EC131" s="695"/>
      <c r="ED131" s="695"/>
      <c r="EE131" s="695"/>
      <c r="EF131" s="695"/>
      <c r="EG131" s="695"/>
      <c r="EH131" s="695"/>
      <c r="EI131" s="695"/>
      <c r="EJ131" s="695"/>
      <c r="EK131" s="695"/>
      <c r="EL131" s="695"/>
      <c r="EM131" s="695"/>
      <c r="EN131" s="695"/>
      <c r="EO131" s="695"/>
      <c r="EP131" s="695"/>
      <c r="EQ131" s="695"/>
      <c r="ER131" s="695"/>
      <c r="ES131" s="695"/>
      <c r="ET131" s="695"/>
      <c r="EU131" s="695"/>
      <c r="EV131" s="695"/>
      <c r="EW131" s="695"/>
      <c r="EX131" s="695"/>
      <c r="EY131" s="695"/>
      <c r="EZ131" s="695"/>
      <c r="FA131" s="695"/>
      <c r="FB131" s="695"/>
      <c r="FC131" s="695"/>
      <c r="FD131" s="695"/>
      <c r="FE131" s="695"/>
      <c r="FF131" s="695"/>
      <c r="FG131" s="695"/>
      <c r="FH131" s="695"/>
      <c r="FI131" s="695"/>
      <c r="FJ131" s="695"/>
      <c r="FK131" s="695"/>
      <c r="FL131" s="695"/>
      <c r="FM131" s="695"/>
      <c r="FN131" s="695"/>
      <c r="FO131" s="695"/>
      <c r="FP131" s="695"/>
      <c r="FQ131" s="695"/>
      <c r="FR131" s="695"/>
      <c r="FS131" s="695"/>
      <c r="FT131" s="695"/>
      <c r="FU131" s="695"/>
      <c r="FV131" s="695"/>
      <c r="FW131" s="695"/>
      <c r="FX131" s="695"/>
      <c r="FY131" s="695"/>
      <c r="FZ131" s="695"/>
      <c r="GA131" s="695"/>
      <c r="GB131" s="695"/>
      <c r="GC131" s="695"/>
      <c r="GD131" s="695"/>
      <c r="GE131" s="695"/>
      <c r="GF131" s="695"/>
      <c r="GG131" s="695"/>
      <c r="GH131" s="695"/>
      <c r="GI131" s="695"/>
      <c r="GJ131" s="695"/>
      <c r="GK131" s="695"/>
      <c r="GL131" s="695"/>
      <c r="GM131" s="695"/>
      <c r="GN131" s="695"/>
      <c r="GO131" s="695"/>
      <c r="GP131" s="695"/>
      <c r="GQ131" s="695"/>
      <c r="GR131" s="695"/>
      <c r="GS131" s="695"/>
      <c r="GT131" s="695"/>
      <c r="GU131" s="695"/>
      <c r="GV131" s="695"/>
      <c r="GW131" s="695"/>
      <c r="GX131" s="695"/>
      <c r="GY131" s="695"/>
      <c r="GZ131" s="695"/>
      <c r="HA131" s="695"/>
      <c r="HB131" s="695"/>
      <c r="HC131" s="695"/>
      <c r="HD131" s="695"/>
      <c r="HE131" s="695"/>
      <c r="HF131" s="695"/>
      <c r="HG131" s="695"/>
      <c r="HH131" s="695"/>
      <c r="HI131" s="695"/>
      <c r="HJ131" s="695"/>
      <c r="HK131" s="695"/>
      <c r="HL131" s="695"/>
      <c r="HM131" s="695"/>
      <c r="HN131" s="695"/>
      <c r="HO131" s="695"/>
      <c r="HP131" s="695"/>
      <c r="HQ131" s="695"/>
      <c r="HR131" s="695"/>
      <c r="HS131" s="695"/>
      <c r="HT131" s="695"/>
      <c r="HU131" s="695"/>
      <c r="HV131" s="695"/>
      <c r="HW131" s="695"/>
      <c r="HX131" s="695"/>
      <c r="HY131" s="695"/>
      <c r="HZ131" s="695"/>
      <c r="IA131" s="695"/>
      <c r="IB131" s="695"/>
      <c r="IC131" s="695"/>
      <c r="ID131" s="695"/>
      <c r="IE131" s="695"/>
      <c r="IF131" s="695"/>
      <c r="IG131" s="695"/>
      <c r="IH131" s="695"/>
      <c r="II131" s="695"/>
      <c r="IJ131" s="695"/>
      <c r="IK131" s="695"/>
      <c r="IL131" s="695"/>
      <c r="IM131" s="695"/>
      <c r="IN131" s="695"/>
      <c r="IO131" s="695"/>
      <c r="IP131" s="695"/>
      <c r="IQ131" s="695"/>
      <c r="IR131" s="695"/>
      <c r="IS131" s="695"/>
      <c r="IT131" s="695"/>
      <c r="IU131" s="695"/>
      <c r="IV131" s="695"/>
      <c r="IW131" s="695"/>
    </row>
    <row r="132" spans="1:257" s="748" customFormat="1" ht="15.75" customHeight="1">
      <c r="A132" s="774" t="s">
        <v>91</v>
      </c>
      <c r="B132" s="676" t="s">
        <v>1697</v>
      </c>
      <c r="C132" s="622"/>
      <c r="D132" s="622"/>
      <c r="E132" s="660"/>
      <c r="F132" s="676"/>
      <c r="G132" s="661"/>
      <c r="H132" s="661"/>
      <c r="I132" s="661"/>
      <c r="J132" s="676"/>
      <c r="K132" s="676"/>
      <c r="L132" s="1305">
        <v>30000000000</v>
      </c>
      <c r="M132" s="676"/>
      <c r="N132" s="776"/>
      <c r="O132" s="776"/>
      <c r="P132" s="767"/>
      <c r="Q132" s="767"/>
      <c r="R132" s="785">
        <v>4000000000</v>
      </c>
      <c r="S132" s="780"/>
      <c r="T132" s="780"/>
      <c r="U132" s="648"/>
      <c r="V132" s="664"/>
      <c r="W132" s="756"/>
      <c r="X132" s="757"/>
      <c r="Y132" s="695"/>
      <c r="Z132" s="695"/>
      <c r="AA132" s="695"/>
      <c r="AB132" s="695"/>
      <c r="AC132" s="695"/>
      <c r="AD132" s="695"/>
      <c r="AE132" s="695"/>
      <c r="AF132" s="695"/>
      <c r="AG132" s="695"/>
      <c r="AH132" s="695"/>
      <c r="AI132" s="695"/>
      <c r="AJ132" s="695"/>
      <c r="AK132" s="695"/>
      <c r="AL132" s="695"/>
      <c r="AM132" s="695"/>
      <c r="AN132" s="695"/>
      <c r="AO132" s="695"/>
      <c r="AP132" s="695"/>
      <c r="AQ132" s="695"/>
      <c r="AR132" s="695"/>
      <c r="AS132" s="695"/>
      <c r="AT132" s="695"/>
      <c r="AU132" s="695"/>
      <c r="AV132" s="695"/>
      <c r="AW132" s="695"/>
      <c r="AX132" s="695"/>
      <c r="AY132" s="695"/>
      <c r="AZ132" s="695"/>
      <c r="BA132" s="695"/>
      <c r="BB132" s="695"/>
      <c r="BC132" s="695"/>
      <c r="BD132" s="695"/>
      <c r="BE132" s="695"/>
      <c r="BF132" s="695"/>
      <c r="BG132" s="695"/>
      <c r="BH132" s="695"/>
      <c r="BI132" s="695"/>
      <c r="BJ132" s="695"/>
      <c r="BK132" s="695"/>
      <c r="BL132" s="695"/>
      <c r="BM132" s="695"/>
      <c r="BN132" s="695"/>
      <c r="BO132" s="695"/>
      <c r="BP132" s="695"/>
      <c r="BQ132" s="695"/>
      <c r="BR132" s="695"/>
      <c r="BS132" s="695"/>
      <c r="BT132" s="695"/>
      <c r="BU132" s="695"/>
      <c r="BV132" s="695"/>
      <c r="BW132" s="695"/>
      <c r="BX132" s="695"/>
      <c r="BY132" s="695"/>
      <c r="BZ132" s="695"/>
      <c r="CA132" s="695"/>
      <c r="CB132" s="695"/>
      <c r="CC132" s="695"/>
      <c r="CD132" s="695"/>
      <c r="CE132" s="695"/>
      <c r="CF132" s="695"/>
      <c r="CG132" s="695"/>
      <c r="CH132" s="695"/>
      <c r="CI132" s="695"/>
      <c r="CJ132" s="695"/>
      <c r="CK132" s="695"/>
      <c r="CL132" s="695"/>
      <c r="CM132" s="695"/>
      <c r="CN132" s="695"/>
      <c r="CO132" s="695"/>
      <c r="CP132" s="695"/>
      <c r="CQ132" s="695"/>
      <c r="CR132" s="695"/>
      <c r="CS132" s="695"/>
      <c r="CT132" s="695"/>
      <c r="CU132" s="695"/>
      <c r="CV132" s="695"/>
      <c r="CW132" s="695"/>
      <c r="CX132" s="695"/>
      <c r="CY132" s="695"/>
      <c r="CZ132" s="695"/>
      <c r="DA132" s="695"/>
      <c r="DB132" s="695"/>
      <c r="DC132" s="695"/>
      <c r="DD132" s="695"/>
      <c r="DE132" s="695"/>
      <c r="DF132" s="695"/>
      <c r="DG132" s="695"/>
      <c r="DH132" s="695"/>
      <c r="DI132" s="695"/>
      <c r="DJ132" s="695"/>
      <c r="DK132" s="695"/>
      <c r="DL132" s="695"/>
      <c r="DM132" s="695"/>
      <c r="DN132" s="695"/>
      <c r="DO132" s="695"/>
      <c r="DP132" s="695"/>
      <c r="DQ132" s="695"/>
      <c r="DR132" s="695"/>
      <c r="DS132" s="695"/>
      <c r="DT132" s="695"/>
      <c r="DU132" s="695"/>
      <c r="DV132" s="695"/>
      <c r="DW132" s="695"/>
      <c r="DX132" s="695"/>
      <c r="DY132" s="695"/>
      <c r="DZ132" s="695"/>
      <c r="EA132" s="695"/>
      <c r="EB132" s="695"/>
      <c r="EC132" s="695"/>
      <c r="ED132" s="695"/>
      <c r="EE132" s="695"/>
      <c r="EF132" s="695"/>
      <c r="EG132" s="695"/>
      <c r="EH132" s="695"/>
      <c r="EI132" s="695"/>
      <c r="EJ132" s="695"/>
      <c r="EK132" s="695"/>
      <c r="EL132" s="695"/>
      <c r="EM132" s="695"/>
      <c r="EN132" s="695"/>
      <c r="EO132" s="695"/>
      <c r="EP132" s="695"/>
      <c r="EQ132" s="695"/>
      <c r="ER132" s="695"/>
      <c r="ES132" s="695"/>
      <c r="ET132" s="695"/>
      <c r="EU132" s="695"/>
      <c r="EV132" s="695"/>
      <c r="EW132" s="695"/>
      <c r="EX132" s="695"/>
      <c r="EY132" s="695"/>
      <c r="EZ132" s="695"/>
      <c r="FA132" s="695"/>
      <c r="FB132" s="695"/>
      <c r="FC132" s="695"/>
      <c r="FD132" s="695"/>
      <c r="FE132" s="695"/>
      <c r="FF132" s="695"/>
      <c r="FG132" s="695"/>
      <c r="FH132" s="695"/>
      <c r="FI132" s="695"/>
      <c r="FJ132" s="695"/>
      <c r="FK132" s="695"/>
      <c r="FL132" s="695"/>
      <c r="FM132" s="695"/>
      <c r="FN132" s="695"/>
      <c r="FO132" s="695"/>
      <c r="FP132" s="695"/>
      <c r="FQ132" s="695"/>
      <c r="FR132" s="695"/>
      <c r="FS132" s="695"/>
      <c r="FT132" s="695"/>
      <c r="FU132" s="695"/>
      <c r="FV132" s="695"/>
      <c r="FW132" s="695"/>
      <c r="FX132" s="695"/>
      <c r="FY132" s="695"/>
      <c r="FZ132" s="695"/>
      <c r="GA132" s="695"/>
      <c r="GB132" s="695"/>
      <c r="GC132" s="695"/>
      <c r="GD132" s="695"/>
      <c r="GE132" s="695"/>
      <c r="GF132" s="695"/>
      <c r="GG132" s="695"/>
      <c r="GH132" s="695"/>
      <c r="GI132" s="695"/>
      <c r="GJ132" s="695"/>
      <c r="GK132" s="695"/>
      <c r="GL132" s="695"/>
      <c r="GM132" s="695"/>
      <c r="GN132" s="695"/>
      <c r="GO132" s="695"/>
      <c r="GP132" s="695"/>
      <c r="GQ132" s="695"/>
      <c r="GR132" s="695"/>
      <c r="GS132" s="695"/>
      <c r="GT132" s="695"/>
      <c r="GU132" s="695"/>
      <c r="GV132" s="695"/>
      <c r="GW132" s="695"/>
      <c r="GX132" s="695"/>
      <c r="GY132" s="695"/>
      <c r="GZ132" s="695"/>
      <c r="HA132" s="695"/>
      <c r="HB132" s="695"/>
      <c r="HC132" s="695"/>
      <c r="HD132" s="695"/>
      <c r="HE132" s="695"/>
      <c r="HF132" s="695"/>
      <c r="HG132" s="695"/>
      <c r="HH132" s="695"/>
      <c r="HI132" s="695"/>
      <c r="HJ132" s="695"/>
      <c r="HK132" s="695"/>
      <c r="HL132" s="695"/>
      <c r="HM132" s="695"/>
      <c r="HN132" s="695"/>
      <c r="HO132" s="695"/>
      <c r="HP132" s="695"/>
      <c r="HQ132" s="695"/>
      <c r="HR132" s="695"/>
      <c r="HS132" s="695"/>
      <c r="HT132" s="695"/>
      <c r="HU132" s="695"/>
      <c r="HV132" s="695"/>
      <c r="HW132" s="695"/>
      <c r="HX132" s="695"/>
      <c r="HY132" s="695"/>
      <c r="HZ132" s="695"/>
      <c r="IA132" s="695"/>
      <c r="IB132" s="695"/>
      <c r="IC132" s="695"/>
      <c r="ID132" s="695"/>
      <c r="IE132" s="695"/>
      <c r="IF132" s="695"/>
      <c r="IG132" s="695"/>
      <c r="IH132" s="695"/>
      <c r="II132" s="695"/>
      <c r="IJ132" s="695"/>
      <c r="IK132" s="695"/>
      <c r="IL132" s="695"/>
      <c r="IM132" s="695"/>
      <c r="IN132" s="695"/>
      <c r="IO132" s="695"/>
      <c r="IP132" s="695"/>
      <c r="IQ132" s="695"/>
      <c r="IR132" s="695"/>
      <c r="IS132" s="695"/>
      <c r="IT132" s="695"/>
      <c r="IU132" s="695"/>
      <c r="IV132" s="695"/>
      <c r="IW132" s="695"/>
    </row>
    <row r="133" spans="1:257" s="748" customFormat="1" ht="15.75" customHeight="1">
      <c r="A133" s="774" t="s">
        <v>91</v>
      </c>
      <c r="B133" s="676" t="s">
        <v>1698</v>
      </c>
      <c r="C133" s="622"/>
      <c r="D133" s="622"/>
      <c r="E133" s="660"/>
      <c r="F133" s="676">
        <v>580000000</v>
      </c>
      <c r="G133" s="661"/>
      <c r="H133" s="661"/>
      <c r="I133" s="661"/>
      <c r="J133" s="676"/>
      <c r="K133" s="676"/>
      <c r="L133" s="1305">
        <v>7000000000</v>
      </c>
      <c r="M133" s="676"/>
      <c r="N133" s="776"/>
      <c r="O133" s="776"/>
      <c r="P133" s="767"/>
      <c r="Q133" s="767"/>
      <c r="R133" s="780"/>
      <c r="S133" s="780"/>
      <c r="T133" s="780"/>
      <c r="U133" s="648"/>
      <c r="V133" s="664"/>
      <c r="W133" s="756"/>
      <c r="X133" s="757"/>
      <c r="Y133" s="695"/>
      <c r="Z133" s="695"/>
      <c r="AA133" s="695"/>
      <c r="AB133" s="695"/>
      <c r="AC133" s="695"/>
      <c r="AD133" s="695"/>
      <c r="AE133" s="695"/>
      <c r="AF133" s="695"/>
      <c r="AG133" s="695"/>
      <c r="AH133" s="695"/>
      <c r="AI133" s="695"/>
      <c r="AJ133" s="695"/>
      <c r="AK133" s="695"/>
      <c r="AL133" s="695"/>
      <c r="AM133" s="695"/>
      <c r="AN133" s="695"/>
      <c r="AO133" s="695"/>
      <c r="AP133" s="695"/>
      <c r="AQ133" s="695"/>
      <c r="AR133" s="695"/>
      <c r="AS133" s="695"/>
      <c r="AT133" s="695"/>
      <c r="AU133" s="695"/>
      <c r="AV133" s="695"/>
      <c r="AW133" s="695"/>
      <c r="AX133" s="695"/>
      <c r="AY133" s="695"/>
      <c r="AZ133" s="695"/>
      <c r="BA133" s="695"/>
      <c r="BB133" s="695"/>
      <c r="BC133" s="695"/>
      <c r="BD133" s="695"/>
      <c r="BE133" s="695"/>
      <c r="BF133" s="695"/>
      <c r="BG133" s="695"/>
      <c r="BH133" s="695"/>
      <c r="BI133" s="695"/>
      <c r="BJ133" s="695"/>
      <c r="BK133" s="695"/>
      <c r="BL133" s="695"/>
      <c r="BM133" s="695"/>
      <c r="BN133" s="695"/>
      <c r="BO133" s="695"/>
      <c r="BP133" s="695"/>
      <c r="BQ133" s="695"/>
      <c r="BR133" s="695"/>
      <c r="BS133" s="695"/>
      <c r="BT133" s="695"/>
      <c r="BU133" s="695"/>
      <c r="BV133" s="695"/>
      <c r="BW133" s="695"/>
      <c r="BX133" s="695"/>
      <c r="BY133" s="695"/>
      <c r="BZ133" s="695"/>
      <c r="CA133" s="695"/>
      <c r="CB133" s="695"/>
      <c r="CC133" s="695"/>
      <c r="CD133" s="695"/>
      <c r="CE133" s="695"/>
      <c r="CF133" s="695"/>
      <c r="CG133" s="695"/>
      <c r="CH133" s="695"/>
      <c r="CI133" s="695"/>
      <c r="CJ133" s="695"/>
      <c r="CK133" s="695"/>
      <c r="CL133" s="695"/>
      <c r="CM133" s="695"/>
      <c r="CN133" s="695"/>
      <c r="CO133" s="695"/>
      <c r="CP133" s="695"/>
      <c r="CQ133" s="695"/>
      <c r="CR133" s="695"/>
      <c r="CS133" s="695"/>
      <c r="CT133" s="695"/>
      <c r="CU133" s="695"/>
      <c r="CV133" s="695"/>
      <c r="CW133" s="695"/>
      <c r="CX133" s="695"/>
      <c r="CY133" s="695"/>
      <c r="CZ133" s="695"/>
      <c r="DA133" s="695"/>
      <c r="DB133" s="695"/>
      <c r="DC133" s="695"/>
      <c r="DD133" s="695"/>
      <c r="DE133" s="695"/>
      <c r="DF133" s="695"/>
      <c r="DG133" s="695"/>
      <c r="DH133" s="695"/>
      <c r="DI133" s="695"/>
      <c r="DJ133" s="695"/>
      <c r="DK133" s="695"/>
      <c r="DL133" s="695"/>
      <c r="DM133" s="695"/>
      <c r="DN133" s="695"/>
      <c r="DO133" s="695"/>
      <c r="DP133" s="695"/>
      <c r="DQ133" s="695"/>
      <c r="DR133" s="695"/>
      <c r="DS133" s="695"/>
      <c r="DT133" s="695"/>
      <c r="DU133" s="695"/>
      <c r="DV133" s="695"/>
      <c r="DW133" s="695"/>
      <c r="DX133" s="695"/>
      <c r="DY133" s="695"/>
      <c r="DZ133" s="695"/>
      <c r="EA133" s="695"/>
      <c r="EB133" s="695"/>
      <c r="EC133" s="695"/>
      <c r="ED133" s="695"/>
      <c r="EE133" s="695"/>
      <c r="EF133" s="695"/>
      <c r="EG133" s="695"/>
      <c r="EH133" s="695"/>
      <c r="EI133" s="695"/>
      <c r="EJ133" s="695"/>
      <c r="EK133" s="695"/>
      <c r="EL133" s="695"/>
      <c r="EM133" s="695"/>
      <c r="EN133" s="695"/>
      <c r="EO133" s="695"/>
      <c r="EP133" s="695"/>
      <c r="EQ133" s="695"/>
      <c r="ER133" s="695"/>
      <c r="ES133" s="695"/>
      <c r="ET133" s="695"/>
      <c r="EU133" s="695"/>
      <c r="EV133" s="695"/>
      <c r="EW133" s="695"/>
      <c r="EX133" s="695"/>
      <c r="EY133" s="695"/>
      <c r="EZ133" s="695"/>
      <c r="FA133" s="695"/>
      <c r="FB133" s="695"/>
      <c r="FC133" s="695"/>
      <c r="FD133" s="695"/>
      <c r="FE133" s="695"/>
      <c r="FF133" s="695"/>
      <c r="FG133" s="695"/>
      <c r="FH133" s="695"/>
      <c r="FI133" s="695"/>
      <c r="FJ133" s="695"/>
      <c r="FK133" s="695"/>
      <c r="FL133" s="695"/>
      <c r="FM133" s="695"/>
      <c r="FN133" s="695"/>
      <c r="FO133" s="695"/>
      <c r="FP133" s="695"/>
      <c r="FQ133" s="695"/>
      <c r="FR133" s="695"/>
      <c r="FS133" s="695"/>
      <c r="FT133" s="695"/>
      <c r="FU133" s="695"/>
      <c r="FV133" s="695"/>
      <c r="FW133" s="695"/>
      <c r="FX133" s="695"/>
      <c r="FY133" s="695"/>
      <c r="FZ133" s="695"/>
      <c r="GA133" s="695"/>
      <c r="GB133" s="695"/>
      <c r="GC133" s="695"/>
      <c r="GD133" s="695"/>
      <c r="GE133" s="695"/>
      <c r="GF133" s="695"/>
      <c r="GG133" s="695"/>
      <c r="GH133" s="695"/>
      <c r="GI133" s="695"/>
      <c r="GJ133" s="695"/>
      <c r="GK133" s="695"/>
      <c r="GL133" s="695"/>
      <c r="GM133" s="695"/>
      <c r="GN133" s="695"/>
      <c r="GO133" s="695"/>
      <c r="GP133" s="695"/>
      <c r="GQ133" s="695"/>
      <c r="GR133" s="695"/>
      <c r="GS133" s="695"/>
      <c r="GT133" s="695"/>
      <c r="GU133" s="695"/>
      <c r="GV133" s="695"/>
      <c r="GW133" s="695"/>
      <c r="GX133" s="695"/>
      <c r="GY133" s="695"/>
      <c r="GZ133" s="695"/>
      <c r="HA133" s="695"/>
      <c r="HB133" s="695"/>
      <c r="HC133" s="695"/>
      <c r="HD133" s="695"/>
      <c r="HE133" s="695"/>
      <c r="HF133" s="695"/>
      <c r="HG133" s="695"/>
      <c r="HH133" s="695"/>
      <c r="HI133" s="695"/>
      <c r="HJ133" s="695"/>
      <c r="HK133" s="695"/>
      <c r="HL133" s="695"/>
      <c r="HM133" s="695"/>
      <c r="HN133" s="695"/>
      <c r="HO133" s="695"/>
      <c r="HP133" s="695"/>
      <c r="HQ133" s="695"/>
      <c r="HR133" s="695"/>
      <c r="HS133" s="695"/>
      <c r="HT133" s="695"/>
      <c r="HU133" s="695"/>
      <c r="HV133" s="695"/>
      <c r="HW133" s="695"/>
      <c r="HX133" s="695"/>
      <c r="HY133" s="695"/>
      <c r="HZ133" s="695"/>
      <c r="IA133" s="695"/>
      <c r="IB133" s="695"/>
      <c r="IC133" s="695"/>
      <c r="ID133" s="695"/>
      <c r="IE133" s="695"/>
      <c r="IF133" s="695"/>
      <c r="IG133" s="695"/>
      <c r="IH133" s="695"/>
      <c r="II133" s="695"/>
      <c r="IJ133" s="695"/>
      <c r="IK133" s="695"/>
      <c r="IL133" s="695"/>
      <c r="IM133" s="695"/>
      <c r="IN133" s="695"/>
      <c r="IO133" s="695"/>
      <c r="IP133" s="695"/>
      <c r="IQ133" s="695"/>
      <c r="IR133" s="695"/>
      <c r="IS133" s="695"/>
      <c r="IT133" s="695"/>
      <c r="IU133" s="695"/>
      <c r="IV133" s="695"/>
      <c r="IW133" s="695"/>
    </row>
    <row r="134" spans="1:257" s="748" customFormat="1" ht="15.75" customHeight="1">
      <c r="A134" s="774" t="s">
        <v>91</v>
      </c>
      <c r="B134" s="676"/>
      <c r="C134" s="622"/>
      <c r="D134" s="622"/>
      <c r="E134" s="660"/>
      <c r="F134" s="676">
        <v>500000000</v>
      </c>
      <c r="G134" s="732"/>
      <c r="H134" s="732"/>
      <c r="I134" s="732"/>
      <c r="J134" s="676"/>
      <c r="K134" s="676"/>
      <c r="L134" s="1305"/>
      <c r="M134" s="676"/>
      <c r="N134" s="776"/>
      <c r="O134" s="776"/>
      <c r="P134" s="629"/>
      <c r="Q134" s="629"/>
      <c r="R134" s="780"/>
      <c r="S134" s="780"/>
      <c r="T134" s="780"/>
      <c r="U134" s="648"/>
      <c r="V134" s="664"/>
      <c r="W134" s="756"/>
      <c r="X134" s="757"/>
      <c r="Y134" s="695"/>
      <c r="Z134" s="695"/>
      <c r="AA134" s="695"/>
      <c r="AB134" s="695"/>
      <c r="AC134" s="695"/>
      <c r="AD134" s="695"/>
      <c r="AE134" s="695"/>
      <c r="AF134" s="695"/>
      <c r="AG134" s="695"/>
      <c r="AH134" s="695"/>
      <c r="AI134" s="695"/>
      <c r="AJ134" s="695"/>
      <c r="AK134" s="695"/>
      <c r="AL134" s="695"/>
      <c r="AM134" s="695"/>
      <c r="AN134" s="695"/>
      <c r="AO134" s="695"/>
      <c r="AP134" s="695"/>
      <c r="AQ134" s="695"/>
      <c r="AR134" s="695"/>
      <c r="AS134" s="695"/>
      <c r="AT134" s="695"/>
      <c r="AU134" s="695"/>
      <c r="AV134" s="695"/>
      <c r="AW134" s="695"/>
      <c r="AX134" s="695"/>
      <c r="AY134" s="695"/>
      <c r="AZ134" s="695"/>
      <c r="BA134" s="695"/>
      <c r="BB134" s="695"/>
      <c r="BC134" s="695"/>
      <c r="BD134" s="695"/>
      <c r="BE134" s="695"/>
      <c r="BF134" s="695"/>
      <c r="BG134" s="695"/>
      <c r="BH134" s="695"/>
      <c r="BI134" s="695"/>
      <c r="BJ134" s="695"/>
      <c r="BK134" s="695"/>
      <c r="BL134" s="695"/>
      <c r="BM134" s="695"/>
      <c r="BN134" s="695"/>
      <c r="BO134" s="695"/>
      <c r="BP134" s="695"/>
      <c r="BQ134" s="695"/>
      <c r="BR134" s="695"/>
      <c r="BS134" s="695"/>
      <c r="BT134" s="695"/>
      <c r="BU134" s="695"/>
      <c r="BV134" s="695"/>
      <c r="BW134" s="695"/>
      <c r="BX134" s="695"/>
      <c r="BY134" s="695"/>
      <c r="BZ134" s="695"/>
      <c r="CA134" s="695"/>
      <c r="CB134" s="695"/>
      <c r="CC134" s="695"/>
      <c r="CD134" s="695"/>
      <c r="CE134" s="695"/>
      <c r="CF134" s="695"/>
      <c r="CG134" s="695"/>
      <c r="CH134" s="695"/>
      <c r="CI134" s="695"/>
      <c r="CJ134" s="695"/>
      <c r="CK134" s="695"/>
      <c r="CL134" s="695"/>
      <c r="CM134" s="695"/>
      <c r="CN134" s="695"/>
      <c r="CO134" s="695"/>
      <c r="CP134" s="695"/>
      <c r="CQ134" s="695"/>
      <c r="CR134" s="695"/>
      <c r="CS134" s="695"/>
      <c r="CT134" s="695"/>
      <c r="CU134" s="695"/>
      <c r="CV134" s="695"/>
      <c r="CW134" s="695"/>
      <c r="CX134" s="695"/>
      <c r="CY134" s="695"/>
      <c r="CZ134" s="695"/>
      <c r="DA134" s="695"/>
      <c r="DB134" s="695"/>
      <c r="DC134" s="695"/>
      <c r="DD134" s="695"/>
      <c r="DE134" s="695"/>
      <c r="DF134" s="695"/>
      <c r="DG134" s="695"/>
      <c r="DH134" s="695"/>
      <c r="DI134" s="695"/>
      <c r="DJ134" s="695"/>
      <c r="DK134" s="695"/>
      <c r="DL134" s="695"/>
      <c r="DM134" s="695"/>
      <c r="DN134" s="695"/>
      <c r="DO134" s="695"/>
      <c r="DP134" s="695"/>
      <c r="DQ134" s="695"/>
      <c r="DR134" s="695"/>
      <c r="DS134" s="695"/>
      <c r="DT134" s="695"/>
      <c r="DU134" s="695"/>
      <c r="DV134" s="695"/>
      <c r="DW134" s="695"/>
      <c r="DX134" s="695"/>
      <c r="DY134" s="695"/>
      <c r="DZ134" s="695"/>
      <c r="EA134" s="695"/>
      <c r="EB134" s="695"/>
      <c r="EC134" s="695"/>
      <c r="ED134" s="695"/>
      <c r="EE134" s="695"/>
      <c r="EF134" s="695"/>
      <c r="EG134" s="695"/>
      <c r="EH134" s="695"/>
      <c r="EI134" s="695"/>
      <c r="EJ134" s="695"/>
      <c r="EK134" s="695"/>
      <c r="EL134" s="695"/>
      <c r="EM134" s="695"/>
      <c r="EN134" s="695"/>
      <c r="EO134" s="695"/>
      <c r="EP134" s="695"/>
      <c r="EQ134" s="695"/>
      <c r="ER134" s="695"/>
      <c r="ES134" s="695"/>
      <c r="ET134" s="695"/>
      <c r="EU134" s="695"/>
      <c r="EV134" s="695"/>
      <c r="EW134" s="695"/>
      <c r="EX134" s="695"/>
      <c r="EY134" s="695"/>
      <c r="EZ134" s="695"/>
      <c r="FA134" s="695"/>
      <c r="FB134" s="695"/>
      <c r="FC134" s="695"/>
      <c r="FD134" s="695"/>
      <c r="FE134" s="695"/>
      <c r="FF134" s="695"/>
      <c r="FG134" s="695"/>
      <c r="FH134" s="695"/>
      <c r="FI134" s="695"/>
      <c r="FJ134" s="695"/>
      <c r="FK134" s="695"/>
      <c r="FL134" s="695"/>
      <c r="FM134" s="695"/>
      <c r="FN134" s="695"/>
      <c r="FO134" s="695"/>
      <c r="FP134" s="695"/>
      <c r="FQ134" s="695"/>
      <c r="FR134" s="695"/>
      <c r="FS134" s="695"/>
      <c r="FT134" s="695"/>
      <c r="FU134" s="695"/>
      <c r="FV134" s="695"/>
      <c r="FW134" s="695"/>
      <c r="FX134" s="695"/>
      <c r="FY134" s="695"/>
      <c r="FZ134" s="695"/>
      <c r="GA134" s="695"/>
      <c r="GB134" s="695"/>
      <c r="GC134" s="695"/>
      <c r="GD134" s="695"/>
      <c r="GE134" s="695"/>
      <c r="GF134" s="695"/>
      <c r="GG134" s="695"/>
      <c r="GH134" s="695"/>
      <c r="GI134" s="695"/>
      <c r="GJ134" s="695"/>
      <c r="GK134" s="695"/>
      <c r="GL134" s="695"/>
      <c r="GM134" s="695"/>
      <c r="GN134" s="695"/>
      <c r="GO134" s="695"/>
      <c r="GP134" s="695"/>
      <c r="GQ134" s="695"/>
      <c r="GR134" s="695"/>
      <c r="GS134" s="695"/>
      <c r="GT134" s="695"/>
      <c r="GU134" s="695"/>
      <c r="GV134" s="695"/>
      <c r="GW134" s="695"/>
      <c r="GX134" s="695"/>
      <c r="GY134" s="695"/>
      <c r="GZ134" s="695"/>
      <c r="HA134" s="695"/>
      <c r="HB134" s="695"/>
      <c r="HC134" s="695"/>
      <c r="HD134" s="695"/>
      <c r="HE134" s="695"/>
      <c r="HF134" s="695"/>
      <c r="HG134" s="695"/>
      <c r="HH134" s="695"/>
      <c r="HI134" s="695"/>
      <c r="HJ134" s="695"/>
      <c r="HK134" s="695"/>
      <c r="HL134" s="695"/>
      <c r="HM134" s="695"/>
      <c r="HN134" s="695"/>
      <c r="HO134" s="695"/>
      <c r="HP134" s="695"/>
      <c r="HQ134" s="695"/>
      <c r="HR134" s="695"/>
      <c r="HS134" s="695"/>
      <c r="HT134" s="695"/>
      <c r="HU134" s="695"/>
      <c r="HV134" s="695"/>
      <c r="HW134" s="695"/>
      <c r="HX134" s="695"/>
      <c r="HY134" s="695"/>
      <c r="HZ134" s="695"/>
      <c r="IA134" s="695"/>
      <c r="IB134" s="695"/>
      <c r="IC134" s="695"/>
      <c r="ID134" s="695"/>
      <c r="IE134" s="695"/>
      <c r="IF134" s="695"/>
      <c r="IG134" s="695"/>
      <c r="IH134" s="695"/>
      <c r="II134" s="695"/>
      <c r="IJ134" s="695"/>
      <c r="IK134" s="695"/>
      <c r="IL134" s="695"/>
      <c r="IM134" s="695"/>
      <c r="IN134" s="695"/>
      <c r="IO134" s="695"/>
      <c r="IP134" s="695"/>
      <c r="IQ134" s="695"/>
      <c r="IR134" s="695"/>
      <c r="IS134" s="695"/>
      <c r="IT134" s="695"/>
      <c r="IU134" s="695"/>
      <c r="IV134" s="695"/>
      <c r="IW134" s="695"/>
    </row>
    <row r="135" spans="1:257" s="582" customFormat="1" ht="31.5">
      <c r="A135" s="622">
        <v>12</v>
      </c>
      <c r="B135" s="660" t="s">
        <v>247</v>
      </c>
      <c r="C135" s="622"/>
      <c r="D135" s="622"/>
      <c r="E135" s="660"/>
      <c r="F135" s="660">
        <f t="shared" ref="F135:J135" si="7">F136+F148+F138</f>
        <v>8705000000</v>
      </c>
      <c r="G135" s="660" t="e">
        <f t="shared" si="7"/>
        <v>#VALUE!</v>
      </c>
      <c r="H135" s="660">
        <f t="shared" si="7"/>
        <v>0</v>
      </c>
      <c r="I135" s="660">
        <f t="shared" si="7"/>
        <v>0</v>
      </c>
      <c r="J135" s="660">
        <f t="shared" si="7"/>
        <v>8575000000</v>
      </c>
      <c r="K135" s="660">
        <f>K136+K138</f>
        <v>5348000000</v>
      </c>
      <c r="L135" s="1303">
        <f>L136+L138+L137</f>
        <v>5434200000</v>
      </c>
      <c r="M135" s="786" t="s">
        <v>1564</v>
      </c>
      <c r="N135" s="637">
        <f>L135-K135</f>
        <v>86200000</v>
      </c>
      <c r="O135" s="637"/>
      <c r="P135" s="610"/>
      <c r="Q135" s="610"/>
      <c r="R135" s="644">
        <v>6</v>
      </c>
      <c r="S135" s="728"/>
      <c r="T135" s="772"/>
      <c r="U135" s="580"/>
      <c r="V135" s="727"/>
      <c r="W135" s="581"/>
      <c r="X135" s="578"/>
    </row>
    <row r="136" spans="1:257" s="582" customFormat="1">
      <c r="A136" s="787" t="s">
        <v>248</v>
      </c>
      <c r="B136" s="609" t="s">
        <v>1563</v>
      </c>
      <c r="C136" s="590"/>
      <c r="D136" s="590"/>
      <c r="E136" s="609"/>
      <c r="F136" s="609">
        <v>2693000000</v>
      </c>
      <c r="G136" s="1791" t="s">
        <v>898</v>
      </c>
      <c r="H136" s="788"/>
      <c r="I136" s="788"/>
      <c r="J136" s="609">
        <v>2693000000</v>
      </c>
      <c r="K136" s="609">
        <v>2834000000</v>
      </c>
      <c r="L136" s="1303">
        <v>2834000000</v>
      </c>
      <c r="M136" s="651" t="s">
        <v>899</v>
      </c>
      <c r="N136" s="637"/>
      <c r="O136" s="637"/>
      <c r="P136" s="789"/>
      <c r="Q136" s="789"/>
      <c r="R136" s="644">
        <v>107.5</v>
      </c>
      <c r="S136" s="728"/>
      <c r="T136" s="772"/>
      <c r="U136" s="580"/>
      <c r="V136" s="727"/>
      <c r="W136" s="581"/>
      <c r="X136" s="578"/>
    </row>
    <row r="137" spans="1:257" s="582" customFormat="1">
      <c r="A137" s="787" t="s">
        <v>248</v>
      </c>
      <c r="B137" s="609" t="s">
        <v>1562</v>
      </c>
      <c r="C137" s="590"/>
      <c r="D137" s="590"/>
      <c r="E137" s="609"/>
      <c r="F137" s="609"/>
      <c r="G137" s="1791"/>
      <c r="H137" s="788"/>
      <c r="I137" s="788"/>
      <c r="J137" s="609"/>
      <c r="K137" s="609"/>
      <c r="L137" s="1303">
        <v>500000000</v>
      </c>
      <c r="M137" s="651" t="s">
        <v>1699</v>
      </c>
      <c r="N137" s="637"/>
      <c r="O137" s="637"/>
      <c r="P137" s="789"/>
      <c r="Q137" s="789"/>
      <c r="R137" s="644"/>
      <c r="S137" s="728"/>
      <c r="T137" s="772"/>
      <c r="U137" s="580"/>
      <c r="V137" s="727"/>
      <c r="W137" s="581"/>
      <c r="X137" s="578"/>
    </row>
    <row r="138" spans="1:257" s="579" customFormat="1">
      <c r="A138" s="787" t="s">
        <v>248</v>
      </c>
      <c r="B138" s="609" t="s">
        <v>900</v>
      </c>
      <c r="C138" s="590"/>
      <c r="D138" s="590"/>
      <c r="E138" s="609"/>
      <c r="F138" s="609">
        <f>SUM(F139:F146)</f>
        <v>1760000000</v>
      </c>
      <c r="G138" s="1791"/>
      <c r="H138" s="788"/>
      <c r="I138" s="788"/>
      <c r="J138" s="609">
        <f>SUM(J139:J146)</f>
        <v>1328000000</v>
      </c>
      <c r="K138" s="609">
        <f>SUM(K139:K147)</f>
        <v>2514000000</v>
      </c>
      <c r="L138" s="1303">
        <f>SUM(L139:L147)</f>
        <v>2100200000</v>
      </c>
      <c r="M138" s="609"/>
      <c r="N138" s="637"/>
      <c r="O138" s="637"/>
      <c r="P138" s="789"/>
      <c r="Q138" s="789"/>
      <c r="R138" s="1792"/>
      <c r="S138" s="1792"/>
      <c r="U138" s="726"/>
      <c r="V138" s="581"/>
      <c r="W138" s="790"/>
      <c r="X138" s="580"/>
    </row>
    <row r="139" spans="1:257" s="579" customFormat="1">
      <c r="A139" s="672" t="s">
        <v>91</v>
      </c>
      <c r="B139" s="651" t="s">
        <v>64</v>
      </c>
      <c r="C139" s="635"/>
      <c r="D139" s="635"/>
      <c r="E139" s="651"/>
      <c r="F139" s="651">
        <v>345000000</v>
      </c>
      <c r="G139" s="1779" t="s">
        <v>901</v>
      </c>
      <c r="H139" s="645"/>
      <c r="I139" s="645"/>
      <c r="J139" s="651">
        <v>344000000</v>
      </c>
      <c r="K139" s="651">
        <v>334000000</v>
      </c>
      <c r="L139" s="1305">
        <v>0</v>
      </c>
      <c r="M139" s="651"/>
      <c r="N139" s="655"/>
      <c r="O139" s="655"/>
      <c r="P139" s="674"/>
      <c r="Q139" s="674"/>
      <c r="R139" s="593" t="s">
        <v>902</v>
      </c>
      <c r="S139" s="637"/>
      <c r="T139" s="654"/>
      <c r="U139" s="726"/>
      <c r="V139" s="581"/>
      <c r="W139" s="790"/>
      <c r="X139" s="580" t="s">
        <v>776</v>
      </c>
    </row>
    <row r="140" spans="1:257" s="579" customFormat="1">
      <c r="A140" s="672" t="s">
        <v>91</v>
      </c>
      <c r="B140" s="651" t="s">
        <v>903</v>
      </c>
      <c r="C140" s="635"/>
      <c r="D140" s="635"/>
      <c r="E140" s="651"/>
      <c r="F140" s="651">
        <v>400000000</v>
      </c>
      <c r="G140" s="1779"/>
      <c r="H140" s="645"/>
      <c r="I140" s="645"/>
      <c r="J140" s="651"/>
      <c r="K140" s="651"/>
      <c r="L140" s="1305"/>
      <c r="M140" s="651"/>
      <c r="N140" s="655"/>
      <c r="O140" s="655"/>
      <c r="P140" s="674"/>
      <c r="Q140" s="674"/>
      <c r="R140" s="593"/>
      <c r="S140" s="637"/>
      <c r="T140" s="654"/>
      <c r="U140" s="726"/>
      <c r="V140" s="581"/>
      <c r="W140" s="790"/>
      <c r="X140" s="580"/>
    </row>
    <row r="141" spans="1:257" s="579" customFormat="1" ht="31.5">
      <c r="A141" s="672" t="s">
        <v>91</v>
      </c>
      <c r="B141" s="651" t="s">
        <v>1560</v>
      </c>
      <c r="C141" s="635"/>
      <c r="D141" s="635"/>
      <c r="E141" s="651"/>
      <c r="F141" s="651">
        <v>500000000</v>
      </c>
      <c r="G141" s="1779"/>
      <c r="H141" s="645"/>
      <c r="I141" s="645"/>
      <c r="J141" s="651">
        <v>494000000</v>
      </c>
      <c r="K141" s="651">
        <v>494000000</v>
      </c>
      <c r="L141" s="1305">
        <v>849000000</v>
      </c>
      <c r="M141" s="651"/>
      <c r="N141" s="655"/>
      <c r="O141" s="655"/>
      <c r="P141" s="674"/>
      <c r="Q141" s="674"/>
      <c r="R141" s="593"/>
      <c r="S141" s="637"/>
      <c r="T141" s="654"/>
      <c r="U141" s="726"/>
      <c r="V141" s="581"/>
      <c r="W141" s="790"/>
      <c r="X141" s="580"/>
    </row>
    <row r="142" spans="1:257" s="579" customFormat="1">
      <c r="A142" s="672" t="s">
        <v>91</v>
      </c>
      <c r="B142" s="651" t="s">
        <v>66</v>
      </c>
      <c r="C142" s="635"/>
      <c r="D142" s="635"/>
      <c r="E142" s="651"/>
      <c r="F142" s="651">
        <v>70000000</v>
      </c>
      <c r="G142" s="1779"/>
      <c r="H142" s="645"/>
      <c r="I142" s="645"/>
      <c r="J142" s="651">
        <v>67000000</v>
      </c>
      <c r="K142" s="651">
        <v>64000000</v>
      </c>
      <c r="L142" s="1305">
        <v>64000000</v>
      </c>
      <c r="M142" s="651"/>
      <c r="N142" s="655"/>
      <c r="O142" s="655"/>
      <c r="P142" s="674"/>
      <c r="Q142" s="674"/>
      <c r="R142" s="593"/>
      <c r="S142" s="637"/>
      <c r="T142" s="654"/>
      <c r="U142" s="726"/>
      <c r="V142" s="581"/>
      <c r="W142" s="790"/>
      <c r="X142" s="580"/>
    </row>
    <row r="143" spans="1:257" s="579" customFormat="1">
      <c r="A143" s="672" t="s">
        <v>91</v>
      </c>
      <c r="B143" s="651" t="s">
        <v>67</v>
      </c>
      <c r="C143" s="635"/>
      <c r="D143" s="635"/>
      <c r="E143" s="651"/>
      <c r="F143" s="651">
        <v>375000000</v>
      </c>
      <c r="G143" s="1779"/>
      <c r="H143" s="645"/>
      <c r="I143" s="645"/>
      <c r="J143" s="651">
        <v>355000000</v>
      </c>
      <c r="K143" s="651">
        <v>355000000</v>
      </c>
      <c r="L143" s="1305"/>
      <c r="M143" s="651"/>
      <c r="N143" s="655"/>
      <c r="O143" s="655"/>
      <c r="P143" s="674"/>
      <c r="Q143" s="674"/>
      <c r="R143" s="593"/>
      <c r="S143" s="637"/>
      <c r="T143" s="654"/>
      <c r="U143" s="726"/>
      <c r="V143" s="581"/>
      <c r="W143" s="790"/>
      <c r="X143" s="580"/>
    </row>
    <row r="144" spans="1:257" s="579" customFormat="1">
      <c r="A144" s="672"/>
      <c r="B144" s="651" t="s">
        <v>904</v>
      </c>
      <c r="C144" s="635"/>
      <c r="D144" s="635"/>
      <c r="E144" s="651"/>
      <c r="F144" s="651"/>
      <c r="G144" s="1779"/>
      <c r="H144" s="645"/>
      <c r="I144" s="645"/>
      <c r="J144" s="651"/>
      <c r="K144" s="651">
        <v>99000000</v>
      </c>
      <c r="L144" s="1305">
        <v>99200000</v>
      </c>
      <c r="M144" s="651"/>
      <c r="N144" s="655"/>
      <c r="O144" s="655"/>
      <c r="P144" s="674"/>
      <c r="Q144" s="674"/>
      <c r="R144" s="593"/>
      <c r="S144" s="637"/>
      <c r="T144" s="654"/>
      <c r="U144" s="726"/>
      <c r="V144" s="581"/>
      <c r="W144" s="790"/>
      <c r="X144" s="580"/>
    </row>
    <row r="145" spans="1:257" s="579" customFormat="1" ht="31.5">
      <c r="A145" s="672"/>
      <c r="B145" s="711" t="s">
        <v>905</v>
      </c>
      <c r="C145" s="635"/>
      <c r="D145" s="635"/>
      <c r="E145" s="651"/>
      <c r="F145" s="651"/>
      <c r="G145" s="1779"/>
      <c r="H145" s="645"/>
      <c r="I145" s="645"/>
      <c r="J145" s="651"/>
      <c r="K145" s="651">
        <v>50000000</v>
      </c>
      <c r="L145" s="1305">
        <v>0</v>
      </c>
      <c r="M145" s="651"/>
      <c r="N145" s="655"/>
      <c r="O145" s="655"/>
      <c r="P145" s="674"/>
      <c r="Q145" s="674"/>
      <c r="R145" s="593"/>
      <c r="S145" s="637"/>
      <c r="T145" s="654"/>
      <c r="U145" s="726"/>
      <c r="V145" s="581"/>
      <c r="W145" s="790"/>
      <c r="X145" s="580"/>
    </row>
    <row r="146" spans="1:257" s="579" customFormat="1" ht="31.5">
      <c r="A146" s="672" t="s">
        <v>91</v>
      </c>
      <c r="B146" s="651" t="s">
        <v>68</v>
      </c>
      <c r="C146" s="635"/>
      <c r="D146" s="635"/>
      <c r="E146" s="651"/>
      <c r="F146" s="651">
        <v>70000000</v>
      </c>
      <c r="G146" s="1779"/>
      <c r="H146" s="645"/>
      <c r="I146" s="645"/>
      <c r="J146" s="651">
        <v>68000000</v>
      </c>
      <c r="K146" s="651">
        <f>68000000+30000000</f>
        <v>98000000</v>
      </c>
      <c r="L146" s="1305">
        <v>68000000</v>
      </c>
      <c r="M146" s="651" t="s">
        <v>1561</v>
      </c>
      <c r="N146" s="655"/>
      <c r="O146" s="655"/>
      <c r="P146" s="674"/>
      <c r="Q146" s="674"/>
      <c r="R146" s="593"/>
      <c r="S146" s="637"/>
      <c r="T146" s="654"/>
      <c r="U146" s="726"/>
      <c r="V146" s="581"/>
      <c r="W146" s="790"/>
      <c r="X146" s="580"/>
    </row>
    <row r="147" spans="1:257" s="579" customFormat="1" ht="31.5">
      <c r="A147" s="672"/>
      <c r="B147" s="651" t="s">
        <v>906</v>
      </c>
      <c r="C147" s="635"/>
      <c r="D147" s="635"/>
      <c r="E147" s="651"/>
      <c r="F147" s="651"/>
      <c r="G147" s="645"/>
      <c r="H147" s="645"/>
      <c r="I147" s="645"/>
      <c r="J147" s="651"/>
      <c r="K147" s="651">
        <v>1020000000</v>
      </c>
      <c r="L147" s="1305">
        <v>1020000000</v>
      </c>
      <c r="M147" s="651" t="s">
        <v>907</v>
      </c>
      <c r="N147" s="655"/>
      <c r="O147" s="655"/>
      <c r="P147" s="674"/>
      <c r="Q147" s="674"/>
      <c r="R147" s="593"/>
      <c r="S147" s="637"/>
      <c r="T147" s="654"/>
      <c r="U147" s="726"/>
      <c r="V147" s="581"/>
      <c r="W147" s="790"/>
      <c r="X147" s="580"/>
    </row>
    <row r="148" spans="1:257" s="579" customFormat="1">
      <c r="A148" s="787" t="s">
        <v>248</v>
      </c>
      <c r="B148" s="609" t="s">
        <v>908</v>
      </c>
      <c r="C148" s="590"/>
      <c r="D148" s="590"/>
      <c r="E148" s="609"/>
      <c r="F148" s="609">
        <v>4252000000</v>
      </c>
      <c r="G148" s="638"/>
      <c r="H148" s="638"/>
      <c r="I148" s="638"/>
      <c r="J148" s="609">
        <v>4554000000</v>
      </c>
      <c r="K148" s="609"/>
      <c r="L148" s="1303"/>
      <c r="M148" s="609"/>
      <c r="N148" s="637"/>
      <c r="O148" s="637"/>
      <c r="P148" s="594"/>
      <c r="Q148" s="594"/>
      <c r="R148" s="593"/>
      <c r="S148" s="637"/>
      <c r="T148" s="654"/>
      <c r="U148" s="726"/>
      <c r="V148" s="581"/>
      <c r="W148" s="790"/>
      <c r="X148" s="580"/>
    </row>
    <row r="149" spans="1:257" s="579" customFormat="1" ht="31.5">
      <c r="A149" s="787" t="s">
        <v>248</v>
      </c>
      <c r="B149" s="609" t="s">
        <v>909</v>
      </c>
      <c r="C149" s="590"/>
      <c r="D149" s="590"/>
      <c r="E149" s="609"/>
      <c r="F149" s="609">
        <v>3500000000</v>
      </c>
      <c r="G149" s="638"/>
      <c r="H149" s="638"/>
      <c r="I149" s="638"/>
      <c r="J149" s="609"/>
      <c r="K149" s="609"/>
      <c r="L149" s="1303"/>
      <c r="M149" s="609"/>
      <c r="N149" s="637"/>
      <c r="O149" s="637"/>
      <c r="P149" s="594"/>
      <c r="Q149" s="594"/>
      <c r="R149" s="593"/>
      <c r="S149" s="637"/>
      <c r="T149" s="654"/>
      <c r="U149" s="726"/>
      <c r="V149" s="581"/>
      <c r="W149" s="790"/>
      <c r="X149" s="580"/>
    </row>
    <row r="150" spans="1:257" s="803" customFormat="1" ht="31.5">
      <c r="A150" s="791">
        <v>13</v>
      </c>
      <c r="B150" s="792" t="s">
        <v>194</v>
      </c>
      <c r="C150" s="791"/>
      <c r="D150" s="791"/>
      <c r="E150" s="792"/>
      <c r="F150" s="793">
        <f t="shared" ref="F150:J150" si="8">F151+F159</f>
        <v>2291000000</v>
      </c>
      <c r="G150" s="793">
        <f t="shared" si="8"/>
        <v>0</v>
      </c>
      <c r="H150" s="793">
        <f t="shared" si="8"/>
        <v>0</v>
      </c>
      <c r="I150" s="793">
        <f t="shared" si="8"/>
        <v>0</v>
      </c>
      <c r="J150" s="793">
        <f t="shared" si="8"/>
        <v>3762782000</v>
      </c>
      <c r="K150" s="793">
        <f>K151+K159+K171</f>
        <v>1954000000</v>
      </c>
      <c r="L150" s="1302">
        <f>L151+L159+L171</f>
        <v>2568836000</v>
      </c>
      <c r="M150" s="793" t="s">
        <v>1463</v>
      </c>
      <c r="N150" s="794">
        <f>L150-'TTDVNN V '!F14</f>
        <v>0</v>
      </c>
      <c r="O150" s="794"/>
      <c r="P150" s="795"/>
      <c r="Q150" s="795"/>
      <c r="R150" s="796">
        <f>L150-'[4]Giao các đơn vị'!K29</f>
        <v>614836000</v>
      </c>
      <c r="S150" s="797"/>
      <c r="T150" s="798"/>
      <c r="U150" s="799"/>
      <c r="V150" s="800"/>
      <c r="W150" s="801"/>
      <c r="X150" s="802"/>
    </row>
    <row r="151" spans="1:257" s="754" customFormat="1">
      <c r="A151" s="589" t="s">
        <v>222</v>
      </c>
      <c r="B151" s="804" t="s">
        <v>252</v>
      </c>
      <c r="C151" s="589"/>
      <c r="D151" s="589"/>
      <c r="E151" s="716"/>
      <c r="F151" s="805">
        <f t="shared" ref="F151:J151" si="9">F152</f>
        <v>1142000000</v>
      </c>
      <c r="G151" s="805">
        <f t="shared" si="9"/>
        <v>0</v>
      </c>
      <c r="H151" s="805">
        <f t="shared" si="9"/>
        <v>0</v>
      </c>
      <c r="I151" s="805">
        <f t="shared" si="9"/>
        <v>0</v>
      </c>
      <c r="J151" s="805">
        <f t="shared" si="9"/>
        <v>1072782000</v>
      </c>
      <c r="K151" s="805">
        <f>K152</f>
        <v>1237000000</v>
      </c>
      <c r="L151" s="1312">
        <f>L152</f>
        <v>1708136000</v>
      </c>
      <c r="M151" s="603"/>
      <c r="N151" s="806"/>
      <c r="O151" s="806"/>
      <c r="P151" s="770"/>
      <c r="Q151" s="770"/>
      <c r="R151" s="593"/>
      <c r="S151" s="637"/>
      <c r="T151" s="654"/>
      <c r="U151" s="721"/>
      <c r="V151" s="701"/>
      <c r="W151" s="807"/>
      <c r="X151" s="577"/>
    </row>
    <row r="152" spans="1:257" s="579" customFormat="1">
      <c r="A152" s="699" t="s">
        <v>192</v>
      </c>
      <c r="B152" s="808" t="s">
        <v>253</v>
      </c>
      <c r="C152" s="713"/>
      <c r="D152" s="713"/>
      <c r="E152" s="725"/>
      <c r="F152" s="725">
        <f t="shared" ref="F152:J152" si="10">F153+F158</f>
        <v>1142000000</v>
      </c>
      <c r="G152" s="725">
        <f t="shared" si="10"/>
        <v>0</v>
      </c>
      <c r="H152" s="725">
        <f t="shared" si="10"/>
        <v>0</v>
      </c>
      <c r="I152" s="725">
        <f t="shared" si="10"/>
        <v>0</v>
      </c>
      <c r="J152" s="725">
        <f t="shared" si="10"/>
        <v>1072782000</v>
      </c>
      <c r="K152" s="725">
        <f>K155+K157+K158</f>
        <v>1237000000</v>
      </c>
      <c r="L152" s="1311">
        <f>L155+L157+L158</f>
        <v>1708136000</v>
      </c>
      <c r="M152" s="669"/>
      <c r="N152" s="782"/>
      <c r="O152" s="782"/>
      <c r="P152" s="782"/>
      <c r="Q152" s="782"/>
      <c r="R152" s="593"/>
      <c r="S152" s="637"/>
      <c r="T152" s="654"/>
      <c r="U152" s="726"/>
      <c r="V152" s="581"/>
      <c r="W152" s="790"/>
      <c r="X152" s="580"/>
    </row>
    <row r="153" spans="1:257" s="579" customFormat="1">
      <c r="A153" s="809" t="s">
        <v>91</v>
      </c>
      <c r="B153" s="808" t="s">
        <v>1464</v>
      </c>
      <c r="C153" s="713"/>
      <c r="D153" s="713"/>
      <c r="E153" s="725"/>
      <c r="F153" s="810">
        <f t="shared" ref="F153:J153" si="11">F154+F157</f>
        <v>1142000000</v>
      </c>
      <c r="G153" s="810">
        <f t="shared" si="11"/>
        <v>0</v>
      </c>
      <c r="H153" s="810">
        <f t="shared" si="11"/>
        <v>0</v>
      </c>
      <c r="I153" s="810">
        <f t="shared" si="11"/>
        <v>0</v>
      </c>
      <c r="J153" s="810">
        <f t="shared" si="11"/>
        <v>1072782000</v>
      </c>
      <c r="K153" s="810"/>
      <c r="L153" s="1313"/>
      <c r="M153" s="707"/>
      <c r="N153" s="811"/>
      <c r="O153" s="811"/>
      <c r="P153" s="782"/>
      <c r="Q153" s="782"/>
      <c r="R153" s="580"/>
      <c r="S153" s="580"/>
      <c r="U153" s="726"/>
      <c r="V153" s="613"/>
      <c r="W153" s="790"/>
      <c r="X153" s="580" t="s">
        <v>776</v>
      </c>
    </row>
    <row r="154" spans="1:257" s="579" customFormat="1">
      <c r="A154" s="812" t="s">
        <v>91</v>
      </c>
      <c r="B154" s="813" t="s">
        <v>255</v>
      </c>
      <c r="C154" s="699"/>
      <c r="D154" s="713"/>
      <c r="E154" s="725"/>
      <c r="F154" s="725">
        <v>902000000</v>
      </c>
      <c r="G154" s="704"/>
      <c r="H154" s="704"/>
      <c r="I154" s="704"/>
      <c r="J154" s="725">
        <f>831593000+1189000</f>
        <v>832782000</v>
      </c>
      <c r="K154" s="725">
        <f>K155+K156</f>
        <v>1079000000</v>
      </c>
      <c r="L154" s="1311">
        <f>L155+L156</f>
        <v>1568636000</v>
      </c>
      <c r="M154" s="669" t="s">
        <v>1459</v>
      </c>
      <c r="N154" s="782"/>
      <c r="O154" s="782"/>
      <c r="P154" s="770"/>
      <c r="Q154" s="770"/>
      <c r="R154" s="580"/>
      <c r="S154" s="580"/>
      <c r="U154" s="637"/>
      <c r="V154" s="790"/>
      <c r="W154" s="790"/>
      <c r="X154" s="580">
        <v>4.4400000000000004</v>
      </c>
    </row>
    <row r="155" spans="1:257" s="579" customFormat="1">
      <c r="A155" s="812" t="s">
        <v>192</v>
      </c>
      <c r="B155" s="684" t="s">
        <v>910</v>
      </c>
      <c r="C155" s="699"/>
      <c r="D155" s="713"/>
      <c r="E155" s="725"/>
      <c r="F155" s="725"/>
      <c r="G155" s="704"/>
      <c r="H155" s="704"/>
      <c r="I155" s="704"/>
      <c r="J155" s="725"/>
      <c r="K155" s="725">
        <v>893000000</v>
      </c>
      <c r="L155" s="1311">
        <f>(82334000*12)+11000000</f>
        <v>999008000</v>
      </c>
      <c r="M155" s="669"/>
      <c r="N155" s="782"/>
      <c r="O155" s="782"/>
      <c r="P155" s="770"/>
      <c r="Q155" s="770"/>
      <c r="R155" s="580"/>
      <c r="S155" s="580"/>
      <c r="U155" s="637"/>
      <c r="V155" s="790"/>
      <c r="W155" s="790"/>
      <c r="X155" s="580"/>
    </row>
    <row r="156" spans="1:257" s="579" customFormat="1">
      <c r="A156" s="812"/>
      <c r="B156" s="684" t="s">
        <v>1369</v>
      </c>
      <c r="C156" s="699"/>
      <c r="D156" s="713"/>
      <c r="E156" s="725"/>
      <c r="F156" s="725"/>
      <c r="G156" s="704"/>
      <c r="H156" s="704"/>
      <c r="I156" s="704"/>
      <c r="J156" s="725"/>
      <c r="K156" s="725">
        <v>186000000</v>
      </c>
      <c r="L156" s="1311">
        <f>((129303000-82334000)*12)+6000000</f>
        <v>569628000</v>
      </c>
      <c r="M156" s="669"/>
      <c r="N156" s="782"/>
      <c r="O156" s="782"/>
      <c r="P156" s="770"/>
      <c r="Q156" s="770"/>
      <c r="R156" s="580"/>
      <c r="S156" s="580"/>
      <c r="U156" s="637"/>
      <c r="V156" s="790"/>
      <c r="W156" s="790"/>
      <c r="X156" s="580"/>
    </row>
    <row r="157" spans="1:257" s="579" customFormat="1" ht="14.25" customHeight="1">
      <c r="A157" s="809" t="s">
        <v>91</v>
      </c>
      <c r="B157" s="813" t="s">
        <v>256</v>
      </c>
      <c r="C157" s="713">
        <v>12</v>
      </c>
      <c r="D157" s="713"/>
      <c r="E157" s="725">
        <v>20000000</v>
      </c>
      <c r="F157" s="725">
        <f>C157*E157</f>
        <v>240000000</v>
      </c>
      <c r="G157" s="686"/>
      <c r="H157" s="686"/>
      <c r="I157" s="686"/>
      <c r="J157" s="725">
        <v>240000000</v>
      </c>
      <c r="K157" s="725">
        <f>12*20000000</f>
        <v>240000000</v>
      </c>
      <c r="L157" s="1311">
        <f>12*20000000</f>
        <v>240000000</v>
      </c>
      <c r="M157" s="669"/>
      <c r="N157" s="782"/>
      <c r="O157" s="782"/>
      <c r="P157" s="688"/>
      <c r="Q157" s="688"/>
      <c r="R157" s="580"/>
      <c r="S157" s="580"/>
      <c r="U157" s="814"/>
      <c r="V157" s="790"/>
      <c r="W157" s="790"/>
      <c r="X157" s="580"/>
    </row>
    <row r="158" spans="1:257" s="579" customFormat="1" ht="14.25" customHeight="1">
      <c r="A158" s="809" t="s">
        <v>192</v>
      </c>
      <c r="B158" s="813" t="s">
        <v>1416</v>
      </c>
      <c r="C158" s="713"/>
      <c r="D158" s="713"/>
      <c r="E158" s="725"/>
      <c r="F158" s="725"/>
      <c r="G158" s="686"/>
      <c r="H158" s="686"/>
      <c r="I158" s="686"/>
      <c r="J158" s="725"/>
      <c r="K158" s="725">
        <f>K156-K173</f>
        <v>104000000</v>
      </c>
      <c r="L158" s="1311">
        <f>L156-L173</f>
        <v>469128000</v>
      </c>
      <c r="M158" s="669"/>
      <c r="N158" s="782"/>
      <c r="O158" s="782"/>
      <c r="P158" s="688"/>
      <c r="Q158" s="688"/>
      <c r="R158" s="580"/>
      <c r="S158" s="580"/>
      <c r="U158" s="814"/>
      <c r="V158" s="790"/>
      <c r="W158" s="790"/>
      <c r="X158" s="580"/>
    </row>
    <row r="159" spans="1:257" s="772" customFormat="1">
      <c r="A159" s="589" t="s">
        <v>225</v>
      </c>
      <c r="B159" s="804" t="s">
        <v>257</v>
      </c>
      <c r="C159" s="715"/>
      <c r="D159" s="715"/>
      <c r="E159" s="805"/>
      <c r="F159" s="805">
        <f t="shared" ref="F159:J159" si="12">SUM(F160:F170)</f>
        <v>1149000000</v>
      </c>
      <c r="G159" s="805">
        <f t="shared" si="12"/>
        <v>0</v>
      </c>
      <c r="H159" s="805">
        <f t="shared" si="12"/>
        <v>0</v>
      </c>
      <c r="I159" s="805">
        <f t="shared" si="12"/>
        <v>0</v>
      </c>
      <c r="J159" s="805">
        <f t="shared" si="12"/>
        <v>2690000000</v>
      </c>
      <c r="K159" s="805">
        <f>SUM(K160:K170)</f>
        <v>631000000</v>
      </c>
      <c r="L159" s="1312">
        <f>SUM(L160:L170)</f>
        <v>860700000</v>
      </c>
      <c r="M159" s="603"/>
      <c r="N159" s="806"/>
      <c r="O159" s="806"/>
      <c r="P159" s="815"/>
      <c r="Q159" s="815"/>
      <c r="R159" s="580"/>
      <c r="S159" s="580"/>
      <c r="T159" s="579"/>
      <c r="U159" s="726"/>
      <c r="V159" s="790"/>
      <c r="W159" s="790"/>
      <c r="X159" s="580"/>
      <c r="Y159" s="579"/>
      <c r="Z159" s="579"/>
      <c r="AA159" s="579"/>
      <c r="AB159" s="579"/>
      <c r="AC159" s="579"/>
      <c r="AD159" s="579"/>
      <c r="AE159" s="579"/>
      <c r="AF159" s="579"/>
      <c r="AG159" s="579"/>
      <c r="AH159" s="579"/>
      <c r="AI159" s="579"/>
      <c r="AJ159" s="579"/>
      <c r="AK159" s="579"/>
      <c r="AL159" s="579"/>
      <c r="AM159" s="579"/>
      <c r="AN159" s="579"/>
      <c r="AO159" s="579"/>
      <c r="AP159" s="579"/>
      <c r="AQ159" s="579"/>
      <c r="AR159" s="579"/>
      <c r="AS159" s="579"/>
      <c r="AT159" s="579"/>
      <c r="AU159" s="579"/>
      <c r="AV159" s="579"/>
      <c r="AW159" s="579"/>
      <c r="AX159" s="579"/>
      <c r="AY159" s="579"/>
      <c r="AZ159" s="579"/>
      <c r="BA159" s="579"/>
      <c r="BB159" s="579"/>
      <c r="BC159" s="579"/>
      <c r="BD159" s="579"/>
      <c r="BE159" s="579"/>
      <c r="BF159" s="579"/>
      <c r="BG159" s="579"/>
      <c r="BH159" s="579"/>
      <c r="BI159" s="579"/>
      <c r="BJ159" s="579"/>
      <c r="BK159" s="579"/>
      <c r="BL159" s="579"/>
      <c r="BM159" s="579"/>
      <c r="BN159" s="579"/>
      <c r="BO159" s="579"/>
      <c r="BP159" s="579"/>
      <c r="BQ159" s="579"/>
      <c r="BR159" s="579"/>
      <c r="BS159" s="579"/>
      <c r="BT159" s="579"/>
      <c r="BU159" s="579"/>
      <c r="BV159" s="579"/>
      <c r="BW159" s="579"/>
      <c r="BX159" s="579"/>
      <c r="BY159" s="579"/>
      <c r="BZ159" s="579"/>
      <c r="CA159" s="579"/>
      <c r="CB159" s="579"/>
      <c r="CC159" s="579"/>
      <c r="CD159" s="579"/>
      <c r="CE159" s="579"/>
      <c r="CF159" s="579"/>
      <c r="CG159" s="579"/>
      <c r="CH159" s="579"/>
      <c r="CI159" s="579"/>
      <c r="CJ159" s="579"/>
      <c r="CK159" s="579"/>
      <c r="CL159" s="579"/>
      <c r="CM159" s="579"/>
      <c r="CN159" s="579"/>
      <c r="CO159" s="579"/>
      <c r="CP159" s="579"/>
      <c r="CQ159" s="579"/>
      <c r="CR159" s="579"/>
      <c r="CS159" s="579"/>
      <c r="CT159" s="579"/>
      <c r="CU159" s="579"/>
      <c r="CV159" s="579"/>
      <c r="CW159" s="579"/>
      <c r="CX159" s="579"/>
      <c r="CY159" s="579"/>
      <c r="CZ159" s="579"/>
      <c r="DA159" s="579"/>
      <c r="DB159" s="579"/>
      <c r="DC159" s="579"/>
      <c r="DD159" s="579"/>
      <c r="DE159" s="579"/>
      <c r="DF159" s="579"/>
      <c r="DG159" s="579"/>
      <c r="DH159" s="579"/>
      <c r="DI159" s="579"/>
      <c r="DJ159" s="579"/>
      <c r="DK159" s="579"/>
      <c r="DL159" s="579"/>
      <c r="DM159" s="579"/>
      <c r="DN159" s="579"/>
      <c r="DO159" s="579"/>
      <c r="DP159" s="579"/>
      <c r="DQ159" s="579"/>
      <c r="DR159" s="579"/>
      <c r="DS159" s="579"/>
      <c r="DT159" s="579"/>
      <c r="DU159" s="579"/>
      <c r="DV159" s="579"/>
      <c r="DW159" s="579"/>
      <c r="DX159" s="579"/>
      <c r="DY159" s="579"/>
      <c r="DZ159" s="579"/>
      <c r="EA159" s="579"/>
      <c r="EB159" s="579"/>
      <c r="EC159" s="579"/>
      <c r="ED159" s="579"/>
      <c r="EE159" s="579"/>
      <c r="EF159" s="579"/>
      <c r="EG159" s="579"/>
      <c r="EH159" s="579"/>
      <c r="EI159" s="579"/>
      <c r="EJ159" s="579"/>
      <c r="EK159" s="579"/>
      <c r="EL159" s="579"/>
      <c r="EM159" s="579"/>
      <c r="EN159" s="579"/>
      <c r="EO159" s="579"/>
      <c r="EP159" s="579"/>
      <c r="EQ159" s="579"/>
      <c r="ER159" s="579"/>
      <c r="ES159" s="579"/>
      <c r="ET159" s="579"/>
      <c r="EU159" s="579"/>
      <c r="EV159" s="579"/>
      <c r="EW159" s="579"/>
      <c r="EX159" s="579"/>
      <c r="EY159" s="579"/>
      <c r="EZ159" s="579"/>
      <c r="FA159" s="579"/>
      <c r="FB159" s="579"/>
      <c r="FC159" s="579"/>
      <c r="FD159" s="579"/>
      <c r="FE159" s="579"/>
      <c r="FF159" s="579"/>
      <c r="FG159" s="579"/>
      <c r="FH159" s="579"/>
      <c r="FI159" s="579"/>
      <c r="FJ159" s="579"/>
      <c r="FK159" s="579"/>
      <c r="FL159" s="579"/>
      <c r="FM159" s="579"/>
      <c r="FN159" s="579"/>
      <c r="FO159" s="579"/>
      <c r="FP159" s="579"/>
      <c r="FQ159" s="579"/>
      <c r="FR159" s="579"/>
      <c r="FS159" s="579"/>
      <c r="FT159" s="579"/>
      <c r="FU159" s="579"/>
      <c r="FV159" s="579"/>
      <c r="FW159" s="579"/>
      <c r="FX159" s="579"/>
      <c r="FY159" s="579"/>
      <c r="FZ159" s="579"/>
      <c r="GA159" s="579"/>
      <c r="GB159" s="579"/>
      <c r="GC159" s="579"/>
      <c r="GD159" s="579"/>
      <c r="GE159" s="579"/>
      <c r="GF159" s="579"/>
      <c r="GG159" s="579"/>
      <c r="GH159" s="579"/>
      <c r="GI159" s="579"/>
      <c r="GJ159" s="579"/>
      <c r="GK159" s="579"/>
      <c r="GL159" s="579"/>
      <c r="GM159" s="579"/>
      <c r="GN159" s="579"/>
      <c r="GO159" s="579"/>
      <c r="GP159" s="579"/>
      <c r="GQ159" s="579"/>
      <c r="GR159" s="579"/>
      <c r="GS159" s="579"/>
      <c r="GT159" s="579"/>
      <c r="GU159" s="579"/>
      <c r="GV159" s="579"/>
      <c r="GW159" s="579"/>
      <c r="GX159" s="579"/>
      <c r="GY159" s="579"/>
      <c r="GZ159" s="579"/>
      <c r="HA159" s="579"/>
      <c r="HB159" s="579"/>
      <c r="HC159" s="579"/>
      <c r="HD159" s="579"/>
      <c r="HE159" s="579"/>
      <c r="HF159" s="579"/>
      <c r="HG159" s="579"/>
      <c r="HH159" s="579"/>
      <c r="HI159" s="579"/>
      <c r="HJ159" s="579"/>
      <c r="HK159" s="579"/>
      <c r="HL159" s="579"/>
      <c r="HM159" s="579"/>
      <c r="HN159" s="579"/>
      <c r="HO159" s="579"/>
      <c r="HP159" s="579"/>
      <c r="HQ159" s="579"/>
      <c r="HR159" s="579"/>
      <c r="HS159" s="579"/>
      <c r="HT159" s="579"/>
      <c r="HU159" s="579"/>
      <c r="HV159" s="579"/>
      <c r="HW159" s="579"/>
      <c r="HX159" s="579"/>
      <c r="HY159" s="579"/>
      <c r="HZ159" s="579"/>
      <c r="IA159" s="579"/>
      <c r="IB159" s="579"/>
      <c r="IC159" s="579"/>
      <c r="ID159" s="579"/>
      <c r="IE159" s="579"/>
      <c r="IF159" s="579"/>
      <c r="IG159" s="579"/>
      <c r="IH159" s="579"/>
      <c r="II159" s="579"/>
      <c r="IJ159" s="579"/>
      <c r="IK159" s="579"/>
      <c r="IL159" s="579"/>
      <c r="IM159" s="579"/>
      <c r="IN159" s="579"/>
      <c r="IO159" s="579"/>
      <c r="IP159" s="579"/>
      <c r="IQ159" s="579"/>
      <c r="IR159" s="579"/>
      <c r="IS159" s="579"/>
      <c r="IT159" s="579"/>
      <c r="IU159" s="579"/>
      <c r="IV159" s="579"/>
      <c r="IW159" s="579"/>
    </row>
    <row r="160" spans="1:257" s="772" customFormat="1">
      <c r="A160" s="713" t="s">
        <v>258</v>
      </c>
      <c r="B160" s="696" t="s">
        <v>33</v>
      </c>
      <c r="C160" s="713"/>
      <c r="D160" s="713"/>
      <c r="E160" s="816"/>
      <c r="F160" s="817">
        <v>30000000</v>
      </c>
      <c r="G160" s="700"/>
      <c r="H160" s="700"/>
      <c r="I160" s="700"/>
      <c r="J160" s="817">
        <v>36000000</v>
      </c>
      <c r="K160" s="817">
        <v>36000000</v>
      </c>
      <c r="L160" s="1314">
        <v>36000000</v>
      </c>
      <c r="M160" s="818"/>
      <c r="N160" s="819"/>
      <c r="O160" s="819"/>
      <c r="P160" s="820"/>
      <c r="Q160" s="820"/>
      <c r="R160" s="821"/>
      <c r="S160" s="821"/>
      <c r="T160" s="822"/>
      <c r="U160" s="580"/>
      <c r="V160" s="790"/>
      <c r="W160" s="790"/>
      <c r="X160" s="580"/>
      <c r="Y160" s="579"/>
      <c r="Z160" s="579"/>
      <c r="AA160" s="579"/>
      <c r="AB160" s="579"/>
      <c r="AC160" s="579"/>
      <c r="AD160" s="579"/>
      <c r="AE160" s="579"/>
      <c r="AF160" s="579"/>
      <c r="AG160" s="579"/>
      <c r="AH160" s="579"/>
      <c r="AI160" s="579"/>
      <c r="AJ160" s="579"/>
      <c r="AK160" s="579"/>
      <c r="AL160" s="579"/>
      <c r="AM160" s="579"/>
      <c r="AN160" s="579"/>
      <c r="AO160" s="579"/>
      <c r="AP160" s="579"/>
      <c r="AQ160" s="579"/>
      <c r="AR160" s="579"/>
      <c r="AS160" s="579"/>
      <c r="AT160" s="579"/>
      <c r="AU160" s="579"/>
      <c r="AV160" s="579"/>
      <c r="AW160" s="579"/>
      <c r="AX160" s="579"/>
      <c r="AY160" s="579"/>
      <c r="AZ160" s="579"/>
      <c r="BA160" s="579"/>
      <c r="BB160" s="579"/>
      <c r="BC160" s="579"/>
      <c r="BD160" s="579"/>
      <c r="BE160" s="579"/>
      <c r="BF160" s="579"/>
      <c r="BG160" s="579"/>
      <c r="BH160" s="579"/>
      <c r="BI160" s="579"/>
      <c r="BJ160" s="579"/>
      <c r="BK160" s="579"/>
      <c r="BL160" s="579"/>
      <c r="BM160" s="579"/>
      <c r="BN160" s="579"/>
      <c r="BO160" s="579"/>
      <c r="BP160" s="579"/>
      <c r="BQ160" s="579"/>
      <c r="BR160" s="579"/>
      <c r="BS160" s="579"/>
      <c r="BT160" s="579"/>
      <c r="BU160" s="579"/>
      <c r="BV160" s="579"/>
      <c r="BW160" s="579"/>
      <c r="BX160" s="579"/>
      <c r="BY160" s="579"/>
      <c r="BZ160" s="579"/>
      <c r="CA160" s="579"/>
      <c r="CB160" s="579"/>
      <c r="CC160" s="579"/>
      <c r="CD160" s="579"/>
      <c r="CE160" s="579"/>
      <c r="CF160" s="579"/>
      <c r="CG160" s="579"/>
      <c r="CH160" s="579"/>
      <c r="CI160" s="579"/>
      <c r="CJ160" s="579"/>
      <c r="CK160" s="579"/>
      <c r="CL160" s="579"/>
      <c r="CM160" s="579"/>
      <c r="CN160" s="579"/>
      <c r="CO160" s="579"/>
      <c r="CP160" s="579"/>
      <c r="CQ160" s="579"/>
      <c r="CR160" s="579"/>
      <c r="CS160" s="579"/>
      <c r="CT160" s="579"/>
      <c r="CU160" s="579"/>
      <c r="CV160" s="579"/>
      <c r="CW160" s="579"/>
      <c r="CX160" s="579"/>
      <c r="CY160" s="579"/>
      <c r="CZ160" s="579"/>
      <c r="DA160" s="579"/>
      <c r="DB160" s="579"/>
      <c r="DC160" s="579"/>
      <c r="DD160" s="579"/>
      <c r="DE160" s="579"/>
      <c r="DF160" s="579"/>
      <c r="DG160" s="579"/>
      <c r="DH160" s="579"/>
      <c r="DI160" s="579"/>
      <c r="DJ160" s="579"/>
      <c r="DK160" s="579"/>
      <c r="DL160" s="579"/>
      <c r="DM160" s="579"/>
      <c r="DN160" s="579"/>
      <c r="DO160" s="579"/>
      <c r="DP160" s="579"/>
      <c r="DQ160" s="579"/>
      <c r="DR160" s="579"/>
      <c r="DS160" s="579"/>
      <c r="DT160" s="579"/>
      <c r="DU160" s="579"/>
      <c r="DV160" s="579"/>
      <c r="DW160" s="579"/>
      <c r="DX160" s="579"/>
      <c r="DY160" s="579"/>
      <c r="DZ160" s="579"/>
      <c r="EA160" s="579"/>
      <c r="EB160" s="579"/>
      <c r="EC160" s="579"/>
      <c r="ED160" s="579"/>
      <c r="EE160" s="579"/>
      <c r="EF160" s="579"/>
      <c r="EG160" s="579"/>
      <c r="EH160" s="579"/>
      <c r="EI160" s="579"/>
      <c r="EJ160" s="579"/>
      <c r="EK160" s="579"/>
      <c r="EL160" s="579"/>
      <c r="EM160" s="579"/>
      <c r="EN160" s="579"/>
      <c r="EO160" s="579"/>
      <c r="EP160" s="579"/>
      <c r="EQ160" s="579"/>
      <c r="ER160" s="579"/>
      <c r="ES160" s="579"/>
      <c r="ET160" s="579"/>
      <c r="EU160" s="579"/>
      <c r="EV160" s="579"/>
      <c r="EW160" s="579"/>
      <c r="EX160" s="579"/>
      <c r="EY160" s="579"/>
      <c r="EZ160" s="579"/>
      <c r="FA160" s="579"/>
      <c r="FB160" s="579"/>
      <c r="FC160" s="579"/>
      <c r="FD160" s="579"/>
      <c r="FE160" s="579"/>
      <c r="FF160" s="579"/>
      <c r="FG160" s="579"/>
      <c r="FH160" s="579"/>
      <c r="FI160" s="579"/>
      <c r="FJ160" s="579"/>
      <c r="FK160" s="579"/>
      <c r="FL160" s="579"/>
      <c r="FM160" s="579"/>
      <c r="FN160" s="579"/>
      <c r="FO160" s="579"/>
      <c r="FP160" s="579"/>
      <c r="FQ160" s="579"/>
      <c r="FR160" s="579"/>
      <c r="FS160" s="579"/>
      <c r="FT160" s="579"/>
      <c r="FU160" s="579"/>
      <c r="FV160" s="579"/>
      <c r="FW160" s="579"/>
      <c r="FX160" s="579"/>
      <c r="FY160" s="579"/>
      <c r="FZ160" s="579"/>
      <c r="GA160" s="579"/>
      <c r="GB160" s="579"/>
      <c r="GC160" s="579"/>
      <c r="GD160" s="579"/>
      <c r="GE160" s="579"/>
      <c r="GF160" s="579"/>
      <c r="GG160" s="579"/>
      <c r="GH160" s="579"/>
      <c r="GI160" s="579"/>
      <c r="GJ160" s="579"/>
      <c r="GK160" s="579"/>
      <c r="GL160" s="579"/>
      <c r="GM160" s="579"/>
      <c r="GN160" s="579"/>
      <c r="GO160" s="579"/>
      <c r="GP160" s="579"/>
      <c r="GQ160" s="579"/>
      <c r="GR160" s="579"/>
      <c r="GS160" s="579"/>
      <c r="GT160" s="579"/>
      <c r="GU160" s="579"/>
      <c r="GV160" s="579"/>
      <c r="GW160" s="579"/>
      <c r="GX160" s="579"/>
      <c r="GY160" s="579"/>
      <c r="GZ160" s="579"/>
      <c r="HA160" s="579"/>
      <c r="HB160" s="579"/>
      <c r="HC160" s="579"/>
      <c r="HD160" s="579"/>
      <c r="HE160" s="579"/>
      <c r="HF160" s="579"/>
      <c r="HG160" s="579"/>
      <c r="HH160" s="579"/>
      <c r="HI160" s="579"/>
      <c r="HJ160" s="579"/>
      <c r="HK160" s="579"/>
      <c r="HL160" s="579"/>
      <c r="HM160" s="579"/>
      <c r="HN160" s="579"/>
      <c r="HO160" s="579"/>
      <c r="HP160" s="579"/>
      <c r="HQ160" s="579"/>
      <c r="HR160" s="579"/>
      <c r="HS160" s="579"/>
      <c r="HT160" s="579"/>
      <c r="HU160" s="579"/>
      <c r="HV160" s="579"/>
      <c r="HW160" s="579"/>
      <c r="HX160" s="579"/>
      <c r="HY160" s="579"/>
      <c r="HZ160" s="579"/>
      <c r="IA160" s="579"/>
      <c r="IB160" s="579"/>
      <c r="IC160" s="579"/>
      <c r="ID160" s="579"/>
      <c r="IE160" s="579"/>
      <c r="IF160" s="579"/>
      <c r="IG160" s="579"/>
      <c r="IH160" s="579"/>
      <c r="II160" s="579"/>
      <c r="IJ160" s="579"/>
      <c r="IK160" s="579"/>
      <c r="IL160" s="579"/>
      <c r="IM160" s="579"/>
      <c r="IN160" s="579"/>
      <c r="IO160" s="579"/>
      <c r="IP160" s="579"/>
      <c r="IQ160" s="579"/>
      <c r="IR160" s="579"/>
      <c r="IS160" s="579"/>
      <c r="IT160" s="579"/>
      <c r="IU160" s="579"/>
      <c r="IV160" s="579"/>
      <c r="IW160" s="579"/>
    </row>
    <row r="161" spans="1:257" s="579" customFormat="1">
      <c r="A161" s="713" t="s">
        <v>258</v>
      </c>
      <c r="B161" s="696" t="s">
        <v>34</v>
      </c>
      <c r="C161" s="699"/>
      <c r="D161" s="699"/>
      <c r="E161" s="817"/>
      <c r="F161" s="817">
        <v>15000000</v>
      </c>
      <c r="G161" s="700"/>
      <c r="H161" s="700"/>
      <c r="I161" s="700"/>
      <c r="J161" s="817">
        <v>30000000</v>
      </c>
      <c r="K161" s="817">
        <v>15000000</v>
      </c>
      <c r="L161" s="1314">
        <v>20700000</v>
      </c>
      <c r="M161" s="818"/>
      <c r="N161" s="819"/>
      <c r="O161" s="819"/>
      <c r="P161" s="820"/>
      <c r="Q161" s="820"/>
      <c r="R161" s="823"/>
      <c r="S161" s="823"/>
      <c r="T161" s="824"/>
      <c r="U161" s="580"/>
      <c r="V161" s="790"/>
      <c r="W161" s="825"/>
      <c r="X161" s="726"/>
      <c r="Y161" s="724"/>
      <c r="Z161" s="724"/>
      <c r="AA161" s="772"/>
      <c r="AB161" s="772"/>
      <c r="AC161" s="772"/>
      <c r="AD161" s="772"/>
      <c r="AE161" s="772"/>
      <c r="AF161" s="772"/>
      <c r="AG161" s="772"/>
      <c r="AH161" s="772"/>
      <c r="AI161" s="772"/>
      <c r="AJ161" s="772"/>
      <c r="AK161" s="772"/>
      <c r="AL161" s="772"/>
      <c r="AM161" s="772"/>
      <c r="AN161" s="772"/>
      <c r="AO161" s="772"/>
      <c r="AP161" s="772"/>
      <c r="AQ161" s="772"/>
      <c r="AR161" s="772"/>
      <c r="AS161" s="772"/>
      <c r="AT161" s="772"/>
      <c r="AU161" s="772"/>
      <c r="AV161" s="772"/>
      <c r="AW161" s="772"/>
      <c r="AX161" s="772"/>
      <c r="AY161" s="772"/>
      <c r="AZ161" s="772"/>
      <c r="BA161" s="772"/>
      <c r="BB161" s="772"/>
      <c r="BC161" s="772"/>
      <c r="BD161" s="772"/>
      <c r="BE161" s="772"/>
      <c r="BF161" s="772"/>
      <c r="BG161" s="772"/>
      <c r="BH161" s="772"/>
      <c r="BI161" s="772"/>
      <c r="BJ161" s="772"/>
      <c r="BK161" s="772"/>
      <c r="BL161" s="772"/>
      <c r="BM161" s="772"/>
      <c r="BN161" s="772"/>
      <c r="BO161" s="772"/>
      <c r="BP161" s="772"/>
      <c r="BQ161" s="772"/>
      <c r="BR161" s="772"/>
      <c r="BS161" s="772"/>
      <c r="BT161" s="772"/>
      <c r="BU161" s="772"/>
      <c r="BV161" s="772"/>
      <c r="BW161" s="772"/>
      <c r="BX161" s="772"/>
      <c r="BY161" s="772"/>
      <c r="BZ161" s="772"/>
      <c r="CA161" s="772"/>
      <c r="CB161" s="772"/>
      <c r="CC161" s="772"/>
      <c r="CD161" s="772"/>
      <c r="CE161" s="772"/>
      <c r="CF161" s="772"/>
      <c r="CG161" s="772"/>
      <c r="CH161" s="772"/>
      <c r="CI161" s="772"/>
      <c r="CJ161" s="772"/>
      <c r="CK161" s="772"/>
      <c r="CL161" s="772"/>
      <c r="CM161" s="772"/>
      <c r="CN161" s="772"/>
      <c r="CO161" s="772"/>
      <c r="CP161" s="772"/>
      <c r="CQ161" s="772"/>
      <c r="CR161" s="772"/>
      <c r="CS161" s="772"/>
      <c r="CT161" s="772"/>
      <c r="CU161" s="772"/>
      <c r="CV161" s="772"/>
      <c r="CW161" s="772"/>
      <c r="CX161" s="772"/>
      <c r="CY161" s="772"/>
      <c r="CZ161" s="772"/>
      <c r="DA161" s="772"/>
      <c r="DB161" s="772"/>
      <c r="DC161" s="772"/>
      <c r="DD161" s="772"/>
      <c r="DE161" s="772"/>
      <c r="DF161" s="772"/>
      <c r="DG161" s="772"/>
      <c r="DH161" s="772"/>
      <c r="DI161" s="772"/>
      <c r="DJ161" s="772"/>
      <c r="DK161" s="772"/>
      <c r="DL161" s="772"/>
      <c r="DM161" s="772"/>
      <c r="DN161" s="772"/>
      <c r="DO161" s="772"/>
      <c r="DP161" s="772"/>
      <c r="DQ161" s="772"/>
      <c r="DR161" s="772"/>
      <c r="DS161" s="772"/>
      <c r="DT161" s="772"/>
      <c r="DU161" s="772"/>
      <c r="DV161" s="772"/>
      <c r="DW161" s="772"/>
      <c r="DX161" s="772"/>
      <c r="DY161" s="772"/>
      <c r="DZ161" s="772"/>
      <c r="EA161" s="772"/>
      <c r="EB161" s="772"/>
      <c r="EC161" s="772"/>
      <c r="ED161" s="772"/>
      <c r="EE161" s="772"/>
      <c r="EF161" s="772"/>
      <c r="EG161" s="772"/>
      <c r="EH161" s="772"/>
      <c r="EI161" s="772"/>
      <c r="EJ161" s="772"/>
      <c r="EK161" s="772"/>
      <c r="EL161" s="772"/>
      <c r="EM161" s="772"/>
      <c r="EN161" s="772"/>
      <c r="EO161" s="772"/>
      <c r="EP161" s="772"/>
      <c r="EQ161" s="772"/>
      <c r="ER161" s="772"/>
      <c r="ES161" s="772"/>
      <c r="ET161" s="772"/>
      <c r="EU161" s="772"/>
      <c r="EV161" s="772"/>
      <c r="EW161" s="772"/>
      <c r="EX161" s="772"/>
      <c r="EY161" s="772"/>
      <c r="EZ161" s="772"/>
      <c r="FA161" s="772"/>
      <c r="FB161" s="772"/>
      <c r="FC161" s="772"/>
      <c r="FD161" s="772"/>
      <c r="FE161" s="772"/>
      <c r="FF161" s="772"/>
      <c r="FG161" s="772"/>
      <c r="FH161" s="772"/>
      <c r="FI161" s="772"/>
      <c r="FJ161" s="772"/>
      <c r="FK161" s="772"/>
      <c r="FL161" s="772"/>
      <c r="FM161" s="772"/>
      <c r="FN161" s="772"/>
      <c r="FO161" s="772"/>
      <c r="FP161" s="772"/>
      <c r="FQ161" s="772"/>
      <c r="FR161" s="772"/>
      <c r="FS161" s="772"/>
      <c r="FT161" s="772"/>
      <c r="FU161" s="772"/>
      <c r="FV161" s="772"/>
      <c r="FW161" s="772"/>
      <c r="FX161" s="772"/>
      <c r="FY161" s="772"/>
      <c r="FZ161" s="772"/>
      <c r="GA161" s="772"/>
      <c r="GB161" s="772"/>
      <c r="GC161" s="772"/>
      <c r="GD161" s="772"/>
      <c r="GE161" s="772"/>
      <c r="GF161" s="772"/>
      <c r="GG161" s="772"/>
      <c r="GH161" s="772"/>
      <c r="GI161" s="772"/>
      <c r="GJ161" s="772"/>
      <c r="GK161" s="772"/>
      <c r="GL161" s="772"/>
      <c r="GM161" s="772"/>
      <c r="GN161" s="772"/>
      <c r="GO161" s="772"/>
      <c r="GP161" s="772"/>
      <c r="GQ161" s="772"/>
      <c r="GR161" s="772"/>
      <c r="GS161" s="772"/>
      <c r="GT161" s="772"/>
      <c r="GU161" s="772"/>
      <c r="GV161" s="772"/>
      <c r="GW161" s="772"/>
      <c r="GX161" s="772"/>
      <c r="GY161" s="772"/>
      <c r="GZ161" s="772"/>
      <c r="HA161" s="772"/>
      <c r="HB161" s="772"/>
      <c r="HC161" s="772"/>
      <c r="HD161" s="772"/>
      <c r="HE161" s="772"/>
      <c r="HF161" s="772"/>
      <c r="HG161" s="772"/>
      <c r="HH161" s="772"/>
      <c r="HI161" s="772"/>
      <c r="HJ161" s="772"/>
      <c r="HK161" s="772"/>
      <c r="HL161" s="772"/>
      <c r="HM161" s="772"/>
      <c r="HN161" s="772"/>
      <c r="HO161" s="772"/>
      <c r="HP161" s="772"/>
      <c r="HQ161" s="772"/>
      <c r="HR161" s="772"/>
      <c r="HS161" s="772"/>
      <c r="HT161" s="772"/>
      <c r="HU161" s="772"/>
      <c r="HV161" s="772"/>
      <c r="HW161" s="772"/>
      <c r="HX161" s="772"/>
      <c r="HY161" s="772"/>
      <c r="HZ161" s="772"/>
      <c r="IA161" s="772"/>
      <c r="IB161" s="772"/>
      <c r="IC161" s="772"/>
      <c r="ID161" s="772"/>
      <c r="IE161" s="772"/>
      <c r="IF161" s="772"/>
      <c r="IG161" s="772"/>
      <c r="IH161" s="772"/>
      <c r="II161" s="772"/>
      <c r="IJ161" s="772"/>
      <c r="IK161" s="772"/>
      <c r="IL161" s="772"/>
      <c r="IM161" s="772"/>
      <c r="IN161" s="772"/>
      <c r="IO161" s="772"/>
      <c r="IP161" s="772"/>
      <c r="IQ161" s="772"/>
      <c r="IR161" s="772"/>
      <c r="IS161" s="772"/>
      <c r="IT161" s="772"/>
      <c r="IU161" s="772"/>
      <c r="IV161" s="772"/>
      <c r="IW161" s="772"/>
    </row>
    <row r="162" spans="1:257" s="579" customFormat="1" ht="31.5">
      <c r="A162" s="713" t="s">
        <v>258</v>
      </c>
      <c r="B162" s="696" t="s">
        <v>35</v>
      </c>
      <c r="C162" s="699"/>
      <c r="D162" s="699"/>
      <c r="E162" s="817"/>
      <c r="F162" s="817">
        <v>24000000</v>
      </c>
      <c r="G162" s="700"/>
      <c r="H162" s="700"/>
      <c r="I162" s="700"/>
      <c r="J162" s="817">
        <v>24000000</v>
      </c>
      <c r="K162" s="817">
        <v>24000000</v>
      </c>
      <c r="L162" s="1314">
        <v>24000000</v>
      </c>
      <c r="M162" s="818"/>
      <c r="N162" s="819"/>
      <c r="O162" s="819"/>
      <c r="P162" s="820"/>
      <c r="Q162" s="820"/>
      <c r="R162" s="823"/>
      <c r="S162" s="823"/>
      <c r="T162" s="824"/>
      <c r="U162" s="580"/>
      <c r="V162" s="790"/>
      <c r="W162" s="825"/>
      <c r="X162" s="726"/>
      <c r="Y162" s="724"/>
      <c r="Z162" s="724"/>
      <c r="AA162" s="772"/>
      <c r="AB162" s="772"/>
      <c r="AC162" s="772"/>
      <c r="AD162" s="772"/>
      <c r="AE162" s="772"/>
      <c r="AF162" s="772"/>
      <c r="AG162" s="772"/>
      <c r="AH162" s="772"/>
      <c r="AI162" s="772"/>
      <c r="AJ162" s="772"/>
      <c r="AK162" s="772"/>
      <c r="AL162" s="772"/>
      <c r="AM162" s="772"/>
      <c r="AN162" s="772"/>
      <c r="AO162" s="772"/>
      <c r="AP162" s="772"/>
      <c r="AQ162" s="772"/>
      <c r="AR162" s="772"/>
      <c r="AS162" s="772"/>
      <c r="AT162" s="772"/>
      <c r="AU162" s="772"/>
      <c r="AV162" s="772"/>
      <c r="AW162" s="772"/>
      <c r="AX162" s="772"/>
      <c r="AY162" s="772"/>
      <c r="AZ162" s="772"/>
      <c r="BA162" s="772"/>
      <c r="BB162" s="772"/>
      <c r="BC162" s="772"/>
      <c r="BD162" s="772"/>
      <c r="BE162" s="772"/>
      <c r="BF162" s="772"/>
      <c r="BG162" s="772"/>
      <c r="BH162" s="772"/>
      <c r="BI162" s="772"/>
      <c r="BJ162" s="772"/>
      <c r="BK162" s="772"/>
      <c r="BL162" s="772"/>
      <c r="BM162" s="772"/>
      <c r="BN162" s="772"/>
      <c r="BO162" s="772"/>
      <c r="BP162" s="772"/>
      <c r="BQ162" s="772"/>
      <c r="BR162" s="772"/>
      <c r="BS162" s="772"/>
      <c r="BT162" s="772"/>
      <c r="BU162" s="772"/>
      <c r="BV162" s="772"/>
      <c r="BW162" s="772"/>
      <c r="BX162" s="772"/>
      <c r="BY162" s="772"/>
      <c r="BZ162" s="772"/>
      <c r="CA162" s="772"/>
      <c r="CB162" s="772"/>
      <c r="CC162" s="772"/>
      <c r="CD162" s="772"/>
      <c r="CE162" s="772"/>
      <c r="CF162" s="772"/>
      <c r="CG162" s="772"/>
      <c r="CH162" s="772"/>
      <c r="CI162" s="772"/>
      <c r="CJ162" s="772"/>
      <c r="CK162" s="772"/>
      <c r="CL162" s="772"/>
      <c r="CM162" s="772"/>
      <c r="CN162" s="772"/>
      <c r="CO162" s="772"/>
      <c r="CP162" s="772"/>
      <c r="CQ162" s="772"/>
      <c r="CR162" s="772"/>
      <c r="CS162" s="772"/>
      <c r="CT162" s="772"/>
      <c r="CU162" s="772"/>
      <c r="CV162" s="772"/>
      <c r="CW162" s="772"/>
      <c r="CX162" s="772"/>
      <c r="CY162" s="772"/>
      <c r="CZ162" s="772"/>
      <c r="DA162" s="772"/>
      <c r="DB162" s="772"/>
      <c r="DC162" s="772"/>
      <c r="DD162" s="772"/>
      <c r="DE162" s="772"/>
      <c r="DF162" s="772"/>
      <c r="DG162" s="772"/>
      <c r="DH162" s="772"/>
      <c r="DI162" s="772"/>
      <c r="DJ162" s="772"/>
      <c r="DK162" s="772"/>
      <c r="DL162" s="772"/>
      <c r="DM162" s="772"/>
      <c r="DN162" s="772"/>
      <c r="DO162" s="772"/>
      <c r="DP162" s="772"/>
      <c r="DQ162" s="772"/>
      <c r="DR162" s="772"/>
      <c r="DS162" s="772"/>
      <c r="DT162" s="772"/>
      <c r="DU162" s="772"/>
      <c r="DV162" s="772"/>
      <c r="DW162" s="772"/>
      <c r="DX162" s="772"/>
      <c r="DY162" s="772"/>
      <c r="DZ162" s="772"/>
      <c r="EA162" s="772"/>
      <c r="EB162" s="772"/>
      <c r="EC162" s="772"/>
      <c r="ED162" s="772"/>
      <c r="EE162" s="772"/>
      <c r="EF162" s="772"/>
      <c r="EG162" s="772"/>
      <c r="EH162" s="772"/>
      <c r="EI162" s="772"/>
      <c r="EJ162" s="772"/>
      <c r="EK162" s="772"/>
      <c r="EL162" s="772"/>
      <c r="EM162" s="772"/>
      <c r="EN162" s="772"/>
      <c r="EO162" s="772"/>
      <c r="EP162" s="772"/>
      <c r="EQ162" s="772"/>
      <c r="ER162" s="772"/>
      <c r="ES162" s="772"/>
      <c r="ET162" s="772"/>
      <c r="EU162" s="772"/>
      <c r="EV162" s="772"/>
      <c r="EW162" s="772"/>
      <c r="EX162" s="772"/>
      <c r="EY162" s="772"/>
      <c r="EZ162" s="772"/>
      <c r="FA162" s="772"/>
      <c r="FB162" s="772"/>
      <c r="FC162" s="772"/>
      <c r="FD162" s="772"/>
      <c r="FE162" s="772"/>
      <c r="FF162" s="772"/>
      <c r="FG162" s="772"/>
      <c r="FH162" s="772"/>
      <c r="FI162" s="772"/>
      <c r="FJ162" s="772"/>
      <c r="FK162" s="772"/>
      <c r="FL162" s="772"/>
      <c r="FM162" s="772"/>
      <c r="FN162" s="772"/>
      <c r="FO162" s="772"/>
      <c r="FP162" s="772"/>
      <c r="FQ162" s="772"/>
      <c r="FR162" s="772"/>
      <c r="FS162" s="772"/>
      <c r="FT162" s="772"/>
      <c r="FU162" s="772"/>
      <c r="FV162" s="772"/>
      <c r="FW162" s="772"/>
      <c r="FX162" s="772"/>
      <c r="FY162" s="772"/>
      <c r="FZ162" s="772"/>
      <c r="GA162" s="772"/>
      <c r="GB162" s="772"/>
      <c r="GC162" s="772"/>
      <c r="GD162" s="772"/>
      <c r="GE162" s="772"/>
      <c r="GF162" s="772"/>
      <c r="GG162" s="772"/>
      <c r="GH162" s="772"/>
      <c r="GI162" s="772"/>
      <c r="GJ162" s="772"/>
      <c r="GK162" s="772"/>
      <c r="GL162" s="772"/>
      <c r="GM162" s="772"/>
      <c r="GN162" s="772"/>
      <c r="GO162" s="772"/>
      <c r="GP162" s="772"/>
      <c r="GQ162" s="772"/>
      <c r="GR162" s="772"/>
      <c r="GS162" s="772"/>
      <c r="GT162" s="772"/>
      <c r="GU162" s="772"/>
      <c r="GV162" s="772"/>
      <c r="GW162" s="772"/>
      <c r="GX162" s="772"/>
      <c r="GY162" s="772"/>
      <c r="GZ162" s="772"/>
      <c r="HA162" s="772"/>
      <c r="HB162" s="772"/>
      <c r="HC162" s="772"/>
      <c r="HD162" s="772"/>
      <c r="HE162" s="772"/>
      <c r="HF162" s="772"/>
      <c r="HG162" s="772"/>
      <c r="HH162" s="772"/>
      <c r="HI162" s="772"/>
      <c r="HJ162" s="772"/>
      <c r="HK162" s="772"/>
      <c r="HL162" s="772"/>
      <c r="HM162" s="772"/>
      <c r="HN162" s="772"/>
      <c r="HO162" s="772"/>
      <c r="HP162" s="772"/>
      <c r="HQ162" s="772"/>
      <c r="HR162" s="772"/>
      <c r="HS162" s="772"/>
      <c r="HT162" s="772"/>
      <c r="HU162" s="772"/>
      <c r="HV162" s="772"/>
      <c r="HW162" s="772"/>
      <c r="HX162" s="772"/>
      <c r="HY162" s="772"/>
      <c r="HZ162" s="772"/>
      <c r="IA162" s="772"/>
      <c r="IB162" s="772"/>
      <c r="IC162" s="772"/>
      <c r="ID162" s="772"/>
      <c r="IE162" s="772"/>
      <c r="IF162" s="772"/>
      <c r="IG162" s="772"/>
      <c r="IH162" s="772"/>
      <c r="II162" s="772"/>
      <c r="IJ162" s="772"/>
      <c r="IK162" s="772"/>
      <c r="IL162" s="772"/>
      <c r="IM162" s="772"/>
      <c r="IN162" s="772"/>
      <c r="IO162" s="772"/>
      <c r="IP162" s="772"/>
      <c r="IQ162" s="772"/>
      <c r="IR162" s="772"/>
      <c r="IS162" s="772"/>
      <c r="IT162" s="772"/>
      <c r="IU162" s="772"/>
      <c r="IV162" s="772"/>
      <c r="IW162" s="772"/>
    </row>
    <row r="163" spans="1:257" s="579" customFormat="1" ht="31.5">
      <c r="A163" s="713" t="s">
        <v>258</v>
      </c>
      <c r="B163" s="696" t="s">
        <v>1465</v>
      </c>
      <c r="C163" s="699"/>
      <c r="D163" s="699"/>
      <c r="E163" s="817"/>
      <c r="F163" s="817">
        <v>40000000</v>
      </c>
      <c r="G163" s="700"/>
      <c r="H163" s="700"/>
      <c r="I163" s="700"/>
      <c r="J163" s="817">
        <v>60000000</v>
      </c>
      <c r="K163" s="817"/>
      <c r="L163" s="1314">
        <v>30000000</v>
      </c>
      <c r="M163" s="705"/>
      <c r="N163" s="819"/>
      <c r="O163" s="819"/>
      <c r="P163" s="820"/>
      <c r="Q163" s="820"/>
      <c r="R163" s="823"/>
      <c r="S163" s="823"/>
      <c r="T163" s="824"/>
      <c r="U163" s="580"/>
      <c r="V163" s="790"/>
      <c r="W163" s="825"/>
      <c r="X163" s="726"/>
      <c r="Y163" s="724"/>
      <c r="Z163" s="724"/>
      <c r="AA163" s="772"/>
      <c r="AB163" s="772"/>
      <c r="AC163" s="772"/>
      <c r="AD163" s="772"/>
      <c r="AE163" s="772"/>
      <c r="AF163" s="772"/>
      <c r="AG163" s="772"/>
      <c r="AH163" s="772"/>
      <c r="AI163" s="772"/>
      <c r="AJ163" s="772"/>
      <c r="AK163" s="772"/>
      <c r="AL163" s="772"/>
      <c r="AM163" s="772"/>
      <c r="AN163" s="772"/>
      <c r="AO163" s="772"/>
      <c r="AP163" s="772"/>
      <c r="AQ163" s="772"/>
      <c r="AR163" s="772"/>
      <c r="AS163" s="772"/>
      <c r="AT163" s="772"/>
      <c r="AU163" s="772"/>
      <c r="AV163" s="772"/>
      <c r="AW163" s="772"/>
      <c r="AX163" s="772"/>
      <c r="AY163" s="772"/>
      <c r="AZ163" s="772"/>
      <c r="BA163" s="772"/>
      <c r="BB163" s="772"/>
      <c r="BC163" s="772"/>
      <c r="BD163" s="772"/>
      <c r="BE163" s="772"/>
      <c r="BF163" s="772"/>
      <c r="BG163" s="772"/>
      <c r="BH163" s="772"/>
      <c r="BI163" s="772"/>
      <c r="BJ163" s="772"/>
      <c r="BK163" s="772"/>
      <c r="BL163" s="772"/>
      <c r="BM163" s="772"/>
      <c r="BN163" s="772"/>
      <c r="BO163" s="772"/>
      <c r="BP163" s="772"/>
      <c r="BQ163" s="772"/>
      <c r="BR163" s="772"/>
      <c r="BS163" s="772"/>
      <c r="BT163" s="772"/>
      <c r="BU163" s="772"/>
      <c r="BV163" s="772"/>
      <c r="BW163" s="772"/>
      <c r="BX163" s="772"/>
      <c r="BY163" s="772"/>
      <c r="BZ163" s="772"/>
      <c r="CA163" s="772"/>
      <c r="CB163" s="772"/>
      <c r="CC163" s="772"/>
      <c r="CD163" s="772"/>
      <c r="CE163" s="772"/>
      <c r="CF163" s="772"/>
      <c r="CG163" s="772"/>
      <c r="CH163" s="772"/>
      <c r="CI163" s="772"/>
      <c r="CJ163" s="772"/>
      <c r="CK163" s="772"/>
      <c r="CL163" s="772"/>
      <c r="CM163" s="772"/>
      <c r="CN163" s="772"/>
      <c r="CO163" s="772"/>
      <c r="CP163" s="772"/>
      <c r="CQ163" s="772"/>
      <c r="CR163" s="772"/>
      <c r="CS163" s="772"/>
      <c r="CT163" s="772"/>
      <c r="CU163" s="772"/>
      <c r="CV163" s="772"/>
      <c r="CW163" s="772"/>
      <c r="CX163" s="772"/>
      <c r="CY163" s="772"/>
      <c r="CZ163" s="772"/>
      <c r="DA163" s="772"/>
      <c r="DB163" s="772"/>
      <c r="DC163" s="772"/>
      <c r="DD163" s="772"/>
      <c r="DE163" s="772"/>
      <c r="DF163" s="772"/>
      <c r="DG163" s="772"/>
      <c r="DH163" s="772"/>
      <c r="DI163" s="772"/>
      <c r="DJ163" s="772"/>
      <c r="DK163" s="772"/>
      <c r="DL163" s="772"/>
      <c r="DM163" s="772"/>
      <c r="DN163" s="772"/>
      <c r="DO163" s="772"/>
      <c r="DP163" s="772"/>
      <c r="DQ163" s="772"/>
      <c r="DR163" s="772"/>
      <c r="DS163" s="772"/>
      <c r="DT163" s="772"/>
      <c r="DU163" s="772"/>
      <c r="DV163" s="772"/>
      <c r="DW163" s="772"/>
      <c r="DX163" s="772"/>
      <c r="DY163" s="772"/>
      <c r="DZ163" s="772"/>
      <c r="EA163" s="772"/>
      <c r="EB163" s="772"/>
      <c r="EC163" s="772"/>
      <c r="ED163" s="772"/>
      <c r="EE163" s="772"/>
      <c r="EF163" s="772"/>
      <c r="EG163" s="772"/>
      <c r="EH163" s="772"/>
      <c r="EI163" s="772"/>
      <c r="EJ163" s="772"/>
      <c r="EK163" s="772"/>
      <c r="EL163" s="772"/>
      <c r="EM163" s="772"/>
      <c r="EN163" s="772"/>
      <c r="EO163" s="772"/>
      <c r="EP163" s="772"/>
      <c r="EQ163" s="772"/>
      <c r="ER163" s="772"/>
      <c r="ES163" s="772"/>
      <c r="ET163" s="772"/>
      <c r="EU163" s="772"/>
      <c r="EV163" s="772"/>
      <c r="EW163" s="772"/>
      <c r="EX163" s="772"/>
      <c r="EY163" s="772"/>
      <c r="EZ163" s="772"/>
      <c r="FA163" s="772"/>
      <c r="FB163" s="772"/>
      <c r="FC163" s="772"/>
      <c r="FD163" s="772"/>
      <c r="FE163" s="772"/>
      <c r="FF163" s="772"/>
      <c r="FG163" s="772"/>
      <c r="FH163" s="772"/>
      <c r="FI163" s="772"/>
      <c r="FJ163" s="772"/>
      <c r="FK163" s="772"/>
      <c r="FL163" s="772"/>
      <c r="FM163" s="772"/>
      <c r="FN163" s="772"/>
      <c r="FO163" s="772"/>
      <c r="FP163" s="772"/>
      <c r="FQ163" s="772"/>
      <c r="FR163" s="772"/>
      <c r="FS163" s="772"/>
      <c r="FT163" s="772"/>
      <c r="FU163" s="772"/>
      <c r="FV163" s="772"/>
      <c r="FW163" s="772"/>
      <c r="FX163" s="772"/>
      <c r="FY163" s="772"/>
      <c r="FZ163" s="772"/>
      <c r="GA163" s="772"/>
      <c r="GB163" s="772"/>
      <c r="GC163" s="772"/>
      <c r="GD163" s="772"/>
      <c r="GE163" s="772"/>
      <c r="GF163" s="772"/>
      <c r="GG163" s="772"/>
      <c r="GH163" s="772"/>
      <c r="GI163" s="772"/>
      <c r="GJ163" s="772"/>
      <c r="GK163" s="772"/>
      <c r="GL163" s="772"/>
      <c r="GM163" s="772"/>
      <c r="GN163" s="772"/>
      <c r="GO163" s="772"/>
      <c r="GP163" s="772"/>
      <c r="GQ163" s="772"/>
      <c r="GR163" s="772"/>
      <c r="GS163" s="772"/>
      <c r="GT163" s="772"/>
      <c r="GU163" s="772"/>
      <c r="GV163" s="772"/>
      <c r="GW163" s="772"/>
      <c r="GX163" s="772"/>
      <c r="GY163" s="772"/>
      <c r="GZ163" s="772"/>
      <c r="HA163" s="772"/>
      <c r="HB163" s="772"/>
      <c r="HC163" s="772"/>
      <c r="HD163" s="772"/>
      <c r="HE163" s="772"/>
      <c r="HF163" s="772"/>
      <c r="HG163" s="772"/>
      <c r="HH163" s="772"/>
      <c r="HI163" s="772"/>
      <c r="HJ163" s="772"/>
      <c r="HK163" s="772"/>
      <c r="HL163" s="772"/>
      <c r="HM163" s="772"/>
      <c r="HN163" s="772"/>
      <c r="HO163" s="772"/>
      <c r="HP163" s="772"/>
      <c r="HQ163" s="772"/>
      <c r="HR163" s="772"/>
      <c r="HS163" s="772"/>
      <c r="HT163" s="772"/>
      <c r="HU163" s="772"/>
      <c r="HV163" s="772"/>
      <c r="HW163" s="772"/>
      <c r="HX163" s="772"/>
      <c r="HY163" s="772"/>
      <c r="HZ163" s="772"/>
      <c r="IA163" s="772"/>
      <c r="IB163" s="772"/>
      <c r="IC163" s="772"/>
      <c r="ID163" s="772"/>
      <c r="IE163" s="772"/>
      <c r="IF163" s="772"/>
      <c r="IG163" s="772"/>
      <c r="IH163" s="772"/>
      <c r="II163" s="772"/>
      <c r="IJ163" s="772"/>
      <c r="IK163" s="772"/>
      <c r="IL163" s="772"/>
      <c r="IM163" s="772"/>
      <c r="IN163" s="772"/>
      <c r="IO163" s="772"/>
      <c r="IP163" s="772"/>
      <c r="IQ163" s="772"/>
      <c r="IR163" s="772"/>
      <c r="IS163" s="772"/>
      <c r="IT163" s="772"/>
      <c r="IU163" s="772"/>
      <c r="IV163" s="772"/>
      <c r="IW163" s="772"/>
    </row>
    <row r="164" spans="1:257" s="579" customFormat="1">
      <c r="A164" s="713" t="s">
        <v>258</v>
      </c>
      <c r="B164" s="696" t="s">
        <v>911</v>
      </c>
      <c r="C164" s="699"/>
      <c r="D164" s="699"/>
      <c r="E164" s="817"/>
      <c r="F164" s="817">
        <v>40000000</v>
      </c>
      <c r="G164" s="700"/>
      <c r="H164" s="700"/>
      <c r="I164" s="700"/>
      <c r="J164" s="817">
        <v>50000000</v>
      </c>
      <c r="K164" s="817"/>
      <c r="L164" s="1314"/>
      <c r="M164" s="818"/>
      <c r="N164" s="819"/>
      <c r="O164" s="819"/>
      <c r="P164" s="820"/>
      <c r="Q164" s="820"/>
      <c r="R164" s="823"/>
      <c r="S164" s="823"/>
      <c r="T164" s="824"/>
      <c r="U164" s="580"/>
      <c r="V164" s="790"/>
      <c r="W164" s="825"/>
      <c r="X164" s="726"/>
      <c r="Y164" s="724"/>
      <c r="Z164" s="724"/>
      <c r="AA164" s="772"/>
      <c r="AB164" s="772"/>
      <c r="AC164" s="772"/>
      <c r="AD164" s="772"/>
      <c r="AE164" s="772"/>
      <c r="AF164" s="772"/>
      <c r="AG164" s="772"/>
      <c r="AH164" s="772"/>
      <c r="AI164" s="772"/>
      <c r="AJ164" s="772"/>
      <c r="AK164" s="772"/>
      <c r="AL164" s="772"/>
      <c r="AM164" s="772"/>
      <c r="AN164" s="772"/>
      <c r="AO164" s="772"/>
      <c r="AP164" s="772"/>
      <c r="AQ164" s="772"/>
      <c r="AR164" s="772"/>
      <c r="AS164" s="772"/>
      <c r="AT164" s="772"/>
      <c r="AU164" s="772"/>
      <c r="AV164" s="772"/>
      <c r="AW164" s="772"/>
      <c r="AX164" s="772"/>
      <c r="AY164" s="772"/>
      <c r="AZ164" s="772"/>
      <c r="BA164" s="772"/>
      <c r="BB164" s="772"/>
      <c r="BC164" s="772"/>
      <c r="BD164" s="772"/>
      <c r="BE164" s="772"/>
      <c r="BF164" s="772"/>
      <c r="BG164" s="772"/>
      <c r="BH164" s="772"/>
      <c r="BI164" s="772"/>
      <c r="BJ164" s="772"/>
      <c r="BK164" s="772"/>
      <c r="BL164" s="772"/>
      <c r="BM164" s="772"/>
      <c r="BN164" s="772"/>
      <c r="BO164" s="772"/>
      <c r="BP164" s="772"/>
      <c r="BQ164" s="772"/>
      <c r="BR164" s="772"/>
      <c r="BS164" s="772"/>
      <c r="BT164" s="772"/>
      <c r="BU164" s="772"/>
      <c r="BV164" s="772"/>
      <c r="BW164" s="772"/>
      <c r="BX164" s="772"/>
      <c r="BY164" s="772"/>
      <c r="BZ164" s="772"/>
      <c r="CA164" s="772"/>
      <c r="CB164" s="772"/>
      <c r="CC164" s="772"/>
      <c r="CD164" s="772"/>
      <c r="CE164" s="772"/>
      <c r="CF164" s="772"/>
      <c r="CG164" s="772"/>
      <c r="CH164" s="772"/>
      <c r="CI164" s="772"/>
      <c r="CJ164" s="772"/>
      <c r="CK164" s="772"/>
      <c r="CL164" s="772"/>
      <c r="CM164" s="772"/>
      <c r="CN164" s="772"/>
      <c r="CO164" s="772"/>
      <c r="CP164" s="772"/>
      <c r="CQ164" s="772"/>
      <c r="CR164" s="772"/>
      <c r="CS164" s="772"/>
      <c r="CT164" s="772"/>
      <c r="CU164" s="772"/>
      <c r="CV164" s="772"/>
      <c r="CW164" s="772"/>
      <c r="CX164" s="772"/>
      <c r="CY164" s="772"/>
      <c r="CZ164" s="772"/>
      <c r="DA164" s="772"/>
      <c r="DB164" s="772"/>
      <c r="DC164" s="772"/>
      <c r="DD164" s="772"/>
      <c r="DE164" s="772"/>
      <c r="DF164" s="772"/>
      <c r="DG164" s="772"/>
      <c r="DH164" s="772"/>
      <c r="DI164" s="772"/>
      <c r="DJ164" s="772"/>
      <c r="DK164" s="772"/>
      <c r="DL164" s="772"/>
      <c r="DM164" s="772"/>
      <c r="DN164" s="772"/>
      <c r="DO164" s="772"/>
      <c r="DP164" s="772"/>
      <c r="DQ164" s="772"/>
      <c r="DR164" s="772"/>
      <c r="DS164" s="772"/>
      <c r="DT164" s="772"/>
      <c r="DU164" s="772"/>
      <c r="DV164" s="772"/>
      <c r="DW164" s="772"/>
      <c r="DX164" s="772"/>
      <c r="DY164" s="772"/>
      <c r="DZ164" s="772"/>
      <c r="EA164" s="772"/>
      <c r="EB164" s="772"/>
      <c r="EC164" s="772"/>
      <c r="ED164" s="772"/>
      <c r="EE164" s="772"/>
      <c r="EF164" s="772"/>
      <c r="EG164" s="772"/>
      <c r="EH164" s="772"/>
      <c r="EI164" s="772"/>
      <c r="EJ164" s="772"/>
      <c r="EK164" s="772"/>
      <c r="EL164" s="772"/>
      <c r="EM164" s="772"/>
      <c r="EN164" s="772"/>
      <c r="EO164" s="772"/>
      <c r="EP164" s="772"/>
      <c r="EQ164" s="772"/>
      <c r="ER164" s="772"/>
      <c r="ES164" s="772"/>
      <c r="ET164" s="772"/>
      <c r="EU164" s="772"/>
      <c r="EV164" s="772"/>
      <c r="EW164" s="772"/>
      <c r="EX164" s="772"/>
      <c r="EY164" s="772"/>
      <c r="EZ164" s="772"/>
      <c r="FA164" s="772"/>
      <c r="FB164" s="772"/>
      <c r="FC164" s="772"/>
      <c r="FD164" s="772"/>
      <c r="FE164" s="772"/>
      <c r="FF164" s="772"/>
      <c r="FG164" s="772"/>
      <c r="FH164" s="772"/>
      <c r="FI164" s="772"/>
      <c r="FJ164" s="772"/>
      <c r="FK164" s="772"/>
      <c r="FL164" s="772"/>
      <c r="FM164" s="772"/>
      <c r="FN164" s="772"/>
      <c r="FO164" s="772"/>
      <c r="FP164" s="772"/>
      <c r="FQ164" s="772"/>
      <c r="FR164" s="772"/>
      <c r="FS164" s="772"/>
      <c r="FT164" s="772"/>
      <c r="FU164" s="772"/>
      <c r="FV164" s="772"/>
      <c r="FW164" s="772"/>
      <c r="FX164" s="772"/>
      <c r="FY164" s="772"/>
      <c r="FZ164" s="772"/>
      <c r="GA164" s="772"/>
      <c r="GB164" s="772"/>
      <c r="GC164" s="772"/>
      <c r="GD164" s="772"/>
      <c r="GE164" s="772"/>
      <c r="GF164" s="772"/>
      <c r="GG164" s="772"/>
      <c r="GH164" s="772"/>
      <c r="GI164" s="772"/>
      <c r="GJ164" s="772"/>
      <c r="GK164" s="772"/>
      <c r="GL164" s="772"/>
      <c r="GM164" s="772"/>
      <c r="GN164" s="772"/>
      <c r="GO164" s="772"/>
      <c r="GP164" s="772"/>
      <c r="GQ164" s="772"/>
      <c r="GR164" s="772"/>
      <c r="GS164" s="772"/>
      <c r="GT164" s="772"/>
      <c r="GU164" s="772"/>
      <c r="GV164" s="772"/>
      <c r="GW164" s="772"/>
      <c r="GX164" s="772"/>
      <c r="GY164" s="772"/>
      <c r="GZ164" s="772"/>
      <c r="HA164" s="772"/>
      <c r="HB164" s="772"/>
      <c r="HC164" s="772"/>
      <c r="HD164" s="772"/>
      <c r="HE164" s="772"/>
      <c r="HF164" s="772"/>
      <c r="HG164" s="772"/>
      <c r="HH164" s="772"/>
      <c r="HI164" s="772"/>
      <c r="HJ164" s="772"/>
      <c r="HK164" s="772"/>
      <c r="HL164" s="772"/>
      <c r="HM164" s="772"/>
      <c r="HN164" s="772"/>
      <c r="HO164" s="772"/>
      <c r="HP164" s="772"/>
      <c r="HQ164" s="772"/>
      <c r="HR164" s="772"/>
      <c r="HS164" s="772"/>
      <c r="HT164" s="772"/>
      <c r="HU164" s="772"/>
      <c r="HV164" s="772"/>
      <c r="HW164" s="772"/>
      <c r="HX164" s="772"/>
      <c r="HY164" s="772"/>
      <c r="HZ164" s="772"/>
      <c r="IA164" s="772"/>
      <c r="IB164" s="772"/>
      <c r="IC164" s="772"/>
      <c r="ID164" s="772"/>
      <c r="IE164" s="772"/>
      <c r="IF164" s="772"/>
      <c r="IG164" s="772"/>
      <c r="IH164" s="772"/>
      <c r="II164" s="772"/>
      <c r="IJ164" s="772"/>
      <c r="IK164" s="772"/>
      <c r="IL164" s="772"/>
      <c r="IM164" s="772"/>
      <c r="IN164" s="772"/>
      <c r="IO164" s="772"/>
      <c r="IP164" s="772"/>
      <c r="IQ164" s="772"/>
      <c r="IR164" s="772"/>
      <c r="IS164" s="772"/>
      <c r="IT164" s="772"/>
      <c r="IU164" s="772"/>
      <c r="IV164" s="772"/>
      <c r="IW164" s="772"/>
    </row>
    <row r="165" spans="1:257" s="579" customFormat="1">
      <c r="A165" s="713" t="s">
        <v>258</v>
      </c>
      <c r="B165" s="696" t="s">
        <v>1431</v>
      </c>
      <c r="C165" s="699"/>
      <c r="D165" s="699"/>
      <c r="E165" s="817"/>
      <c r="F165" s="817"/>
      <c r="G165" s="700"/>
      <c r="H165" s="700"/>
      <c r="I165" s="700"/>
      <c r="J165" s="817">
        <v>20000000</v>
      </c>
      <c r="K165" s="817"/>
      <c r="L165" s="1314">
        <v>15000000</v>
      </c>
      <c r="M165" s="818"/>
      <c r="N165" s="819"/>
      <c r="O165" s="819"/>
      <c r="P165" s="820"/>
      <c r="Q165" s="820"/>
      <c r="R165" s="823"/>
      <c r="S165" s="823"/>
      <c r="T165" s="824"/>
      <c r="U165" s="580"/>
      <c r="V165" s="790"/>
      <c r="W165" s="825"/>
      <c r="X165" s="726"/>
      <c r="Y165" s="724"/>
      <c r="Z165" s="724"/>
      <c r="AA165" s="772"/>
      <c r="AB165" s="772"/>
      <c r="AC165" s="772"/>
      <c r="AD165" s="772"/>
      <c r="AE165" s="772"/>
      <c r="AF165" s="772"/>
      <c r="AG165" s="772"/>
      <c r="AH165" s="772"/>
      <c r="AI165" s="772"/>
      <c r="AJ165" s="772"/>
      <c r="AK165" s="772"/>
      <c r="AL165" s="772"/>
      <c r="AM165" s="772"/>
      <c r="AN165" s="772"/>
      <c r="AO165" s="772"/>
      <c r="AP165" s="772"/>
      <c r="AQ165" s="772"/>
      <c r="AR165" s="772"/>
      <c r="AS165" s="772"/>
      <c r="AT165" s="772"/>
      <c r="AU165" s="772"/>
      <c r="AV165" s="772"/>
      <c r="AW165" s="772"/>
      <c r="AX165" s="772"/>
      <c r="AY165" s="772"/>
      <c r="AZ165" s="772"/>
      <c r="BA165" s="772"/>
      <c r="BB165" s="772"/>
      <c r="BC165" s="772"/>
      <c r="BD165" s="772"/>
      <c r="BE165" s="772"/>
      <c r="BF165" s="772"/>
      <c r="BG165" s="772"/>
      <c r="BH165" s="772"/>
      <c r="BI165" s="772"/>
      <c r="BJ165" s="772"/>
      <c r="BK165" s="772"/>
      <c r="BL165" s="772"/>
      <c r="BM165" s="772"/>
      <c r="BN165" s="772"/>
      <c r="BO165" s="772"/>
      <c r="BP165" s="772"/>
      <c r="BQ165" s="772"/>
      <c r="BR165" s="772"/>
      <c r="BS165" s="772"/>
      <c r="BT165" s="772"/>
      <c r="BU165" s="772"/>
      <c r="BV165" s="772"/>
      <c r="BW165" s="772"/>
      <c r="BX165" s="772"/>
      <c r="BY165" s="772"/>
      <c r="BZ165" s="772"/>
      <c r="CA165" s="772"/>
      <c r="CB165" s="772"/>
      <c r="CC165" s="772"/>
      <c r="CD165" s="772"/>
      <c r="CE165" s="772"/>
      <c r="CF165" s="772"/>
      <c r="CG165" s="772"/>
      <c r="CH165" s="772"/>
      <c r="CI165" s="772"/>
      <c r="CJ165" s="772"/>
      <c r="CK165" s="772"/>
      <c r="CL165" s="772"/>
      <c r="CM165" s="772"/>
      <c r="CN165" s="772"/>
      <c r="CO165" s="772"/>
      <c r="CP165" s="772"/>
      <c r="CQ165" s="772"/>
      <c r="CR165" s="772"/>
      <c r="CS165" s="772"/>
      <c r="CT165" s="772"/>
      <c r="CU165" s="772"/>
      <c r="CV165" s="772"/>
      <c r="CW165" s="772"/>
      <c r="CX165" s="772"/>
      <c r="CY165" s="772"/>
      <c r="CZ165" s="772"/>
      <c r="DA165" s="772"/>
      <c r="DB165" s="772"/>
      <c r="DC165" s="772"/>
      <c r="DD165" s="772"/>
      <c r="DE165" s="772"/>
      <c r="DF165" s="772"/>
      <c r="DG165" s="772"/>
      <c r="DH165" s="772"/>
      <c r="DI165" s="772"/>
      <c r="DJ165" s="772"/>
      <c r="DK165" s="772"/>
      <c r="DL165" s="772"/>
      <c r="DM165" s="772"/>
      <c r="DN165" s="772"/>
      <c r="DO165" s="772"/>
      <c r="DP165" s="772"/>
      <c r="DQ165" s="772"/>
      <c r="DR165" s="772"/>
      <c r="DS165" s="772"/>
      <c r="DT165" s="772"/>
      <c r="DU165" s="772"/>
      <c r="DV165" s="772"/>
      <c r="DW165" s="772"/>
      <c r="DX165" s="772"/>
      <c r="DY165" s="772"/>
      <c r="DZ165" s="772"/>
      <c r="EA165" s="772"/>
      <c r="EB165" s="772"/>
      <c r="EC165" s="772"/>
      <c r="ED165" s="772"/>
      <c r="EE165" s="772"/>
      <c r="EF165" s="772"/>
      <c r="EG165" s="772"/>
      <c r="EH165" s="772"/>
      <c r="EI165" s="772"/>
      <c r="EJ165" s="772"/>
      <c r="EK165" s="772"/>
      <c r="EL165" s="772"/>
      <c r="EM165" s="772"/>
      <c r="EN165" s="772"/>
      <c r="EO165" s="772"/>
      <c r="EP165" s="772"/>
      <c r="EQ165" s="772"/>
      <c r="ER165" s="772"/>
      <c r="ES165" s="772"/>
      <c r="ET165" s="772"/>
      <c r="EU165" s="772"/>
      <c r="EV165" s="772"/>
      <c r="EW165" s="772"/>
      <c r="EX165" s="772"/>
      <c r="EY165" s="772"/>
      <c r="EZ165" s="772"/>
      <c r="FA165" s="772"/>
      <c r="FB165" s="772"/>
      <c r="FC165" s="772"/>
      <c r="FD165" s="772"/>
      <c r="FE165" s="772"/>
      <c r="FF165" s="772"/>
      <c r="FG165" s="772"/>
      <c r="FH165" s="772"/>
      <c r="FI165" s="772"/>
      <c r="FJ165" s="772"/>
      <c r="FK165" s="772"/>
      <c r="FL165" s="772"/>
      <c r="FM165" s="772"/>
      <c r="FN165" s="772"/>
      <c r="FO165" s="772"/>
      <c r="FP165" s="772"/>
      <c r="FQ165" s="772"/>
      <c r="FR165" s="772"/>
      <c r="FS165" s="772"/>
      <c r="FT165" s="772"/>
      <c r="FU165" s="772"/>
      <c r="FV165" s="772"/>
      <c r="FW165" s="772"/>
      <c r="FX165" s="772"/>
      <c r="FY165" s="772"/>
      <c r="FZ165" s="772"/>
      <c r="GA165" s="772"/>
      <c r="GB165" s="772"/>
      <c r="GC165" s="772"/>
      <c r="GD165" s="772"/>
      <c r="GE165" s="772"/>
      <c r="GF165" s="772"/>
      <c r="GG165" s="772"/>
      <c r="GH165" s="772"/>
      <c r="GI165" s="772"/>
      <c r="GJ165" s="772"/>
      <c r="GK165" s="772"/>
      <c r="GL165" s="772"/>
      <c r="GM165" s="772"/>
      <c r="GN165" s="772"/>
      <c r="GO165" s="772"/>
      <c r="GP165" s="772"/>
      <c r="GQ165" s="772"/>
      <c r="GR165" s="772"/>
      <c r="GS165" s="772"/>
      <c r="GT165" s="772"/>
      <c r="GU165" s="772"/>
      <c r="GV165" s="772"/>
      <c r="GW165" s="772"/>
      <c r="GX165" s="772"/>
      <c r="GY165" s="772"/>
      <c r="GZ165" s="772"/>
      <c r="HA165" s="772"/>
      <c r="HB165" s="772"/>
      <c r="HC165" s="772"/>
      <c r="HD165" s="772"/>
      <c r="HE165" s="772"/>
      <c r="HF165" s="772"/>
      <c r="HG165" s="772"/>
      <c r="HH165" s="772"/>
      <c r="HI165" s="772"/>
      <c r="HJ165" s="772"/>
      <c r="HK165" s="772"/>
      <c r="HL165" s="772"/>
      <c r="HM165" s="772"/>
      <c r="HN165" s="772"/>
      <c r="HO165" s="772"/>
      <c r="HP165" s="772"/>
      <c r="HQ165" s="772"/>
      <c r="HR165" s="772"/>
      <c r="HS165" s="772"/>
      <c r="HT165" s="772"/>
      <c r="HU165" s="772"/>
      <c r="HV165" s="772"/>
      <c r="HW165" s="772"/>
      <c r="HX165" s="772"/>
      <c r="HY165" s="772"/>
      <c r="HZ165" s="772"/>
      <c r="IA165" s="772"/>
      <c r="IB165" s="772"/>
      <c r="IC165" s="772"/>
      <c r="ID165" s="772"/>
      <c r="IE165" s="772"/>
      <c r="IF165" s="772"/>
      <c r="IG165" s="772"/>
      <c r="IH165" s="772"/>
      <c r="II165" s="772"/>
      <c r="IJ165" s="772"/>
      <c r="IK165" s="772"/>
      <c r="IL165" s="772"/>
      <c r="IM165" s="772"/>
      <c r="IN165" s="772"/>
      <c r="IO165" s="772"/>
      <c r="IP165" s="772"/>
      <c r="IQ165" s="772"/>
      <c r="IR165" s="772"/>
      <c r="IS165" s="772"/>
      <c r="IT165" s="772"/>
      <c r="IU165" s="772"/>
      <c r="IV165" s="772"/>
      <c r="IW165" s="772"/>
    </row>
    <row r="166" spans="1:257" s="579" customFormat="1">
      <c r="A166" s="713" t="s">
        <v>258</v>
      </c>
      <c r="B166" s="696" t="s">
        <v>1461</v>
      </c>
      <c r="C166" s="699"/>
      <c r="D166" s="699"/>
      <c r="E166" s="817"/>
      <c r="F166" s="817"/>
      <c r="G166" s="700"/>
      <c r="H166" s="700"/>
      <c r="I166" s="700"/>
      <c r="J166" s="817">
        <v>170000000</v>
      </c>
      <c r="K166" s="817"/>
      <c r="L166" s="1314"/>
      <c r="M166" s="705" t="s">
        <v>1462</v>
      </c>
      <c r="N166" s="819"/>
      <c r="O166" s="819"/>
      <c r="P166" s="820"/>
      <c r="Q166" s="820"/>
      <c r="R166" s="823"/>
      <c r="S166" s="823"/>
      <c r="T166" s="824"/>
      <c r="U166" s="580"/>
      <c r="V166" s="790"/>
      <c r="W166" s="825"/>
      <c r="X166" s="726"/>
      <c r="Y166" s="724"/>
      <c r="Z166" s="724"/>
      <c r="AA166" s="772"/>
      <c r="AB166" s="772"/>
      <c r="AC166" s="772"/>
      <c r="AD166" s="772"/>
      <c r="AE166" s="772"/>
      <c r="AF166" s="772"/>
      <c r="AG166" s="772"/>
      <c r="AH166" s="772"/>
      <c r="AI166" s="772"/>
      <c r="AJ166" s="772"/>
      <c r="AK166" s="772"/>
      <c r="AL166" s="772"/>
      <c r="AM166" s="772"/>
      <c r="AN166" s="772"/>
      <c r="AO166" s="772"/>
      <c r="AP166" s="772"/>
      <c r="AQ166" s="772"/>
      <c r="AR166" s="772"/>
      <c r="AS166" s="772"/>
      <c r="AT166" s="772"/>
      <c r="AU166" s="772"/>
      <c r="AV166" s="772"/>
      <c r="AW166" s="772"/>
      <c r="AX166" s="772"/>
      <c r="AY166" s="772"/>
      <c r="AZ166" s="772"/>
      <c r="BA166" s="772"/>
      <c r="BB166" s="772"/>
      <c r="BC166" s="772"/>
      <c r="BD166" s="772"/>
      <c r="BE166" s="772"/>
      <c r="BF166" s="772"/>
      <c r="BG166" s="772"/>
      <c r="BH166" s="772"/>
      <c r="BI166" s="772"/>
      <c r="BJ166" s="772"/>
      <c r="BK166" s="772"/>
      <c r="BL166" s="772"/>
      <c r="BM166" s="772"/>
      <c r="BN166" s="772"/>
      <c r="BO166" s="772"/>
      <c r="BP166" s="772"/>
      <c r="BQ166" s="772"/>
      <c r="BR166" s="772"/>
      <c r="BS166" s="772"/>
      <c r="BT166" s="772"/>
      <c r="BU166" s="772"/>
      <c r="BV166" s="772"/>
      <c r="BW166" s="772"/>
      <c r="BX166" s="772"/>
      <c r="BY166" s="772"/>
      <c r="BZ166" s="772"/>
      <c r="CA166" s="772"/>
      <c r="CB166" s="772"/>
      <c r="CC166" s="772"/>
      <c r="CD166" s="772"/>
      <c r="CE166" s="772"/>
      <c r="CF166" s="772"/>
      <c r="CG166" s="772"/>
      <c r="CH166" s="772"/>
      <c r="CI166" s="772"/>
      <c r="CJ166" s="772"/>
      <c r="CK166" s="772"/>
      <c r="CL166" s="772"/>
      <c r="CM166" s="772"/>
      <c r="CN166" s="772"/>
      <c r="CO166" s="772"/>
      <c r="CP166" s="772"/>
      <c r="CQ166" s="772"/>
      <c r="CR166" s="772"/>
      <c r="CS166" s="772"/>
      <c r="CT166" s="772"/>
      <c r="CU166" s="772"/>
      <c r="CV166" s="772"/>
      <c r="CW166" s="772"/>
      <c r="CX166" s="772"/>
      <c r="CY166" s="772"/>
      <c r="CZ166" s="772"/>
      <c r="DA166" s="772"/>
      <c r="DB166" s="772"/>
      <c r="DC166" s="772"/>
      <c r="DD166" s="772"/>
      <c r="DE166" s="772"/>
      <c r="DF166" s="772"/>
      <c r="DG166" s="772"/>
      <c r="DH166" s="772"/>
      <c r="DI166" s="772"/>
      <c r="DJ166" s="772"/>
      <c r="DK166" s="772"/>
      <c r="DL166" s="772"/>
      <c r="DM166" s="772"/>
      <c r="DN166" s="772"/>
      <c r="DO166" s="772"/>
      <c r="DP166" s="772"/>
      <c r="DQ166" s="772"/>
      <c r="DR166" s="772"/>
      <c r="DS166" s="772"/>
      <c r="DT166" s="772"/>
      <c r="DU166" s="772"/>
      <c r="DV166" s="772"/>
      <c r="DW166" s="772"/>
      <c r="DX166" s="772"/>
      <c r="DY166" s="772"/>
      <c r="DZ166" s="772"/>
      <c r="EA166" s="772"/>
      <c r="EB166" s="772"/>
      <c r="EC166" s="772"/>
      <c r="ED166" s="772"/>
      <c r="EE166" s="772"/>
      <c r="EF166" s="772"/>
      <c r="EG166" s="772"/>
      <c r="EH166" s="772"/>
      <c r="EI166" s="772"/>
      <c r="EJ166" s="772"/>
      <c r="EK166" s="772"/>
      <c r="EL166" s="772"/>
      <c r="EM166" s="772"/>
      <c r="EN166" s="772"/>
      <c r="EO166" s="772"/>
      <c r="EP166" s="772"/>
      <c r="EQ166" s="772"/>
      <c r="ER166" s="772"/>
      <c r="ES166" s="772"/>
      <c r="ET166" s="772"/>
      <c r="EU166" s="772"/>
      <c r="EV166" s="772"/>
      <c r="EW166" s="772"/>
      <c r="EX166" s="772"/>
      <c r="EY166" s="772"/>
      <c r="EZ166" s="772"/>
      <c r="FA166" s="772"/>
      <c r="FB166" s="772"/>
      <c r="FC166" s="772"/>
      <c r="FD166" s="772"/>
      <c r="FE166" s="772"/>
      <c r="FF166" s="772"/>
      <c r="FG166" s="772"/>
      <c r="FH166" s="772"/>
      <c r="FI166" s="772"/>
      <c r="FJ166" s="772"/>
      <c r="FK166" s="772"/>
      <c r="FL166" s="772"/>
      <c r="FM166" s="772"/>
      <c r="FN166" s="772"/>
      <c r="FO166" s="772"/>
      <c r="FP166" s="772"/>
      <c r="FQ166" s="772"/>
      <c r="FR166" s="772"/>
      <c r="FS166" s="772"/>
      <c r="FT166" s="772"/>
      <c r="FU166" s="772"/>
      <c r="FV166" s="772"/>
      <c r="FW166" s="772"/>
      <c r="FX166" s="772"/>
      <c r="FY166" s="772"/>
      <c r="FZ166" s="772"/>
      <c r="GA166" s="772"/>
      <c r="GB166" s="772"/>
      <c r="GC166" s="772"/>
      <c r="GD166" s="772"/>
      <c r="GE166" s="772"/>
      <c r="GF166" s="772"/>
      <c r="GG166" s="772"/>
      <c r="GH166" s="772"/>
      <c r="GI166" s="772"/>
      <c r="GJ166" s="772"/>
      <c r="GK166" s="772"/>
      <c r="GL166" s="772"/>
      <c r="GM166" s="772"/>
      <c r="GN166" s="772"/>
      <c r="GO166" s="772"/>
      <c r="GP166" s="772"/>
      <c r="GQ166" s="772"/>
      <c r="GR166" s="772"/>
      <c r="GS166" s="772"/>
      <c r="GT166" s="772"/>
      <c r="GU166" s="772"/>
      <c r="GV166" s="772"/>
      <c r="GW166" s="772"/>
      <c r="GX166" s="772"/>
      <c r="GY166" s="772"/>
      <c r="GZ166" s="772"/>
      <c r="HA166" s="772"/>
      <c r="HB166" s="772"/>
      <c r="HC166" s="772"/>
      <c r="HD166" s="772"/>
      <c r="HE166" s="772"/>
      <c r="HF166" s="772"/>
      <c r="HG166" s="772"/>
      <c r="HH166" s="772"/>
      <c r="HI166" s="772"/>
      <c r="HJ166" s="772"/>
      <c r="HK166" s="772"/>
      <c r="HL166" s="772"/>
      <c r="HM166" s="772"/>
      <c r="HN166" s="772"/>
      <c r="HO166" s="772"/>
      <c r="HP166" s="772"/>
      <c r="HQ166" s="772"/>
      <c r="HR166" s="772"/>
      <c r="HS166" s="772"/>
      <c r="HT166" s="772"/>
      <c r="HU166" s="772"/>
      <c r="HV166" s="772"/>
      <c r="HW166" s="772"/>
      <c r="HX166" s="772"/>
      <c r="HY166" s="772"/>
      <c r="HZ166" s="772"/>
      <c r="IA166" s="772"/>
      <c r="IB166" s="772"/>
      <c r="IC166" s="772"/>
      <c r="ID166" s="772"/>
      <c r="IE166" s="772"/>
      <c r="IF166" s="772"/>
      <c r="IG166" s="772"/>
      <c r="IH166" s="772"/>
      <c r="II166" s="772"/>
      <c r="IJ166" s="772"/>
      <c r="IK166" s="772"/>
      <c r="IL166" s="772"/>
      <c r="IM166" s="772"/>
      <c r="IN166" s="772"/>
      <c r="IO166" s="772"/>
      <c r="IP166" s="772"/>
      <c r="IQ166" s="772"/>
      <c r="IR166" s="772"/>
      <c r="IS166" s="772"/>
      <c r="IT166" s="772"/>
      <c r="IU166" s="772"/>
      <c r="IV166" s="772"/>
      <c r="IW166" s="772"/>
    </row>
    <row r="167" spans="1:257" s="579" customFormat="1">
      <c r="A167" s="713"/>
      <c r="B167" s="696" t="s">
        <v>912</v>
      </c>
      <c r="C167" s="699"/>
      <c r="D167" s="699"/>
      <c r="E167" s="817"/>
      <c r="F167" s="817"/>
      <c r="G167" s="700"/>
      <c r="H167" s="700"/>
      <c r="I167" s="700"/>
      <c r="J167" s="817"/>
      <c r="K167" s="817">
        <v>26000000</v>
      </c>
      <c r="L167" s="1314">
        <v>0</v>
      </c>
      <c r="M167" s="705"/>
      <c r="N167" s="819"/>
      <c r="O167" s="819"/>
      <c r="P167" s="820"/>
      <c r="Q167" s="820"/>
      <c r="R167" s="823"/>
      <c r="S167" s="823"/>
      <c r="T167" s="824"/>
      <c r="U167" s="580"/>
      <c r="V167" s="790"/>
      <c r="W167" s="825"/>
      <c r="X167" s="726"/>
      <c r="Y167" s="724"/>
      <c r="Z167" s="724"/>
      <c r="AA167" s="772"/>
      <c r="AB167" s="772"/>
      <c r="AC167" s="772"/>
      <c r="AD167" s="772"/>
      <c r="AE167" s="772"/>
      <c r="AF167" s="772"/>
      <c r="AG167" s="772"/>
      <c r="AH167" s="772"/>
      <c r="AI167" s="772"/>
      <c r="AJ167" s="772"/>
      <c r="AK167" s="772"/>
      <c r="AL167" s="772"/>
      <c r="AM167" s="772"/>
      <c r="AN167" s="772"/>
      <c r="AO167" s="772"/>
      <c r="AP167" s="772"/>
      <c r="AQ167" s="772"/>
      <c r="AR167" s="772"/>
      <c r="AS167" s="772"/>
      <c r="AT167" s="772"/>
      <c r="AU167" s="772"/>
      <c r="AV167" s="772"/>
      <c r="AW167" s="772"/>
      <c r="AX167" s="772"/>
      <c r="AY167" s="772"/>
      <c r="AZ167" s="772"/>
      <c r="BA167" s="772"/>
      <c r="BB167" s="772"/>
      <c r="BC167" s="772"/>
      <c r="BD167" s="772"/>
      <c r="BE167" s="772"/>
      <c r="BF167" s="772"/>
      <c r="BG167" s="772"/>
      <c r="BH167" s="772"/>
      <c r="BI167" s="772"/>
      <c r="BJ167" s="772"/>
      <c r="BK167" s="772"/>
      <c r="BL167" s="772"/>
      <c r="BM167" s="772"/>
      <c r="BN167" s="772"/>
      <c r="BO167" s="772"/>
      <c r="BP167" s="772"/>
      <c r="BQ167" s="772"/>
      <c r="BR167" s="772"/>
      <c r="BS167" s="772"/>
      <c r="BT167" s="772"/>
      <c r="BU167" s="772"/>
      <c r="BV167" s="772"/>
      <c r="BW167" s="772"/>
      <c r="BX167" s="772"/>
      <c r="BY167" s="772"/>
      <c r="BZ167" s="772"/>
      <c r="CA167" s="772"/>
      <c r="CB167" s="772"/>
      <c r="CC167" s="772"/>
      <c r="CD167" s="772"/>
      <c r="CE167" s="772"/>
      <c r="CF167" s="772"/>
      <c r="CG167" s="772"/>
      <c r="CH167" s="772"/>
      <c r="CI167" s="772"/>
      <c r="CJ167" s="772"/>
      <c r="CK167" s="772"/>
      <c r="CL167" s="772"/>
      <c r="CM167" s="772"/>
      <c r="CN167" s="772"/>
      <c r="CO167" s="772"/>
      <c r="CP167" s="772"/>
      <c r="CQ167" s="772"/>
      <c r="CR167" s="772"/>
      <c r="CS167" s="772"/>
      <c r="CT167" s="772"/>
      <c r="CU167" s="772"/>
      <c r="CV167" s="772"/>
      <c r="CW167" s="772"/>
      <c r="CX167" s="772"/>
      <c r="CY167" s="772"/>
      <c r="CZ167" s="772"/>
      <c r="DA167" s="772"/>
      <c r="DB167" s="772"/>
      <c r="DC167" s="772"/>
      <c r="DD167" s="772"/>
      <c r="DE167" s="772"/>
      <c r="DF167" s="772"/>
      <c r="DG167" s="772"/>
      <c r="DH167" s="772"/>
      <c r="DI167" s="772"/>
      <c r="DJ167" s="772"/>
      <c r="DK167" s="772"/>
      <c r="DL167" s="772"/>
      <c r="DM167" s="772"/>
      <c r="DN167" s="772"/>
      <c r="DO167" s="772"/>
      <c r="DP167" s="772"/>
      <c r="DQ167" s="772"/>
      <c r="DR167" s="772"/>
      <c r="DS167" s="772"/>
      <c r="DT167" s="772"/>
      <c r="DU167" s="772"/>
      <c r="DV167" s="772"/>
      <c r="DW167" s="772"/>
      <c r="DX167" s="772"/>
      <c r="DY167" s="772"/>
      <c r="DZ167" s="772"/>
      <c r="EA167" s="772"/>
      <c r="EB167" s="772"/>
      <c r="EC167" s="772"/>
      <c r="ED167" s="772"/>
      <c r="EE167" s="772"/>
      <c r="EF167" s="772"/>
      <c r="EG167" s="772"/>
      <c r="EH167" s="772"/>
      <c r="EI167" s="772"/>
      <c r="EJ167" s="772"/>
      <c r="EK167" s="772"/>
      <c r="EL167" s="772"/>
      <c r="EM167" s="772"/>
      <c r="EN167" s="772"/>
      <c r="EO167" s="772"/>
      <c r="EP167" s="772"/>
      <c r="EQ167" s="772"/>
      <c r="ER167" s="772"/>
      <c r="ES167" s="772"/>
      <c r="ET167" s="772"/>
      <c r="EU167" s="772"/>
      <c r="EV167" s="772"/>
      <c r="EW167" s="772"/>
      <c r="EX167" s="772"/>
      <c r="EY167" s="772"/>
      <c r="EZ167" s="772"/>
      <c r="FA167" s="772"/>
      <c r="FB167" s="772"/>
      <c r="FC167" s="772"/>
      <c r="FD167" s="772"/>
      <c r="FE167" s="772"/>
      <c r="FF167" s="772"/>
      <c r="FG167" s="772"/>
      <c r="FH167" s="772"/>
      <c r="FI167" s="772"/>
      <c r="FJ167" s="772"/>
      <c r="FK167" s="772"/>
      <c r="FL167" s="772"/>
      <c r="FM167" s="772"/>
      <c r="FN167" s="772"/>
      <c r="FO167" s="772"/>
      <c r="FP167" s="772"/>
      <c r="FQ167" s="772"/>
      <c r="FR167" s="772"/>
      <c r="FS167" s="772"/>
      <c r="FT167" s="772"/>
      <c r="FU167" s="772"/>
      <c r="FV167" s="772"/>
      <c r="FW167" s="772"/>
      <c r="FX167" s="772"/>
      <c r="FY167" s="772"/>
      <c r="FZ167" s="772"/>
      <c r="GA167" s="772"/>
      <c r="GB167" s="772"/>
      <c r="GC167" s="772"/>
      <c r="GD167" s="772"/>
      <c r="GE167" s="772"/>
      <c r="GF167" s="772"/>
      <c r="GG167" s="772"/>
      <c r="GH167" s="772"/>
      <c r="GI167" s="772"/>
      <c r="GJ167" s="772"/>
      <c r="GK167" s="772"/>
      <c r="GL167" s="772"/>
      <c r="GM167" s="772"/>
      <c r="GN167" s="772"/>
      <c r="GO167" s="772"/>
      <c r="GP167" s="772"/>
      <c r="GQ167" s="772"/>
      <c r="GR167" s="772"/>
      <c r="GS167" s="772"/>
      <c r="GT167" s="772"/>
      <c r="GU167" s="772"/>
      <c r="GV167" s="772"/>
      <c r="GW167" s="772"/>
      <c r="GX167" s="772"/>
      <c r="GY167" s="772"/>
      <c r="GZ167" s="772"/>
      <c r="HA167" s="772"/>
      <c r="HB167" s="772"/>
      <c r="HC167" s="772"/>
      <c r="HD167" s="772"/>
      <c r="HE167" s="772"/>
      <c r="HF167" s="772"/>
      <c r="HG167" s="772"/>
      <c r="HH167" s="772"/>
      <c r="HI167" s="772"/>
      <c r="HJ167" s="772"/>
      <c r="HK167" s="772"/>
      <c r="HL167" s="772"/>
      <c r="HM167" s="772"/>
      <c r="HN167" s="772"/>
      <c r="HO167" s="772"/>
      <c r="HP167" s="772"/>
      <c r="HQ167" s="772"/>
      <c r="HR167" s="772"/>
      <c r="HS167" s="772"/>
      <c r="HT167" s="772"/>
      <c r="HU167" s="772"/>
      <c r="HV167" s="772"/>
      <c r="HW167" s="772"/>
      <c r="HX167" s="772"/>
      <c r="HY167" s="772"/>
      <c r="HZ167" s="772"/>
      <c r="IA167" s="772"/>
      <c r="IB167" s="772"/>
      <c r="IC167" s="772"/>
      <c r="ID167" s="772"/>
      <c r="IE167" s="772"/>
      <c r="IF167" s="772"/>
      <c r="IG167" s="772"/>
      <c r="IH167" s="772"/>
      <c r="II167" s="772"/>
      <c r="IJ167" s="772"/>
      <c r="IK167" s="772"/>
      <c r="IL167" s="772"/>
      <c r="IM167" s="772"/>
      <c r="IN167" s="772"/>
      <c r="IO167" s="772"/>
      <c r="IP167" s="772"/>
      <c r="IQ167" s="772"/>
      <c r="IR167" s="772"/>
      <c r="IS167" s="772"/>
      <c r="IT167" s="772"/>
      <c r="IU167" s="772"/>
      <c r="IV167" s="772"/>
      <c r="IW167" s="772"/>
    </row>
    <row r="168" spans="1:257" s="579" customFormat="1" ht="31.5">
      <c r="A168" s="713"/>
      <c r="B168" s="696" t="s">
        <v>1460</v>
      </c>
      <c r="C168" s="699"/>
      <c r="D168" s="699"/>
      <c r="E168" s="817"/>
      <c r="F168" s="817"/>
      <c r="G168" s="700"/>
      <c r="H168" s="700"/>
      <c r="I168" s="700"/>
      <c r="J168" s="817"/>
      <c r="K168" s="817">
        <v>30000000</v>
      </c>
      <c r="L168" s="1314">
        <v>60000000</v>
      </c>
      <c r="M168" s="705"/>
      <c r="N168" s="819"/>
      <c r="O168" s="819"/>
      <c r="P168" s="820"/>
      <c r="Q168" s="820"/>
      <c r="R168" s="823"/>
      <c r="S168" s="823"/>
      <c r="T168" s="824"/>
      <c r="U168" s="580"/>
      <c r="V168" s="790"/>
      <c r="W168" s="825"/>
      <c r="X168" s="726"/>
      <c r="Y168" s="724"/>
      <c r="Z168" s="724"/>
      <c r="AA168" s="772"/>
      <c r="AB168" s="772"/>
      <c r="AC168" s="772"/>
      <c r="AD168" s="772"/>
      <c r="AE168" s="772"/>
      <c r="AF168" s="772"/>
      <c r="AG168" s="772"/>
      <c r="AH168" s="772"/>
      <c r="AI168" s="772"/>
      <c r="AJ168" s="772"/>
      <c r="AK168" s="772"/>
      <c r="AL168" s="772"/>
      <c r="AM168" s="772"/>
      <c r="AN168" s="772"/>
      <c r="AO168" s="772"/>
      <c r="AP168" s="772"/>
      <c r="AQ168" s="772"/>
      <c r="AR168" s="772"/>
      <c r="AS168" s="772"/>
      <c r="AT168" s="772"/>
      <c r="AU168" s="772"/>
      <c r="AV168" s="772"/>
      <c r="AW168" s="772"/>
      <c r="AX168" s="772"/>
      <c r="AY168" s="772"/>
      <c r="AZ168" s="772"/>
      <c r="BA168" s="772"/>
      <c r="BB168" s="772"/>
      <c r="BC168" s="772"/>
      <c r="BD168" s="772"/>
      <c r="BE168" s="772"/>
      <c r="BF168" s="772"/>
      <c r="BG168" s="772"/>
      <c r="BH168" s="772"/>
      <c r="BI168" s="772"/>
      <c r="BJ168" s="772"/>
      <c r="BK168" s="772"/>
      <c r="BL168" s="772"/>
      <c r="BM168" s="772"/>
      <c r="BN168" s="772"/>
      <c r="BO168" s="772"/>
      <c r="BP168" s="772"/>
      <c r="BQ168" s="772"/>
      <c r="BR168" s="772"/>
      <c r="BS168" s="772"/>
      <c r="BT168" s="772"/>
      <c r="BU168" s="772"/>
      <c r="BV168" s="772"/>
      <c r="BW168" s="772"/>
      <c r="BX168" s="772"/>
      <c r="BY168" s="772"/>
      <c r="BZ168" s="772"/>
      <c r="CA168" s="772"/>
      <c r="CB168" s="772"/>
      <c r="CC168" s="772"/>
      <c r="CD168" s="772"/>
      <c r="CE168" s="772"/>
      <c r="CF168" s="772"/>
      <c r="CG168" s="772"/>
      <c r="CH168" s="772"/>
      <c r="CI168" s="772"/>
      <c r="CJ168" s="772"/>
      <c r="CK168" s="772"/>
      <c r="CL168" s="772"/>
      <c r="CM168" s="772"/>
      <c r="CN168" s="772"/>
      <c r="CO168" s="772"/>
      <c r="CP168" s="772"/>
      <c r="CQ168" s="772"/>
      <c r="CR168" s="772"/>
      <c r="CS168" s="772"/>
      <c r="CT168" s="772"/>
      <c r="CU168" s="772"/>
      <c r="CV168" s="772"/>
      <c r="CW168" s="772"/>
      <c r="CX168" s="772"/>
      <c r="CY168" s="772"/>
      <c r="CZ168" s="772"/>
      <c r="DA168" s="772"/>
      <c r="DB168" s="772"/>
      <c r="DC168" s="772"/>
      <c r="DD168" s="772"/>
      <c r="DE168" s="772"/>
      <c r="DF168" s="772"/>
      <c r="DG168" s="772"/>
      <c r="DH168" s="772"/>
      <c r="DI168" s="772"/>
      <c r="DJ168" s="772"/>
      <c r="DK168" s="772"/>
      <c r="DL168" s="772"/>
      <c r="DM168" s="772"/>
      <c r="DN168" s="772"/>
      <c r="DO168" s="772"/>
      <c r="DP168" s="772"/>
      <c r="DQ168" s="772"/>
      <c r="DR168" s="772"/>
      <c r="DS168" s="772"/>
      <c r="DT168" s="772"/>
      <c r="DU168" s="772"/>
      <c r="DV168" s="772"/>
      <c r="DW168" s="772"/>
      <c r="DX168" s="772"/>
      <c r="DY168" s="772"/>
      <c r="DZ168" s="772"/>
      <c r="EA168" s="772"/>
      <c r="EB168" s="772"/>
      <c r="EC168" s="772"/>
      <c r="ED168" s="772"/>
      <c r="EE168" s="772"/>
      <c r="EF168" s="772"/>
      <c r="EG168" s="772"/>
      <c r="EH168" s="772"/>
      <c r="EI168" s="772"/>
      <c r="EJ168" s="772"/>
      <c r="EK168" s="772"/>
      <c r="EL168" s="772"/>
      <c r="EM168" s="772"/>
      <c r="EN168" s="772"/>
      <c r="EO168" s="772"/>
      <c r="EP168" s="772"/>
      <c r="EQ168" s="772"/>
      <c r="ER168" s="772"/>
      <c r="ES168" s="772"/>
      <c r="ET168" s="772"/>
      <c r="EU168" s="772"/>
      <c r="EV168" s="772"/>
      <c r="EW168" s="772"/>
      <c r="EX168" s="772"/>
      <c r="EY168" s="772"/>
      <c r="EZ168" s="772"/>
      <c r="FA168" s="772"/>
      <c r="FB168" s="772"/>
      <c r="FC168" s="772"/>
      <c r="FD168" s="772"/>
      <c r="FE168" s="772"/>
      <c r="FF168" s="772"/>
      <c r="FG168" s="772"/>
      <c r="FH168" s="772"/>
      <c r="FI168" s="772"/>
      <c r="FJ168" s="772"/>
      <c r="FK168" s="772"/>
      <c r="FL168" s="772"/>
      <c r="FM168" s="772"/>
      <c r="FN168" s="772"/>
      <c r="FO168" s="772"/>
      <c r="FP168" s="772"/>
      <c r="FQ168" s="772"/>
      <c r="FR168" s="772"/>
      <c r="FS168" s="772"/>
      <c r="FT168" s="772"/>
      <c r="FU168" s="772"/>
      <c r="FV168" s="772"/>
      <c r="FW168" s="772"/>
      <c r="FX168" s="772"/>
      <c r="FY168" s="772"/>
      <c r="FZ168" s="772"/>
      <c r="GA168" s="772"/>
      <c r="GB168" s="772"/>
      <c r="GC168" s="772"/>
      <c r="GD168" s="772"/>
      <c r="GE168" s="772"/>
      <c r="GF168" s="772"/>
      <c r="GG168" s="772"/>
      <c r="GH168" s="772"/>
      <c r="GI168" s="772"/>
      <c r="GJ168" s="772"/>
      <c r="GK168" s="772"/>
      <c r="GL168" s="772"/>
      <c r="GM168" s="772"/>
      <c r="GN168" s="772"/>
      <c r="GO168" s="772"/>
      <c r="GP168" s="772"/>
      <c r="GQ168" s="772"/>
      <c r="GR168" s="772"/>
      <c r="GS168" s="772"/>
      <c r="GT168" s="772"/>
      <c r="GU168" s="772"/>
      <c r="GV168" s="772"/>
      <c r="GW168" s="772"/>
      <c r="GX168" s="772"/>
      <c r="GY168" s="772"/>
      <c r="GZ168" s="772"/>
      <c r="HA168" s="772"/>
      <c r="HB168" s="772"/>
      <c r="HC168" s="772"/>
      <c r="HD168" s="772"/>
      <c r="HE168" s="772"/>
      <c r="HF168" s="772"/>
      <c r="HG168" s="772"/>
      <c r="HH168" s="772"/>
      <c r="HI168" s="772"/>
      <c r="HJ168" s="772"/>
      <c r="HK168" s="772"/>
      <c r="HL168" s="772"/>
      <c r="HM168" s="772"/>
      <c r="HN168" s="772"/>
      <c r="HO168" s="772"/>
      <c r="HP168" s="772"/>
      <c r="HQ168" s="772"/>
      <c r="HR168" s="772"/>
      <c r="HS168" s="772"/>
      <c r="HT168" s="772"/>
      <c r="HU168" s="772"/>
      <c r="HV168" s="772"/>
      <c r="HW168" s="772"/>
      <c r="HX168" s="772"/>
      <c r="HY168" s="772"/>
      <c r="HZ168" s="772"/>
      <c r="IA168" s="772"/>
      <c r="IB168" s="772"/>
      <c r="IC168" s="772"/>
      <c r="ID168" s="772"/>
      <c r="IE168" s="772"/>
      <c r="IF168" s="772"/>
      <c r="IG168" s="772"/>
      <c r="IH168" s="772"/>
      <c r="II168" s="772"/>
      <c r="IJ168" s="772"/>
      <c r="IK168" s="772"/>
      <c r="IL168" s="772"/>
      <c r="IM168" s="772"/>
      <c r="IN168" s="772"/>
      <c r="IO168" s="772"/>
      <c r="IP168" s="772"/>
      <c r="IQ168" s="772"/>
      <c r="IR168" s="772"/>
      <c r="IS168" s="772"/>
      <c r="IT168" s="772"/>
      <c r="IU168" s="772"/>
      <c r="IV168" s="772"/>
      <c r="IW168" s="772"/>
    </row>
    <row r="169" spans="1:257" s="579" customFormat="1" ht="31.5">
      <c r="A169" s="713"/>
      <c r="B169" s="696" t="s">
        <v>2041</v>
      </c>
      <c r="C169" s="699"/>
      <c r="D169" s="699"/>
      <c r="E169" s="817"/>
      <c r="F169" s="817"/>
      <c r="G169" s="700"/>
      <c r="H169" s="700"/>
      <c r="I169" s="700"/>
      <c r="J169" s="817"/>
      <c r="K169" s="817"/>
      <c r="L169" s="1314">
        <v>175000000</v>
      </c>
      <c r="M169" s="705" t="s">
        <v>1466</v>
      </c>
      <c r="N169" s="819"/>
      <c r="O169" s="819"/>
      <c r="P169" s="820"/>
      <c r="Q169" s="820"/>
      <c r="R169" s="823"/>
      <c r="S169" s="823"/>
      <c r="T169" s="824"/>
      <c r="U169" s="580"/>
      <c r="V169" s="790"/>
      <c r="W169" s="825"/>
      <c r="X169" s="726"/>
      <c r="Y169" s="724"/>
      <c r="Z169" s="724"/>
      <c r="AA169" s="772"/>
      <c r="AB169" s="772"/>
      <c r="AC169" s="772"/>
      <c r="AD169" s="772"/>
      <c r="AE169" s="772"/>
      <c r="AF169" s="772"/>
      <c r="AG169" s="772"/>
      <c r="AH169" s="772"/>
      <c r="AI169" s="772"/>
      <c r="AJ169" s="772"/>
      <c r="AK169" s="772"/>
      <c r="AL169" s="772"/>
      <c r="AM169" s="772"/>
      <c r="AN169" s="772"/>
      <c r="AO169" s="772"/>
      <c r="AP169" s="772"/>
      <c r="AQ169" s="772"/>
      <c r="AR169" s="772"/>
      <c r="AS169" s="772"/>
      <c r="AT169" s="772"/>
      <c r="AU169" s="772"/>
      <c r="AV169" s="772"/>
      <c r="AW169" s="772"/>
      <c r="AX169" s="772"/>
      <c r="AY169" s="772"/>
      <c r="AZ169" s="772"/>
      <c r="BA169" s="772"/>
      <c r="BB169" s="772"/>
      <c r="BC169" s="772"/>
      <c r="BD169" s="772"/>
      <c r="BE169" s="772"/>
      <c r="BF169" s="772"/>
      <c r="BG169" s="772"/>
      <c r="BH169" s="772"/>
      <c r="BI169" s="772"/>
      <c r="BJ169" s="772"/>
      <c r="BK169" s="772"/>
      <c r="BL169" s="772"/>
      <c r="BM169" s="772"/>
      <c r="BN169" s="772"/>
      <c r="BO169" s="772"/>
      <c r="BP169" s="772"/>
      <c r="BQ169" s="772"/>
      <c r="BR169" s="772"/>
      <c r="BS169" s="772"/>
      <c r="BT169" s="772"/>
      <c r="BU169" s="772"/>
      <c r="BV169" s="772"/>
      <c r="BW169" s="772"/>
      <c r="BX169" s="772"/>
      <c r="BY169" s="772"/>
      <c r="BZ169" s="772"/>
      <c r="CA169" s="772"/>
      <c r="CB169" s="772"/>
      <c r="CC169" s="772"/>
      <c r="CD169" s="772"/>
      <c r="CE169" s="772"/>
      <c r="CF169" s="772"/>
      <c r="CG169" s="772"/>
      <c r="CH169" s="772"/>
      <c r="CI169" s="772"/>
      <c r="CJ169" s="772"/>
      <c r="CK169" s="772"/>
      <c r="CL169" s="772"/>
      <c r="CM169" s="772"/>
      <c r="CN169" s="772"/>
      <c r="CO169" s="772"/>
      <c r="CP169" s="772"/>
      <c r="CQ169" s="772"/>
      <c r="CR169" s="772"/>
      <c r="CS169" s="772"/>
      <c r="CT169" s="772"/>
      <c r="CU169" s="772"/>
      <c r="CV169" s="772"/>
      <c r="CW169" s="772"/>
      <c r="CX169" s="772"/>
      <c r="CY169" s="772"/>
      <c r="CZ169" s="772"/>
      <c r="DA169" s="772"/>
      <c r="DB169" s="772"/>
      <c r="DC169" s="772"/>
      <c r="DD169" s="772"/>
      <c r="DE169" s="772"/>
      <c r="DF169" s="772"/>
      <c r="DG169" s="772"/>
      <c r="DH169" s="772"/>
      <c r="DI169" s="772"/>
      <c r="DJ169" s="772"/>
      <c r="DK169" s="772"/>
      <c r="DL169" s="772"/>
      <c r="DM169" s="772"/>
      <c r="DN169" s="772"/>
      <c r="DO169" s="772"/>
      <c r="DP169" s="772"/>
      <c r="DQ169" s="772"/>
      <c r="DR169" s="772"/>
      <c r="DS169" s="772"/>
      <c r="DT169" s="772"/>
      <c r="DU169" s="772"/>
      <c r="DV169" s="772"/>
      <c r="DW169" s="772"/>
      <c r="DX169" s="772"/>
      <c r="DY169" s="772"/>
      <c r="DZ169" s="772"/>
      <c r="EA169" s="772"/>
      <c r="EB169" s="772"/>
      <c r="EC169" s="772"/>
      <c r="ED169" s="772"/>
      <c r="EE169" s="772"/>
      <c r="EF169" s="772"/>
      <c r="EG169" s="772"/>
      <c r="EH169" s="772"/>
      <c r="EI169" s="772"/>
      <c r="EJ169" s="772"/>
      <c r="EK169" s="772"/>
      <c r="EL169" s="772"/>
      <c r="EM169" s="772"/>
      <c r="EN169" s="772"/>
      <c r="EO169" s="772"/>
      <c r="EP169" s="772"/>
      <c r="EQ169" s="772"/>
      <c r="ER169" s="772"/>
      <c r="ES169" s="772"/>
      <c r="ET169" s="772"/>
      <c r="EU169" s="772"/>
      <c r="EV169" s="772"/>
      <c r="EW169" s="772"/>
      <c r="EX169" s="772"/>
      <c r="EY169" s="772"/>
      <c r="EZ169" s="772"/>
      <c r="FA169" s="772"/>
      <c r="FB169" s="772"/>
      <c r="FC169" s="772"/>
      <c r="FD169" s="772"/>
      <c r="FE169" s="772"/>
      <c r="FF169" s="772"/>
      <c r="FG169" s="772"/>
      <c r="FH169" s="772"/>
      <c r="FI169" s="772"/>
      <c r="FJ169" s="772"/>
      <c r="FK169" s="772"/>
      <c r="FL169" s="772"/>
      <c r="FM169" s="772"/>
      <c r="FN169" s="772"/>
      <c r="FO169" s="772"/>
      <c r="FP169" s="772"/>
      <c r="FQ169" s="772"/>
      <c r="FR169" s="772"/>
      <c r="FS169" s="772"/>
      <c r="FT169" s="772"/>
      <c r="FU169" s="772"/>
      <c r="FV169" s="772"/>
      <c r="FW169" s="772"/>
      <c r="FX169" s="772"/>
      <c r="FY169" s="772"/>
      <c r="FZ169" s="772"/>
      <c r="GA169" s="772"/>
      <c r="GB169" s="772"/>
      <c r="GC169" s="772"/>
      <c r="GD169" s="772"/>
      <c r="GE169" s="772"/>
      <c r="GF169" s="772"/>
      <c r="GG169" s="772"/>
      <c r="GH169" s="772"/>
      <c r="GI169" s="772"/>
      <c r="GJ169" s="772"/>
      <c r="GK169" s="772"/>
      <c r="GL169" s="772"/>
      <c r="GM169" s="772"/>
      <c r="GN169" s="772"/>
      <c r="GO169" s="772"/>
      <c r="GP169" s="772"/>
      <c r="GQ169" s="772"/>
      <c r="GR169" s="772"/>
      <c r="GS169" s="772"/>
      <c r="GT169" s="772"/>
      <c r="GU169" s="772"/>
      <c r="GV169" s="772"/>
      <c r="GW169" s="772"/>
      <c r="GX169" s="772"/>
      <c r="GY169" s="772"/>
      <c r="GZ169" s="772"/>
      <c r="HA169" s="772"/>
      <c r="HB169" s="772"/>
      <c r="HC169" s="772"/>
      <c r="HD169" s="772"/>
      <c r="HE169" s="772"/>
      <c r="HF169" s="772"/>
      <c r="HG169" s="772"/>
      <c r="HH169" s="772"/>
      <c r="HI169" s="772"/>
      <c r="HJ169" s="772"/>
      <c r="HK169" s="772"/>
      <c r="HL169" s="772"/>
      <c r="HM169" s="772"/>
      <c r="HN169" s="772"/>
      <c r="HO169" s="772"/>
      <c r="HP169" s="772"/>
      <c r="HQ169" s="772"/>
      <c r="HR169" s="772"/>
      <c r="HS169" s="772"/>
      <c r="HT169" s="772"/>
      <c r="HU169" s="772"/>
      <c r="HV169" s="772"/>
      <c r="HW169" s="772"/>
      <c r="HX169" s="772"/>
      <c r="HY169" s="772"/>
      <c r="HZ169" s="772"/>
      <c r="IA169" s="772"/>
      <c r="IB169" s="772"/>
      <c r="IC169" s="772"/>
      <c r="ID169" s="772"/>
      <c r="IE169" s="772"/>
      <c r="IF169" s="772"/>
      <c r="IG169" s="772"/>
      <c r="IH169" s="772"/>
      <c r="II169" s="772"/>
      <c r="IJ169" s="772"/>
      <c r="IK169" s="772"/>
      <c r="IL169" s="772"/>
      <c r="IM169" s="772"/>
      <c r="IN169" s="772"/>
      <c r="IO169" s="772"/>
      <c r="IP169" s="772"/>
      <c r="IQ169" s="772"/>
      <c r="IR169" s="772"/>
      <c r="IS169" s="772"/>
      <c r="IT169" s="772"/>
      <c r="IU169" s="772"/>
      <c r="IV169" s="772"/>
      <c r="IW169" s="772"/>
    </row>
    <row r="170" spans="1:257" s="579" customFormat="1" ht="31.5">
      <c r="A170" s="713" t="s">
        <v>258</v>
      </c>
      <c r="B170" s="696" t="s">
        <v>259</v>
      </c>
      <c r="C170" s="699"/>
      <c r="D170" s="699"/>
      <c r="E170" s="817"/>
      <c r="F170" s="700">
        <v>1000000000</v>
      </c>
      <c r="G170" s="651" t="s">
        <v>913</v>
      </c>
      <c r="H170" s="651"/>
      <c r="I170" s="651"/>
      <c r="J170" s="700">
        <v>2300000000</v>
      </c>
      <c r="K170" s="700">
        <v>500000000</v>
      </c>
      <c r="L170" s="1315">
        <v>500000000</v>
      </c>
      <c r="M170" s="651" t="s">
        <v>914</v>
      </c>
      <c r="N170" s="820"/>
      <c r="O170" s="820"/>
      <c r="P170" s="826"/>
      <c r="Q170" s="826"/>
      <c r="R170" s="823"/>
      <c r="S170" s="823"/>
      <c r="T170" s="824"/>
      <c r="U170" s="827"/>
      <c r="V170" s="807"/>
      <c r="W170" s="790"/>
      <c r="X170" s="580"/>
      <c r="Y170" s="724"/>
      <c r="Z170" s="724"/>
    </row>
    <row r="171" spans="1:257" s="754" customFormat="1">
      <c r="A171" s="715" t="s">
        <v>261</v>
      </c>
      <c r="B171" s="607" t="s">
        <v>915</v>
      </c>
      <c r="C171" s="589"/>
      <c r="D171" s="589"/>
      <c r="E171" s="828"/>
      <c r="F171" s="704"/>
      <c r="G171" s="609"/>
      <c r="H171" s="609"/>
      <c r="I171" s="609"/>
      <c r="J171" s="704"/>
      <c r="K171" s="704">
        <f>K172</f>
        <v>86000000</v>
      </c>
      <c r="L171" s="1310">
        <f>L172</f>
        <v>0</v>
      </c>
      <c r="M171" s="609"/>
      <c r="N171" s="829"/>
      <c r="O171" s="829"/>
      <c r="P171" s="830"/>
      <c r="Q171" s="830"/>
      <c r="R171" s="831"/>
      <c r="S171" s="831"/>
      <c r="T171" s="832"/>
      <c r="U171" s="827"/>
      <c r="V171" s="807"/>
      <c r="W171" s="807"/>
      <c r="X171" s="577"/>
      <c r="Y171" s="724"/>
      <c r="Z171" s="724"/>
    </row>
    <row r="172" spans="1:257" s="579" customFormat="1" ht="47.25">
      <c r="A172" s="713"/>
      <c r="B172" s="696" t="s">
        <v>916</v>
      </c>
      <c r="C172" s="699"/>
      <c r="D172" s="699"/>
      <c r="E172" s="817"/>
      <c r="F172" s="700"/>
      <c r="G172" s="651"/>
      <c r="H172" s="651"/>
      <c r="I172" s="651"/>
      <c r="J172" s="700"/>
      <c r="K172" s="700">
        <v>86000000</v>
      </c>
      <c r="L172" s="1315">
        <v>0</v>
      </c>
      <c r="M172" s="651" t="s">
        <v>917</v>
      </c>
      <c r="N172" s="820"/>
      <c r="O172" s="820"/>
      <c r="P172" s="826"/>
      <c r="Q172" s="826"/>
      <c r="R172" s="823"/>
      <c r="S172" s="823"/>
      <c r="T172" s="824"/>
      <c r="U172" s="827"/>
      <c r="V172" s="807"/>
      <c r="W172" s="790"/>
      <c r="X172" s="580"/>
      <c r="Y172" s="724"/>
      <c r="Z172" s="724"/>
    </row>
    <row r="173" spans="1:257" s="754" customFormat="1">
      <c r="A173" s="729" t="s">
        <v>298</v>
      </c>
      <c r="B173" s="833" t="s">
        <v>262</v>
      </c>
      <c r="C173" s="729"/>
      <c r="D173" s="729"/>
      <c r="E173" s="731"/>
      <c r="F173" s="834">
        <f>F174</f>
        <v>132000000</v>
      </c>
      <c r="G173" s="731"/>
      <c r="H173" s="731"/>
      <c r="I173" s="731"/>
      <c r="J173" s="834" t="e">
        <f>J174</f>
        <v>#REF!</v>
      </c>
      <c r="K173" s="834">
        <f>K174</f>
        <v>82000000</v>
      </c>
      <c r="L173" s="1312">
        <f>L174</f>
        <v>100500000</v>
      </c>
      <c r="M173" s="626"/>
      <c r="N173" s="835"/>
      <c r="O173" s="835"/>
      <c r="P173" s="829"/>
      <c r="Q173" s="829"/>
      <c r="R173" s="821"/>
      <c r="S173" s="821"/>
      <c r="T173" s="822"/>
      <c r="U173" s="577"/>
      <c r="V173" s="836"/>
      <c r="W173" s="807"/>
      <c r="X173" s="577"/>
      <c r="Y173" s="724"/>
      <c r="Z173" s="724"/>
    </row>
    <row r="174" spans="1:257" s="584" customFormat="1">
      <c r="A174" s="758"/>
      <c r="B174" s="759" t="s">
        <v>263</v>
      </c>
      <c r="C174" s="758"/>
      <c r="D174" s="758"/>
      <c r="E174" s="760"/>
      <c r="F174" s="761">
        <f>(F157+F170+F163+F164)*10%</f>
        <v>132000000</v>
      </c>
      <c r="G174" s="740"/>
      <c r="H174" s="740"/>
      <c r="I174" s="740"/>
      <c r="J174" s="761" t="e">
        <f>(J157+J163+J164+J165+J166+#REF!+#REF!+#REF!+#REF!+#REF!+#REF!+J170)*10%</f>
        <v>#REF!</v>
      </c>
      <c r="K174" s="761">
        <f>(K157+K159-K160-K161)*10%</f>
        <v>82000000</v>
      </c>
      <c r="L174" s="1306">
        <f>(L157+L159-L160-L161-L162-L165)*10%</f>
        <v>100500000</v>
      </c>
      <c r="M174" s="761"/>
      <c r="N174" s="837"/>
      <c r="O174" s="837"/>
      <c r="P174" s="820"/>
      <c r="Q174" s="820"/>
      <c r="R174" s="838"/>
      <c r="S174" s="838"/>
      <c r="T174" s="839"/>
      <c r="U174" s="580"/>
      <c r="V174" s="790"/>
      <c r="W174" s="790"/>
      <c r="X174" s="580"/>
      <c r="Y174" s="724"/>
      <c r="Z174" s="724"/>
      <c r="AA174" s="579"/>
      <c r="AB174" s="579"/>
      <c r="AC174" s="579"/>
      <c r="AD174" s="579"/>
      <c r="AE174" s="579"/>
      <c r="AF174" s="579"/>
      <c r="AG174" s="579"/>
      <c r="AH174" s="579"/>
      <c r="AI174" s="579"/>
      <c r="AJ174" s="579"/>
      <c r="AK174" s="579"/>
      <c r="AL174" s="579"/>
      <c r="AM174" s="579"/>
      <c r="AN174" s="579"/>
      <c r="AO174" s="579"/>
      <c r="AP174" s="579"/>
      <c r="AQ174" s="579"/>
      <c r="AR174" s="579"/>
      <c r="AS174" s="579"/>
      <c r="AT174" s="579"/>
      <c r="AU174" s="579"/>
      <c r="AV174" s="579"/>
      <c r="AW174" s="579"/>
      <c r="AX174" s="579"/>
      <c r="AY174" s="579"/>
      <c r="AZ174" s="579"/>
      <c r="BA174" s="579"/>
      <c r="BB174" s="579"/>
      <c r="BC174" s="579"/>
      <c r="BD174" s="579"/>
      <c r="BE174" s="579"/>
      <c r="BF174" s="579"/>
      <c r="BG174" s="579"/>
      <c r="BH174" s="579"/>
      <c r="BI174" s="579"/>
      <c r="BJ174" s="579"/>
      <c r="BK174" s="579"/>
      <c r="BL174" s="579"/>
      <c r="BM174" s="579"/>
      <c r="BN174" s="579"/>
      <c r="BO174" s="579"/>
      <c r="BP174" s="579"/>
      <c r="BQ174" s="579"/>
      <c r="BR174" s="579"/>
      <c r="BS174" s="579"/>
      <c r="BT174" s="579"/>
      <c r="BU174" s="579"/>
      <c r="BV174" s="579"/>
      <c r="BW174" s="579"/>
      <c r="BX174" s="579"/>
      <c r="BY174" s="579"/>
      <c r="BZ174" s="579"/>
      <c r="CA174" s="579"/>
      <c r="CB174" s="579"/>
      <c r="CC174" s="579"/>
      <c r="CD174" s="579"/>
      <c r="CE174" s="579"/>
      <c r="CF174" s="579"/>
      <c r="CG174" s="579"/>
      <c r="CH174" s="579"/>
      <c r="CI174" s="579"/>
      <c r="CJ174" s="579"/>
      <c r="CK174" s="579"/>
      <c r="CL174" s="579"/>
      <c r="CM174" s="579"/>
      <c r="CN174" s="579"/>
      <c r="CO174" s="579"/>
      <c r="CP174" s="579"/>
      <c r="CQ174" s="579"/>
      <c r="CR174" s="579"/>
      <c r="CS174" s="579"/>
      <c r="CT174" s="579"/>
      <c r="CU174" s="579"/>
      <c r="CV174" s="579"/>
      <c r="CW174" s="579"/>
      <c r="CX174" s="579"/>
      <c r="CY174" s="579"/>
      <c r="CZ174" s="579"/>
      <c r="DA174" s="579"/>
      <c r="DB174" s="579"/>
      <c r="DC174" s="579"/>
      <c r="DD174" s="579"/>
      <c r="DE174" s="579"/>
      <c r="DF174" s="579"/>
      <c r="DG174" s="579"/>
      <c r="DH174" s="579"/>
      <c r="DI174" s="579"/>
      <c r="DJ174" s="579"/>
      <c r="DK174" s="579"/>
      <c r="DL174" s="579"/>
      <c r="DM174" s="579"/>
      <c r="DN174" s="579"/>
      <c r="DO174" s="579"/>
      <c r="DP174" s="579"/>
      <c r="DQ174" s="579"/>
      <c r="DR174" s="579"/>
      <c r="DS174" s="579"/>
      <c r="DT174" s="579"/>
      <c r="DU174" s="579"/>
      <c r="DV174" s="579"/>
      <c r="DW174" s="579"/>
      <c r="DX174" s="579"/>
      <c r="DY174" s="579"/>
      <c r="DZ174" s="579"/>
      <c r="EA174" s="579"/>
      <c r="EB174" s="579"/>
      <c r="EC174" s="579"/>
      <c r="ED174" s="579"/>
      <c r="EE174" s="579"/>
      <c r="EF174" s="579"/>
      <c r="EG174" s="579"/>
      <c r="EH174" s="579"/>
      <c r="EI174" s="579"/>
      <c r="EJ174" s="579"/>
      <c r="EK174" s="579"/>
      <c r="EL174" s="579"/>
      <c r="EM174" s="579"/>
      <c r="EN174" s="579"/>
      <c r="EO174" s="579"/>
      <c r="EP174" s="579"/>
      <c r="EQ174" s="579"/>
      <c r="ER174" s="579"/>
      <c r="ES174" s="579"/>
      <c r="ET174" s="579"/>
      <c r="EU174" s="579"/>
      <c r="EV174" s="579"/>
      <c r="EW174" s="579"/>
      <c r="EX174" s="579"/>
      <c r="EY174" s="579"/>
      <c r="EZ174" s="579"/>
      <c r="FA174" s="579"/>
      <c r="FB174" s="579"/>
      <c r="FC174" s="579"/>
      <c r="FD174" s="579"/>
      <c r="FE174" s="579"/>
      <c r="FF174" s="579"/>
      <c r="FG174" s="579"/>
      <c r="FH174" s="579"/>
      <c r="FI174" s="579"/>
      <c r="FJ174" s="579"/>
      <c r="FK174" s="579"/>
      <c r="FL174" s="579"/>
      <c r="FM174" s="579"/>
      <c r="FN174" s="579"/>
      <c r="FO174" s="579"/>
      <c r="FP174" s="579"/>
      <c r="FQ174" s="579"/>
      <c r="FR174" s="579"/>
      <c r="FS174" s="579"/>
      <c r="FT174" s="579"/>
      <c r="FU174" s="579"/>
      <c r="FV174" s="579"/>
      <c r="FW174" s="579"/>
      <c r="FX174" s="579"/>
      <c r="FY174" s="579"/>
      <c r="FZ174" s="579"/>
      <c r="GA174" s="579"/>
      <c r="GB174" s="579"/>
      <c r="GC174" s="579"/>
      <c r="GD174" s="579"/>
      <c r="GE174" s="579"/>
      <c r="GF174" s="579"/>
      <c r="GG174" s="579"/>
      <c r="GH174" s="579"/>
      <c r="GI174" s="579"/>
      <c r="GJ174" s="579"/>
      <c r="GK174" s="579"/>
      <c r="GL174" s="579"/>
      <c r="GM174" s="579"/>
      <c r="GN174" s="579"/>
      <c r="GO174" s="579"/>
      <c r="GP174" s="579"/>
      <c r="GQ174" s="579"/>
      <c r="GR174" s="579"/>
      <c r="GS174" s="579"/>
      <c r="GT174" s="579"/>
      <c r="GU174" s="579"/>
      <c r="GV174" s="579"/>
      <c r="GW174" s="579"/>
      <c r="GX174" s="579"/>
      <c r="GY174" s="579"/>
      <c r="GZ174" s="579"/>
      <c r="HA174" s="579"/>
      <c r="HB174" s="579"/>
      <c r="HC174" s="579"/>
      <c r="HD174" s="579"/>
      <c r="HE174" s="579"/>
      <c r="HF174" s="579"/>
      <c r="HG174" s="579"/>
      <c r="HH174" s="579"/>
      <c r="HI174" s="579"/>
      <c r="HJ174" s="579"/>
      <c r="HK174" s="579"/>
      <c r="HL174" s="579"/>
      <c r="HM174" s="579"/>
      <c r="HN174" s="579"/>
      <c r="HO174" s="579"/>
      <c r="HP174" s="579"/>
      <c r="HQ174" s="579"/>
      <c r="HR174" s="579"/>
      <c r="HS174" s="579"/>
      <c r="HT174" s="579"/>
      <c r="HU174" s="579"/>
      <c r="HV174" s="579"/>
      <c r="HW174" s="579"/>
      <c r="HX174" s="579"/>
      <c r="HY174" s="579"/>
      <c r="HZ174" s="579"/>
      <c r="IA174" s="579"/>
      <c r="IB174" s="579"/>
      <c r="IC174" s="579"/>
      <c r="ID174" s="579"/>
      <c r="IE174" s="579"/>
      <c r="IF174" s="579"/>
      <c r="IG174" s="579"/>
      <c r="IH174" s="579"/>
      <c r="II174" s="579"/>
      <c r="IJ174" s="579"/>
      <c r="IK174" s="579"/>
      <c r="IL174" s="579"/>
      <c r="IM174" s="579"/>
      <c r="IN174" s="579"/>
      <c r="IO174" s="579"/>
      <c r="IP174" s="579"/>
      <c r="IQ174" s="579"/>
      <c r="IR174" s="579"/>
      <c r="IS174" s="579"/>
      <c r="IT174" s="579"/>
      <c r="IU174" s="579"/>
      <c r="IV174" s="579"/>
      <c r="IW174" s="579"/>
    </row>
    <row r="175" spans="1:257" s="803" customFormat="1">
      <c r="A175" s="791">
        <v>14</v>
      </c>
      <c r="B175" s="840" t="s">
        <v>195</v>
      </c>
      <c r="C175" s="791"/>
      <c r="D175" s="791"/>
      <c r="E175" s="792"/>
      <c r="F175" s="792">
        <f t="shared" ref="F175:J175" si="13">F176+F184</f>
        <v>3068000000</v>
      </c>
      <c r="G175" s="792">
        <f t="shared" si="13"/>
        <v>3166000000</v>
      </c>
      <c r="H175" s="792">
        <f t="shared" si="13"/>
        <v>0</v>
      </c>
      <c r="I175" s="792">
        <f t="shared" si="13"/>
        <v>0</v>
      </c>
      <c r="J175" s="792">
        <f t="shared" si="13"/>
        <v>6818410000</v>
      </c>
      <c r="K175" s="792">
        <f>K176+K184</f>
        <v>3067000000</v>
      </c>
      <c r="L175" s="1303">
        <f>L176+L184</f>
        <v>3240216000</v>
      </c>
      <c r="M175" s="792"/>
      <c r="N175" s="841"/>
      <c r="O175" s="841"/>
      <c r="P175" s="842"/>
      <c r="Q175" s="842"/>
      <c r="R175" s="843"/>
      <c r="S175" s="844"/>
      <c r="T175" s="845"/>
      <c r="U175" s="802"/>
      <c r="V175" s="801"/>
      <c r="W175" s="801"/>
      <c r="X175" s="802"/>
      <c r="Y175" s="846"/>
      <c r="Z175" s="846"/>
    </row>
    <row r="176" spans="1:257" s="754" customFormat="1">
      <c r="A176" s="589" t="s">
        <v>222</v>
      </c>
      <c r="B176" s="804" t="s">
        <v>252</v>
      </c>
      <c r="C176" s="589"/>
      <c r="D176" s="589"/>
      <c r="E176" s="704"/>
      <c r="F176" s="704">
        <f t="shared" ref="F176:J176" si="14">F177</f>
        <v>1425000000</v>
      </c>
      <c r="G176" s="704">
        <f t="shared" si="14"/>
        <v>0</v>
      </c>
      <c r="H176" s="704">
        <f t="shared" si="14"/>
        <v>0</v>
      </c>
      <c r="I176" s="704">
        <f t="shared" si="14"/>
        <v>0</v>
      </c>
      <c r="J176" s="704">
        <f t="shared" si="14"/>
        <v>1422986000</v>
      </c>
      <c r="K176" s="704">
        <f>K180+K182+K183</f>
        <v>1677000000</v>
      </c>
      <c r="L176" s="1310">
        <f>L180+L182+L183</f>
        <v>2131216000</v>
      </c>
      <c r="M176" s="609"/>
      <c r="N176" s="770"/>
      <c r="O176" s="770"/>
      <c r="P176" s="847"/>
      <c r="Q176" s="847"/>
      <c r="R176" s="593"/>
      <c r="S176" s="637"/>
      <c r="T176" s="654"/>
      <c r="U176" s="827"/>
      <c r="V176" s="807"/>
      <c r="W176" s="613"/>
      <c r="X176" s="611"/>
      <c r="Y176" s="614"/>
      <c r="Z176" s="614"/>
      <c r="AA176" s="614"/>
      <c r="AB176" s="614"/>
      <c r="AC176" s="614"/>
      <c r="AD176" s="614"/>
      <c r="AE176" s="614"/>
      <c r="AF176" s="614"/>
      <c r="AG176" s="614"/>
      <c r="AH176" s="614"/>
      <c r="AI176" s="614"/>
      <c r="AJ176" s="614"/>
      <c r="AK176" s="614"/>
      <c r="AL176" s="614"/>
      <c r="AM176" s="614"/>
      <c r="AN176" s="614"/>
      <c r="AO176" s="614"/>
      <c r="AP176" s="614"/>
      <c r="AQ176" s="614"/>
      <c r="AR176" s="614"/>
      <c r="AS176" s="614"/>
      <c r="AT176" s="614"/>
      <c r="AU176" s="614"/>
      <c r="AV176" s="614"/>
      <c r="AW176" s="614"/>
      <c r="AX176" s="614"/>
      <c r="AY176" s="614"/>
      <c r="AZ176" s="614"/>
      <c r="BA176" s="614"/>
      <c r="BB176" s="614"/>
      <c r="BC176" s="614"/>
      <c r="BD176" s="614"/>
      <c r="BE176" s="614"/>
      <c r="BF176" s="614"/>
      <c r="BG176" s="614"/>
      <c r="BH176" s="614"/>
      <c r="BI176" s="614"/>
      <c r="BJ176" s="614"/>
      <c r="BK176" s="614"/>
      <c r="BL176" s="614"/>
      <c r="BM176" s="614"/>
      <c r="BN176" s="614"/>
      <c r="BO176" s="614"/>
      <c r="BP176" s="614"/>
      <c r="BQ176" s="614"/>
      <c r="BR176" s="614"/>
      <c r="BS176" s="614"/>
      <c r="BT176" s="614"/>
      <c r="BU176" s="614"/>
      <c r="BV176" s="614"/>
      <c r="BW176" s="614"/>
      <c r="BX176" s="614"/>
      <c r="BY176" s="614"/>
      <c r="BZ176" s="614"/>
      <c r="CA176" s="614"/>
      <c r="CB176" s="614"/>
      <c r="CC176" s="614"/>
      <c r="CD176" s="614"/>
      <c r="CE176" s="614"/>
      <c r="CF176" s="614"/>
      <c r="CG176" s="614"/>
      <c r="CH176" s="614"/>
      <c r="CI176" s="614"/>
      <c r="CJ176" s="614"/>
      <c r="CK176" s="614"/>
      <c r="CL176" s="614"/>
      <c r="CM176" s="614"/>
      <c r="CN176" s="614"/>
      <c r="CO176" s="614"/>
      <c r="CP176" s="614"/>
      <c r="CQ176" s="614"/>
      <c r="CR176" s="614"/>
      <c r="CS176" s="614"/>
      <c r="CT176" s="614"/>
      <c r="CU176" s="614"/>
      <c r="CV176" s="614"/>
      <c r="CW176" s="614"/>
      <c r="CX176" s="614"/>
      <c r="CY176" s="614"/>
      <c r="CZ176" s="614"/>
      <c r="DA176" s="614"/>
      <c r="DB176" s="614"/>
      <c r="DC176" s="614"/>
      <c r="DD176" s="614"/>
      <c r="DE176" s="614"/>
      <c r="DF176" s="614"/>
      <c r="DG176" s="614"/>
      <c r="DH176" s="614"/>
      <c r="DI176" s="614"/>
      <c r="DJ176" s="614"/>
      <c r="DK176" s="614"/>
      <c r="DL176" s="614"/>
      <c r="DM176" s="614"/>
      <c r="DN176" s="614"/>
      <c r="DO176" s="614"/>
      <c r="DP176" s="614"/>
      <c r="DQ176" s="614"/>
      <c r="DR176" s="614"/>
      <c r="DS176" s="614"/>
      <c r="DT176" s="614"/>
      <c r="DU176" s="614"/>
      <c r="DV176" s="614"/>
      <c r="DW176" s="614"/>
      <c r="DX176" s="614"/>
      <c r="DY176" s="614"/>
      <c r="DZ176" s="614"/>
      <c r="EA176" s="614"/>
      <c r="EB176" s="614"/>
      <c r="EC176" s="614"/>
      <c r="ED176" s="614"/>
      <c r="EE176" s="614"/>
      <c r="EF176" s="614"/>
      <c r="EG176" s="614"/>
      <c r="EH176" s="614"/>
      <c r="EI176" s="614"/>
      <c r="EJ176" s="614"/>
      <c r="EK176" s="614"/>
      <c r="EL176" s="614"/>
      <c r="EM176" s="614"/>
      <c r="EN176" s="614"/>
      <c r="EO176" s="614"/>
      <c r="EP176" s="614"/>
      <c r="EQ176" s="614"/>
      <c r="ER176" s="614"/>
      <c r="ES176" s="614"/>
      <c r="ET176" s="614"/>
      <c r="EU176" s="614"/>
      <c r="EV176" s="614"/>
      <c r="EW176" s="614"/>
      <c r="EX176" s="614"/>
      <c r="EY176" s="614"/>
      <c r="EZ176" s="614"/>
      <c r="FA176" s="614"/>
      <c r="FB176" s="614"/>
      <c r="FC176" s="614"/>
      <c r="FD176" s="614"/>
      <c r="FE176" s="614"/>
      <c r="FF176" s="614"/>
      <c r="FG176" s="614"/>
      <c r="FH176" s="614"/>
      <c r="FI176" s="614"/>
      <c r="FJ176" s="614"/>
      <c r="FK176" s="614"/>
      <c r="FL176" s="614"/>
      <c r="FM176" s="614"/>
      <c r="FN176" s="614"/>
      <c r="FO176" s="614"/>
      <c r="FP176" s="614"/>
      <c r="FQ176" s="614"/>
      <c r="FR176" s="614"/>
      <c r="FS176" s="614"/>
      <c r="FT176" s="614"/>
      <c r="FU176" s="614"/>
      <c r="FV176" s="614"/>
      <c r="FW176" s="614"/>
      <c r="FX176" s="614"/>
      <c r="FY176" s="614"/>
      <c r="FZ176" s="614"/>
      <c r="GA176" s="614"/>
      <c r="GB176" s="614"/>
      <c r="GC176" s="614"/>
      <c r="GD176" s="614"/>
      <c r="GE176" s="614"/>
      <c r="GF176" s="614"/>
      <c r="GG176" s="614"/>
      <c r="GH176" s="614"/>
      <c r="GI176" s="614"/>
      <c r="GJ176" s="614"/>
      <c r="GK176" s="614"/>
      <c r="GL176" s="614"/>
      <c r="GM176" s="614"/>
      <c r="GN176" s="614"/>
      <c r="GO176" s="614"/>
      <c r="GP176" s="614"/>
      <c r="GQ176" s="614"/>
      <c r="GR176" s="614"/>
      <c r="GS176" s="614"/>
      <c r="GT176" s="614"/>
      <c r="GU176" s="614"/>
      <c r="GV176" s="614"/>
      <c r="GW176" s="614"/>
      <c r="GX176" s="614"/>
      <c r="GY176" s="614"/>
      <c r="GZ176" s="614"/>
      <c r="HA176" s="614"/>
      <c r="HB176" s="614"/>
      <c r="HC176" s="614"/>
      <c r="HD176" s="614"/>
      <c r="HE176" s="614"/>
      <c r="HF176" s="614"/>
      <c r="HG176" s="614"/>
      <c r="HH176" s="614"/>
      <c r="HI176" s="614"/>
      <c r="HJ176" s="614"/>
      <c r="HK176" s="614"/>
      <c r="HL176" s="614"/>
      <c r="HM176" s="614"/>
      <c r="HN176" s="614"/>
      <c r="HO176" s="614"/>
      <c r="HP176" s="614"/>
      <c r="HQ176" s="614"/>
      <c r="HR176" s="614"/>
      <c r="HS176" s="614"/>
      <c r="HT176" s="614"/>
      <c r="HU176" s="614"/>
      <c r="HV176" s="614"/>
      <c r="HW176" s="614"/>
      <c r="HX176" s="614"/>
      <c r="HY176" s="614"/>
      <c r="HZ176" s="614"/>
      <c r="IA176" s="614"/>
      <c r="IB176" s="614"/>
      <c r="IC176" s="614"/>
      <c r="ID176" s="614"/>
      <c r="IE176" s="614"/>
      <c r="IF176" s="614"/>
      <c r="IG176" s="614"/>
      <c r="IH176" s="614"/>
      <c r="II176" s="614"/>
      <c r="IJ176" s="614"/>
      <c r="IK176" s="614"/>
      <c r="IL176" s="614"/>
      <c r="IM176" s="614"/>
      <c r="IN176" s="614"/>
      <c r="IO176" s="614"/>
      <c r="IP176" s="614"/>
      <c r="IQ176" s="614"/>
      <c r="IR176" s="614"/>
      <c r="IS176" s="614"/>
      <c r="IT176" s="614"/>
      <c r="IU176" s="614"/>
      <c r="IV176" s="614"/>
      <c r="IW176" s="614"/>
    </row>
    <row r="177" spans="1:257" s="579" customFormat="1" ht="19.5" hidden="1" customHeight="1">
      <c r="A177" s="699" t="s">
        <v>192</v>
      </c>
      <c r="B177" s="808" t="s">
        <v>253</v>
      </c>
      <c r="C177" s="713"/>
      <c r="D177" s="713"/>
      <c r="E177" s="725"/>
      <c r="F177" s="725">
        <f t="shared" ref="F177:J177" si="15">F178+F183</f>
        <v>1425000000</v>
      </c>
      <c r="G177" s="725">
        <f t="shared" si="15"/>
        <v>0</v>
      </c>
      <c r="H177" s="725">
        <f t="shared" si="15"/>
        <v>0</v>
      </c>
      <c r="I177" s="725">
        <f t="shared" si="15"/>
        <v>0</v>
      </c>
      <c r="J177" s="725">
        <f t="shared" si="15"/>
        <v>1422986000</v>
      </c>
      <c r="K177" s="725"/>
      <c r="L177" s="1311"/>
      <c r="M177" s="669"/>
      <c r="N177" s="782"/>
      <c r="O177" s="782"/>
      <c r="P177" s="782"/>
      <c r="Q177" s="782"/>
      <c r="R177" s="580"/>
      <c r="S177" s="580"/>
      <c r="U177" s="726"/>
      <c r="V177" s="790"/>
      <c r="W177" s="790"/>
      <c r="X177" s="580"/>
    </row>
    <row r="178" spans="1:257" s="579" customFormat="1" ht="15.75" hidden="1" customHeight="1">
      <c r="A178" s="809" t="s">
        <v>91</v>
      </c>
      <c r="B178" s="808"/>
      <c r="C178" s="713"/>
      <c r="D178" s="713"/>
      <c r="E178" s="725"/>
      <c r="F178" s="810">
        <f t="shared" ref="F178:J178" si="16">F179+F180+F181</f>
        <v>1105000000</v>
      </c>
      <c r="G178" s="810">
        <f t="shared" si="16"/>
        <v>0</v>
      </c>
      <c r="H178" s="810">
        <f t="shared" si="16"/>
        <v>0</v>
      </c>
      <c r="I178" s="810">
        <f t="shared" si="16"/>
        <v>0</v>
      </c>
      <c r="J178" s="810">
        <f t="shared" si="16"/>
        <v>1422986000</v>
      </c>
      <c r="K178" s="810"/>
      <c r="L178" s="1313"/>
      <c r="M178" s="707"/>
      <c r="N178" s="811"/>
      <c r="O178" s="811"/>
      <c r="P178" s="782"/>
      <c r="Q178" s="782"/>
      <c r="R178" s="580"/>
      <c r="S178" s="580"/>
      <c r="U178" s="726"/>
      <c r="V178" s="613"/>
      <c r="W178" s="790"/>
      <c r="X178" s="580"/>
    </row>
    <row r="179" spans="1:257" s="579" customFormat="1" ht="30.75" customHeight="1">
      <c r="A179" s="812" t="s">
        <v>91</v>
      </c>
      <c r="B179" s="813" t="s">
        <v>255</v>
      </c>
      <c r="C179" s="699"/>
      <c r="D179" s="713"/>
      <c r="E179" s="725"/>
      <c r="F179" s="725">
        <v>1105000000</v>
      </c>
      <c r="G179" s="704"/>
      <c r="H179" s="704"/>
      <c r="I179" s="704"/>
      <c r="J179" s="725">
        <v>1102986000</v>
      </c>
      <c r="K179" s="725">
        <f>K180+K181</f>
        <v>1516000000</v>
      </c>
      <c r="L179" s="1311">
        <f>L180+L181</f>
        <v>1940316000</v>
      </c>
      <c r="M179" s="669"/>
      <c r="N179" s="782"/>
      <c r="O179" s="782"/>
      <c r="P179" s="770"/>
      <c r="Q179" s="770"/>
      <c r="R179" s="655"/>
      <c r="S179" s="580"/>
      <c r="U179" s="596"/>
      <c r="V179" s="790"/>
      <c r="W179" s="790"/>
      <c r="X179" s="580">
        <v>4.4400000000000004</v>
      </c>
    </row>
    <row r="180" spans="1:257" s="579" customFormat="1">
      <c r="A180" s="809"/>
      <c r="B180" s="684" t="s">
        <v>918</v>
      </c>
      <c r="C180" s="713">
        <v>16</v>
      </c>
      <c r="D180" s="713"/>
      <c r="E180" s="725">
        <v>20000000</v>
      </c>
      <c r="F180" s="725"/>
      <c r="G180" s="686"/>
      <c r="H180" s="686"/>
      <c r="I180" s="686"/>
      <c r="J180" s="725">
        <v>320000000</v>
      </c>
      <c r="K180" s="725">
        <v>1255000000</v>
      </c>
      <c r="L180" s="1311">
        <f>102768000*12</f>
        <v>1233216000</v>
      </c>
      <c r="M180" s="669"/>
      <c r="N180" s="782"/>
      <c r="O180" s="782"/>
      <c r="P180" s="688"/>
      <c r="Q180" s="688"/>
      <c r="R180" s="580"/>
      <c r="S180" s="580"/>
      <c r="U180" s="814"/>
      <c r="V180" s="790"/>
      <c r="W180" s="790"/>
      <c r="X180" s="580"/>
    </row>
    <row r="181" spans="1:257" s="579" customFormat="1">
      <c r="A181" s="809"/>
      <c r="B181" s="684" t="s">
        <v>1369</v>
      </c>
      <c r="C181" s="713"/>
      <c r="D181" s="713"/>
      <c r="E181" s="725"/>
      <c r="F181" s="725"/>
      <c r="G181" s="686"/>
      <c r="H181" s="686"/>
      <c r="I181" s="686"/>
      <c r="J181" s="725"/>
      <c r="K181" s="725">
        <f>1516000000-K180</f>
        <v>261000000</v>
      </c>
      <c r="L181" s="1311">
        <f>(161393000-102468000)*12</f>
        <v>707100000</v>
      </c>
      <c r="M181" s="669"/>
      <c r="N181" s="782"/>
      <c r="O181" s="782"/>
      <c r="P181" s="688"/>
      <c r="Q181" s="688"/>
      <c r="R181" s="580"/>
      <c r="S181" s="580"/>
      <c r="U181" s="814"/>
      <c r="V181" s="790"/>
      <c r="W181" s="790"/>
      <c r="X181" s="580"/>
    </row>
    <row r="182" spans="1:257" s="579" customFormat="1">
      <c r="A182" s="809"/>
      <c r="B182" s="684" t="s">
        <v>1499</v>
      </c>
      <c r="C182" s="713"/>
      <c r="D182" s="713"/>
      <c r="E182" s="725"/>
      <c r="F182" s="725"/>
      <c r="G182" s="686"/>
      <c r="H182" s="686"/>
      <c r="I182" s="686"/>
      <c r="J182" s="725"/>
      <c r="K182" s="725">
        <f>ROUND(K181-K216,-6)</f>
        <v>102000000</v>
      </c>
      <c r="L182" s="1311">
        <f>ROUND(L181-L216,-6)</f>
        <v>578000000</v>
      </c>
      <c r="M182" s="669"/>
      <c r="N182" s="782"/>
      <c r="O182" s="782"/>
      <c r="P182" s="688"/>
      <c r="Q182" s="688"/>
      <c r="R182" s="580"/>
      <c r="S182" s="580"/>
      <c r="U182" s="814"/>
      <c r="V182" s="790"/>
      <c r="W182" s="790"/>
      <c r="X182" s="580"/>
    </row>
    <row r="183" spans="1:257" s="579" customFormat="1">
      <c r="A183" s="809" t="s">
        <v>91</v>
      </c>
      <c r="B183" s="813" t="s">
        <v>256</v>
      </c>
      <c r="C183" s="848"/>
      <c r="D183" s="848"/>
      <c r="E183" s="810"/>
      <c r="F183" s="700">
        <v>320000000</v>
      </c>
      <c r="G183" s="645"/>
      <c r="H183" s="645"/>
      <c r="I183" s="645"/>
      <c r="J183" s="700"/>
      <c r="K183" s="700">
        <f>16*20000000</f>
        <v>320000000</v>
      </c>
      <c r="L183" s="1315">
        <f>16*20000000</f>
        <v>320000000</v>
      </c>
      <c r="M183" s="651" t="s">
        <v>919</v>
      </c>
      <c r="N183" s="585"/>
      <c r="O183" s="585"/>
      <c r="P183" s="674"/>
      <c r="Q183" s="674"/>
      <c r="R183" s="580"/>
      <c r="S183" s="580"/>
      <c r="U183" s="580"/>
      <c r="V183" s="790"/>
      <c r="W183" s="790"/>
      <c r="X183" s="580"/>
    </row>
    <row r="184" spans="1:257" s="579" customFormat="1">
      <c r="A184" s="699" t="s">
        <v>225</v>
      </c>
      <c r="B184" s="804" t="s">
        <v>257</v>
      </c>
      <c r="C184" s="699"/>
      <c r="D184" s="699"/>
      <c r="E184" s="700"/>
      <c r="F184" s="716">
        <f t="shared" ref="F184:J184" si="17">SUM(F185:F215)</f>
        <v>1643000000</v>
      </c>
      <c r="G184" s="716">
        <f t="shared" si="17"/>
        <v>3166000000</v>
      </c>
      <c r="H184" s="716">
        <f t="shared" si="17"/>
        <v>0</v>
      </c>
      <c r="I184" s="716">
        <f t="shared" si="17"/>
        <v>0</v>
      </c>
      <c r="J184" s="716">
        <f t="shared" si="17"/>
        <v>5395424000</v>
      </c>
      <c r="K184" s="716">
        <f>SUM(K185:K215)</f>
        <v>1390000000</v>
      </c>
      <c r="L184" s="1316">
        <f>SUM(L185:L215)</f>
        <v>1109000000</v>
      </c>
      <c r="M184" s="618"/>
      <c r="N184" s="815"/>
      <c r="O184" s="815"/>
      <c r="P184" s="849"/>
      <c r="Q184" s="849"/>
      <c r="R184" s="580"/>
      <c r="S184" s="580"/>
      <c r="U184" s="726"/>
      <c r="V184" s="790"/>
      <c r="W184" s="790"/>
      <c r="X184" s="580"/>
    </row>
    <row r="185" spans="1:257" s="579" customFormat="1">
      <c r="A185" s="672" t="s">
        <v>91</v>
      </c>
      <c r="B185" s="696" t="s">
        <v>47</v>
      </c>
      <c r="C185" s="635"/>
      <c r="D185" s="635"/>
      <c r="E185" s="651"/>
      <c r="F185" s="651">
        <v>96000000</v>
      </c>
      <c r="G185" s="651"/>
      <c r="H185" s="651"/>
      <c r="I185" s="651"/>
      <c r="J185" s="651">
        <v>96000000</v>
      </c>
      <c r="K185" s="651">
        <v>102000000</v>
      </c>
      <c r="L185" s="1305">
        <v>102000000</v>
      </c>
      <c r="M185" s="651"/>
      <c r="N185" s="655"/>
      <c r="O185" s="655"/>
      <c r="P185" s="655"/>
      <c r="Q185" s="655"/>
      <c r="R185" s="580"/>
      <c r="S185" s="580"/>
      <c r="U185" s="580"/>
      <c r="V185" s="790"/>
      <c r="W185" s="790"/>
      <c r="X185" s="580"/>
    </row>
    <row r="186" spans="1:257" s="579" customFormat="1">
      <c r="A186" s="672"/>
      <c r="B186" s="696" t="s">
        <v>1412</v>
      </c>
      <c r="C186" s="635"/>
      <c r="D186" s="635"/>
      <c r="E186" s="651"/>
      <c r="F186" s="651"/>
      <c r="G186" s="651"/>
      <c r="H186" s="651"/>
      <c r="I186" s="651"/>
      <c r="J186" s="651"/>
      <c r="K186" s="651"/>
      <c r="L186" s="1305">
        <v>18900000</v>
      </c>
      <c r="M186" s="651"/>
      <c r="N186" s="655"/>
      <c r="O186" s="655"/>
      <c r="P186" s="655"/>
      <c r="Q186" s="655"/>
      <c r="R186" s="580"/>
      <c r="S186" s="580"/>
      <c r="U186" s="580"/>
      <c r="V186" s="790"/>
      <c r="W186" s="790"/>
      <c r="X186" s="580"/>
    </row>
    <row r="187" spans="1:257" s="579" customFormat="1">
      <c r="A187" s="672" t="s">
        <v>91</v>
      </c>
      <c r="B187" s="696" t="s">
        <v>48</v>
      </c>
      <c r="C187" s="635"/>
      <c r="D187" s="635"/>
      <c r="E187" s="651"/>
      <c r="F187" s="651">
        <v>15000000</v>
      </c>
      <c r="G187" s="651"/>
      <c r="H187" s="651"/>
      <c r="I187" s="651"/>
      <c r="J187" s="651">
        <v>15000000</v>
      </c>
      <c r="K187" s="651">
        <v>15000000</v>
      </c>
      <c r="L187" s="1305">
        <v>18100000</v>
      </c>
      <c r="M187" s="651"/>
      <c r="N187" s="655"/>
      <c r="O187" s="655"/>
      <c r="P187" s="655"/>
      <c r="Q187" s="655"/>
      <c r="R187" s="580"/>
      <c r="S187" s="580"/>
      <c r="U187" s="580"/>
      <c r="V187" s="790"/>
      <c r="W187" s="790"/>
      <c r="X187" s="580"/>
    </row>
    <row r="188" spans="1:257" s="579" customFormat="1" ht="21.75" customHeight="1">
      <c r="A188" s="672" t="s">
        <v>91</v>
      </c>
      <c r="B188" s="696" t="s">
        <v>920</v>
      </c>
      <c r="C188" s="683"/>
      <c r="D188" s="683"/>
      <c r="E188" s="669"/>
      <c r="F188" s="651">
        <v>120000000</v>
      </c>
      <c r="G188" s="651"/>
      <c r="H188" s="651"/>
      <c r="I188" s="651"/>
      <c r="J188" s="651">
        <v>164640000</v>
      </c>
      <c r="K188" s="651">
        <v>200000000</v>
      </c>
      <c r="L188" s="1305">
        <v>190000000</v>
      </c>
      <c r="M188" s="651"/>
      <c r="N188" s="655"/>
      <c r="O188" s="655"/>
      <c r="P188" s="655"/>
      <c r="Q188" s="655"/>
      <c r="R188" s="580"/>
      <c r="S188" s="580"/>
      <c r="U188" s="580"/>
      <c r="V188" s="790"/>
      <c r="W188" s="790"/>
      <c r="X188" s="580"/>
    </row>
    <row r="189" spans="1:257" s="579" customFormat="1" ht="22.5" customHeight="1">
      <c r="A189" s="672" t="s">
        <v>91</v>
      </c>
      <c r="B189" s="696" t="s">
        <v>50</v>
      </c>
      <c r="C189" s="635"/>
      <c r="D189" s="635"/>
      <c r="E189" s="651"/>
      <c r="F189" s="651">
        <v>50000000</v>
      </c>
      <c r="G189" s="651"/>
      <c r="H189" s="651"/>
      <c r="I189" s="651"/>
      <c r="J189" s="651">
        <v>35400000</v>
      </c>
      <c r="K189" s="651">
        <v>20000000</v>
      </c>
      <c r="L189" s="1305">
        <v>30000000</v>
      </c>
      <c r="M189" s="651"/>
      <c r="N189" s="826"/>
      <c r="O189" s="826"/>
      <c r="P189" s="826"/>
      <c r="Q189" s="826"/>
      <c r="R189" s="826"/>
      <c r="S189" s="826"/>
      <c r="T189" s="850"/>
      <c r="U189" s="580"/>
      <c r="V189" s="790"/>
      <c r="W189" s="790"/>
      <c r="X189" s="580"/>
    </row>
    <row r="190" spans="1:257" s="584" customFormat="1">
      <c r="A190" s="672" t="s">
        <v>91</v>
      </c>
      <c r="B190" s="696" t="s">
        <v>51</v>
      </c>
      <c r="C190" s="635"/>
      <c r="D190" s="635"/>
      <c r="E190" s="651"/>
      <c r="F190" s="651">
        <v>40000000</v>
      </c>
      <c r="G190" s="669"/>
      <c r="H190" s="669"/>
      <c r="I190" s="669"/>
      <c r="J190" s="651">
        <v>40000000</v>
      </c>
      <c r="K190" s="651">
        <v>40000000</v>
      </c>
      <c r="L190" s="1305">
        <v>30000000</v>
      </c>
      <c r="M190" s="651"/>
      <c r="N190" s="826"/>
      <c r="O190" s="826"/>
      <c r="P190" s="837"/>
      <c r="Q190" s="837"/>
      <c r="R190" s="826"/>
      <c r="S190" s="826"/>
      <c r="T190" s="850"/>
      <c r="U190" s="580"/>
      <c r="V190" s="790"/>
      <c r="W190" s="851"/>
      <c r="X190" s="655"/>
    </row>
    <row r="191" spans="1:257" s="579" customFormat="1" ht="24" customHeight="1">
      <c r="A191" s="672" t="s">
        <v>91</v>
      </c>
      <c r="B191" s="696" t="s">
        <v>52</v>
      </c>
      <c r="C191" s="635"/>
      <c r="D191" s="635"/>
      <c r="E191" s="651"/>
      <c r="F191" s="651">
        <v>150000000</v>
      </c>
      <c r="G191" s="651"/>
      <c r="H191" s="651"/>
      <c r="I191" s="651"/>
      <c r="J191" s="651">
        <v>150000000</v>
      </c>
      <c r="K191" s="651"/>
      <c r="L191" s="1305"/>
      <c r="M191" s="651"/>
      <c r="N191" s="826"/>
      <c r="O191" s="826"/>
      <c r="P191" s="826"/>
      <c r="Q191" s="826"/>
      <c r="R191" s="826"/>
      <c r="S191" s="830"/>
      <c r="T191" s="852"/>
      <c r="U191" s="580"/>
      <c r="V191" s="790"/>
      <c r="W191" s="679"/>
      <c r="X191" s="637"/>
      <c r="Y191" s="654"/>
      <c r="Z191" s="654"/>
      <c r="AA191" s="654"/>
      <c r="AB191" s="654"/>
      <c r="AC191" s="654"/>
      <c r="AD191" s="654"/>
      <c r="AE191" s="654"/>
      <c r="AF191" s="654"/>
      <c r="AG191" s="654"/>
      <c r="AH191" s="654"/>
      <c r="AI191" s="654"/>
      <c r="AJ191" s="654"/>
      <c r="AK191" s="654"/>
      <c r="AL191" s="654"/>
      <c r="AM191" s="654"/>
      <c r="AN191" s="654"/>
      <c r="AO191" s="654"/>
      <c r="AP191" s="654"/>
      <c r="AQ191" s="654"/>
      <c r="AR191" s="654"/>
      <c r="AS191" s="654"/>
      <c r="AT191" s="654"/>
      <c r="AU191" s="654"/>
      <c r="AV191" s="654"/>
      <c r="AW191" s="654"/>
      <c r="AX191" s="654"/>
      <c r="AY191" s="654"/>
      <c r="AZ191" s="654"/>
      <c r="BA191" s="654"/>
      <c r="BB191" s="654"/>
      <c r="BC191" s="654"/>
      <c r="BD191" s="654"/>
      <c r="BE191" s="654"/>
      <c r="BF191" s="654"/>
      <c r="BG191" s="654"/>
      <c r="BH191" s="654"/>
      <c r="BI191" s="654"/>
      <c r="BJ191" s="654"/>
      <c r="BK191" s="654"/>
      <c r="BL191" s="654"/>
      <c r="BM191" s="654"/>
      <c r="BN191" s="654"/>
      <c r="BO191" s="654"/>
      <c r="BP191" s="654"/>
      <c r="BQ191" s="654"/>
      <c r="BR191" s="654"/>
      <c r="BS191" s="654"/>
      <c r="BT191" s="654"/>
      <c r="BU191" s="654"/>
      <c r="BV191" s="654"/>
      <c r="BW191" s="654"/>
      <c r="BX191" s="654"/>
      <c r="BY191" s="654"/>
      <c r="BZ191" s="654"/>
      <c r="CA191" s="654"/>
      <c r="CB191" s="654"/>
      <c r="CC191" s="654"/>
      <c r="CD191" s="654"/>
      <c r="CE191" s="654"/>
      <c r="CF191" s="654"/>
      <c r="CG191" s="654"/>
      <c r="CH191" s="654"/>
      <c r="CI191" s="654"/>
      <c r="CJ191" s="654"/>
      <c r="CK191" s="654"/>
      <c r="CL191" s="654"/>
      <c r="CM191" s="654"/>
      <c r="CN191" s="654"/>
      <c r="CO191" s="654"/>
      <c r="CP191" s="654"/>
      <c r="CQ191" s="654"/>
      <c r="CR191" s="654"/>
      <c r="CS191" s="654"/>
      <c r="CT191" s="654"/>
      <c r="CU191" s="654"/>
      <c r="CV191" s="654"/>
      <c r="CW191" s="654"/>
      <c r="CX191" s="654"/>
      <c r="CY191" s="654"/>
      <c r="CZ191" s="654"/>
      <c r="DA191" s="654"/>
      <c r="DB191" s="654"/>
      <c r="DC191" s="654"/>
      <c r="DD191" s="654"/>
      <c r="DE191" s="654"/>
      <c r="DF191" s="654"/>
      <c r="DG191" s="654"/>
      <c r="DH191" s="654"/>
      <c r="DI191" s="654"/>
      <c r="DJ191" s="654"/>
      <c r="DK191" s="654"/>
      <c r="DL191" s="654"/>
      <c r="DM191" s="654"/>
      <c r="DN191" s="654"/>
      <c r="DO191" s="654"/>
      <c r="DP191" s="654"/>
      <c r="DQ191" s="654"/>
      <c r="DR191" s="654"/>
      <c r="DS191" s="654"/>
      <c r="DT191" s="654"/>
      <c r="DU191" s="654"/>
      <c r="DV191" s="654"/>
      <c r="DW191" s="654"/>
      <c r="DX191" s="654"/>
      <c r="DY191" s="654"/>
      <c r="DZ191" s="654"/>
      <c r="EA191" s="654"/>
      <c r="EB191" s="654"/>
      <c r="EC191" s="654"/>
      <c r="ED191" s="654"/>
      <c r="EE191" s="654"/>
      <c r="EF191" s="654"/>
      <c r="EG191" s="654"/>
      <c r="EH191" s="654"/>
      <c r="EI191" s="654"/>
      <c r="EJ191" s="654"/>
      <c r="EK191" s="654"/>
      <c r="EL191" s="654"/>
      <c r="EM191" s="654"/>
      <c r="EN191" s="654"/>
      <c r="EO191" s="654"/>
      <c r="EP191" s="654"/>
      <c r="EQ191" s="654"/>
      <c r="ER191" s="654"/>
      <c r="ES191" s="654"/>
      <c r="ET191" s="654"/>
      <c r="EU191" s="654"/>
      <c r="EV191" s="654"/>
      <c r="EW191" s="654"/>
      <c r="EX191" s="654"/>
      <c r="EY191" s="654"/>
      <c r="EZ191" s="654"/>
      <c r="FA191" s="654"/>
      <c r="FB191" s="654"/>
      <c r="FC191" s="654"/>
      <c r="FD191" s="654"/>
      <c r="FE191" s="654"/>
      <c r="FF191" s="654"/>
      <c r="FG191" s="654"/>
      <c r="FH191" s="654"/>
      <c r="FI191" s="654"/>
      <c r="FJ191" s="654"/>
      <c r="FK191" s="654"/>
      <c r="FL191" s="654"/>
      <c r="FM191" s="654"/>
      <c r="FN191" s="654"/>
      <c r="FO191" s="654"/>
      <c r="FP191" s="654"/>
      <c r="FQ191" s="654"/>
      <c r="FR191" s="654"/>
      <c r="FS191" s="654"/>
      <c r="FT191" s="654"/>
      <c r="FU191" s="654"/>
      <c r="FV191" s="654"/>
      <c r="FW191" s="654"/>
      <c r="FX191" s="654"/>
      <c r="FY191" s="654"/>
      <c r="FZ191" s="654"/>
      <c r="GA191" s="654"/>
      <c r="GB191" s="654"/>
      <c r="GC191" s="654"/>
      <c r="GD191" s="654"/>
      <c r="GE191" s="654"/>
      <c r="GF191" s="654"/>
      <c r="GG191" s="654"/>
      <c r="GH191" s="654"/>
      <c r="GI191" s="654"/>
      <c r="GJ191" s="654"/>
      <c r="GK191" s="654"/>
      <c r="GL191" s="654"/>
      <c r="GM191" s="654"/>
      <c r="GN191" s="654"/>
      <c r="GO191" s="654"/>
      <c r="GP191" s="654"/>
      <c r="GQ191" s="654"/>
      <c r="GR191" s="654"/>
      <c r="GS191" s="654"/>
      <c r="GT191" s="654"/>
      <c r="GU191" s="654"/>
      <c r="GV191" s="654"/>
      <c r="GW191" s="654"/>
      <c r="GX191" s="654"/>
      <c r="GY191" s="654"/>
      <c r="GZ191" s="654"/>
      <c r="HA191" s="654"/>
      <c r="HB191" s="654"/>
      <c r="HC191" s="654"/>
      <c r="HD191" s="654"/>
      <c r="HE191" s="654"/>
      <c r="HF191" s="654"/>
      <c r="HG191" s="654"/>
      <c r="HH191" s="654"/>
      <c r="HI191" s="654"/>
      <c r="HJ191" s="654"/>
      <c r="HK191" s="654"/>
      <c r="HL191" s="654"/>
      <c r="HM191" s="654"/>
      <c r="HN191" s="654"/>
      <c r="HO191" s="654"/>
      <c r="HP191" s="654"/>
      <c r="HQ191" s="654"/>
      <c r="HR191" s="654"/>
      <c r="HS191" s="654"/>
      <c r="HT191" s="654"/>
      <c r="HU191" s="654"/>
      <c r="HV191" s="654"/>
      <c r="HW191" s="654"/>
      <c r="HX191" s="654"/>
      <c r="HY191" s="654"/>
      <c r="HZ191" s="654"/>
      <c r="IA191" s="654"/>
      <c r="IB191" s="654"/>
      <c r="IC191" s="654"/>
      <c r="ID191" s="654"/>
      <c r="IE191" s="654"/>
      <c r="IF191" s="654"/>
      <c r="IG191" s="654"/>
      <c r="IH191" s="654"/>
      <c r="II191" s="654"/>
      <c r="IJ191" s="654"/>
      <c r="IK191" s="654"/>
      <c r="IL191" s="654"/>
      <c r="IM191" s="654"/>
      <c r="IN191" s="654"/>
      <c r="IO191" s="654"/>
      <c r="IP191" s="654"/>
      <c r="IQ191" s="654"/>
      <c r="IR191" s="654"/>
      <c r="IS191" s="654"/>
      <c r="IT191" s="654"/>
      <c r="IU191" s="654"/>
      <c r="IV191" s="654"/>
      <c r="IW191" s="654"/>
    </row>
    <row r="192" spans="1:257" s="579" customFormat="1" ht="32.25" customHeight="1">
      <c r="A192" s="672" t="s">
        <v>91</v>
      </c>
      <c r="B192" s="696" t="s">
        <v>1500</v>
      </c>
      <c r="C192" s="635"/>
      <c r="D192" s="635"/>
      <c r="E192" s="651"/>
      <c r="F192" s="651"/>
      <c r="G192" s="651"/>
      <c r="H192" s="651"/>
      <c r="I192" s="651"/>
      <c r="J192" s="651"/>
      <c r="K192" s="651">
        <v>100000000</v>
      </c>
      <c r="L192" s="1305">
        <v>300000000</v>
      </c>
      <c r="M192" s="651"/>
      <c r="N192" s="826"/>
      <c r="O192" s="826"/>
      <c r="P192" s="826"/>
      <c r="Q192" s="826"/>
      <c r="R192" s="826"/>
      <c r="S192" s="830"/>
      <c r="T192" s="852"/>
      <c r="U192" s="580"/>
      <c r="V192" s="790"/>
      <c r="W192" s="679"/>
      <c r="X192" s="637"/>
      <c r="Y192" s="654"/>
      <c r="Z192" s="654"/>
      <c r="AA192" s="654"/>
      <c r="AB192" s="654"/>
      <c r="AC192" s="654"/>
      <c r="AD192" s="654"/>
      <c r="AE192" s="654"/>
      <c r="AF192" s="654"/>
      <c r="AG192" s="654"/>
      <c r="AH192" s="654"/>
      <c r="AI192" s="654"/>
      <c r="AJ192" s="654"/>
      <c r="AK192" s="654"/>
      <c r="AL192" s="654"/>
      <c r="AM192" s="654"/>
      <c r="AN192" s="654"/>
      <c r="AO192" s="654"/>
      <c r="AP192" s="654"/>
      <c r="AQ192" s="654"/>
      <c r="AR192" s="654"/>
      <c r="AS192" s="654"/>
      <c r="AT192" s="654"/>
      <c r="AU192" s="654"/>
      <c r="AV192" s="654"/>
      <c r="AW192" s="654"/>
      <c r="AX192" s="654"/>
      <c r="AY192" s="654"/>
      <c r="AZ192" s="654"/>
      <c r="BA192" s="654"/>
      <c r="BB192" s="654"/>
      <c r="BC192" s="654"/>
      <c r="BD192" s="654"/>
      <c r="BE192" s="654"/>
      <c r="BF192" s="654"/>
      <c r="BG192" s="654"/>
      <c r="BH192" s="654"/>
      <c r="BI192" s="654"/>
      <c r="BJ192" s="654"/>
      <c r="BK192" s="654"/>
      <c r="BL192" s="654"/>
      <c r="BM192" s="654"/>
      <c r="BN192" s="654"/>
      <c r="BO192" s="654"/>
      <c r="BP192" s="654"/>
      <c r="BQ192" s="654"/>
      <c r="BR192" s="654"/>
      <c r="BS192" s="654"/>
      <c r="BT192" s="654"/>
      <c r="BU192" s="654"/>
      <c r="BV192" s="654"/>
      <c r="BW192" s="654"/>
      <c r="BX192" s="654"/>
      <c r="BY192" s="654"/>
      <c r="BZ192" s="654"/>
      <c r="CA192" s="654"/>
      <c r="CB192" s="654"/>
      <c r="CC192" s="654"/>
      <c r="CD192" s="654"/>
      <c r="CE192" s="654"/>
      <c r="CF192" s="654"/>
      <c r="CG192" s="654"/>
      <c r="CH192" s="654"/>
      <c r="CI192" s="654"/>
      <c r="CJ192" s="654"/>
      <c r="CK192" s="654"/>
      <c r="CL192" s="654"/>
      <c r="CM192" s="654"/>
      <c r="CN192" s="654"/>
      <c r="CO192" s="654"/>
      <c r="CP192" s="654"/>
      <c r="CQ192" s="654"/>
      <c r="CR192" s="654"/>
      <c r="CS192" s="654"/>
      <c r="CT192" s="654"/>
      <c r="CU192" s="654"/>
      <c r="CV192" s="654"/>
      <c r="CW192" s="654"/>
      <c r="CX192" s="654"/>
      <c r="CY192" s="654"/>
      <c r="CZ192" s="654"/>
      <c r="DA192" s="654"/>
      <c r="DB192" s="654"/>
      <c r="DC192" s="654"/>
      <c r="DD192" s="654"/>
      <c r="DE192" s="654"/>
      <c r="DF192" s="654"/>
      <c r="DG192" s="654"/>
      <c r="DH192" s="654"/>
      <c r="DI192" s="654"/>
      <c r="DJ192" s="654"/>
      <c r="DK192" s="654"/>
      <c r="DL192" s="654"/>
      <c r="DM192" s="654"/>
      <c r="DN192" s="654"/>
      <c r="DO192" s="654"/>
      <c r="DP192" s="654"/>
      <c r="DQ192" s="654"/>
      <c r="DR192" s="654"/>
      <c r="DS192" s="654"/>
      <c r="DT192" s="654"/>
      <c r="DU192" s="654"/>
      <c r="DV192" s="654"/>
      <c r="DW192" s="654"/>
      <c r="DX192" s="654"/>
      <c r="DY192" s="654"/>
      <c r="DZ192" s="654"/>
      <c r="EA192" s="654"/>
      <c r="EB192" s="654"/>
      <c r="EC192" s="654"/>
      <c r="ED192" s="654"/>
      <c r="EE192" s="654"/>
      <c r="EF192" s="654"/>
      <c r="EG192" s="654"/>
      <c r="EH192" s="654"/>
      <c r="EI192" s="654"/>
      <c r="EJ192" s="654"/>
      <c r="EK192" s="654"/>
      <c r="EL192" s="654"/>
      <c r="EM192" s="654"/>
      <c r="EN192" s="654"/>
      <c r="EO192" s="654"/>
      <c r="EP192" s="654"/>
      <c r="EQ192" s="654"/>
      <c r="ER192" s="654"/>
      <c r="ES192" s="654"/>
      <c r="ET192" s="654"/>
      <c r="EU192" s="654"/>
      <c r="EV192" s="654"/>
      <c r="EW192" s="654"/>
      <c r="EX192" s="654"/>
      <c r="EY192" s="654"/>
      <c r="EZ192" s="654"/>
      <c r="FA192" s="654"/>
      <c r="FB192" s="654"/>
      <c r="FC192" s="654"/>
      <c r="FD192" s="654"/>
      <c r="FE192" s="654"/>
      <c r="FF192" s="654"/>
      <c r="FG192" s="654"/>
      <c r="FH192" s="654"/>
      <c r="FI192" s="654"/>
      <c r="FJ192" s="654"/>
      <c r="FK192" s="654"/>
      <c r="FL192" s="654"/>
      <c r="FM192" s="654"/>
      <c r="FN192" s="654"/>
      <c r="FO192" s="654"/>
      <c r="FP192" s="654"/>
      <c r="FQ192" s="654"/>
      <c r="FR192" s="654"/>
      <c r="FS192" s="654"/>
      <c r="FT192" s="654"/>
      <c r="FU192" s="654"/>
      <c r="FV192" s="654"/>
      <c r="FW192" s="654"/>
      <c r="FX192" s="654"/>
      <c r="FY192" s="654"/>
      <c r="FZ192" s="654"/>
      <c r="GA192" s="654"/>
      <c r="GB192" s="654"/>
      <c r="GC192" s="654"/>
      <c r="GD192" s="654"/>
      <c r="GE192" s="654"/>
      <c r="GF192" s="654"/>
      <c r="GG192" s="654"/>
      <c r="GH192" s="654"/>
      <c r="GI192" s="654"/>
      <c r="GJ192" s="654"/>
      <c r="GK192" s="654"/>
      <c r="GL192" s="654"/>
      <c r="GM192" s="654"/>
      <c r="GN192" s="654"/>
      <c r="GO192" s="654"/>
      <c r="GP192" s="654"/>
      <c r="GQ192" s="654"/>
      <c r="GR192" s="654"/>
      <c r="GS192" s="654"/>
      <c r="GT192" s="654"/>
      <c r="GU192" s="654"/>
      <c r="GV192" s="654"/>
      <c r="GW192" s="654"/>
      <c r="GX192" s="654"/>
      <c r="GY192" s="654"/>
      <c r="GZ192" s="654"/>
      <c r="HA192" s="654"/>
      <c r="HB192" s="654"/>
      <c r="HC192" s="654"/>
      <c r="HD192" s="654"/>
      <c r="HE192" s="654"/>
      <c r="HF192" s="654"/>
      <c r="HG192" s="654"/>
      <c r="HH192" s="654"/>
      <c r="HI192" s="654"/>
      <c r="HJ192" s="654"/>
      <c r="HK192" s="654"/>
      <c r="HL192" s="654"/>
      <c r="HM192" s="654"/>
      <c r="HN192" s="654"/>
      <c r="HO192" s="654"/>
      <c r="HP192" s="654"/>
      <c r="HQ192" s="654"/>
      <c r="HR192" s="654"/>
      <c r="HS192" s="654"/>
      <c r="HT192" s="654"/>
      <c r="HU192" s="654"/>
      <c r="HV192" s="654"/>
      <c r="HW192" s="654"/>
      <c r="HX192" s="654"/>
      <c r="HY192" s="654"/>
      <c r="HZ192" s="654"/>
      <c r="IA192" s="654"/>
      <c r="IB192" s="654"/>
      <c r="IC192" s="654"/>
      <c r="ID192" s="654"/>
      <c r="IE192" s="654"/>
      <c r="IF192" s="654"/>
      <c r="IG192" s="654"/>
      <c r="IH192" s="654"/>
      <c r="II192" s="654"/>
      <c r="IJ192" s="654"/>
      <c r="IK192" s="654"/>
      <c r="IL192" s="654"/>
      <c r="IM192" s="654"/>
      <c r="IN192" s="654"/>
      <c r="IO192" s="654"/>
      <c r="IP192" s="654"/>
      <c r="IQ192" s="654"/>
      <c r="IR192" s="654"/>
      <c r="IS192" s="654"/>
      <c r="IT192" s="654"/>
      <c r="IU192" s="654"/>
      <c r="IV192" s="654"/>
      <c r="IW192" s="654"/>
    </row>
    <row r="193" spans="1:257" s="579" customFormat="1" ht="33.75" customHeight="1">
      <c r="A193" s="672" t="s">
        <v>91</v>
      </c>
      <c r="B193" s="696" t="s">
        <v>53</v>
      </c>
      <c r="C193" s="635"/>
      <c r="D193" s="635"/>
      <c r="E193" s="651"/>
      <c r="F193" s="651">
        <v>30000000</v>
      </c>
      <c r="G193" s="651"/>
      <c r="H193" s="651"/>
      <c r="I193" s="651"/>
      <c r="J193" s="651">
        <v>50000000</v>
      </c>
      <c r="K193" s="651"/>
      <c r="L193" s="1305"/>
      <c r="M193" s="651"/>
      <c r="N193" s="826"/>
      <c r="O193" s="826"/>
      <c r="P193" s="826"/>
      <c r="Q193" s="826"/>
      <c r="R193" s="826"/>
      <c r="S193" s="830"/>
      <c r="T193" s="852"/>
      <c r="U193" s="655"/>
      <c r="V193" s="689"/>
      <c r="W193" s="689"/>
      <c r="X193" s="670"/>
      <c r="Y193" s="678"/>
      <c r="Z193" s="678"/>
      <c r="AA193" s="678"/>
      <c r="AB193" s="678"/>
      <c r="AC193" s="678"/>
      <c r="AD193" s="678"/>
      <c r="AE193" s="678"/>
      <c r="AF193" s="678"/>
      <c r="AG193" s="678"/>
      <c r="AH193" s="678"/>
      <c r="AI193" s="678"/>
      <c r="AJ193" s="678"/>
      <c r="AK193" s="678"/>
      <c r="AL193" s="678"/>
      <c r="AM193" s="678"/>
      <c r="AN193" s="678"/>
      <c r="AO193" s="678"/>
      <c r="AP193" s="678"/>
      <c r="AQ193" s="678"/>
      <c r="AR193" s="678"/>
      <c r="AS193" s="678"/>
      <c r="AT193" s="678"/>
      <c r="AU193" s="678"/>
      <c r="AV193" s="678"/>
      <c r="AW193" s="678"/>
      <c r="AX193" s="678"/>
      <c r="AY193" s="678"/>
      <c r="AZ193" s="678"/>
      <c r="BA193" s="678"/>
      <c r="BB193" s="678"/>
      <c r="BC193" s="678"/>
      <c r="BD193" s="678"/>
      <c r="BE193" s="678"/>
      <c r="BF193" s="678"/>
      <c r="BG193" s="678"/>
      <c r="BH193" s="678"/>
      <c r="BI193" s="678"/>
      <c r="BJ193" s="678"/>
      <c r="BK193" s="678"/>
      <c r="BL193" s="678"/>
      <c r="BM193" s="678"/>
      <c r="BN193" s="678"/>
      <c r="BO193" s="678"/>
      <c r="BP193" s="678"/>
      <c r="BQ193" s="678"/>
      <c r="BR193" s="678"/>
      <c r="BS193" s="678"/>
      <c r="BT193" s="678"/>
      <c r="BU193" s="678"/>
      <c r="BV193" s="678"/>
      <c r="BW193" s="678"/>
      <c r="BX193" s="678"/>
      <c r="BY193" s="678"/>
      <c r="BZ193" s="678"/>
      <c r="CA193" s="678"/>
      <c r="CB193" s="678"/>
      <c r="CC193" s="678"/>
      <c r="CD193" s="678"/>
      <c r="CE193" s="678"/>
      <c r="CF193" s="678"/>
      <c r="CG193" s="678"/>
      <c r="CH193" s="678"/>
      <c r="CI193" s="678"/>
      <c r="CJ193" s="678"/>
      <c r="CK193" s="678"/>
      <c r="CL193" s="678"/>
      <c r="CM193" s="678"/>
      <c r="CN193" s="678"/>
      <c r="CO193" s="678"/>
      <c r="CP193" s="678"/>
      <c r="CQ193" s="678"/>
      <c r="CR193" s="678"/>
      <c r="CS193" s="678"/>
      <c r="CT193" s="678"/>
      <c r="CU193" s="678"/>
      <c r="CV193" s="678"/>
      <c r="CW193" s="678"/>
      <c r="CX193" s="678"/>
      <c r="CY193" s="678"/>
      <c r="CZ193" s="678"/>
      <c r="DA193" s="678"/>
      <c r="DB193" s="678"/>
      <c r="DC193" s="678"/>
      <c r="DD193" s="678"/>
      <c r="DE193" s="678"/>
      <c r="DF193" s="678"/>
      <c r="DG193" s="678"/>
      <c r="DH193" s="678"/>
      <c r="DI193" s="678"/>
      <c r="DJ193" s="678"/>
      <c r="DK193" s="678"/>
      <c r="DL193" s="678"/>
      <c r="DM193" s="678"/>
      <c r="DN193" s="678"/>
      <c r="DO193" s="678"/>
      <c r="DP193" s="678"/>
      <c r="DQ193" s="678"/>
      <c r="DR193" s="678"/>
      <c r="DS193" s="678"/>
      <c r="DT193" s="678"/>
      <c r="DU193" s="678"/>
      <c r="DV193" s="678"/>
      <c r="DW193" s="678"/>
      <c r="DX193" s="678"/>
      <c r="DY193" s="678"/>
      <c r="DZ193" s="678"/>
      <c r="EA193" s="678"/>
      <c r="EB193" s="678"/>
      <c r="EC193" s="678"/>
      <c r="ED193" s="678"/>
      <c r="EE193" s="678"/>
      <c r="EF193" s="678"/>
      <c r="EG193" s="678"/>
      <c r="EH193" s="678"/>
      <c r="EI193" s="678"/>
      <c r="EJ193" s="678"/>
      <c r="EK193" s="678"/>
      <c r="EL193" s="678"/>
      <c r="EM193" s="678"/>
      <c r="EN193" s="678"/>
      <c r="EO193" s="678"/>
      <c r="EP193" s="678"/>
      <c r="EQ193" s="678"/>
      <c r="ER193" s="678"/>
      <c r="ES193" s="678"/>
      <c r="ET193" s="678"/>
      <c r="EU193" s="678"/>
      <c r="EV193" s="678"/>
      <c r="EW193" s="678"/>
      <c r="EX193" s="678"/>
      <c r="EY193" s="678"/>
      <c r="EZ193" s="678"/>
      <c r="FA193" s="678"/>
      <c r="FB193" s="678"/>
      <c r="FC193" s="678"/>
      <c r="FD193" s="678"/>
      <c r="FE193" s="678"/>
      <c r="FF193" s="678"/>
      <c r="FG193" s="678"/>
      <c r="FH193" s="678"/>
      <c r="FI193" s="678"/>
      <c r="FJ193" s="678"/>
      <c r="FK193" s="678"/>
      <c r="FL193" s="678"/>
      <c r="FM193" s="678"/>
      <c r="FN193" s="678"/>
      <c r="FO193" s="678"/>
      <c r="FP193" s="678"/>
      <c r="FQ193" s="678"/>
      <c r="FR193" s="678"/>
      <c r="FS193" s="678"/>
      <c r="FT193" s="678"/>
      <c r="FU193" s="678"/>
      <c r="FV193" s="678"/>
      <c r="FW193" s="678"/>
      <c r="FX193" s="678"/>
      <c r="FY193" s="678"/>
      <c r="FZ193" s="678"/>
      <c r="GA193" s="678"/>
      <c r="GB193" s="678"/>
      <c r="GC193" s="678"/>
      <c r="GD193" s="678"/>
      <c r="GE193" s="678"/>
      <c r="GF193" s="678"/>
      <c r="GG193" s="678"/>
      <c r="GH193" s="678"/>
      <c r="GI193" s="678"/>
      <c r="GJ193" s="678"/>
      <c r="GK193" s="678"/>
      <c r="GL193" s="678"/>
      <c r="GM193" s="678"/>
      <c r="GN193" s="678"/>
      <c r="GO193" s="678"/>
      <c r="GP193" s="678"/>
      <c r="GQ193" s="678"/>
      <c r="GR193" s="678"/>
      <c r="GS193" s="678"/>
      <c r="GT193" s="678"/>
      <c r="GU193" s="678"/>
      <c r="GV193" s="678"/>
      <c r="GW193" s="678"/>
      <c r="GX193" s="678"/>
      <c r="GY193" s="678"/>
      <c r="GZ193" s="678"/>
      <c r="HA193" s="678"/>
      <c r="HB193" s="678"/>
      <c r="HC193" s="678"/>
      <c r="HD193" s="678"/>
      <c r="HE193" s="678"/>
      <c r="HF193" s="678"/>
      <c r="HG193" s="678"/>
      <c r="HH193" s="678"/>
      <c r="HI193" s="678"/>
      <c r="HJ193" s="678"/>
      <c r="HK193" s="678"/>
      <c r="HL193" s="678"/>
      <c r="HM193" s="678"/>
      <c r="HN193" s="678"/>
      <c r="HO193" s="678"/>
      <c r="HP193" s="678"/>
      <c r="HQ193" s="678"/>
      <c r="HR193" s="678"/>
      <c r="HS193" s="678"/>
      <c r="HT193" s="678"/>
      <c r="HU193" s="678"/>
      <c r="HV193" s="678"/>
      <c r="HW193" s="678"/>
      <c r="HX193" s="678"/>
      <c r="HY193" s="678"/>
      <c r="HZ193" s="678"/>
      <c r="IA193" s="678"/>
      <c r="IB193" s="678"/>
      <c r="IC193" s="678"/>
      <c r="ID193" s="678"/>
      <c r="IE193" s="678"/>
      <c r="IF193" s="678"/>
      <c r="IG193" s="678"/>
      <c r="IH193" s="678"/>
      <c r="II193" s="678"/>
      <c r="IJ193" s="678"/>
      <c r="IK193" s="678"/>
      <c r="IL193" s="678"/>
      <c r="IM193" s="678"/>
      <c r="IN193" s="678"/>
      <c r="IO193" s="678"/>
      <c r="IP193" s="678"/>
      <c r="IQ193" s="678"/>
      <c r="IR193" s="678"/>
      <c r="IS193" s="678"/>
      <c r="IT193" s="678"/>
      <c r="IU193" s="678"/>
      <c r="IV193" s="678"/>
      <c r="IW193" s="678"/>
    </row>
    <row r="194" spans="1:257" s="579" customFormat="1" ht="24" customHeight="1">
      <c r="A194" s="672" t="s">
        <v>91</v>
      </c>
      <c r="B194" s="696" t="s">
        <v>54</v>
      </c>
      <c r="C194" s="635"/>
      <c r="D194" s="635"/>
      <c r="E194" s="651"/>
      <c r="F194" s="651">
        <v>80000000</v>
      </c>
      <c r="G194" s="669"/>
      <c r="H194" s="669"/>
      <c r="I194" s="669"/>
      <c r="J194" s="651">
        <v>150000000</v>
      </c>
      <c r="K194" s="651"/>
      <c r="L194" s="1305"/>
      <c r="M194" s="651"/>
      <c r="N194" s="826"/>
      <c r="O194" s="826"/>
      <c r="P194" s="837"/>
      <c r="Q194" s="837"/>
      <c r="R194" s="826"/>
      <c r="S194" s="830"/>
      <c r="T194" s="852"/>
      <c r="U194" s="655"/>
      <c r="V194" s="689"/>
      <c r="W194" s="689"/>
      <c r="X194" s="670"/>
      <c r="Y194" s="678"/>
      <c r="Z194" s="678"/>
      <c r="AA194" s="678"/>
      <c r="AB194" s="678"/>
      <c r="AC194" s="678"/>
      <c r="AD194" s="678"/>
      <c r="AE194" s="678"/>
      <c r="AF194" s="678"/>
      <c r="AG194" s="678"/>
      <c r="AH194" s="678"/>
      <c r="AI194" s="678"/>
      <c r="AJ194" s="678"/>
      <c r="AK194" s="678"/>
      <c r="AL194" s="678"/>
      <c r="AM194" s="678"/>
      <c r="AN194" s="678"/>
      <c r="AO194" s="678"/>
      <c r="AP194" s="678"/>
      <c r="AQ194" s="678"/>
      <c r="AR194" s="678"/>
      <c r="AS194" s="678"/>
      <c r="AT194" s="678"/>
      <c r="AU194" s="678"/>
      <c r="AV194" s="678"/>
      <c r="AW194" s="678"/>
      <c r="AX194" s="678"/>
      <c r="AY194" s="678"/>
      <c r="AZ194" s="678"/>
      <c r="BA194" s="678"/>
      <c r="BB194" s="678"/>
      <c r="BC194" s="678"/>
      <c r="BD194" s="678"/>
      <c r="BE194" s="678"/>
      <c r="BF194" s="678"/>
      <c r="BG194" s="678"/>
      <c r="BH194" s="678"/>
      <c r="BI194" s="678"/>
      <c r="BJ194" s="678"/>
      <c r="BK194" s="678"/>
      <c r="BL194" s="678"/>
      <c r="BM194" s="678"/>
      <c r="BN194" s="678"/>
      <c r="BO194" s="678"/>
      <c r="BP194" s="678"/>
      <c r="BQ194" s="678"/>
      <c r="BR194" s="678"/>
      <c r="BS194" s="678"/>
      <c r="BT194" s="678"/>
      <c r="BU194" s="678"/>
      <c r="BV194" s="678"/>
      <c r="BW194" s="678"/>
      <c r="BX194" s="678"/>
      <c r="BY194" s="678"/>
      <c r="BZ194" s="678"/>
      <c r="CA194" s="678"/>
      <c r="CB194" s="678"/>
      <c r="CC194" s="678"/>
      <c r="CD194" s="678"/>
      <c r="CE194" s="678"/>
      <c r="CF194" s="678"/>
      <c r="CG194" s="678"/>
      <c r="CH194" s="678"/>
      <c r="CI194" s="678"/>
      <c r="CJ194" s="678"/>
      <c r="CK194" s="678"/>
      <c r="CL194" s="678"/>
      <c r="CM194" s="678"/>
      <c r="CN194" s="678"/>
      <c r="CO194" s="678"/>
      <c r="CP194" s="678"/>
      <c r="CQ194" s="678"/>
      <c r="CR194" s="678"/>
      <c r="CS194" s="678"/>
      <c r="CT194" s="678"/>
      <c r="CU194" s="678"/>
      <c r="CV194" s="678"/>
      <c r="CW194" s="678"/>
      <c r="CX194" s="678"/>
      <c r="CY194" s="678"/>
      <c r="CZ194" s="678"/>
      <c r="DA194" s="678"/>
      <c r="DB194" s="678"/>
      <c r="DC194" s="678"/>
      <c r="DD194" s="678"/>
      <c r="DE194" s="678"/>
      <c r="DF194" s="678"/>
      <c r="DG194" s="678"/>
      <c r="DH194" s="678"/>
      <c r="DI194" s="678"/>
      <c r="DJ194" s="678"/>
      <c r="DK194" s="678"/>
      <c r="DL194" s="678"/>
      <c r="DM194" s="678"/>
      <c r="DN194" s="678"/>
      <c r="DO194" s="678"/>
      <c r="DP194" s="678"/>
      <c r="DQ194" s="678"/>
      <c r="DR194" s="678"/>
      <c r="DS194" s="678"/>
      <c r="DT194" s="678"/>
      <c r="DU194" s="678"/>
      <c r="DV194" s="678"/>
      <c r="DW194" s="678"/>
      <c r="DX194" s="678"/>
      <c r="DY194" s="678"/>
      <c r="DZ194" s="678"/>
      <c r="EA194" s="678"/>
      <c r="EB194" s="678"/>
      <c r="EC194" s="678"/>
      <c r="ED194" s="678"/>
      <c r="EE194" s="678"/>
      <c r="EF194" s="678"/>
      <c r="EG194" s="678"/>
      <c r="EH194" s="678"/>
      <c r="EI194" s="678"/>
      <c r="EJ194" s="678"/>
      <c r="EK194" s="678"/>
      <c r="EL194" s="678"/>
      <c r="EM194" s="678"/>
      <c r="EN194" s="678"/>
      <c r="EO194" s="678"/>
      <c r="EP194" s="678"/>
      <c r="EQ194" s="678"/>
      <c r="ER194" s="678"/>
      <c r="ES194" s="678"/>
      <c r="ET194" s="678"/>
      <c r="EU194" s="678"/>
      <c r="EV194" s="678"/>
      <c r="EW194" s="678"/>
      <c r="EX194" s="678"/>
      <c r="EY194" s="678"/>
      <c r="EZ194" s="678"/>
      <c r="FA194" s="678"/>
      <c r="FB194" s="678"/>
      <c r="FC194" s="678"/>
      <c r="FD194" s="678"/>
      <c r="FE194" s="678"/>
      <c r="FF194" s="678"/>
      <c r="FG194" s="678"/>
      <c r="FH194" s="678"/>
      <c r="FI194" s="678"/>
      <c r="FJ194" s="678"/>
      <c r="FK194" s="678"/>
      <c r="FL194" s="678"/>
      <c r="FM194" s="678"/>
      <c r="FN194" s="678"/>
      <c r="FO194" s="678"/>
      <c r="FP194" s="678"/>
      <c r="FQ194" s="678"/>
      <c r="FR194" s="678"/>
      <c r="FS194" s="678"/>
      <c r="FT194" s="678"/>
      <c r="FU194" s="678"/>
      <c r="FV194" s="678"/>
      <c r="FW194" s="678"/>
      <c r="FX194" s="678"/>
      <c r="FY194" s="678"/>
      <c r="FZ194" s="678"/>
      <c r="GA194" s="678"/>
      <c r="GB194" s="678"/>
      <c r="GC194" s="678"/>
      <c r="GD194" s="678"/>
      <c r="GE194" s="678"/>
      <c r="GF194" s="678"/>
      <c r="GG194" s="678"/>
      <c r="GH194" s="678"/>
      <c r="GI194" s="678"/>
      <c r="GJ194" s="678"/>
      <c r="GK194" s="678"/>
      <c r="GL194" s="678"/>
      <c r="GM194" s="678"/>
      <c r="GN194" s="678"/>
      <c r="GO194" s="678"/>
      <c r="GP194" s="678"/>
      <c r="GQ194" s="678"/>
      <c r="GR194" s="678"/>
      <c r="GS194" s="678"/>
      <c r="GT194" s="678"/>
      <c r="GU194" s="678"/>
      <c r="GV194" s="678"/>
      <c r="GW194" s="678"/>
      <c r="GX194" s="678"/>
      <c r="GY194" s="678"/>
      <c r="GZ194" s="678"/>
      <c r="HA194" s="678"/>
      <c r="HB194" s="678"/>
      <c r="HC194" s="678"/>
      <c r="HD194" s="678"/>
      <c r="HE194" s="678"/>
      <c r="HF194" s="678"/>
      <c r="HG194" s="678"/>
      <c r="HH194" s="678"/>
      <c r="HI194" s="678"/>
      <c r="HJ194" s="678"/>
      <c r="HK194" s="678"/>
      <c r="HL194" s="678"/>
      <c r="HM194" s="678"/>
      <c r="HN194" s="678"/>
      <c r="HO194" s="678"/>
      <c r="HP194" s="678"/>
      <c r="HQ194" s="678"/>
      <c r="HR194" s="678"/>
      <c r="HS194" s="678"/>
      <c r="HT194" s="678"/>
      <c r="HU194" s="678"/>
      <c r="HV194" s="678"/>
      <c r="HW194" s="678"/>
      <c r="HX194" s="678"/>
      <c r="HY194" s="678"/>
      <c r="HZ194" s="678"/>
      <c r="IA194" s="678"/>
      <c r="IB194" s="678"/>
      <c r="IC194" s="678"/>
      <c r="ID194" s="678"/>
      <c r="IE194" s="678"/>
      <c r="IF194" s="678"/>
      <c r="IG194" s="678"/>
      <c r="IH194" s="678"/>
      <c r="II194" s="678"/>
      <c r="IJ194" s="678"/>
      <c r="IK194" s="678"/>
      <c r="IL194" s="678"/>
      <c r="IM194" s="678"/>
      <c r="IN194" s="678"/>
      <c r="IO194" s="678"/>
      <c r="IP194" s="678"/>
      <c r="IQ194" s="678"/>
      <c r="IR194" s="678"/>
      <c r="IS194" s="678"/>
      <c r="IT194" s="678"/>
      <c r="IU194" s="678"/>
      <c r="IV194" s="678"/>
      <c r="IW194" s="678"/>
    </row>
    <row r="195" spans="1:257" s="579" customFormat="1" ht="24" customHeight="1">
      <c r="A195" s="672"/>
      <c r="B195" s="696" t="s">
        <v>1503</v>
      </c>
      <c r="C195" s="635"/>
      <c r="D195" s="635"/>
      <c r="E195" s="651"/>
      <c r="F195" s="651"/>
      <c r="G195" s="669"/>
      <c r="H195" s="669"/>
      <c r="I195" s="669"/>
      <c r="J195" s="651"/>
      <c r="K195" s="651"/>
      <c r="L195" s="1305"/>
      <c r="M195" s="651" t="s">
        <v>1504</v>
      </c>
      <c r="N195" s="826"/>
      <c r="O195" s="826"/>
      <c r="P195" s="837"/>
      <c r="Q195" s="837"/>
      <c r="R195" s="826"/>
      <c r="S195" s="830"/>
      <c r="T195" s="852"/>
      <c r="U195" s="655"/>
      <c r="V195" s="689"/>
      <c r="W195" s="689"/>
      <c r="X195" s="670"/>
      <c r="Y195" s="678"/>
      <c r="Z195" s="678"/>
      <c r="AA195" s="678"/>
      <c r="AB195" s="678"/>
      <c r="AC195" s="678"/>
      <c r="AD195" s="678"/>
      <c r="AE195" s="678"/>
      <c r="AF195" s="678"/>
      <c r="AG195" s="678"/>
      <c r="AH195" s="678"/>
      <c r="AI195" s="678"/>
      <c r="AJ195" s="678"/>
      <c r="AK195" s="678"/>
      <c r="AL195" s="678"/>
      <c r="AM195" s="678"/>
      <c r="AN195" s="678"/>
      <c r="AO195" s="678"/>
      <c r="AP195" s="678"/>
      <c r="AQ195" s="678"/>
      <c r="AR195" s="678"/>
      <c r="AS195" s="678"/>
      <c r="AT195" s="678"/>
      <c r="AU195" s="678"/>
      <c r="AV195" s="678"/>
      <c r="AW195" s="678"/>
      <c r="AX195" s="678"/>
      <c r="AY195" s="678"/>
      <c r="AZ195" s="678"/>
      <c r="BA195" s="678"/>
      <c r="BB195" s="678"/>
      <c r="BC195" s="678"/>
      <c r="BD195" s="678"/>
      <c r="BE195" s="678"/>
      <c r="BF195" s="678"/>
      <c r="BG195" s="678"/>
      <c r="BH195" s="678"/>
      <c r="BI195" s="678"/>
      <c r="BJ195" s="678"/>
      <c r="BK195" s="678"/>
      <c r="BL195" s="678"/>
      <c r="BM195" s="678"/>
      <c r="BN195" s="678"/>
      <c r="BO195" s="678"/>
      <c r="BP195" s="678"/>
      <c r="BQ195" s="678"/>
      <c r="BR195" s="678"/>
      <c r="BS195" s="678"/>
      <c r="BT195" s="678"/>
      <c r="BU195" s="678"/>
      <c r="BV195" s="678"/>
      <c r="BW195" s="678"/>
      <c r="BX195" s="678"/>
      <c r="BY195" s="678"/>
      <c r="BZ195" s="678"/>
      <c r="CA195" s="678"/>
      <c r="CB195" s="678"/>
      <c r="CC195" s="678"/>
      <c r="CD195" s="678"/>
      <c r="CE195" s="678"/>
      <c r="CF195" s="678"/>
      <c r="CG195" s="678"/>
      <c r="CH195" s="678"/>
      <c r="CI195" s="678"/>
      <c r="CJ195" s="678"/>
      <c r="CK195" s="678"/>
      <c r="CL195" s="678"/>
      <c r="CM195" s="678"/>
      <c r="CN195" s="678"/>
      <c r="CO195" s="678"/>
      <c r="CP195" s="678"/>
      <c r="CQ195" s="678"/>
      <c r="CR195" s="678"/>
      <c r="CS195" s="678"/>
      <c r="CT195" s="678"/>
      <c r="CU195" s="678"/>
      <c r="CV195" s="678"/>
      <c r="CW195" s="678"/>
      <c r="CX195" s="678"/>
      <c r="CY195" s="678"/>
      <c r="CZ195" s="678"/>
      <c r="DA195" s="678"/>
      <c r="DB195" s="678"/>
      <c r="DC195" s="678"/>
      <c r="DD195" s="678"/>
      <c r="DE195" s="678"/>
      <c r="DF195" s="678"/>
      <c r="DG195" s="678"/>
      <c r="DH195" s="678"/>
      <c r="DI195" s="678"/>
      <c r="DJ195" s="678"/>
      <c r="DK195" s="678"/>
      <c r="DL195" s="678"/>
      <c r="DM195" s="678"/>
      <c r="DN195" s="678"/>
      <c r="DO195" s="678"/>
      <c r="DP195" s="678"/>
      <c r="DQ195" s="678"/>
      <c r="DR195" s="678"/>
      <c r="DS195" s="678"/>
      <c r="DT195" s="678"/>
      <c r="DU195" s="678"/>
      <c r="DV195" s="678"/>
      <c r="DW195" s="678"/>
      <c r="DX195" s="678"/>
      <c r="DY195" s="678"/>
      <c r="DZ195" s="678"/>
      <c r="EA195" s="678"/>
      <c r="EB195" s="678"/>
      <c r="EC195" s="678"/>
      <c r="ED195" s="678"/>
      <c r="EE195" s="678"/>
      <c r="EF195" s="678"/>
      <c r="EG195" s="678"/>
      <c r="EH195" s="678"/>
      <c r="EI195" s="678"/>
      <c r="EJ195" s="678"/>
      <c r="EK195" s="678"/>
      <c r="EL195" s="678"/>
      <c r="EM195" s="678"/>
      <c r="EN195" s="678"/>
      <c r="EO195" s="678"/>
      <c r="EP195" s="678"/>
      <c r="EQ195" s="678"/>
      <c r="ER195" s="678"/>
      <c r="ES195" s="678"/>
      <c r="ET195" s="678"/>
      <c r="EU195" s="678"/>
      <c r="EV195" s="678"/>
      <c r="EW195" s="678"/>
      <c r="EX195" s="678"/>
      <c r="EY195" s="678"/>
      <c r="EZ195" s="678"/>
      <c r="FA195" s="678"/>
      <c r="FB195" s="678"/>
      <c r="FC195" s="678"/>
      <c r="FD195" s="678"/>
      <c r="FE195" s="678"/>
      <c r="FF195" s="678"/>
      <c r="FG195" s="678"/>
      <c r="FH195" s="678"/>
      <c r="FI195" s="678"/>
      <c r="FJ195" s="678"/>
      <c r="FK195" s="678"/>
      <c r="FL195" s="678"/>
      <c r="FM195" s="678"/>
      <c r="FN195" s="678"/>
      <c r="FO195" s="678"/>
      <c r="FP195" s="678"/>
      <c r="FQ195" s="678"/>
      <c r="FR195" s="678"/>
      <c r="FS195" s="678"/>
      <c r="FT195" s="678"/>
      <c r="FU195" s="678"/>
      <c r="FV195" s="678"/>
      <c r="FW195" s="678"/>
      <c r="FX195" s="678"/>
      <c r="FY195" s="678"/>
      <c r="FZ195" s="678"/>
      <c r="GA195" s="678"/>
      <c r="GB195" s="678"/>
      <c r="GC195" s="678"/>
      <c r="GD195" s="678"/>
      <c r="GE195" s="678"/>
      <c r="GF195" s="678"/>
      <c r="GG195" s="678"/>
      <c r="GH195" s="678"/>
      <c r="GI195" s="678"/>
      <c r="GJ195" s="678"/>
      <c r="GK195" s="678"/>
      <c r="GL195" s="678"/>
      <c r="GM195" s="678"/>
      <c r="GN195" s="678"/>
      <c r="GO195" s="678"/>
      <c r="GP195" s="678"/>
      <c r="GQ195" s="678"/>
      <c r="GR195" s="678"/>
      <c r="GS195" s="678"/>
      <c r="GT195" s="678"/>
      <c r="GU195" s="678"/>
      <c r="GV195" s="678"/>
      <c r="GW195" s="678"/>
      <c r="GX195" s="678"/>
      <c r="GY195" s="678"/>
      <c r="GZ195" s="678"/>
      <c r="HA195" s="678"/>
      <c r="HB195" s="678"/>
      <c r="HC195" s="678"/>
      <c r="HD195" s="678"/>
      <c r="HE195" s="678"/>
      <c r="HF195" s="678"/>
      <c r="HG195" s="678"/>
      <c r="HH195" s="678"/>
      <c r="HI195" s="678"/>
      <c r="HJ195" s="678"/>
      <c r="HK195" s="678"/>
      <c r="HL195" s="678"/>
      <c r="HM195" s="678"/>
      <c r="HN195" s="678"/>
      <c r="HO195" s="678"/>
      <c r="HP195" s="678"/>
      <c r="HQ195" s="678"/>
      <c r="HR195" s="678"/>
      <c r="HS195" s="678"/>
      <c r="HT195" s="678"/>
      <c r="HU195" s="678"/>
      <c r="HV195" s="678"/>
      <c r="HW195" s="678"/>
      <c r="HX195" s="678"/>
      <c r="HY195" s="678"/>
      <c r="HZ195" s="678"/>
      <c r="IA195" s="678"/>
      <c r="IB195" s="678"/>
      <c r="IC195" s="678"/>
      <c r="ID195" s="678"/>
      <c r="IE195" s="678"/>
      <c r="IF195" s="678"/>
      <c r="IG195" s="678"/>
      <c r="IH195" s="678"/>
      <c r="II195" s="678"/>
      <c r="IJ195" s="678"/>
      <c r="IK195" s="678"/>
      <c r="IL195" s="678"/>
      <c r="IM195" s="678"/>
      <c r="IN195" s="678"/>
      <c r="IO195" s="678"/>
      <c r="IP195" s="678"/>
      <c r="IQ195" s="678"/>
      <c r="IR195" s="678"/>
      <c r="IS195" s="678"/>
      <c r="IT195" s="678"/>
      <c r="IU195" s="678"/>
      <c r="IV195" s="678"/>
      <c r="IW195" s="678"/>
    </row>
    <row r="196" spans="1:257" s="579" customFormat="1" ht="24" customHeight="1">
      <c r="A196" s="672"/>
      <c r="B196" s="696" t="s">
        <v>1505</v>
      </c>
      <c r="C196" s="635"/>
      <c r="D196" s="635"/>
      <c r="E196" s="651"/>
      <c r="F196" s="651"/>
      <c r="G196" s="669"/>
      <c r="H196" s="669"/>
      <c r="I196" s="669"/>
      <c r="J196" s="651"/>
      <c r="K196" s="651"/>
      <c r="L196" s="1305"/>
      <c r="M196" s="651" t="s">
        <v>1511</v>
      </c>
      <c r="N196" s="826"/>
      <c r="O196" s="826"/>
      <c r="P196" s="837"/>
      <c r="Q196" s="837"/>
      <c r="R196" s="826"/>
      <c r="S196" s="830"/>
      <c r="T196" s="852"/>
      <c r="U196" s="655"/>
      <c r="V196" s="689"/>
      <c r="W196" s="689"/>
      <c r="X196" s="670"/>
      <c r="Y196" s="678"/>
      <c r="Z196" s="678"/>
      <c r="AA196" s="678"/>
      <c r="AB196" s="678"/>
      <c r="AC196" s="678"/>
      <c r="AD196" s="678"/>
      <c r="AE196" s="678"/>
      <c r="AF196" s="678"/>
      <c r="AG196" s="678"/>
      <c r="AH196" s="678"/>
      <c r="AI196" s="678"/>
      <c r="AJ196" s="678"/>
      <c r="AK196" s="678"/>
      <c r="AL196" s="678"/>
      <c r="AM196" s="678"/>
      <c r="AN196" s="678"/>
      <c r="AO196" s="678"/>
      <c r="AP196" s="678"/>
      <c r="AQ196" s="678"/>
      <c r="AR196" s="678"/>
      <c r="AS196" s="678"/>
      <c r="AT196" s="678"/>
      <c r="AU196" s="678"/>
      <c r="AV196" s="678"/>
      <c r="AW196" s="678"/>
      <c r="AX196" s="678"/>
      <c r="AY196" s="678"/>
      <c r="AZ196" s="678"/>
      <c r="BA196" s="678"/>
      <c r="BB196" s="678"/>
      <c r="BC196" s="678"/>
      <c r="BD196" s="678"/>
      <c r="BE196" s="678"/>
      <c r="BF196" s="678"/>
      <c r="BG196" s="678"/>
      <c r="BH196" s="678"/>
      <c r="BI196" s="678"/>
      <c r="BJ196" s="678"/>
      <c r="BK196" s="678"/>
      <c r="BL196" s="678"/>
      <c r="BM196" s="678"/>
      <c r="BN196" s="678"/>
      <c r="BO196" s="678"/>
      <c r="BP196" s="678"/>
      <c r="BQ196" s="678"/>
      <c r="BR196" s="678"/>
      <c r="BS196" s="678"/>
      <c r="BT196" s="678"/>
      <c r="BU196" s="678"/>
      <c r="BV196" s="678"/>
      <c r="BW196" s="678"/>
      <c r="BX196" s="678"/>
      <c r="BY196" s="678"/>
      <c r="BZ196" s="678"/>
      <c r="CA196" s="678"/>
      <c r="CB196" s="678"/>
      <c r="CC196" s="678"/>
      <c r="CD196" s="678"/>
      <c r="CE196" s="678"/>
      <c r="CF196" s="678"/>
      <c r="CG196" s="678"/>
      <c r="CH196" s="678"/>
      <c r="CI196" s="678"/>
      <c r="CJ196" s="678"/>
      <c r="CK196" s="678"/>
      <c r="CL196" s="678"/>
      <c r="CM196" s="678"/>
      <c r="CN196" s="678"/>
      <c r="CO196" s="678"/>
      <c r="CP196" s="678"/>
      <c r="CQ196" s="678"/>
      <c r="CR196" s="678"/>
      <c r="CS196" s="678"/>
      <c r="CT196" s="678"/>
      <c r="CU196" s="678"/>
      <c r="CV196" s="678"/>
      <c r="CW196" s="678"/>
      <c r="CX196" s="678"/>
      <c r="CY196" s="678"/>
      <c r="CZ196" s="678"/>
      <c r="DA196" s="678"/>
      <c r="DB196" s="678"/>
      <c r="DC196" s="678"/>
      <c r="DD196" s="678"/>
      <c r="DE196" s="678"/>
      <c r="DF196" s="678"/>
      <c r="DG196" s="678"/>
      <c r="DH196" s="678"/>
      <c r="DI196" s="678"/>
      <c r="DJ196" s="678"/>
      <c r="DK196" s="678"/>
      <c r="DL196" s="678"/>
      <c r="DM196" s="678"/>
      <c r="DN196" s="678"/>
      <c r="DO196" s="678"/>
      <c r="DP196" s="678"/>
      <c r="DQ196" s="678"/>
      <c r="DR196" s="678"/>
      <c r="DS196" s="678"/>
      <c r="DT196" s="678"/>
      <c r="DU196" s="678"/>
      <c r="DV196" s="678"/>
      <c r="DW196" s="678"/>
      <c r="DX196" s="678"/>
      <c r="DY196" s="678"/>
      <c r="DZ196" s="678"/>
      <c r="EA196" s="678"/>
      <c r="EB196" s="678"/>
      <c r="EC196" s="678"/>
      <c r="ED196" s="678"/>
      <c r="EE196" s="678"/>
      <c r="EF196" s="678"/>
      <c r="EG196" s="678"/>
      <c r="EH196" s="678"/>
      <c r="EI196" s="678"/>
      <c r="EJ196" s="678"/>
      <c r="EK196" s="678"/>
      <c r="EL196" s="678"/>
      <c r="EM196" s="678"/>
      <c r="EN196" s="678"/>
      <c r="EO196" s="678"/>
      <c r="EP196" s="678"/>
      <c r="EQ196" s="678"/>
      <c r="ER196" s="678"/>
      <c r="ES196" s="678"/>
      <c r="ET196" s="678"/>
      <c r="EU196" s="678"/>
      <c r="EV196" s="678"/>
      <c r="EW196" s="678"/>
      <c r="EX196" s="678"/>
      <c r="EY196" s="678"/>
      <c r="EZ196" s="678"/>
      <c r="FA196" s="678"/>
      <c r="FB196" s="678"/>
      <c r="FC196" s="678"/>
      <c r="FD196" s="678"/>
      <c r="FE196" s="678"/>
      <c r="FF196" s="678"/>
      <c r="FG196" s="678"/>
      <c r="FH196" s="678"/>
      <c r="FI196" s="678"/>
      <c r="FJ196" s="678"/>
      <c r="FK196" s="678"/>
      <c r="FL196" s="678"/>
      <c r="FM196" s="678"/>
      <c r="FN196" s="678"/>
      <c r="FO196" s="678"/>
      <c r="FP196" s="678"/>
      <c r="FQ196" s="678"/>
      <c r="FR196" s="678"/>
      <c r="FS196" s="678"/>
      <c r="FT196" s="678"/>
      <c r="FU196" s="678"/>
      <c r="FV196" s="678"/>
      <c r="FW196" s="678"/>
      <c r="FX196" s="678"/>
      <c r="FY196" s="678"/>
      <c r="FZ196" s="678"/>
      <c r="GA196" s="678"/>
      <c r="GB196" s="678"/>
      <c r="GC196" s="678"/>
      <c r="GD196" s="678"/>
      <c r="GE196" s="678"/>
      <c r="GF196" s="678"/>
      <c r="GG196" s="678"/>
      <c r="GH196" s="678"/>
      <c r="GI196" s="678"/>
      <c r="GJ196" s="678"/>
      <c r="GK196" s="678"/>
      <c r="GL196" s="678"/>
      <c r="GM196" s="678"/>
      <c r="GN196" s="678"/>
      <c r="GO196" s="678"/>
      <c r="GP196" s="678"/>
      <c r="GQ196" s="678"/>
      <c r="GR196" s="678"/>
      <c r="GS196" s="678"/>
      <c r="GT196" s="678"/>
      <c r="GU196" s="678"/>
      <c r="GV196" s="678"/>
      <c r="GW196" s="678"/>
      <c r="GX196" s="678"/>
      <c r="GY196" s="678"/>
      <c r="GZ196" s="678"/>
      <c r="HA196" s="678"/>
      <c r="HB196" s="678"/>
      <c r="HC196" s="678"/>
      <c r="HD196" s="678"/>
      <c r="HE196" s="678"/>
      <c r="HF196" s="678"/>
      <c r="HG196" s="678"/>
      <c r="HH196" s="678"/>
      <c r="HI196" s="678"/>
      <c r="HJ196" s="678"/>
      <c r="HK196" s="678"/>
      <c r="HL196" s="678"/>
      <c r="HM196" s="678"/>
      <c r="HN196" s="678"/>
      <c r="HO196" s="678"/>
      <c r="HP196" s="678"/>
      <c r="HQ196" s="678"/>
      <c r="HR196" s="678"/>
      <c r="HS196" s="678"/>
      <c r="HT196" s="678"/>
      <c r="HU196" s="678"/>
      <c r="HV196" s="678"/>
      <c r="HW196" s="678"/>
      <c r="HX196" s="678"/>
      <c r="HY196" s="678"/>
      <c r="HZ196" s="678"/>
      <c r="IA196" s="678"/>
      <c r="IB196" s="678"/>
      <c r="IC196" s="678"/>
      <c r="ID196" s="678"/>
      <c r="IE196" s="678"/>
      <c r="IF196" s="678"/>
      <c r="IG196" s="678"/>
      <c r="IH196" s="678"/>
      <c r="II196" s="678"/>
      <c r="IJ196" s="678"/>
      <c r="IK196" s="678"/>
      <c r="IL196" s="678"/>
      <c r="IM196" s="678"/>
      <c r="IN196" s="678"/>
      <c r="IO196" s="678"/>
      <c r="IP196" s="678"/>
      <c r="IQ196" s="678"/>
      <c r="IR196" s="678"/>
      <c r="IS196" s="678"/>
      <c r="IT196" s="678"/>
      <c r="IU196" s="678"/>
      <c r="IV196" s="678"/>
      <c r="IW196" s="678"/>
    </row>
    <row r="197" spans="1:257" s="579" customFormat="1" ht="24" customHeight="1">
      <c r="A197" s="672"/>
      <c r="B197" s="696" t="s">
        <v>1506</v>
      </c>
      <c r="C197" s="635"/>
      <c r="D197" s="635"/>
      <c r="E197" s="651"/>
      <c r="F197" s="651"/>
      <c r="G197" s="669"/>
      <c r="H197" s="669"/>
      <c r="I197" s="669"/>
      <c r="J197" s="651"/>
      <c r="K197" s="651"/>
      <c r="L197" s="1305"/>
      <c r="M197" s="651" t="s">
        <v>1512</v>
      </c>
      <c r="N197" s="826"/>
      <c r="O197" s="826"/>
      <c r="P197" s="837"/>
      <c r="Q197" s="837"/>
      <c r="R197" s="826"/>
      <c r="S197" s="830"/>
      <c r="T197" s="852"/>
      <c r="U197" s="655"/>
      <c r="V197" s="689"/>
      <c r="W197" s="689"/>
      <c r="X197" s="670"/>
      <c r="Y197" s="678"/>
      <c r="Z197" s="678"/>
      <c r="AA197" s="678"/>
      <c r="AB197" s="678"/>
      <c r="AC197" s="678"/>
      <c r="AD197" s="678"/>
      <c r="AE197" s="678"/>
      <c r="AF197" s="678"/>
      <c r="AG197" s="678"/>
      <c r="AH197" s="678"/>
      <c r="AI197" s="678"/>
      <c r="AJ197" s="678"/>
      <c r="AK197" s="678"/>
      <c r="AL197" s="678"/>
      <c r="AM197" s="678"/>
      <c r="AN197" s="678"/>
      <c r="AO197" s="678"/>
      <c r="AP197" s="678"/>
      <c r="AQ197" s="678"/>
      <c r="AR197" s="678"/>
      <c r="AS197" s="678"/>
      <c r="AT197" s="678"/>
      <c r="AU197" s="678"/>
      <c r="AV197" s="678"/>
      <c r="AW197" s="678"/>
      <c r="AX197" s="678"/>
      <c r="AY197" s="678"/>
      <c r="AZ197" s="678"/>
      <c r="BA197" s="678"/>
      <c r="BB197" s="678"/>
      <c r="BC197" s="678"/>
      <c r="BD197" s="678"/>
      <c r="BE197" s="678"/>
      <c r="BF197" s="678"/>
      <c r="BG197" s="678"/>
      <c r="BH197" s="678"/>
      <c r="BI197" s="678"/>
      <c r="BJ197" s="678"/>
      <c r="BK197" s="678"/>
      <c r="BL197" s="678"/>
      <c r="BM197" s="678"/>
      <c r="BN197" s="678"/>
      <c r="BO197" s="678"/>
      <c r="BP197" s="678"/>
      <c r="BQ197" s="678"/>
      <c r="BR197" s="678"/>
      <c r="BS197" s="678"/>
      <c r="BT197" s="678"/>
      <c r="BU197" s="678"/>
      <c r="BV197" s="678"/>
      <c r="BW197" s="678"/>
      <c r="BX197" s="678"/>
      <c r="BY197" s="678"/>
      <c r="BZ197" s="678"/>
      <c r="CA197" s="678"/>
      <c r="CB197" s="678"/>
      <c r="CC197" s="678"/>
      <c r="CD197" s="678"/>
      <c r="CE197" s="678"/>
      <c r="CF197" s="678"/>
      <c r="CG197" s="678"/>
      <c r="CH197" s="678"/>
      <c r="CI197" s="678"/>
      <c r="CJ197" s="678"/>
      <c r="CK197" s="678"/>
      <c r="CL197" s="678"/>
      <c r="CM197" s="678"/>
      <c r="CN197" s="678"/>
      <c r="CO197" s="678"/>
      <c r="CP197" s="678"/>
      <c r="CQ197" s="678"/>
      <c r="CR197" s="678"/>
      <c r="CS197" s="678"/>
      <c r="CT197" s="678"/>
      <c r="CU197" s="678"/>
      <c r="CV197" s="678"/>
      <c r="CW197" s="678"/>
      <c r="CX197" s="678"/>
      <c r="CY197" s="678"/>
      <c r="CZ197" s="678"/>
      <c r="DA197" s="678"/>
      <c r="DB197" s="678"/>
      <c r="DC197" s="678"/>
      <c r="DD197" s="678"/>
      <c r="DE197" s="678"/>
      <c r="DF197" s="678"/>
      <c r="DG197" s="678"/>
      <c r="DH197" s="678"/>
      <c r="DI197" s="678"/>
      <c r="DJ197" s="678"/>
      <c r="DK197" s="678"/>
      <c r="DL197" s="678"/>
      <c r="DM197" s="678"/>
      <c r="DN197" s="678"/>
      <c r="DO197" s="678"/>
      <c r="DP197" s="678"/>
      <c r="DQ197" s="678"/>
      <c r="DR197" s="678"/>
      <c r="DS197" s="678"/>
      <c r="DT197" s="678"/>
      <c r="DU197" s="678"/>
      <c r="DV197" s="678"/>
      <c r="DW197" s="678"/>
      <c r="DX197" s="678"/>
      <c r="DY197" s="678"/>
      <c r="DZ197" s="678"/>
      <c r="EA197" s="678"/>
      <c r="EB197" s="678"/>
      <c r="EC197" s="678"/>
      <c r="ED197" s="678"/>
      <c r="EE197" s="678"/>
      <c r="EF197" s="678"/>
      <c r="EG197" s="678"/>
      <c r="EH197" s="678"/>
      <c r="EI197" s="678"/>
      <c r="EJ197" s="678"/>
      <c r="EK197" s="678"/>
      <c r="EL197" s="678"/>
      <c r="EM197" s="678"/>
      <c r="EN197" s="678"/>
      <c r="EO197" s="678"/>
      <c r="EP197" s="678"/>
      <c r="EQ197" s="678"/>
      <c r="ER197" s="678"/>
      <c r="ES197" s="678"/>
      <c r="ET197" s="678"/>
      <c r="EU197" s="678"/>
      <c r="EV197" s="678"/>
      <c r="EW197" s="678"/>
      <c r="EX197" s="678"/>
      <c r="EY197" s="678"/>
      <c r="EZ197" s="678"/>
      <c r="FA197" s="678"/>
      <c r="FB197" s="678"/>
      <c r="FC197" s="678"/>
      <c r="FD197" s="678"/>
      <c r="FE197" s="678"/>
      <c r="FF197" s="678"/>
      <c r="FG197" s="678"/>
      <c r="FH197" s="678"/>
      <c r="FI197" s="678"/>
      <c r="FJ197" s="678"/>
      <c r="FK197" s="678"/>
      <c r="FL197" s="678"/>
      <c r="FM197" s="678"/>
      <c r="FN197" s="678"/>
      <c r="FO197" s="678"/>
      <c r="FP197" s="678"/>
      <c r="FQ197" s="678"/>
      <c r="FR197" s="678"/>
      <c r="FS197" s="678"/>
      <c r="FT197" s="678"/>
      <c r="FU197" s="678"/>
      <c r="FV197" s="678"/>
      <c r="FW197" s="678"/>
      <c r="FX197" s="678"/>
      <c r="FY197" s="678"/>
      <c r="FZ197" s="678"/>
      <c r="GA197" s="678"/>
      <c r="GB197" s="678"/>
      <c r="GC197" s="678"/>
      <c r="GD197" s="678"/>
      <c r="GE197" s="678"/>
      <c r="GF197" s="678"/>
      <c r="GG197" s="678"/>
      <c r="GH197" s="678"/>
      <c r="GI197" s="678"/>
      <c r="GJ197" s="678"/>
      <c r="GK197" s="678"/>
      <c r="GL197" s="678"/>
      <c r="GM197" s="678"/>
      <c r="GN197" s="678"/>
      <c r="GO197" s="678"/>
      <c r="GP197" s="678"/>
      <c r="GQ197" s="678"/>
      <c r="GR197" s="678"/>
      <c r="GS197" s="678"/>
      <c r="GT197" s="678"/>
      <c r="GU197" s="678"/>
      <c r="GV197" s="678"/>
      <c r="GW197" s="678"/>
      <c r="GX197" s="678"/>
      <c r="GY197" s="678"/>
      <c r="GZ197" s="678"/>
      <c r="HA197" s="678"/>
      <c r="HB197" s="678"/>
      <c r="HC197" s="678"/>
      <c r="HD197" s="678"/>
      <c r="HE197" s="678"/>
      <c r="HF197" s="678"/>
      <c r="HG197" s="678"/>
      <c r="HH197" s="678"/>
      <c r="HI197" s="678"/>
      <c r="HJ197" s="678"/>
      <c r="HK197" s="678"/>
      <c r="HL197" s="678"/>
      <c r="HM197" s="678"/>
      <c r="HN197" s="678"/>
      <c r="HO197" s="678"/>
      <c r="HP197" s="678"/>
      <c r="HQ197" s="678"/>
      <c r="HR197" s="678"/>
      <c r="HS197" s="678"/>
      <c r="HT197" s="678"/>
      <c r="HU197" s="678"/>
      <c r="HV197" s="678"/>
      <c r="HW197" s="678"/>
      <c r="HX197" s="678"/>
      <c r="HY197" s="678"/>
      <c r="HZ197" s="678"/>
      <c r="IA197" s="678"/>
      <c r="IB197" s="678"/>
      <c r="IC197" s="678"/>
      <c r="ID197" s="678"/>
      <c r="IE197" s="678"/>
      <c r="IF197" s="678"/>
      <c r="IG197" s="678"/>
      <c r="IH197" s="678"/>
      <c r="II197" s="678"/>
      <c r="IJ197" s="678"/>
      <c r="IK197" s="678"/>
      <c r="IL197" s="678"/>
      <c r="IM197" s="678"/>
      <c r="IN197" s="678"/>
      <c r="IO197" s="678"/>
      <c r="IP197" s="678"/>
      <c r="IQ197" s="678"/>
      <c r="IR197" s="678"/>
      <c r="IS197" s="678"/>
      <c r="IT197" s="678"/>
      <c r="IU197" s="678"/>
      <c r="IV197" s="678"/>
      <c r="IW197" s="678"/>
    </row>
    <row r="198" spans="1:257" s="579" customFormat="1" ht="24" customHeight="1">
      <c r="A198" s="672"/>
      <c r="B198" s="696" t="s">
        <v>1507</v>
      </c>
      <c r="C198" s="635"/>
      <c r="D198" s="635"/>
      <c r="E198" s="651"/>
      <c r="F198" s="651"/>
      <c r="G198" s="669"/>
      <c r="H198" s="669"/>
      <c r="I198" s="669"/>
      <c r="J198" s="651"/>
      <c r="K198" s="651"/>
      <c r="L198" s="1305"/>
      <c r="M198" s="651" t="s">
        <v>1513</v>
      </c>
      <c r="N198" s="826"/>
      <c r="O198" s="826"/>
      <c r="P198" s="837"/>
      <c r="Q198" s="837"/>
      <c r="R198" s="826"/>
      <c r="S198" s="830"/>
      <c r="T198" s="852"/>
      <c r="U198" s="655"/>
      <c r="V198" s="689"/>
      <c r="W198" s="689"/>
      <c r="X198" s="670"/>
      <c r="Y198" s="678"/>
      <c r="Z198" s="678"/>
      <c r="AA198" s="678"/>
      <c r="AB198" s="678"/>
      <c r="AC198" s="678"/>
      <c r="AD198" s="678"/>
      <c r="AE198" s="678"/>
      <c r="AF198" s="678"/>
      <c r="AG198" s="678"/>
      <c r="AH198" s="678"/>
      <c r="AI198" s="678"/>
      <c r="AJ198" s="678"/>
      <c r="AK198" s="678"/>
      <c r="AL198" s="678"/>
      <c r="AM198" s="678"/>
      <c r="AN198" s="678"/>
      <c r="AO198" s="678"/>
      <c r="AP198" s="678"/>
      <c r="AQ198" s="678"/>
      <c r="AR198" s="678"/>
      <c r="AS198" s="678"/>
      <c r="AT198" s="678"/>
      <c r="AU198" s="678"/>
      <c r="AV198" s="678"/>
      <c r="AW198" s="678"/>
      <c r="AX198" s="678"/>
      <c r="AY198" s="678"/>
      <c r="AZ198" s="678"/>
      <c r="BA198" s="678"/>
      <c r="BB198" s="678"/>
      <c r="BC198" s="678"/>
      <c r="BD198" s="678"/>
      <c r="BE198" s="678"/>
      <c r="BF198" s="678"/>
      <c r="BG198" s="678"/>
      <c r="BH198" s="678"/>
      <c r="BI198" s="678"/>
      <c r="BJ198" s="678"/>
      <c r="BK198" s="678"/>
      <c r="BL198" s="678"/>
      <c r="BM198" s="678"/>
      <c r="BN198" s="678"/>
      <c r="BO198" s="678"/>
      <c r="BP198" s="678"/>
      <c r="BQ198" s="678"/>
      <c r="BR198" s="678"/>
      <c r="BS198" s="678"/>
      <c r="BT198" s="678"/>
      <c r="BU198" s="678"/>
      <c r="BV198" s="678"/>
      <c r="BW198" s="678"/>
      <c r="BX198" s="678"/>
      <c r="BY198" s="678"/>
      <c r="BZ198" s="678"/>
      <c r="CA198" s="678"/>
      <c r="CB198" s="678"/>
      <c r="CC198" s="678"/>
      <c r="CD198" s="678"/>
      <c r="CE198" s="678"/>
      <c r="CF198" s="678"/>
      <c r="CG198" s="678"/>
      <c r="CH198" s="678"/>
      <c r="CI198" s="678"/>
      <c r="CJ198" s="678"/>
      <c r="CK198" s="678"/>
      <c r="CL198" s="678"/>
      <c r="CM198" s="678"/>
      <c r="CN198" s="678"/>
      <c r="CO198" s="678"/>
      <c r="CP198" s="678"/>
      <c r="CQ198" s="678"/>
      <c r="CR198" s="678"/>
      <c r="CS198" s="678"/>
      <c r="CT198" s="678"/>
      <c r="CU198" s="678"/>
      <c r="CV198" s="678"/>
      <c r="CW198" s="678"/>
      <c r="CX198" s="678"/>
      <c r="CY198" s="678"/>
      <c r="CZ198" s="678"/>
      <c r="DA198" s="678"/>
      <c r="DB198" s="678"/>
      <c r="DC198" s="678"/>
      <c r="DD198" s="678"/>
      <c r="DE198" s="678"/>
      <c r="DF198" s="678"/>
      <c r="DG198" s="678"/>
      <c r="DH198" s="678"/>
      <c r="DI198" s="678"/>
      <c r="DJ198" s="678"/>
      <c r="DK198" s="678"/>
      <c r="DL198" s="678"/>
      <c r="DM198" s="678"/>
      <c r="DN198" s="678"/>
      <c r="DO198" s="678"/>
      <c r="DP198" s="678"/>
      <c r="DQ198" s="678"/>
      <c r="DR198" s="678"/>
      <c r="DS198" s="678"/>
      <c r="DT198" s="678"/>
      <c r="DU198" s="678"/>
      <c r="DV198" s="678"/>
      <c r="DW198" s="678"/>
      <c r="DX198" s="678"/>
      <c r="DY198" s="678"/>
      <c r="DZ198" s="678"/>
      <c r="EA198" s="678"/>
      <c r="EB198" s="678"/>
      <c r="EC198" s="678"/>
      <c r="ED198" s="678"/>
      <c r="EE198" s="678"/>
      <c r="EF198" s="678"/>
      <c r="EG198" s="678"/>
      <c r="EH198" s="678"/>
      <c r="EI198" s="678"/>
      <c r="EJ198" s="678"/>
      <c r="EK198" s="678"/>
      <c r="EL198" s="678"/>
      <c r="EM198" s="678"/>
      <c r="EN198" s="678"/>
      <c r="EO198" s="678"/>
      <c r="EP198" s="678"/>
      <c r="EQ198" s="678"/>
      <c r="ER198" s="678"/>
      <c r="ES198" s="678"/>
      <c r="ET198" s="678"/>
      <c r="EU198" s="678"/>
      <c r="EV198" s="678"/>
      <c r="EW198" s="678"/>
      <c r="EX198" s="678"/>
      <c r="EY198" s="678"/>
      <c r="EZ198" s="678"/>
      <c r="FA198" s="678"/>
      <c r="FB198" s="678"/>
      <c r="FC198" s="678"/>
      <c r="FD198" s="678"/>
      <c r="FE198" s="678"/>
      <c r="FF198" s="678"/>
      <c r="FG198" s="678"/>
      <c r="FH198" s="678"/>
      <c r="FI198" s="678"/>
      <c r="FJ198" s="678"/>
      <c r="FK198" s="678"/>
      <c r="FL198" s="678"/>
      <c r="FM198" s="678"/>
      <c r="FN198" s="678"/>
      <c r="FO198" s="678"/>
      <c r="FP198" s="678"/>
      <c r="FQ198" s="678"/>
      <c r="FR198" s="678"/>
      <c r="FS198" s="678"/>
      <c r="FT198" s="678"/>
      <c r="FU198" s="678"/>
      <c r="FV198" s="678"/>
      <c r="FW198" s="678"/>
      <c r="FX198" s="678"/>
      <c r="FY198" s="678"/>
      <c r="FZ198" s="678"/>
      <c r="GA198" s="678"/>
      <c r="GB198" s="678"/>
      <c r="GC198" s="678"/>
      <c r="GD198" s="678"/>
      <c r="GE198" s="678"/>
      <c r="GF198" s="678"/>
      <c r="GG198" s="678"/>
      <c r="GH198" s="678"/>
      <c r="GI198" s="678"/>
      <c r="GJ198" s="678"/>
      <c r="GK198" s="678"/>
      <c r="GL198" s="678"/>
      <c r="GM198" s="678"/>
      <c r="GN198" s="678"/>
      <c r="GO198" s="678"/>
      <c r="GP198" s="678"/>
      <c r="GQ198" s="678"/>
      <c r="GR198" s="678"/>
      <c r="GS198" s="678"/>
      <c r="GT198" s="678"/>
      <c r="GU198" s="678"/>
      <c r="GV198" s="678"/>
      <c r="GW198" s="678"/>
      <c r="GX198" s="678"/>
      <c r="GY198" s="678"/>
      <c r="GZ198" s="678"/>
      <c r="HA198" s="678"/>
      <c r="HB198" s="678"/>
      <c r="HC198" s="678"/>
      <c r="HD198" s="678"/>
      <c r="HE198" s="678"/>
      <c r="HF198" s="678"/>
      <c r="HG198" s="678"/>
      <c r="HH198" s="678"/>
      <c r="HI198" s="678"/>
      <c r="HJ198" s="678"/>
      <c r="HK198" s="678"/>
      <c r="HL198" s="678"/>
      <c r="HM198" s="678"/>
      <c r="HN198" s="678"/>
      <c r="HO198" s="678"/>
      <c r="HP198" s="678"/>
      <c r="HQ198" s="678"/>
      <c r="HR198" s="678"/>
      <c r="HS198" s="678"/>
      <c r="HT198" s="678"/>
      <c r="HU198" s="678"/>
      <c r="HV198" s="678"/>
      <c r="HW198" s="678"/>
      <c r="HX198" s="678"/>
      <c r="HY198" s="678"/>
      <c r="HZ198" s="678"/>
      <c r="IA198" s="678"/>
      <c r="IB198" s="678"/>
      <c r="IC198" s="678"/>
      <c r="ID198" s="678"/>
      <c r="IE198" s="678"/>
      <c r="IF198" s="678"/>
      <c r="IG198" s="678"/>
      <c r="IH198" s="678"/>
      <c r="II198" s="678"/>
      <c r="IJ198" s="678"/>
      <c r="IK198" s="678"/>
      <c r="IL198" s="678"/>
      <c r="IM198" s="678"/>
      <c r="IN198" s="678"/>
      <c r="IO198" s="678"/>
      <c r="IP198" s="678"/>
      <c r="IQ198" s="678"/>
      <c r="IR198" s="678"/>
      <c r="IS198" s="678"/>
      <c r="IT198" s="678"/>
      <c r="IU198" s="678"/>
      <c r="IV198" s="678"/>
      <c r="IW198" s="678"/>
    </row>
    <row r="199" spans="1:257" s="579" customFormat="1" ht="24" customHeight="1">
      <c r="A199" s="672"/>
      <c r="B199" s="696" t="s">
        <v>1508</v>
      </c>
      <c r="C199" s="635"/>
      <c r="D199" s="635"/>
      <c r="E199" s="651"/>
      <c r="F199" s="651"/>
      <c r="G199" s="669"/>
      <c r="H199" s="669"/>
      <c r="I199" s="669"/>
      <c r="J199" s="651"/>
      <c r="K199" s="651"/>
      <c r="L199" s="1305"/>
      <c r="M199" s="651" t="s">
        <v>1514</v>
      </c>
      <c r="N199" s="826"/>
      <c r="O199" s="826"/>
      <c r="P199" s="837"/>
      <c r="Q199" s="837"/>
      <c r="R199" s="826"/>
      <c r="S199" s="830"/>
      <c r="T199" s="852"/>
      <c r="U199" s="655"/>
      <c r="V199" s="689"/>
      <c r="W199" s="689"/>
      <c r="X199" s="670"/>
      <c r="Y199" s="678"/>
      <c r="Z199" s="678"/>
      <c r="AA199" s="678"/>
      <c r="AB199" s="678"/>
      <c r="AC199" s="678"/>
      <c r="AD199" s="678"/>
      <c r="AE199" s="678"/>
      <c r="AF199" s="678"/>
      <c r="AG199" s="678"/>
      <c r="AH199" s="678"/>
      <c r="AI199" s="678"/>
      <c r="AJ199" s="678"/>
      <c r="AK199" s="678"/>
      <c r="AL199" s="678"/>
      <c r="AM199" s="678"/>
      <c r="AN199" s="678"/>
      <c r="AO199" s="678"/>
      <c r="AP199" s="678"/>
      <c r="AQ199" s="678"/>
      <c r="AR199" s="678"/>
      <c r="AS199" s="678"/>
      <c r="AT199" s="678"/>
      <c r="AU199" s="678"/>
      <c r="AV199" s="678"/>
      <c r="AW199" s="678"/>
      <c r="AX199" s="678"/>
      <c r="AY199" s="678"/>
      <c r="AZ199" s="678"/>
      <c r="BA199" s="678"/>
      <c r="BB199" s="678"/>
      <c r="BC199" s="678"/>
      <c r="BD199" s="678"/>
      <c r="BE199" s="678"/>
      <c r="BF199" s="678"/>
      <c r="BG199" s="678"/>
      <c r="BH199" s="678"/>
      <c r="BI199" s="678"/>
      <c r="BJ199" s="678"/>
      <c r="BK199" s="678"/>
      <c r="BL199" s="678"/>
      <c r="BM199" s="678"/>
      <c r="BN199" s="678"/>
      <c r="BO199" s="678"/>
      <c r="BP199" s="678"/>
      <c r="BQ199" s="678"/>
      <c r="BR199" s="678"/>
      <c r="BS199" s="678"/>
      <c r="BT199" s="678"/>
      <c r="BU199" s="678"/>
      <c r="BV199" s="678"/>
      <c r="BW199" s="678"/>
      <c r="BX199" s="678"/>
      <c r="BY199" s="678"/>
      <c r="BZ199" s="678"/>
      <c r="CA199" s="678"/>
      <c r="CB199" s="678"/>
      <c r="CC199" s="678"/>
      <c r="CD199" s="678"/>
      <c r="CE199" s="678"/>
      <c r="CF199" s="678"/>
      <c r="CG199" s="678"/>
      <c r="CH199" s="678"/>
      <c r="CI199" s="678"/>
      <c r="CJ199" s="678"/>
      <c r="CK199" s="678"/>
      <c r="CL199" s="678"/>
      <c r="CM199" s="678"/>
      <c r="CN199" s="678"/>
      <c r="CO199" s="678"/>
      <c r="CP199" s="678"/>
      <c r="CQ199" s="678"/>
      <c r="CR199" s="678"/>
      <c r="CS199" s="678"/>
      <c r="CT199" s="678"/>
      <c r="CU199" s="678"/>
      <c r="CV199" s="678"/>
      <c r="CW199" s="678"/>
      <c r="CX199" s="678"/>
      <c r="CY199" s="678"/>
      <c r="CZ199" s="678"/>
      <c r="DA199" s="678"/>
      <c r="DB199" s="678"/>
      <c r="DC199" s="678"/>
      <c r="DD199" s="678"/>
      <c r="DE199" s="678"/>
      <c r="DF199" s="678"/>
      <c r="DG199" s="678"/>
      <c r="DH199" s="678"/>
      <c r="DI199" s="678"/>
      <c r="DJ199" s="678"/>
      <c r="DK199" s="678"/>
      <c r="DL199" s="678"/>
      <c r="DM199" s="678"/>
      <c r="DN199" s="678"/>
      <c r="DO199" s="678"/>
      <c r="DP199" s="678"/>
      <c r="DQ199" s="678"/>
      <c r="DR199" s="678"/>
      <c r="DS199" s="678"/>
      <c r="DT199" s="678"/>
      <c r="DU199" s="678"/>
      <c r="DV199" s="678"/>
      <c r="DW199" s="678"/>
      <c r="DX199" s="678"/>
      <c r="DY199" s="678"/>
      <c r="DZ199" s="678"/>
      <c r="EA199" s="678"/>
      <c r="EB199" s="678"/>
      <c r="EC199" s="678"/>
      <c r="ED199" s="678"/>
      <c r="EE199" s="678"/>
      <c r="EF199" s="678"/>
      <c r="EG199" s="678"/>
      <c r="EH199" s="678"/>
      <c r="EI199" s="678"/>
      <c r="EJ199" s="678"/>
      <c r="EK199" s="678"/>
      <c r="EL199" s="678"/>
      <c r="EM199" s="678"/>
      <c r="EN199" s="678"/>
      <c r="EO199" s="678"/>
      <c r="EP199" s="678"/>
      <c r="EQ199" s="678"/>
      <c r="ER199" s="678"/>
      <c r="ES199" s="678"/>
      <c r="ET199" s="678"/>
      <c r="EU199" s="678"/>
      <c r="EV199" s="678"/>
      <c r="EW199" s="678"/>
      <c r="EX199" s="678"/>
      <c r="EY199" s="678"/>
      <c r="EZ199" s="678"/>
      <c r="FA199" s="678"/>
      <c r="FB199" s="678"/>
      <c r="FC199" s="678"/>
      <c r="FD199" s="678"/>
      <c r="FE199" s="678"/>
      <c r="FF199" s="678"/>
      <c r="FG199" s="678"/>
      <c r="FH199" s="678"/>
      <c r="FI199" s="678"/>
      <c r="FJ199" s="678"/>
      <c r="FK199" s="678"/>
      <c r="FL199" s="678"/>
      <c r="FM199" s="678"/>
      <c r="FN199" s="678"/>
      <c r="FO199" s="678"/>
      <c r="FP199" s="678"/>
      <c r="FQ199" s="678"/>
      <c r="FR199" s="678"/>
      <c r="FS199" s="678"/>
      <c r="FT199" s="678"/>
      <c r="FU199" s="678"/>
      <c r="FV199" s="678"/>
      <c r="FW199" s="678"/>
      <c r="FX199" s="678"/>
      <c r="FY199" s="678"/>
      <c r="FZ199" s="678"/>
      <c r="GA199" s="678"/>
      <c r="GB199" s="678"/>
      <c r="GC199" s="678"/>
      <c r="GD199" s="678"/>
      <c r="GE199" s="678"/>
      <c r="GF199" s="678"/>
      <c r="GG199" s="678"/>
      <c r="GH199" s="678"/>
      <c r="GI199" s="678"/>
      <c r="GJ199" s="678"/>
      <c r="GK199" s="678"/>
      <c r="GL199" s="678"/>
      <c r="GM199" s="678"/>
      <c r="GN199" s="678"/>
      <c r="GO199" s="678"/>
      <c r="GP199" s="678"/>
      <c r="GQ199" s="678"/>
      <c r="GR199" s="678"/>
      <c r="GS199" s="678"/>
      <c r="GT199" s="678"/>
      <c r="GU199" s="678"/>
      <c r="GV199" s="678"/>
      <c r="GW199" s="678"/>
      <c r="GX199" s="678"/>
      <c r="GY199" s="678"/>
      <c r="GZ199" s="678"/>
      <c r="HA199" s="678"/>
      <c r="HB199" s="678"/>
      <c r="HC199" s="678"/>
      <c r="HD199" s="678"/>
      <c r="HE199" s="678"/>
      <c r="HF199" s="678"/>
      <c r="HG199" s="678"/>
      <c r="HH199" s="678"/>
      <c r="HI199" s="678"/>
      <c r="HJ199" s="678"/>
      <c r="HK199" s="678"/>
      <c r="HL199" s="678"/>
      <c r="HM199" s="678"/>
      <c r="HN199" s="678"/>
      <c r="HO199" s="678"/>
      <c r="HP199" s="678"/>
      <c r="HQ199" s="678"/>
      <c r="HR199" s="678"/>
      <c r="HS199" s="678"/>
      <c r="HT199" s="678"/>
      <c r="HU199" s="678"/>
      <c r="HV199" s="678"/>
      <c r="HW199" s="678"/>
      <c r="HX199" s="678"/>
      <c r="HY199" s="678"/>
      <c r="HZ199" s="678"/>
      <c r="IA199" s="678"/>
      <c r="IB199" s="678"/>
      <c r="IC199" s="678"/>
      <c r="ID199" s="678"/>
      <c r="IE199" s="678"/>
      <c r="IF199" s="678"/>
      <c r="IG199" s="678"/>
      <c r="IH199" s="678"/>
      <c r="II199" s="678"/>
      <c r="IJ199" s="678"/>
      <c r="IK199" s="678"/>
      <c r="IL199" s="678"/>
      <c r="IM199" s="678"/>
      <c r="IN199" s="678"/>
      <c r="IO199" s="678"/>
      <c r="IP199" s="678"/>
      <c r="IQ199" s="678"/>
      <c r="IR199" s="678"/>
      <c r="IS199" s="678"/>
      <c r="IT199" s="678"/>
      <c r="IU199" s="678"/>
      <c r="IV199" s="678"/>
      <c r="IW199" s="678"/>
    </row>
    <row r="200" spans="1:257" s="579" customFormat="1" ht="24" customHeight="1">
      <c r="A200" s="672"/>
      <c r="B200" s="696" t="s">
        <v>1509</v>
      </c>
      <c r="C200" s="635"/>
      <c r="D200" s="635"/>
      <c r="E200" s="651"/>
      <c r="F200" s="651"/>
      <c r="G200" s="669"/>
      <c r="H200" s="669"/>
      <c r="I200" s="669"/>
      <c r="J200" s="651"/>
      <c r="K200" s="651"/>
      <c r="L200" s="1305"/>
      <c r="M200" s="651" t="s">
        <v>1515</v>
      </c>
      <c r="N200" s="826"/>
      <c r="O200" s="826"/>
      <c r="P200" s="837"/>
      <c r="Q200" s="837"/>
      <c r="R200" s="826"/>
      <c r="S200" s="830"/>
      <c r="T200" s="852"/>
      <c r="U200" s="655"/>
      <c r="V200" s="689"/>
      <c r="W200" s="689"/>
      <c r="X200" s="670"/>
      <c r="Y200" s="678"/>
      <c r="Z200" s="678"/>
      <c r="AA200" s="678"/>
      <c r="AB200" s="678"/>
      <c r="AC200" s="678"/>
      <c r="AD200" s="678"/>
      <c r="AE200" s="678"/>
      <c r="AF200" s="678"/>
      <c r="AG200" s="678"/>
      <c r="AH200" s="678"/>
      <c r="AI200" s="678"/>
      <c r="AJ200" s="678"/>
      <c r="AK200" s="678"/>
      <c r="AL200" s="678"/>
      <c r="AM200" s="678"/>
      <c r="AN200" s="678"/>
      <c r="AO200" s="678"/>
      <c r="AP200" s="678"/>
      <c r="AQ200" s="678"/>
      <c r="AR200" s="678"/>
      <c r="AS200" s="678"/>
      <c r="AT200" s="678"/>
      <c r="AU200" s="678"/>
      <c r="AV200" s="678"/>
      <c r="AW200" s="678"/>
      <c r="AX200" s="678"/>
      <c r="AY200" s="678"/>
      <c r="AZ200" s="678"/>
      <c r="BA200" s="678"/>
      <c r="BB200" s="678"/>
      <c r="BC200" s="678"/>
      <c r="BD200" s="678"/>
      <c r="BE200" s="678"/>
      <c r="BF200" s="678"/>
      <c r="BG200" s="678"/>
      <c r="BH200" s="678"/>
      <c r="BI200" s="678"/>
      <c r="BJ200" s="678"/>
      <c r="BK200" s="678"/>
      <c r="BL200" s="678"/>
      <c r="BM200" s="678"/>
      <c r="BN200" s="678"/>
      <c r="BO200" s="678"/>
      <c r="BP200" s="678"/>
      <c r="BQ200" s="678"/>
      <c r="BR200" s="678"/>
      <c r="BS200" s="678"/>
      <c r="BT200" s="678"/>
      <c r="BU200" s="678"/>
      <c r="BV200" s="678"/>
      <c r="BW200" s="678"/>
      <c r="BX200" s="678"/>
      <c r="BY200" s="678"/>
      <c r="BZ200" s="678"/>
      <c r="CA200" s="678"/>
      <c r="CB200" s="678"/>
      <c r="CC200" s="678"/>
      <c r="CD200" s="678"/>
      <c r="CE200" s="678"/>
      <c r="CF200" s="678"/>
      <c r="CG200" s="678"/>
      <c r="CH200" s="678"/>
      <c r="CI200" s="678"/>
      <c r="CJ200" s="678"/>
      <c r="CK200" s="678"/>
      <c r="CL200" s="678"/>
      <c r="CM200" s="678"/>
      <c r="CN200" s="678"/>
      <c r="CO200" s="678"/>
      <c r="CP200" s="678"/>
      <c r="CQ200" s="678"/>
      <c r="CR200" s="678"/>
      <c r="CS200" s="678"/>
      <c r="CT200" s="678"/>
      <c r="CU200" s="678"/>
      <c r="CV200" s="678"/>
      <c r="CW200" s="678"/>
      <c r="CX200" s="678"/>
      <c r="CY200" s="678"/>
      <c r="CZ200" s="678"/>
      <c r="DA200" s="678"/>
      <c r="DB200" s="678"/>
      <c r="DC200" s="678"/>
      <c r="DD200" s="678"/>
      <c r="DE200" s="678"/>
      <c r="DF200" s="678"/>
      <c r="DG200" s="678"/>
      <c r="DH200" s="678"/>
      <c r="DI200" s="678"/>
      <c r="DJ200" s="678"/>
      <c r="DK200" s="678"/>
      <c r="DL200" s="678"/>
      <c r="DM200" s="678"/>
      <c r="DN200" s="678"/>
      <c r="DO200" s="678"/>
      <c r="DP200" s="678"/>
      <c r="DQ200" s="678"/>
      <c r="DR200" s="678"/>
      <c r="DS200" s="678"/>
      <c r="DT200" s="678"/>
      <c r="DU200" s="678"/>
      <c r="DV200" s="678"/>
      <c r="DW200" s="678"/>
      <c r="DX200" s="678"/>
      <c r="DY200" s="678"/>
      <c r="DZ200" s="678"/>
      <c r="EA200" s="678"/>
      <c r="EB200" s="678"/>
      <c r="EC200" s="678"/>
      <c r="ED200" s="678"/>
      <c r="EE200" s="678"/>
      <c r="EF200" s="678"/>
      <c r="EG200" s="678"/>
      <c r="EH200" s="678"/>
      <c r="EI200" s="678"/>
      <c r="EJ200" s="678"/>
      <c r="EK200" s="678"/>
      <c r="EL200" s="678"/>
      <c r="EM200" s="678"/>
      <c r="EN200" s="678"/>
      <c r="EO200" s="678"/>
      <c r="EP200" s="678"/>
      <c r="EQ200" s="678"/>
      <c r="ER200" s="678"/>
      <c r="ES200" s="678"/>
      <c r="ET200" s="678"/>
      <c r="EU200" s="678"/>
      <c r="EV200" s="678"/>
      <c r="EW200" s="678"/>
      <c r="EX200" s="678"/>
      <c r="EY200" s="678"/>
      <c r="EZ200" s="678"/>
      <c r="FA200" s="678"/>
      <c r="FB200" s="678"/>
      <c r="FC200" s="678"/>
      <c r="FD200" s="678"/>
      <c r="FE200" s="678"/>
      <c r="FF200" s="678"/>
      <c r="FG200" s="678"/>
      <c r="FH200" s="678"/>
      <c r="FI200" s="678"/>
      <c r="FJ200" s="678"/>
      <c r="FK200" s="678"/>
      <c r="FL200" s="678"/>
      <c r="FM200" s="678"/>
      <c r="FN200" s="678"/>
      <c r="FO200" s="678"/>
      <c r="FP200" s="678"/>
      <c r="FQ200" s="678"/>
      <c r="FR200" s="678"/>
      <c r="FS200" s="678"/>
      <c r="FT200" s="678"/>
      <c r="FU200" s="678"/>
      <c r="FV200" s="678"/>
      <c r="FW200" s="678"/>
      <c r="FX200" s="678"/>
      <c r="FY200" s="678"/>
      <c r="FZ200" s="678"/>
      <c r="GA200" s="678"/>
      <c r="GB200" s="678"/>
      <c r="GC200" s="678"/>
      <c r="GD200" s="678"/>
      <c r="GE200" s="678"/>
      <c r="GF200" s="678"/>
      <c r="GG200" s="678"/>
      <c r="GH200" s="678"/>
      <c r="GI200" s="678"/>
      <c r="GJ200" s="678"/>
      <c r="GK200" s="678"/>
      <c r="GL200" s="678"/>
      <c r="GM200" s="678"/>
      <c r="GN200" s="678"/>
      <c r="GO200" s="678"/>
      <c r="GP200" s="678"/>
      <c r="GQ200" s="678"/>
      <c r="GR200" s="678"/>
      <c r="GS200" s="678"/>
      <c r="GT200" s="678"/>
      <c r="GU200" s="678"/>
      <c r="GV200" s="678"/>
      <c r="GW200" s="678"/>
      <c r="GX200" s="678"/>
      <c r="GY200" s="678"/>
      <c r="GZ200" s="678"/>
      <c r="HA200" s="678"/>
      <c r="HB200" s="678"/>
      <c r="HC200" s="678"/>
      <c r="HD200" s="678"/>
      <c r="HE200" s="678"/>
      <c r="HF200" s="678"/>
      <c r="HG200" s="678"/>
      <c r="HH200" s="678"/>
      <c r="HI200" s="678"/>
      <c r="HJ200" s="678"/>
      <c r="HK200" s="678"/>
      <c r="HL200" s="678"/>
      <c r="HM200" s="678"/>
      <c r="HN200" s="678"/>
      <c r="HO200" s="678"/>
      <c r="HP200" s="678"/>
      <c r="HQ200" s="678"/>
      <c r="HR200" s="678"/>
      <c r="HS200" s="678"/>
      <c r="HT200" s="678"/>
      <c r="HU200" s="678"/>
      <c r="HV200" s="678"/>
      <c r="HW200" s="678"/>
      <c r="HX200" s="678"/>
      <c r="HY200" s="678"/>
      <c r="HZ200" s="678"/>
      <c r="IA200" s="678"/>
      <c r="IB200" s="678"/>
      <c r="IC200" s="678"/>
      <c r="ID200" s="678"/>
      <c r="IE200" s="678"/>
      <c r="IF200" s="678"/>
      <c r="IG200" s="678"/>
      <c r="IH200" s="678"/>
      <c r="II200" s="678"/>
      <c r="IJ200" s="678"/>
      <c r="IK200" s="678"/>
      <c r="IL200" s="678"/>
      <c r="IM200" s="678"/>
      <c r="IN200" s="678"/>
      <c r="IO200" s="678"/>
      <c r="IP200" s="678"/>
      <c r="IQ200" s="678"/>
      <c r="IR200" s="678"/>
      <c r="IS200" s="678"/>
      <c r="IT200" s="678"/>
      <c r="IU200" s="678"/>
      <c r="IV200" s="678"/>
      <c r="IW200" s="678"/>
    </row>
    <row r="201" spans="1:257" s="579" customFormat="1">
      <c r="A201" s="672" t="s">
        <v>91</v>
      </c>
      <c r="B201" s="696" t="s">
        <v>1510</v>
      </c>
      <c r="C201" s="635"/>
      <c r="D201" s="635"/>
      <c r="E201" s="651"/>
      <c r="F201" s="651"/>
      <c r="G201" s="651">
        <f>4*15000000</f>
        <v>60000000</v>
      </c>
      <c r="H201" s="651"/>
      <c r="I201" s="651"/>
      <c r="J201" s="651">
        <v>60000000</v>
      </c>
      <c r="K201" s="651"/>
      <c r="L201" s="1305"/>
      <c r="M201" s="651"/>
      <c r="N201" s="826"/>
      <c r="O201" s="826"/>
      <c r="P201" s="826"/>
      <c r="Q201" s="826"/>
      <c r="R201" s="826"/>
      <c r="S201" s="830"/>
      <c r="T201" s="852"/>
      <c r="U201" s="655"/>
      <c r="V201" s="689"/>
      <c r="W201" s="689"/>
      <c r="X201" s="670"/>
      <c r="Y201" s="678"/>
      <c r="Z201" s="678"/>
      <c r="AA201" s="678"/>
      <c r="AB201" s="678"/>
      <c r="AC201" s="678"/>
      <c r="AD201" s="678"/>
      <c r="AE201" s="678"/>
      <c r="AF201" s="678"/>
      <c r="AG201" s="678"/>
      <c r="AH201" s="678"/>
      <c r="AI201" s="678"/>
      <c r="AJ201" s="678"/>
      <c r="AK201" s="678"/>
      <c r="AL201" s="678"/>
      <c r="AM201" s="678"/>
      <c r="AN201" s="678"/>
      <c r="AO201" s="678"/>
      <c r="AP201" s="678"/>
      <c r="AQ201" s="678"/>
      <c r="AR201" s="678"/>
      <c r="AS201" s="678"/>
      <c r="AT201" s="678"/>
      <c r="AU201" s="678"/>
      <c r="AV201" s="678"/>
      <c r="AW201" s="678"/>
      <c r="AX201" s="678"/>
      <c r="AY201" s="678"/>
      <c r="AZ201" s="678"/>
      <c r="BA201" s="678"/>
      <c r="BB201" s="678"/>
      <c r="BC201" s="678"/>
      <c r="BD201" s="678"/>
      <c r="BE201" s="678"/>
      <c r="BF201" s="678"/>
      <c r="BG201" s="678"/>
      <c r="BH201" s="678"/>
      <c r="BI201" s="678"/>
      <c r="BJ201" s="678"/>
      <c r="BK201" s="678"/>
      <c r="BL201" s="678"/>
      <c r="BM201" s="678"/>
      <c r="BN201" s="678"/>
      <c r="BO201" s="678"/>
      <c r="BP201" s="678"/>
      <c r="BQ201" s="678"/>
      <c r="BR201" s="678"/>
      <c r="BS201" s="678"/>
      <c r="BT201" s="678"/>
      <c r="BU201" s="678"/>
      <c r="BV201" s="678"/>
      <c r="BW201" s="678"/>
      <c r="BX201" s="678"/>
      <c r="BY201" s="678"/>
      <c r="BZ201" s="678"/>
      <c r="CA201" s="678"/>
      <c r="CB201" s="678"/>
      <c r="CC201" s="678"/>
      <c r="CD201" s="678"/>
      <c r="CE201" s="678"/>
      <c r="CF201" s="678"/>
      <c r="CG201" s="678"/>
      <c r="CH201" s="678"/>
      <c r="CI201" s="678"/>
      <c r="CJ201" s="678"/>
      <c r="CK201" s="678"/>
      <c r="CL201" s="678"/>
      <c r="CM201" s="678"/>
      <c r="CN201" s="678"/>
      <c r="CO201" s="678"/>
      <c r="CP201" s="678"/>
      <c r="CQ201" s="678"/>
      <c r="CR201" s="678"/>
      <c r="CS201" s="678"/>
      <c r="CT201" s="678"/>
      <c r="CU201" s="678"/>
      <c r="CV201" s="678"/>
      <c r="CW201" s="678"/>
      <c r="CX201" s="678"/>
      <c r="CY201" s="678"/>
      <c r="CZ201" s="678"/>
      <c r="DA201" s="678"/>
      <c r="DB201" s="678"/>
      <c r="DC201" s="678"/>
      <c r="DD201" s="678"/>
      <c r="DE201" s="678"/>
      <c r="DF201" s="678"/>
      <c r="DG201" s="678"/>
      <c r="DH201" s="678"/>
      <c r="DI201" s="678"/>
      <c r="DJ201" s="678"/>
      <c r="DK201" s="678"/>
      <c r="DL201" s="678"/>
      <c r="DM201" s="678"/>
      <c r="DN201" s="678"/>
      <c r="DO201" s="678"/>
      <c r="DP201" s="678"/>
      <c r="DQ201" s="678"/>
      <c r="DR201" s="678"/>
      <c r="DS201" s="678"/>
      <c r="DT201" s="678"/>
      <c r="DU201" s="678"/>
      <c r="DV201" s="678"/>
      <c r="DW201" s="678"/>
      <c r="DX201" s="678"/>
      <c r="DY201" s="678"/>
      <c r="DZ201" s="678"/>
      <c r="EA201" s="678"/>
      <c r="EB201" s="678"/>
      <c r="EC201" s="678"/>
      <c r="ED201" s="678"/>
      <c r="EE201" s="678"/>
      <c r="EF201" s="678"/>
      <c r="EG201" s="678"/>
      <c r="EH201" s="678"/>
      <c r="EI201" s="678"/>
      <c r="EJ201" s="678"/>
      <c r="EK201" s="678"/>
      <c r="EL201" s="678"/>
      <c r="EM201" s="678"/>
      <c r="EN201" s="678"/>
      <c r="EO201" s="678"/>
      <c r="EP201" s="678"/>
      <c r="EQ201" s="678"/>
      <c r="ER201" s="678"/>
      <c r="ES201" s="678"/>
      <c r="ET201" s="678"/>
      <c r="EU201" s="678"/>
      <c r="EV201" s="678"/>
      <c r="EW201" s="678"/>
      <c r="EX201" s="678"/>
      <c r="EY201" s="678"/>
      <c r="EZ201" s="678"/>
      <c r="FA201" s="678"/>
      <c r="FB201" s="678"/>
      <c r="FC201" s="678"/>
      <c r="FD201" s="678"/>
      <c r="FE201" s="678"/>
      <c r="FF201" s="678"/>
      <c r="FG201" s="678"/>
      <c r="FH201" s="678"/>
      <c r="FI201" s="678"/>
      <c r="FJ201" s="678"/>
      <c r="FK201" s="678"/>
      <c r="FL201" s="678"/>
      <c r="FM201" s="678"/>
      <c r="FN201" s="678"/>
      <c r="FO201" s="678"/>
      <c r="FP201" s="678"/>
      <c r="FQ201" s="678"/>
      <c r="FR201" s="678"/>
      <c r="FS201" s="678"/>
      <c r="FT201" s="678"/>
      <c r="FU201" s="678"/>
      <c r="FV201" s="678"/>
      <c r="FW201" s="678"/>
      <c r="FX201" s="678"/>
      <c r="FY201" s="678"/>
      <c r="FZ201" s="678"/>
      <c r="GA201" s="678"/>
      <c r="GB201" s="678"/>
      <c r="GC201" s="678"/>
      <c r="GD201" s="678"/>
      <c r="GE201" s="678"/>
      <c r="GF201" s="678"/>
      <c r="GG201" s="678"/>
      <c r="GH201" s="678"/>
      <c r="GI201" s="678"/>
      <c r="GJ201" s="678"/>
      <c r="GK201" s="678"/>
      <c r="GL201" s="678"/>
      <c r="GM201" s="678"/>
      <c r="GN201" s="678"/>
      <c r="GO201" s="678"/>
      <c r="GP201" s="678"/>
      <c r="GQ201" s="678"/>
      <c r="GR201" s="678"/>
      <c r="GS201" s="678"/>
      <c r="GT201" s="678"/>
      <c r="GU201" s="678"/>
      <c r="GV201" s="678"/>
      <c r="GW201" s="678"/>
      <c r="GX201" s="678"/>
      <c r="GY201" s="678"/>
      <c r="GZ201" s="678"/>
      <c r="HA201" s="678"/>
      <c r="HB201" s="678"/>
      <c r="HC201" s="678"/>
      <c r="HD201" s="678"/>
      <c r="HE201" s="678"/>
      <c r="HF201" s="678"/>
      <c r="HG201" s="678"/>
      <c r="HH201" s="678"/>
      <c r="HI201" s="678"/>
      <c r="HJ201" s="678"/>
      <c r="HK201" s="678"/>
      <c r="HL201" s="678"/>
      <c r="HM201" s="678"/>
      <c r="HN201" s="678"/>
      <c r="HO201" s="678"/>
      <c r="HP201" s="678"/>
      <c r="HQ201" s="678"/>
      <c r="HR201" s="678"/>
      <c r="HS201" s="678"/>
      <c r="HT201" s="678"/>
      <c r="HU201" s="678"/>
      <c r="HV201" s="678"/>
      <c r="HW201" s="678"/>
      <c r="HX201" s="678"/>
      <c r="HY201" s="678"/>
      <c r="HZ201" s="678"/>
      <c r="IA201" s="678"/>
      <c r="IB201" s="678"/>
      <c r="IC201" s="678"/>
      <c r="ID201" s="678"/>
      <c r="IE201" s="678"/>
      <c r="IF201" s="678"/>
      <c r="IG201" s="678"/>
      <c r="IH201" s="678"/>
      <c r="II201" s="678"/>
      <c r="IJ201" s="678"/>
      <c r="IK201" s="678"/>
      <c r="IL201" s="678"/>
      <c r="IM201" s="678"/>
      <c r="IN201" s="678"/>
      <c r="IO201" s="678"/>
      <c r="IP201" s="678"/>
      <c r="IQ201" s="678"/>
      <c r="IR201" s="678"/>
      <c r="IS201" s="678"/>
      <c r="IT201" s="678"/>
      <c r="IU201" s="678"/>
      <c r="IV201" s="678"/>
      <c r="IW201" s="678"/>
    </row>
    <row r="202" spans="1:257" s="579" customFormat="1">
      <c r="A202" s="672" t="s">
        <v>91</v>
      </c>
      <c r="B202" s="696" t="s">
        <v>921</v>
      </c>
      <c r="C202" s="635"/>
      <c r="D202" s="635"/>
      <c r="E202" s="651"/>
      <c r="F202" s="651"/>
      <c r="G202" s="651">
        <v>14000000</v>
      </c>
      <c r="H202" s="651"/>
      <c r="I202" s="651"/>
      <c r="J202" s="651"/>
      <c r="K202" s="651">
        <f>2*16500000</f>
        <v>33000000</v>
      </c>
      <c r="L202" s="1305"/>
      <c r="M202" s="651"/>
      <c r="N202" s="826"/>
      <c r="O202" s="826"/>
      <c r="P202" s="826"/>
      <c r="Q202" s="826"/>
      <c r="R202" s="826"/>
      <c r="S202" s="830"/>
      <c r="T202" s="852"/>
      <c r="U202" s="655"/>
      <c r="V202" s="689"/>
      <c r="W202" s="689"/>
      <c r="X202" s="670"/>
      <c r="Y202" s="678"/>
      <c r="Z202" s="678"/>
      <c r="AA202" s="678"/>
      <c r="AB202" s="678"/>
      <c r="AC202" s="678"/>
      <c r="AD202" s="678"/>
      <c r="AE202" s="678"/>
      <c r="AF202" s="678"/>
      <c r="AG202" s="678"/>
      <c r="AH202" s="678"/>
      <c r="AI202" s="678"/>
      <c r="AJ202" s="678"/>
      <c r="AK202" s="678"/>
      <c r="AL202" s="678"/>
      <c r="AM202" s="678"/>
      <c r="AN202" s="678"/>
      <c r="AO202" s="678"/>
      <c r="AP202" s="678"/>
      <c r="AQ202" s="678"/>
      <c r="AR202" s="678"/>
      <c r="AS202" s="678"/>
      <c r="AT202" s="678"/>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c r="BO202" s="678"/>
      <c r="BP202" s="678"/>
      <c r="BQ202" s="678"/>
      <c r="BR202" s="678"/>
      <c r="BS202" s="678"/>
      <c r="BT202" s="678"/>
      <c r="BU202" s="678"/>
      <c r="BV202" s="678"/>
      <c r="BW202" s="678"/>
      <c r="BX202" s="678"/>
      <c r="BY202" s="678"/>
      <c r="BZ202" s="678"/>
      <c r="CA202" s="678"/>
      <c r="CB202" s="678"/>
      <c r="CC202" s="678"/>
      <c r="CD202" s="678"/>
      <c r="CE202" s="678"/>
      <c r="CF202" s="678"/>
      <c r="CG202" s="678"/>
      <c r="CH202" s="678"/>
      <c r="CI202" s="678"/>
      <c r="CJ202" s="678"/>
      <c r="CK202" s="678"/>
      <c r="CL202" s="678"/>
      <c r="CM202" s="678"/>
      <c r="CN202" s="678"/>
      <c r="CO202" s="678"/>
      <c r="CP202" s="678"/>
      <c r="CQ202" s="678"/>
      <c r="CR202" s="678"/>
      <c r="CS202" s="678"/>
      <c r="CT202" s="678"/>
      <c r="CU202" s="678"/>
      <c r="CV202" s="678"/>
      <c r="CW202" s="678"/>
      <c r="CX202" s="678"/>
      <c r="CY202" s="678"/>
      <c r="CZ202" s="678"/>
      <c r="DA202" s="678"/>
      <c r="DB202" s="678"/>
      <c r="DC202" s="678"/>
      <c r="DD202" s="678"/>
      <c r="DE202" s="678"/>
      <c r="DF202" s="678"/>
      <c r="DG202" s="678"/>
      <c r="DH202" s="678"/>
      <c r="DI202" s="678"/>
      <c r="DJ202" s="678"/>
      <c r="DK202" s="678"/>
      <c r="DL202" s="678"/>
      <c r="DM202" s="678"/>
      <c r="DN202" s="678"/>
      <c r="DO202" s="678"/>
      <c r="DP202" s="678"/>
      <c r="DQ202" s="678"/>
      <c r="DR202" s="678"/>
      <c r="DS202" s="678"/>
      <c r="DT202" s="678"/>
      <c r="DU202" s="678"/>
      <c r="DV202" s="678"/>
      <c r="DW202" s="678"/>
      <c r="DX202" s="678"/>
      <c r="DY202" s="678"/>
      <c r="DZ202" s="678"/>
      <c r="EA202" s="678"/>
      <c r="EB202" s="678"/>
      <c r="EC202" s="678"/>
      <c r="ED202" s="678"/>
      <c r="EE202" s="678"/>
      <c r="EF202" s="678"/>
      <c r="EG202" s="678"/>
      <c r="EH202" s="678"/>
      <c r="EI202" s="678"/>
      <c r="EJ202" s="678"/>
      <c r="EK202" s="678"/>
      <c r="EL202" s="678"/>
      <c r="EM202" s="678"/>
      <c r="EN202" s="678"/>
      <c r="EO202" s="678"/>
      <c r="EP202" s="678"/>
      <c r="EQ202" s="678"/>
      <c r="ER202" s="678"/>
      <c r="ES202" s="678"/>
      <c r="ET202" s="678"/>
      <c r="EU202" s="678"/>
      <c r="EV202" s="678"/>
      <c r="EW202" s="678"/>
      <c r="EX202" s="678"/>
      <c r="EY202" s="678"/>
      <c r="EZ202" s="678"/>
      <c r="FA202" s="678"/>
      <c r="FB202" s="678"/>
      <c r="FC202" s="678"/>
      <c r="FD202" s="678"/>
      <c r="FE202" s="678"/>
      <c r="FF202" s="678"/>
      <c r="FG202" s="678"/>
      <c r="FH202" s="678"/>
      <c r="FI202" s="678"/>
      <c r="FJ202" s="678"/>
      <c r="FK202" s="678"/>
      <c r="FL202" s="678"/>
      <c r="FM202" s="678"/>
      <c r="FN202" s="678"/>
      <c r="FO202" s="678"/>
      <c r="FP202" s="678"/>
      <c r="FQ202" s="678"/>
      <c r="FR202" s="678"/>
      <c r="FS202" s="678"/>
      <c r="FT202" s="678"/>
      <c r="FU202" s="678"/>
      <c r="FV202" s="678"/>
      <c r="FW202" s="678"/>
      <c r="FX202" s="678"/>
      <c r="FY202" s="678"/>
      <c r="FZ202" s="678"/>
      <c r="GA202" s="678"/>
      <c r="GB202" s="678"/>
      <c r="GC202" s="678"/>
      <c r="GD202" s="678"/>
      <c r="GE202" s="678"/>
      <c r="GF202" s="678"/>
      <c r="GG202" s="678"/>
      <c r="GH202" s="678"/>
      <c r="GI202" s="678"/>
      <c r="GJ202" s="678"/>
      <c r="GK202" s="678"/>
      <c r="GL202" s="678"/>
      <c r="GM202" s="678"/>
      <c r="GN202" s="678"/>
      <c r="GO202" s="678"/>
      <c r="GP202" s="678"/>
      <c r="GQ202" s="678"/>
      <c r="GR202" s="678"/>
      <c r="GS202" s="678"/>
      <c r="GT202" s="678"/>
      <c r="GU202" s="678"/>
      <c r="GV202" s="678"/>
      <c r="GW202" s="678"/>
      <c r="GX202" s="678"/>
      <c r="GY202" s="678"/>
      <c r="GZ202" s="678"/>
      <c r="HA202" s="678"/>
      <c r="HB202" s="678"/>
      <c r="HC202" s="678"/>
      <c r="HD202" s="678"/>
      <c r="HE202" s="678"/>
      <c r="HF202" s="678"/>
      <c r="HG202" s="678"/>
      <c r="HH202" s="678"/>
      <c r="HI202" s="678"/>
      <c r="HJ202" s="678"/>
      <c r="HK202" s="678"/>
      <c r="HL202" s="678"/>
      <c r="HM202" s="678"/>
      <c r="HN202" s="678"/>
      <c r="HO202" s="678"/>
      <c r="HP202" s="678"/>
      <c r="HQ202" s="678"/>
      <c r="HR202" s="678"/>
      <c r="HS202" s="678"/>
      <c r="HT202" s="678"/>
      <c r="HU202" s="678"/>
      <c r="HV202" s="678"/>
      <c r="HW202" s="678"/>
      <c r="HX202" s="678"/>
      <c r="HY202" s="678"/>
      <c r="HZ202" s="678"/>
      <c r="IA202" s="678"/>
      <c r="IB202" s="678"/>
      <c r="IC202" s="678"/>
      <c r="ID202" s="678"/>
      <c r="IE202" s="678"/>
      <c r="IF202" s="678"/>
      <c r="IG202" s="678"/>
      <c r="IH202" s="678"/>
      <c r="II202" s="678"/>
      <c r="IJ202" s="678"/>
      <c r="IK202" s="678"/>
      <c r="IL202" s="678"/>
      <c r="IM202" s="678"/>
      <c r="IN202" s="678"/>
      <c r="IO202" s="678"/>
      <c r="IP202" s="678"/>
      <c r="IQ202" s="678"/>
      <c r="IR202" s="678"/>
      <c r="IS202" s="678"/>
      <c r="IT202" s="678"/>
      <c r="IU202" s="678"/>
      <c r="IV202" s="678"/>
      <c r="IW202" s="678"/>
    </row>
    <row r="203" spans="1:257" s="579" customFormat="1" ht="15.75" hidden="1" customHeight="1">
      <c r="A203" s="672" t="s">
        <v>91</v>
      </c>
      <c r="B203" s="696" t="s">
        <v>922</v>
      </c>
      <c r="C203" s="635"/>
      <c r="D203" s="635"/>
      <c r="E203" s="651"/>
      <c r="F203" s="651"/>
      <c r="G203" s="651">
        <f>8*4000000</f>
        <v>32000000</v>
      </c>
      <c r="H203" s="651"/>
      <c r="I203" s="651"/>
      <c r="J203" s="651"/>
      <c r="K203" s="651"/>
      <c r="L203" s="1305"/>
      <c r="M203" s="651"/>
      <c r="N203" s="826"/>
      <c r="O203" s="826"/>
      <c r="P203" s="826"/>
      <c r="Q203" s="826"/>
      <c r="R203" s="826"/>
      <c r="S203" s="830"/>
      <c r="T203" s="852"/>
      <c r="U203" s="655"/>
      <c r="V203" s="689"/>
      <c r="W203" s="689"/>
      <c r="X203" s="670"/>
      <c r="Y203" s="678"/>
      <c r="Z203" s="678"/>
      <c r="AA203" s="678"/>
      <c r="AB203" s="678"/>
      <c r="AC203" s="678"/>
      <c r="AD203" s="678"/>
      <c r="AE203" s="678"/>
      <c r="AF203" s="678"/>
      <c r="AG203" s="678"/>
      <c r="AH203" s="678"/>
      <c r="AI203" s="678"/>
      <c r="AJ203" s="678"/>
      <c r="AK203" s="678"/>
      <c r="AL203" s="678"/>
      <c r="AM203" s="678"/>
      <c r="AN203" s="678"/>
      <c r="AO203" s="678"/>
      <c r="AP203" s="678"/>
      <c r="AQ203" s="678"/>
      <c r="AR203" s="678"/>
      <c r="AS203" s="678"/>
      <c r="AT203" s="678"/>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c r="BO203" s="678"/>
      <c r="BP203" s="678"/>
      <c r="BQ203" s="678"/>
      <c r="BR203" s="678"/>
      <c r="BS203" s="678"/>
      <c r="BT203" s="678"/>
      <c r="BU203" s="678"/>
      <c r="BV203" s="678"/>
      <c r="BW203" s="678"/>
      <c r="BX203" s="678"/>
      <c r="BY203" s="678"/>
      <c r="BZ203" s="678"/>
      <c r="CA203" s="678"/>
      <c r="CB203" s="678"/>
      <c r="CC203" s="678"/>
      <c r="CD203" s="678"/>
      <c r="CE203" s="678"/>
      <c r="CF203" s="678"/>
      <c r="CG203" s="678"/>
      <c r="CH203" s="678"/>
      <c r="CI203" s="678"/>
      <c r="CJ203" s="678"/>
      <c r="CK203" s="678"/>
      <c r="CL203" s="678"/>
      <c r="CM203" s="678"/>
      <c r="CN203" s="678"/>
      <c r="CO203" s="678"/>
      <c r="CP203" s="678"/>
      <c r="CQ203" s="678"/>
      <c r="CR203" s="678"/>
      <c r="CS203" s="678"/>
      <c r="CT203" s="678"/>
      <c r="CU203" s="678"/>
      <c r="CV203" s="678"/>
      <c r="CW203" s="678"/>
      <c r="CX203" s="678"/>
      <c r="CY203" s="678"/>
      <c r="CZ203" s="678"/>
      <c r="DA203" s="678"/>
      <c r="DB203" s="678"/>
      <c r="DC203" s="678"/>
      <c r="DD203" s="678"/>
      <c r="DE203" s="678"/>
      <c r="DF203" s="678"/>
      <c r="DG203" s="678"/>
      <c r="DH203" s="678"/>
      <c r="DI203" s="678"/>
      <c r="DJ203" s="678"/>
      <c r="DK203" s="678"/>
      <c r="DL203" s="678"/>
      <c r="DM203" s="678"/>
      <c r="DN203" s="678"/>
      <c r="DO203" s="678"/>
      <c r="DP203" s="678"/>
      <c r="DQ203" s="678"/>
      <c r="DR203" s="678"/>
      <c r="DS203" s="678"/>
      <c r="DT203" s="678"/>
      <c r="DU203" s="678"/>
      <c r="DV203" s="678"/>
      <c r="DW203" s="678"/>
      <c r="DX203" s="678"/>
      <c r="DY203" s="678"/>
      <c r="DZ203" s="678"/>
      <c r="EA203" s="678"/>
      <c r="EB203" s="678"/>
      <c r="EC203" s="678"/>
      <c r="ED203" s="678"/>
      <c r="EE203" s="678"/>
      <c r="EF203" s="678"/>
      <c r="EG203" s="678"/>
      <c r="EH203" s="678"/>
      <c r="EI203" s="678"/>
      <c r="EJ203" s="678"/>
      <c r="EK203" s="678"/>
      <c r="EL203" s="678"/>
      <c r="EM203" s="678"/>
      <c r="EN203" s="678"/>
      <c r="EO203" s="678"/>
      <c r="EP203" s="678"/>
      <c r="EQ203" s="678"/>
      <c r="ER203" s="678"/>
      <c r="ES203" s="678"/>
      <c r="ET203" s="678"/>
      <c r="EU203" s="678"/>
      <c r="EV203" s="678"/>
      <c r="EW203" s="678"/>
      <c r="EX203" s="678"/>
      <c r="EY203" s="678"/>
      <c r="EZ203" s="678"/>
      <c r="FA203" s="678"/>
      <c r="FB203" s="678"/>
      <c r="FC203" s="678"/>
      <c r="FD203" s="678"/>
      <c r="FE203" s="678"/>
      <c r="FF203" s="678"/>
      <c r="FG203" s="678"/>
      <c r="FH203" s="678"/>
      <c r="FI203" s="678"/>
      <c r="FJ203" s="678"/>
      <c r="FK203" s="678"/>
      <c r="FL203" s="678"/>
      <c r="FM203" s="678"/>
      <c r="FN203" s="678"/>
      <c r="FO203" s="678"/>
      <c r="FP203" s="678"/>
      <c r="FQ203" s="678"/>
      <c r="FR203" s="678"/>
      <c r="FS203" s="678"/>
      <c r="FT203" s="678"/>
      <c r="FU203" s="678"/>
      <c r="FV203" s="678"/>
      <c r="FW203" s="678"/>
      <c r="FX203" s="678"/>
      <c r="FY203" s="678"/>
      <c r="FZ203" s="678"/>
      <c r="GA203" s="678"/>
      <c r="GB203" s="678"/>
      <c r="GC203" s="678"/>
      <c r="GD203" s="678"/>
      <c r="GE203" s="678"/>
      <c r="GF203" s="678"/>
      <c r="GG203" s="678"/>
      <c r="GH203" s="678"/>
      <c r="GI203" s="678"/>
      <c r="GJ203" s="678"/>
      <c r="GK203" s="678"/>
      <c r="GL203" s="678"/>
      <c r="GM203" s="678"/>
      <c r="GN203" s="678"/>
      <c r="GO203" s="678"/>
      <c r="GP203" s="678"/>
      <c r="GQ203" s="678"/>
      <c r="GR203" s="678"/>
      <c r="GS203" s="678"/>
      <c r="GT203" s="678"/>
      <c r="GU203" s="678"/>
      <c r="GV203" s="678"/>
      <c r="GW203" s="678"/>
      <c r="GX203" s="678"/>
      <c r="GY203" s="678"/>
      <c r="GZ203" s="678"/>
      <c r="HA203" s="678"/>
      <c r="HB203" s="678"/>
      <c r="HC203" s="678"/>
      <c r="HD203" s="678"/>
      <c r="HE203" s="678"/>
      <c r="HF203" s="678"/>
      <c r="HG203" s="678"/>
      <c r="HH203" s="678"/>
      <c r="HI203" s="678"/>
      <c r="HJ203" s="678"/>
      <c r="HK203" s="678"/>
      <c r="HL203" s="678"/>
      <c r="HM203" s="678"/>
      <c r="HN203" s="678"/>
      <c r="HO203" s="678"/>
      <c r="HP203" s="678"/>
      <c r="HQ203" s="678"/>
      <c r="HR203" s="678"/>
      <c r="HS203" s="678"/>
      <c r="HT203" s="678"/>
      <c r="HU203" s="678"/>
      <c r="HV203" s="678"/>
      <c r="HW203" s="678"/>
      <c r="HX203" s="678"/>
      <c r="HY203" s="678"/>
      <c r="HZ203" s="678"/>
      <c r="IA203" s="678"/>
      <c r="IB203" s="678"/>
      <c r="IC203" s="678"/>
      <c r="ID203" s="678"/>
      <c r="IE203" s="678"/>
      <c r="IF203" s="678"/>
      <c r="IG203" s="678"/>
      <c r="IH203" s="678"/>
      <c r="II203" s="678"/>
      <c r="IJ203" s="678"/>
      <c r="IK203" s="678"/>
      <c r="IL203" s="678"/>
      <c r="IM203" s="678"/>
      <c r="IN203" s="678"/>
      <c r="IO203" s="678"/>
      <c r="IP203" s="678"/>
      <c r="IQ203" s="678"/>
      <c r="IR203" s="678"/>
      <c r="IS203" s="678"/>
      <c r="IT203" s="678"/>
      <c r="IU203" s="678"/>
      <c r="IV203" s="678"/>
      <c r="IW203" s="678"/>
    </row>
    <row r="204" spans="1:257" s="579" customFormat="1">
      <c r="A204" s="672" t="s">
        <v>91</v>
      </c>
      <c r="B204" s="696" t="s">
        <v>923</v>
      </c>
      <c r="C204" s="635"/>
      <c r="D204" s="635"/>
      <c r="E204" s="651"/>
      <c r="F204" s="651">
        <v>462000000</v>
      </c>
      <c r="G204" s="669"/>
      <c r="H204" s="669"/>
      <c r="I204" s="669"/>
      <c r="J204" s="651"/>
      <c r="K204" s="651"/>
      <c r="L204" s="1305"/>
      <c r="M204" s="651"/>
      <c r="N204" s="655"/>
      <c r="O204" s="655"/>
      <c r="P204" s="853"/>
      <c r="Q204" s="853"/>
      <c r="R204" s="853"/>
      <c r="S204" s="830"/>
      <c r="T204" s="852"/>
      <c r="U204" s="655"/>
      <c r="V204" s="689"/>
      <c r="W204" s="689"/>
      <c r="X204" s="670"/>
      <c r="Y204" s="678"/>
      <c r="Z204" s="678"/>
      <c r="AA204" s="678"/>
      <c r="AB204" s="678"/>
      <c r="AC204" s="678"/>
      <c r="AD204" s="678"/>
      <c r="AE204" s="678"/>
      <c r="AF204" s="678"/>
      <c r="AG204" s="678"/>
      <c r="AH204" s="678"/>
      <c r="AI204" s="678"/>
      <c r="AJ204" s="678"/>
      <c r="AK204" s="678"/>
      <c r="AL204" s="678"/>
      <c r="AM204" s="678"/>
      <c r="AN204" s="678"/>
      <c r="AO204" s="678"/>
      <c r="AP204" s="678"/>
      <c r="AQ204" s="678"/>
      <c r="AR204" s="678"/>
      <c r="AS204" s="678"/>
      <c r="AT204" s="678"/>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c r="BO204" s="678"/>
      <c r="BP204" s="678"/>
      <c r="BQ204" s="678"/>
      <c r="BR204" s="678"/>
      <c r="BS204" s="678"/>
      <c r="BT204" s="678"/>
      <c r="BU204" s="678"/>
      <c r="BV204" s="678"/>
      <c r="BW204" s="678"/>
      <c r="BX204" s="678"/>
      <c r="BY204" s="678"/>
      <c r="BZ204" s="678"/>
      <c r="CA204" s="678"/>
      <c r="CB204" s="678"/>
      <c r="CC204" s="678"/>
      <c r="CD204" s="678"/>
      <c r="CE204" s="678"/>
      <c r="CF204" s="678"/>
      <c r="CG204" s="678"/>
      <c r="CH204" s="678"/>
      <c r="CI204" s="678"/>
      <c r="CJ204" s="678"/>
      <c r="CK204" s="678"/>
      <c r="CL204" s="678"/>
      <c r="CM204" s="678"/>
      <c r="CN204" s="678"/>
      <c r="CO204" s="678"/>
      <c r="CP204" s="678"/>
      <c r="CQ204" s="678"/>
      <c r="CR204" s="678"/>
      <c r="CS204" s="678"/>
      <c r="CT204" s="678"/>
      <c r="CU204" s="678"/>
      <c r="CV204" s="678"/>
      <c r="CW204" s="678"/>
      <c r="CX204" s="678"/>
      <c r="CY204" s="678"/>
      <c r="CZ204" s="678"/>
      <c r="DA204" s="678"/>
      <c r="DB204" s="678"/>
      <c r="DC204" s="678"/>
      <c r="DD204" s="678"/>
      <c r="DE204" s="678"/>
      <c r="DF204" s="678"/>
      <c r="DG204" s="678"/>
      <c r="DH204" s="678"/>
      <c r="DI204" s="678"/>
      <c r="DJ204" s="678"/>
      <c r="DK204" s="678"/>
      <c r="DL204" s="678"/>
      <c r="DM204" s="678"/>
      <c r="DN204" s="678"/>
      <c r="DO204" s="678"/>
      <c r="DP204" s="678"/>
      <c r="DQ204" s="678"/>
      <c r="DR204" s="678"/>
      <c r="DS204" s="678"/>
      <c r="DT204" s="678"/>
      <c r="DU204" s="678"/>
      <c r="DV204" s="678"/>
      <c r="DW204" s="678"/>
      <c r="DX204" s="678"/>
      <c r="DY204" s="678"/>
      <c r="DZ204" s="678"/>
      <c r="EA204" s="678"/>
      <c r="EB204" s="678"/>
      <c r="EC204" s="678"/>
      <c r="ED204" s="678"/>
      <c r="EE204" s="678"/>
      <c r="EF204" s="678"/>
      <c r="EG204" s="678"/>
      <c r="EH204" s="678"/>
      <c r="EI204" s="678"/>
      <c r="EJ204" s="678"/>
      <c r="EK204" s="678"/>
      <c r="EL204" s="678"/>
      <c r="EM204" s="678"/>
      <c r="EN204" s="678"/>
      <c r="EO204" s="678"/>
      <c r="EP204" s="678"/>
      <c r="EQ204" s="678"/>
      <c r="ER204" s="678"/>
      <c r="ES204" s="678"/>
      <c r="ET204" s="678"/>
      <c r="EU204" s="678"/>
      <c r="EV204" s="678"/>
      <c r="EW204" s="678"/>
      <c r="EX204" s="678"/>
      <c r="EY204" s="678"/>
      <c r="EZ204" s="678"/>
      <c r="FA204" s="678"/>
      <c r="FB204" s="678"/>
      <c r="FC204" s="678"/>
      <c r="FD204" s="678"/>
      <c r="FE204" s="678"/>
      <c r="FF204" s="678"/>
      <c r="FG204" s="678"/>
      <c r="FH204" s="678"/>
      <c r="FI204" s="678"/>
      <c r="FJ204" s="678"/>
      <c r="FK204" s="678"/>
      <c r="FL204" s="678"/>
      <c r="FM204" s="678"/>
      <c r="FN204" s="678"/>
      <c r="FO204" s="678"/>
      <c r="FP204" s="678"/>
      <c r="FQ204" s="678"/>
      <c r="FR204" s="678"/>
      <c r="FS204" s="678"/>
      <c r="FT204" s="678"/>
      <c r="FU204" s="678"/>
      <c r="FV204" s="678"/>
      <c r="FW204" s="678"/>
      <c r="FX204" s="678"/>
      <c r="FY204" s="678"/>
      <c r="FZ204" s="678"/>
      <c r="GA204" s="678"/>
      <c r="GB204" s="678"/>
      <c r="GC204" s="678"/>
      <c r="GD204" s="678"/>
      <c r="GE204" s="678"/>
      <c r="GF204" s="678"/>
      <c r="GG204" s="678"/>
      <c r="GH204" s="678"/>
      <c r="GI204" s="678"/>
      <c r="GJ204" s="678"/>
      <c r="GK204" s="678"/>
      <c r="GL204" s="678"/>
      <c r="GM204" s="678"/>
      <c r="GN204" s="678"/>
      <c r="GO204" s="678"/>
      <c r="GP204" s="678"/>
      <c r="GQ204" s="678"/>
      <c r="GR204" s="678"/>
      <c r="GS204" s="678"/>
      <c r="GT204" s="678"/>
      <c r="GU204" s="678"/>
      <c r="GV204" s="678"/>
      <c r="GW204" s="678"/>
      <c r="GX204" s="678"/>
      <c r="GY204" s="678"/>
      <c r="GZ204" s="678"/>
      <c r="HA204" s="678"/>
      <c r="HB204" s="678"/>
      <c r="HC204" s="678"/>
      <c r="HD204" s="678"/>
      <c r="HE204" s="678"/>
      <c r="HF204" s="678"/>
      <c r="HG204" s="678"/>
      <c r="HH204" s="678"/>
      <c r="HI204" s="678"/>
      <c r="HJ204" s="678"/>
      <c r="HK204" s="678"/>
      <c r="HL204" s="678"/>
      <c r="HM204" s="678"/>
      <c r="HN204" s="678"/>
      <c r="HO204" s="678"/>
      <c r="HP204" s="678"/>
      <c r="HQ204" s="678"/>
      <c r="HR204" s="678"/>
      <c r="HS204" s="678"/>
      <c r="HT204" s="678"/>
      <c r="HU204" s="678"/>
      <c r="HV204" s="678"/>
      <c r="HW204" s="678"/>
      <c r="HX204" s="678"/>
      <c r="HY204" s="678"/>
      <c r="HZ204" s="678"/>
      <c r="IA204" s="678"/>
      <c r="IB204" s="678"/>
      <c r="IC204" s="678"/>
      <c r="ID204" s="678"/>
      <c r="IE204" s="678"/>
      <c r="IF204" s="678"/>
      <c r="IG204" s="678"/>
      <c r="IH204" s="678"/>
      <c r="II204" s="678"/>
      <c r="IJ204" s="678"/>
      <c r="IK204" s="678"/>
      <c r="IL204" s="678"/>
      <c r="IM204" s="678"/>
      <c r="IN204" s="678"/>
      <c r="IO204" s="678"/>
      <c r="IP204" s="678"/>
      <c r="IQ204" s="678"/>
      <c r="IR204" s="678"/>
      <c r="IS204" s="678"/>
      <c r="IT204" s="678"/>
      <c r="IU204" s="678"/>
      <c r="IV204" s="678"/>
      <c r="IW204" s="678"/>
    </row>
    <row r="205" spans="1:257" s="579" customFormat="1" ht="61.5" hidden="1" customHeight="1">
      <c r="A205" s="672" t="s">
        <v>91</v>
      </c>
      <c r="B205" s="696" t="s">
        <v>924</v>
      </c>
      <c r="C205" s="635"/>
      <c r="D205" s="635"/>
      <c r="E205" s="651"/>
      <c r="F205" s="651"/>
      <c r="G205" s="651">
        <v>3060000000</v>
      </c>
      <c r="H205" s="651"/>
      <c r="I205" s="651"/>
      <c r="J205" s="651">
        <v>2637744000</v>
      </c>
      <c r="K205" s="651"/>
      <c r="L205" s="1305"/>
      <c r="M205" s="651"/>
      <c r="N205" s="655"/>
      <c r="O205" s="655"/>
      <c r="P205" s="854"/>
      <c r="Q205" s="854"/>
      <c r="R205" s="853"/>
      <c r="S205" s="830"/>
      <c r="T205" s="852"/>
      <c r="U205" s="655"/>
      <c r="V205" s="689"/>
      <c r="W205" s="689"/>
      <c r="X205" s="670"/>
      <c r="Y205" s="678"/>
      <c r="Z205" s="678"/>
      <c r="AA205" s="678"/>
      <c r="AB205" s="678"/>
      <c r="AC205" s="678"/>
      <c r="AD205" s="678"/>
      <c r="AE205" s="678"/>
      <c r="AF205" s="678"/>
      <c r="AG205" s="678"/>
      <c r="AH205" s="678"/>
      <c r="AI205" s="678"/>
      <c r="AJ205" s="678"/>
      <c r="AK205" s="678"/>
      <c r="AL205" s="678"/>
      <c r="AM205" s="678"/>
      <c r="AN205" s="678"/>
      <c r="AO205" s="678"/>
      <c r="AP205" s="678"/>
      <c r="AQ205" s="678"/>
      <c r="AR205" s="678"/>
      <c r="AS205" s="678"/>
      <c r="AT205" s="678"/>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c r="BO205" s="678"/>
      <c r="BP205" s="678"/>
      <c r="BQ205" s="678"/>
      <c r="BR205" s="678"/>
      <c r="BS205" s="678"/>
      <c r="BT205" s="678"/>
      <c r="BU205" s="678"/>
      <c r="BV205" s="678"/>
      <c r="BW205" s="678"/>
      <c r="BX205" s="678"/>
      <c r="BY205" s="678"/>
      <c r="BZ205" s="678"/>
      <c r="CA205" s="678"/>
      <c r="CB205" s="678"/>
      <c r="CC205" s="678"/>
      <c r="CD205" s="678"/>
      <c r="CE205" s="678"/>
      <c r="CF205" s="678"/>
      <c r="CG205" s="678"/>
      <c r="CH205" s="678"/>
      <c r="CI205" s="678"/>
      <c r="CJ205" s="678"/>
      <c r="CK205" s="678"/>
      <c r="CL205" s="678"/>
      <c r="CM205" s="678"/>
      <c r="CN205" s="678"/>
      <c r="CO205" s="678"/>
      <c r="CP205" s="678"/>
      <c r="CQ205" s="678"/>
      <c r="CR205" s="678"/>
      <c r="CS205" s="678"/>
      <c r="CT205" s="678"/>
      <c r="CU205" s="678"/>
      <c r="CV205" s="678"/>
      <c r="CW205" s="678"/>
      <c r="CX205" s="678"/>
      <c r="CY205" s="678"/>
      <c r="CZ205" s="678"/>
      <c r="DA205" s="678"/>
      <c r="DB205" s="678"/>
      <c r="DC205" s="678"/>
      <c r="DD205" s="678"/>
      <c r="DE205" s="678"/>
      <c r="DF205" s="678"/>
      <c r="DG205" s="678"/>
      <c r="DH205" s="678"/>
      <c r="DI205" s="678"/>
      <c r="DJ205" s="678"/>
      <c r="DK205" s="678"/>
      <c r="DL205" s="678"/>
      <c r="DM205" s="678"/>
      <c r="DN205" s="678"/>
      <c r="DO205" s="678"/>
      <c r="DP205" s="678"/>
      <c r="DQ205" s="678"/>
      <c r="DR205" s="678"/>
      <c r="DS205" s="678"/>
      <c r="DT205" s="678"/>
      <c r="DU205" s="678"/>
      <c r="DV205" s="678"/>
      <c r="DW205" s="678"/>
      <c r="DX205" s="678"/>
      <c r="DY205" s="678"/>
      <c r="DZ205" s="678"/>
      <c r="EA205" s="678"/>
      <c r="EB205" s="678"/>
      <c r="EC205" s="678"/>
      <c r="ED205" s="678"/>
      <c r="EE205" s="678"/>
      <c r="EF205" s="678"/>
      <c r="EG205" s="678"/>
      <c r="EH205" s="678"/>
      <c r="EI205" s="678"/>
      <c r="EJ205" s="678"/>
      <c r="EK205" s="678"/>
      <c r="EL205" s="678"/>
      <c r="EM205" s="678"/>
      <c r="EN205" s="678"/>
      <c r="EO205" s="678"/>
      <c r="EP205" s="678"/>
      <c r="EQ205" s="678"/>
      <c r="ER205" s="678"/>
      <c r="ES205" s="678"/>
      <c r="ET205" s="678"/>
      <c r="EU205" s="678"/>
      <c r="EV205" s="678"/>
      <c r="EW205" s="678"/>
      <c r="EX205" s="678"/>
      <c r="EY205" s="678"/>
      <c r="EZ205" s="678"/>
      <c r="FA205" s="678"/>
      <c r="FB205" s="678"/>
      <c r="FC205" s="678"/>
      <c r="FD205" s="678"/>
      <c r="FE205" s="678"/>
      <c r="FF205" s="678"/>
      <c r="FG205" s="678"/>
      <c r="FH205" s="678"/>
      <c r="FI205" s="678"/>
      <c r="FJ205" s="678"/>
      <c r="FK205" s="678"/>
      <c r="FL205" s="678"/>
      <c r="FM205" s="678"/>
      <c r="FN205" s="678"/>
      <c r="FO205" s="678"/>
      <c r="FP205" s="678"/>
      <c r="FQ205" s="678"/>
      <c r="FR205" s="678"/>
      <c r="FS205" s="678"/>
      <c r="FT205" s="678"/>
      <c r="FU205" s="678"/>
      <c r="FV205" s="678"/>
      <c r="FW205" s="678"/>
      <c r="FX205" s="678"/>
      <c r="FY205" s="678"/>
      <c r="FZ205" s="678"/>
      <c r="GA205" s="678"/>
      <c r="GB205" s="678"/>
      <c r="GC205" s="678"/>
      <c r="GD205" s="678"/>
      <c r="GE205" s="678"/>
      <c r="GF205" s="678"/>
      <c r="GG205" s="678"/>
      <c r="GH205" s="678"/>
      <c r="GI205" s="678"/>
      <c r="GJ205" s="678"/>
      <c r="GK205" s="678"/>
      <c r="GL205" s="678"/>
      <c r="GM205" s="678"/>
      <c r="GN205" s="678"/>
      <c r="GO205" s="678"/>
      <c r="GP205" s="678"/>
      <c r="GQ205" s="678"/>
      <c r="GR205" s="678"/>
      <c r="GS205" s="678"/>
      <c r="GT205" s="678"/>
      <c r="GU205" s="678"/>
      <c r="GV205" s="678"/>
      <c r="GW205" s="678"/>
      <c r="GX205" s="678"/>
      <c r="GY205" s="678"/>
      <c r="GZ205" s="678"/>
      <c r="HA205" s="678"/>
      <c r="HB205" s="678"/>
      <c r="HC205" s="678"/>
      <c r="HD205" s="678"/>
      <c r="HE205" s="678"/>
      <c r="HF205" s="678"/>
      <c r="HG205" s="678"/>
      <c r="HH205" s="678"/>
      <c r="HI205" s="678"/>
      <c r="HJ205" s="678"/>
      <c r="HK205" s="678"/>
      <c r="HL205" s="678"/>
      <c r="HM205" s="678"/>
      <c r="HN205" s="678"/>
      <c r="HO205" s="678"/>
      <c r="HP205" s="678"/>
      <c r="HQ205" s="678"/>
      <c r="HR205" s="678"/>
      <c r="HS205" s="678"/>
      <c r="HT205" s="678"/>
      <c r="HU205" s="678"/>
      <c r="HV205" s="678"/>
      <c r="HW205" s="678"/>
      <c r="HX205" s="678"/>
      <c r="HY205" s="678"/>
      <c r="HZ205" s="678"/>
      <c r="IA205" s="678"/>
      <c r="IB205" s="678"/>
      <c r="IC205" s="678"/>
      <c r="ID205" s="678"/>
      <c r="IE205" s="678"/>
      <c r="IF205" s="678"/>
      <c r="IG205" s="678"/>
      <c r="IH205" s="678"/>
      <c r="II205" s="678"/>
      <c r="IJ205" s="678"/>
      <c r="IK205" s="678"/>
      <c r="IL205" s="678"/>
      <c r="IM205" s="678"/>
      <c r="IN205" s="678"/>
      <c r="IO205" s="678"/>
      <c r="IP205" s="678"/>
      <c r="IQ205" s="678"/>
      <c r="IR205" s="678"/>
      <c r="IS205" s="678"/>
      <c r="IT205" s="678"/>
      <c r="IU205" s="678"/>
      <c r="IV205" s="678"/>
      <c r="IW205" s="678"/>
    </row>
    <row r="206" spans="1:257" s="579" customFormat="1" ht="31.5">
      <c r="A206" s="672" t="s">
        <v>91</v>
      </c>
      <c r="B206" s="696" t="s">
        <v>2042</v>
      </c>
      <c r="C206" s="635"/>
      <c r="D206" s="635"/>
      <c r="E206" s="651"/>
      <c r="F206" s="651">
        <v>500000000</v>
      </c>
      <c r="G206" s="669"/>
      <c r="H206" s="669"/>
      <c r="I206" s="669"/>
      <c r="J206" s="651">
        <v>500000000</v>
      </c>
      <c r="K206" s="651">
        <v>100000000</v>
      </c>
      <c r="L206" s="1305">
        <v>110000000</v>
      </c>
      <c r="M206" s="651" t="s">
        <v>1502</v>
      </c>
      <c r="N206" s="826"/>
      <c r="O206" s="826"/>
      <c r="P206" s="837"/>
      <c r="Q206" s="837"/>
      <c r="R206" s="826"/>
      <c r="S206" s="830"/>
      <c r="T206" s="852"/>
      <c r="U206" s="655"/>
      <c r="V206" s="689"/>
      <c r="W206" s="689"/>
      <c r="X206" s="670"/>
      <c r="Y206" s="678"/>
      <c r="Z206" s="678"/>
      <c r="AA206" s="678"/>
      <c r="AB206" s="678"/>
      <c r="AC206" s="678"/>
      <c r="AD206" s="678"/>
      <c r="AE206" s="678"/>
      <c r="AF206" s="678"/>
      <c r="AG206" s="678"/>
      <c r="AH206" s="678"/>
      <c r="AI206" s="678"/>
      <c r="AJ206" s="678"/>
      <c r="AK206" s="678"/>
      <c r="AL206" s="678"/>
      <c r="AM206" s="678"/>
      <c r="AN206" s="678"/>
      <c r="AO206" s="678"/>
      <c r="AP206" s="678"/>
      <c r="AQ206" s="678"/>
      <c r="AR206" s="678"/>
      <c r="AS206" s="678"/>
      <c r="AT206" s="678"/>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c r="BP206" s="678"/>
      <c r="BQ206" s="678"/>
      <c r="BR206" s="678"/>
      <c r="BS206" s="678"/>
      <c r="BT206" s="678"/>
      <c r="BU206" s="678"/>
      <c r="BV206" s="678"/>
      <c r="BW206" s="678"/>
      <c r="BX206" s="678"/>
      <c r="BY206" s="678"/>
      <c r="BZ206" s="678"/>
      <c r="CA206" s="678"/>
      <c r="CB206" s="678"/>
      <c r="CC206" s="678"/>
      <c r="CD206" s="678"/>
      <c r="CE206" s="678"/>
      <c r="CF206" s="678"/>
      <c r="CG206" s="678"/>
      <c r="CH206" s="678"/>
      <c r="CI206" s="678"/>
      <c r="CJ206" s="678"/>
      <c r="CK206" s="678"/>
      <c r="CL206" s="678"/>
      <c r="CM206" s="678"/>
      <c r="CN206" s="678"/>
      <c r="CO206" s="678"/>
      <c r="CP206" s="678"/>
      <c r="CQ206" s="678"/>
      <c r="CR206" s="678"/>
      <c r="CS206" s="678"/>
      <c r="CT206" s="678"/>
      <c r="CU206" s="678"/>
      <c r="CV206" s="678"/>
      <c r="CW206" s="678"/>
      <c r="CX206" s="678"/>
      <c r="CY206" s="678"/>
      <c r="CZ206" s="678"/>
      <c r="DA206" s="678"/>
      <c r="DB206" s="678"/>
      <c r="DC206" s="678"/>
      <c r="DD206" s="678"/>
      <c r="DE206" s="678"/>
      <c r="DF206" s="678"/>
      <c r="DG206" s="678"/>
      <c r="DH206" s="678"/>
      <c r="DI206" s="678"/>
      <c r="DJ206" s="678"/>
      <c r="DK206" s="678"/>
      <c r="DL206" s="678"/>
      <c r="DM206" s="678"/>
      <c r="DN206" s="678"/>
      <c r="DO206" s="678"/>
      <c r="DP206" s="678"/>
      <c r="DQ206" s="678"/>
      <c r="DR206" s="678"/>
      <c r="DS206" s="678"/>
      <c r="DT206" s="678"/>
      <c r="DU206" s="678"/>
      <c r="DV206" s="678"/>
      <c r="DW206" s="678"/>
      <c r="DX206" s="678"/>
      <c r="DY206" s="678"/>
      <c r="DZ206" s="678"/>
      <c r="EA206" s="678"/>
      <c r="EB206" s="678"/>
      <c r="EC206" s="678"/>
      <c r="ED206" s="678"/>
      <c r="EE206" s="678"/>
      <c r="EF206" s="678"/>
      <c r="EG206" s="678"/>
      <c r="EH206" s="678"/>
      <c r="EI206" s="678"/>
      <c r="EJ206" s="678"/>
      <c r="EK206" s="678"/>
      <c r="EL206" s="678"/>
      <c r="EM206" s="678"/>
      <c r="EN206" s="678"/>
      <c r="EO206" s="678"/>
      <c r="EP206" s="678"/>
      <c r="EQ206" s="678"/>
      <c r="ER206" s="678"/>
      <c r="ES206" s="678"/>
      <c r="ET206" s="678"/>
      <c r="EU206" s="678"/>
      <c r="EV206" s="678"/>
      <c r="EW206" s="678"/>
      <c r="EX206" s="678"/>
      <c r="EY206" s="678"/>
      <c r="EZ206" s="678"/>
      <c r="FA206" s="678"/>
      <c r="FB206" s="678"/>
      <c r="FC206" s="678"/>
      <c r="FD206" s="678"/>
      <c r="FE206" s="678"/>
      <c r="FF206" s="678"/>
      <c r="FG206" s="678"/>
      <c r="FH206" s="678"/>
      <c r="FI206" s="678"/>
      <c r="FJ206" s="678"/>
      <c r="FK206" s="678"/>
      <c r="FL206" s="678"/>
      <c r="FM206" s="678"/>
      <c r="FN206" s="678"/>
      <c r="FO206" s="678"/>
      <c r="FP206" s="678"/>
      <c r="FQ206" s="678"/>
      <c r="FR206" s="678"/>
      <c r="FS206" s="678"/>
      <c r="FT206" s="678"/>
      <c r="FU206" s="678"/>
      <c r="FV206" s="678"/>
      <c r="FW206" s="678"/>
      <c r="FX206" s="678"/>
      <c r="FY206" s="678"/>
      <c r="FZ206" s="678"/>
      <c r="GA206" s="678"/>
      <c r="GB206" s="678"/>
      <c r="GC206" s="678"/>
      <c r="GD206" s="678"/>
      <c r="GE206" s="678"/>
      <c r="GF206" s="678"/>
      <c r="GG206" s="678"/>
      <c r="GH206" s="678"/>
      <c r="GI206" s="678"/>
      <c r="GJ206" s="678"/>
      <c r="GK206" s="678"/>
      <c r="GL206" s="678"/>
      <c r="GM206" s="678"/>
      <c r="GN206" s="678"/>
      <c r="GO206" s="678"/>
      <c r="GP206" s="678"/>
      <c r="GQ206" s="678"/>
      <c r="GR206" s="678"/>
      <c r="GS206" s="678"/>
      <c r="GT206" s="678"/>
      <c r="GU206" s="678"/>
      <c r="GV206" s="678"/>
      <c r="GW206" s="678"/>
      <c r="GX206" s="678"/>
      <c r="GY206" s="678"/>
      <c r="GZ206" s="678"/>
      <c r="HA206" s="678"/>
      <c r="HB206" s="678"/>
      <c r="HC206" s="678"/>
      <c r="HD206" s="678"/>
      <c r="HE206" s="678"/>
      <c r="HF206" s="678"/>
      <c r="HG206" s="678"/>
      <c r="HH206" s="678"/>
      <c r="HI206" s="678"/>
      <c r="HJ206" s="678"/>
      <c r="HK206" s="678"/>
      <c r="HL206" s="678"/>
      <c r="HM206" s="678"/>
      <c r="HN206" s="678"/>
      <c r="HO206" s="678"/>
      <c r="HP206" s="678"/>
      <c r="HQ206" s="678"/>
      <c r="HR206" s="678"/>
      <c r="HS206" s="678"/>
      <c r="HT206" s="678"/>
      <c r="HU206" s="678"/>
      <c r="HV206" s="678"/>
      <c r="HW206" s="678"/>
      <c r="HX206" s="678"/>
      <c r="HY206" s="678"/>
      <c r="HZ206" s="678"/>
      <c r="IA206" s="678"/>
      <c r="IB206" s="678"/>
      <c r="IC206" s="678"/>
      <c r="ID206" s="678"/>
      <c r="IE206" s="678"/>
      <c r="IF206" s="678"/>
      <c r="IG206" s="678"/>
      <c r="IH206" s="678"/>
      <c r="II206" s="678"/>
      <c r="IJ206" s="678"/>
      <c r="IK206" s="678"/>
      <c r="IL206" s="678"/>
      <c r="IM206" s="678"/>
      <c r="IN206" s="678"/>
      <c r="IO206" s="678"/>
      <c r="IP206" s="678"/>
      <c r="IQ206" s="678"/>
      <c r="IR206" s="678"/>
      <c r="IS206" s="678"/>
      <c r="IT206" s="678"/>
      <c r="IU206" s="678"/>
      <c r="IV206" s="678"/>
      <c r="IW206" s="678"/>
    </row>
    <row r="207" spans="1:257" s="579" customFormat="1">
      <c r="A207" s="672" t="s">
        <v>91</v>
      </c>
      <c r="B207" s="696" t="s">
        <v>925</v>
      </c>
      <c r="C207" s="635"/>
      <c r="D207" s="635"/>
      <c r="E207" s="651"/>
      <c r="F207" s="651"/>
      <c r="G207" s="669"/>
      <c r="H207" s="669"/>
      <c r="I207" s="669"/>
      <c r="J207" s="651"/>
      <c r="K207" s="651">
        <v>200000000</v>
      </c>
      <c r="L207" s="1305">
        <v>0</v>
      </c>
      <c r="M207" s="651" t="s">
        <v>1501</v>
      </c>
      <c r="N207" s="826"/>
      <c r="O207" s="826"/>
      <c r="P207" s="837"/>
      <c r="Q207" s="837"/>
      <c r="R207" s="826"/>
      <c r="S207" s="830"/>
      <c r="T207" s="852"/>
      <c r="U207" s="655"/>
      <c r="V207" s="689"/>
      <c r="W207" s="689"/>
      <c r="X207" s="670"/>
      <c r="Y207" s="678"/>
      <c r="Z207" s="678"/>
      <c r="AA207" s="678"/>
      <c r="AB207" s="678"/>
      <c r="AC207" s="678"/>
      <c r="AD207" s="678"/>
      <c r="AE207" s="678"/>
      <c r="AF207" s="678"/>
      <c r="AG207" s="678"/>
      <c r="AH207" s="678"/>
      <c r="AI207" s="678"/>
      <c r="AJ207" s="678"/>
      <c r="AK207" s="678"/>
      <c r="AL207" s="678"/>
      <c r="AM207" s="678"/>
      <c r="AN207" s="678"/>
      <c r="AO207" s="678"/>
      <c r="AP207" s="678"/>
      <c r="AQ207" s="678"/>
      <c r="AR207" s="678"/>
      <c r="AS207" s="678"/>
      <c r="AT207" s="678"/>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c r="BO207" s="678"/>
      <c r="BP207" s="678"/>
      <c r="BQ207" s="678"/>
      <c r="BR207" s="678"/>
      <c r="BS207" s="678"/>
      <c r="BT207" s="678"/>
      <c r="BU207" s="678"/>
      <c r="BV207" s="678"/>
      <c r="BW207" s="678"/>
      <c r="BX207" s="678"/>
      <c r="BY207" s="678"/>
      <c r="BZ207" s="678"/>
      <c r="CA207" s="678"/>
      <c r="CB207" s="678"/>
      <c r="CC207" s="678"/>
      <c r="CD207" s="678"/>
      <c r="CE207" s="678"/>
      <c r="CF207" s="678"/>
      <c r="CG207" s="678"/>
      <c r="CH207" s="678"/>
      <c r="CI207" s="678"/>
      <c r="CJ207" s="678"/>
      <c r="CK207" s="678"/>
      <c r="CL207" s="678"/>
      <c r="CM207" s="678"/>
      <c r="CN207" s="678"/>
      <c r="CO207" s="678"/>
      <c r="CP207" s="678"/>
      <c r="CQ207" s="678"/>
      <c r="CR207" s="678"/>
      <c r="CS207" s="678"/>
      <c r="CT207" s="678"/>
      <c r="CU207" s="678"/>
      <c r="CV207" s="678"/>
      <c r="CW207" s="678"/>
      <c r="CX207" s="678"/>
      <c r="CY207" s="678"/>
      <c r="CZ207" s="678"/>
      <c r="DA207" s="678"/>
      <c r="DB207" s="678"/>
      <c r="DC207" s="678"/>
      <c r="DD207" s="678"/>
      <c r="DE207" s="678"/>
      <c r="DF207" s="678"/>
      <c r="DG207" s="678"/>
      <c r="DH207" s="678"/>
      <c r="DI207" s="678"/>
      <c r="DJ207" s="678"/>
      <c r="DK207" s="678"/>
      <c r="DL207" s="678"/>
      <c r="DM207" s="678"/>
      <c r="DN207" s="678"/>
      <c r="DO207" s="678"/>
      <c r="DP207" s="678"/>
      <c r="DQ207" s="678"/>
      <c r="DR207" s="678"/>
      <c r="DS207" s="678"/>
      <c r="DT207" s="678"/>
      <c r="DU207" s="678"/>
      <c r="DV207" s="678"/>
      <c r="DW207" s="678"/>
      <c r="DX207" s="678"/>
      <c r="DY207" s="678"/>
      <c r="DZ207" s="678"/>
      <c r="EA207" s="678"/>
      <c r="EB207" s="678"/>
      <c r="EC207" s="678"/>
      <c r="ED207" s="678"/>
      <c r="EE207" s="678"/>
      <c r="EF207" s="678"/>
      <c r="EG207" s="678"/>
      <c r="EH207" s="678"/>
      <c r="EI207" s="678"/>
      <c r="EJ207" s="678"/>
      <c r="EK207" s="678"/>
      <c r="EL207" s="678"/>
      <c r="EM207" s="678"/>
      <c r="EN207" s="678"/>
      <c r="EO207" s="678"/>
      <c r="EP207" s="678"/>
      <c r="EQ207" s="678"/>
      <c r="ER207" s="678"/>
      <c r="ES207" s="678"/>
      <c r="ET207" s="678"/>
      <c r="EU207" s="678"/>
      <c r="EV207" s="678"/>
      <c r="EW207" s="678"/>
      <c r="EX207" s="678"/>
      <c r="EY207" s="678"/>
      <c r="EZ207" s="678"/>
      <c r="FA207" s="678"/>
      <c r="FB207" s="678"/>
      <c r="FC207" s="678"/>
      <c r="FD207" s="678"/>
      <c r="FE207" s="678"/>
      <c r="FF207" s="678"/>
      <c r="FG207" s="678"/>
      <c r="FH207" s="678"/>
      <c r="FI207" s="678"/>
      <c r="FJ207" s="678"/>
      <c r="FK207" s="678"/>
      <c r="FL207" s="678"/>
      <c r="FM207" s="678"/>
      <c r="FN207" s="678"/>
      <c r="FO207" s="678"/>
      <c r="FP207" s="678"/>
      <c r="FQ207" s="678"/>
      <c r="FR207" s="678"/>
      <c r="FS207" s="678"/>
      <c r="FT207" s="678"/>
      <c r="FU207" s="678"/>
      <c r="FV207" s="678"/>
      <c r="FW207" s="678"/>
      <c r="FX207" s="678"/>
      <c r="FY207" s="678"/>
      <c r="FZ207" s="678"/>
      <c r="GA207" s="678"/>
      <c r="GB207" s="678"/>
      <c r="GC207" s="678"/>
      <c r="GD207" s="678"/>
      <c r="GE207" s="678"/>
      <c r="GF207" s="678"/>
      <c r="GG207" s="678"/>
      <c r="GH207" s="678"/>
      <c r="GI207" s="678"/>
      <c r="GJ207" s="678"/>
      <c r="GK207" s="678"/>
      <c r="GL207" s="678"/>
      <c r="GM207" s="678"/>
      <c r="GN207" s="678"/>
      <c r="GO207" s="678"/>
      <c r="GP207" s="678"/>
      <c r="GQ207" s="678"/>
      <c r="GR207" s="678"/>
      <c r="GS207" s="678"/>
      <c r="GT207" s="678"/>
      <c r="GU207" s="678"/>
      <c r="GV207" s="678"/>
      <c r="GW207" s="678"/>
      <c r="GX207" s="678"/>
      <c r="GY207" s="678"/>
      <c r="GZ207" s="678"/>
      <c r="HA207" s="678"/>
      <c r="HB207" s="678"/>
      <c r="HC207" s="678"/>
      <c r="HD207" s="678"/>
      <c r="HE207" s="678"/>
      <c r="HF207" s="678"/>
      <c r="HG207" s="678"/>
      <c r="HH207" s="678"/>
      <c r="HI207" s="678"/>
      <c r="HJ207" s="678"/>
      <c r="HK207" s="678"/>
      <c r="HL207" s="678"/>
      <c r="HM207" s="678"/>
      <c r="HN207" s="678"/>
      <c r="HO207" s="678"/>
      <c r="HP207" s="678"/>
      <c r="HQ207" s="678"/>
      <c r="HR207" s="678"/>
      <c r="HS207" s="678"/>
      <c r="HT207" s="678"/>
      <c r="HU207" s="678"/>
      <c r="HV207" s="678"/>
      <c r="HW207" s="678"/>
      <c r="HX207" s="678"/>
      <c r="HY207" s="678"/>
      <c r="HZ207" s="678"/>
      <c r="IA207" s="678"/>
      <c r="IB207" s="678"/>
      <c r="IC207" s="678"/>
      <c r="ID207" s="678"/>
      <c r="IE207" s="678"/>
      <c r="IF207" s="678"/>
      <c r="IG207" s="678"/>
      <c r="IH207" s="678"/>
      <c r="II207" s="678"/>
      <c r="IJ207" s="678"/>
      <c r="IK207" s="678"/>
      <c r="IL207" s="678"/>
      <c r="IM207" s="678"/>
      <c r="IN207" s="678"/>
      <c r="IO207" s="678"/>
      <c r="IP207" s="678"/>
      <c r="IQ207" s="678"/>
      <c r="IR207" s="678"/>
      <c r="IS207" s="678"/>
      <c r="IT207" s="678"/>
      <c r="IU207" s="678"/>
      <c r="IV207" s="678"/>
      <c r="IW207" s="678"/>
    </row>
    <row r="208" spans="1:257" s="579" customFormat="1" ht="15.75" hidden="1" customHeight="1">
      <c r="A208" s="672" t="s">
        <v>91</v>
      </c>
      <c r="B208" s="696" t="s">
        <v>926</v>
      </c>
      <c r="C208" s="635"/>
      <c r="D208" s="635"/>
      <c r="E208" s="651"/>
      <c r="F208" s="651"/>
      <c r="G208" s="669"/>
      <c r="H208" s="669"/>
      <c r="I208" s="669"/>
      <c r="J208" s="651">
        <v>500000000</v>
      </c>
      <c r="K208" s="651"/>
      <c r="L208" s="1305"/>
      <c r="M208" s="651"/>
      <c r="N208" s="826"/>
      <c r="O208" s="826"/>
      <c r="P208" s="837"/>
      <c r="Q208" s="837"/>
      <c r="R208" s="826"/>
      <c r="S208" s="830"/>
      <c r="T208" s="852"/>
      <c r="U208" s="655"/>
      <c r="V208" s="689"/>
      <c r="W208" s="689"/>
      <c r="X208" s="670"/>
      <c r="Y208" s="678"/>
      <c r="Z208" s="678"/>
      <c r="AA208" s="678"/>
      <c r="AB208" s="678"/>
      <c r="AC208" s="678"/>
      <c r="AD208" s="678"/>
      <c r="AE208" s="678"/>
      <c r="AF208" s="678"/>
      <c r="AG208" s="678"/>
      <c r="AH208" s="678"/>
      <c r="AI208" s="678"/>
      <c r="AJ208" s="678"/>
      <c r="AK208" s="678"/>
      <c r="AL208" s="678"/>
      <c r="AM208" s="678"/>
      <c r="AN208" s="678"/>
      <c r="AO208" s="678"/>
      <c r="AP208" s="678"/>
      <c r="AQ208" s="678"/>
      <c r="AR208" s="678"/>
      <c r="AS208" s="678"/>
      <c r="AT208" s="678"/>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c r="BO208" s="678"/>
      <c r="BP208" s="678"/>
      <c r="BQ208" s="678"/>
      <c r="BR208" s="678"/>
      <c r="BS208" s="678"/>
      <c r="BT208" s="678"/>
      <c r="BU208" s="678"/>
      <c r="BV208" s="678"/>
      <c r="BW208" s="678"/>
      <c r="BX208" s="678"/>
      <c r="BY208" s="678"/>
      <c r="BZ208" s="678"/>
      <c r="CA208" s="678"/>
      <c r="CB208" s="678"/>
      <c r="CC208" s="678"/>
      <c r="CD208" s="678"/>
      <c r="CE208" s="678"/>
      <c r="CF208" s="678"/>
      <c r="CG208" s="678"/>
      <c r="CH208" s="678"/>
      <c r="CI208" s="678"/>
      <c r="CJ208" s="678"/>
      <c r="CK208" s="678"/>
      <c r="CL208" s="678"/>
      <c r="CM208" s="678"/>
      <c r="CN208" s="678"/>
      <c r="CO208" s="678"/>
      <c r="CP208" s="678"/>
      <c r="CQ208" s="678"/>
      <c r="CR208" s="678"/>
      <c r="CS208" s="678"/>
      <c r="CT208" s="678"/>
      <c r="CU208" s="678"/>
      <c r="CV208" s="678"/>
      <c r="CW208" s="678"/>
      <c r="CX208" s="678"/>
      <c r="CY208" s="678"/>
      <c r="CZ208" s="678"/>
      <c r="DA208" s="678"/>
      <c r="DB208" s="678"/>
      <c r="DC208" s="678"/>
      <c r="DD208" s="678"/>
      <c r="DE208" s="678"/>
      <c r="DF208" s="678"/>
      <c r="DG208" s="678"/>
      <c r="DH208" s="678"/>
      <c r="DI208" s="678"/>
      <c r="DJ208" s="678"/>
      <c r="DK208" s="678"/>
      <c r="DL208" s="678"/>
      <c r="DM208" s="678"/>
      <c r="DN208" s="678"/>
      <c r="DO208" s="678"/>
      <c r="DP208" s="678"/>
      <c r="DQ208" s="678"/>
      <c r="DR208" s="678"/>
      <c r="DS208" s="678"/>
      <c r="DT208" s="678"/>
      <c r="DU208" s="678"/>
      <c r="DV208" s="678"/>
      <c r="DW208" s="678"/>
      <c r="DX208" s="678"/>
      <c r="DY208" s="678"/>
      <c r="DZ208" s="678"/>
      <c r="EA208" s="678"/>
      <c r="EB208" s="678"/>
      <c r="EC208" s="678"/>
      <c r="ED208" s="678"/>
      <c r="EE208" s="678"/>
      <c r="EF208" s="678"/>
      <c r="EG208" s="678"/>
      <c r="EH208" s="678"/>
      <c r="EI208" s="678"/>
      <c r="EJ208" s="678"/>
      <c r="EK208" s="678"/>
      <c r="EL208" s="678"/>
      <c r="EM208" s="678"/>
      <c r="EN208" s="678"/>
      <c r="EO208" s="678"/>
      <c r="EP208" s="678"/>
      <c r="EQ208" s="678"/>
      <c r="ER208" s="678"/>
      <c r="ES208" s="678"/>
      <c r="ET208" s="678"/>
      <c r="EU208" s="678"/>
      <c r="EV208" s="678"/>
      <c r="EW208" s="678"/>
      <c r="EX208" s="678"/>
      <c r="EY208" s="678"/>
      <c r="EZ208" s="678"/>
      <c r="FA208" s="678"/>
      <c r="FB208" s="678"/>
      <c r="FC208" s="678"/>
      <c r="FD208" s="678"/>
      <c r="FE208" s="678"/>
      <c r="FF208" s="678"/>
      <c r="FG208" s="678"/>
      <c r="FH208" s="678"/>
      <c r="FI208" s="678"/>
      <c r="FJ208" s="678"/>
      <c r="FK208" s="678"/>
      <c r="FL208" s="678"/>
      <c r="FM208" s="678"/>
      <c r="FN208" s="678"/>
      <c r="FO208" s="678"/>
      <c r="FP208" s="678"/>
      <c r="FQ208" s="678"/>
      <c r="FR208" s="678"/>
      <c r="FS208" s="678"/>
      <c r="FT208" s="678"/>
      <c r="FU208" s="678"/>
      <c r="FV208" s="678"/>
      <c r="FW208" s="678"/>
      <c r="FX208" s="678"/>
      <c r="FY208" s="678"/>
      <c r="FZ208" s="678"/>
      <c r="GA208" s="678"/>
      <c r="GB208" s="678"/>
      <c r="GC208" s="678"/>
      <c r="GD208" s="678"/>
      <c r="GE208" s="678"/>
      <c r="GF208" s="678"/>
      <c r="GG208" s="678"/>
      <c r="GH208" s="678"/>
      <c r="GI208" s="678"/>
      <c r="GJ208" s="678"/>
      <c r="GK208" s="678"/>
      <c r="GL208" s="678"/>
      <c r="GM208" s="678"/>
      <c r="GN208" s="678"/>
      <c r="GO208" s="678"/>
      <c r="GP208" s="678"/>
      <c r="GQ208" s="678"/>
      <c r="GR208" s="678"/>
      <c r="GS208" s="678"/>
      <c r="GT208" s="678"/>
      <c r="GU208" s="678"/>
      <c r="GV208" s="678"/>
      <c r="GW208" s="678"/>
      <c r="GX208" s="678"/>
      <c r="GY208" s="678"/>
      <c r="GZ208" s="678"/>
      <c r="HA208" s="678"/>
      <c r="HB208" s="678"/>
      <c r="HC208" s="678"/>
      <c r="HD208" s="678"/>
      <c r="HE208" s="678"/>
      <c r="HF208" s="678"/>
      <c r="HG208" s="678"/>
      <c r="HH208" s="678"/>
      <c r="HI208" s="678"/>
      <c r="HJ208" s="678"/>
      <c r="HK208" s="678"/>
      <c r="HL208" s="678"/>
      <c r="HM208" s="678"/>
      <c r="HN208" s="678"/>
      <c r="HO208" s="678"/>
      <c r="HP208" s="678"/>
      <c r="HQ208" s="678"/>
      <c r="HR208" s="678"/>
      <c r="HS208" s="678"/>
      <c r="HT208" s="678"/>
      <c r="HU208" s="678"/>
      <c r="HV208" s="678"/>
      <c r="HW208" s="678"/>
      <c r="HX208" s="678"/>
      <c r="HY208" s="678"/>
      <c r="HZ208" s="678"/>
      <c r="IA208" s="678"/>
      <c r="IB208" s="678"/>
      <c r="IC208" s="678"/>
      <c r="ID208" s="678"/>
      <c r="IE208" s="678"/>
      <c r="IF208" s="678"/>
      <c r="IG208" s="678"/>
      <c r="IH208" s="678"/>
      <c r="II208" s="678"/>
      <c r="IJ208" s="678"/>
      <c r="IK208" s="678"/>
      <c r="IL208" s="678"/>
      <c r="IM208" s="678"/>
      <c r="IN208" s="678"/>
      <c r="IO208" s="678"/>
      <c r="IP208" s="678"/>
      <c r="IQ208" s="678"/>
      <c r="IR208" s="678"/>
      <c r="IS208" s="678"/>
      <c r="IT208" s="678"/>
      <c r="IU208" s="678"/>
      <c r="IV208" s="678"/>
      <c r="IW208" s="678"/>
    </row>
    <row r="209" spans="1:257" s="579" customFormat="1" ht="31.5">
      <c r="A209" s="672" t="s">
        <v>91</v>
      </c>
      <c r="B209" s="696" t="s">
        <v>927</v>
      </c>
      <c r="C209" s="635"/>
      <c r="D209" s="635"/>
      <c r="E209" s="651"/>
      <c r="F209" s="651"/>
      <c r="G209" s="669"/>
      <c r="H209" s="669"/>
      <c r="I209" s="669"/>
      <c r="J209" s="651">
        <v>220000000</v>
      </c>
      <c r="K209" s="651">
        <v>500000000</v>
      </c>
      <c r="L209" s="1305">
        <v>250000000</v>
      </c>
      <c r="M209" s="651" t="s">
        <v>1700</v>
      </c>
      <c r="N209" s="826"/>
      <c r="O209" s="826"/>
      <c r="P209" s="837"/>
      <c r="Q209" s="837"/>
      <c r="R209" s="826"/>
      <c r="S209" s="830"/>
      <c r="T209" s="852"/>
      <c r="U209" s="655"/>
      <c r="V209" s="689"/>
      <c r="W209" s="689"/>
      <c r="X209" s="670"/>
      <c r="Y209" s="678"/>
      <c r="Z209" s="678"/>
      <c r="AA209" s="678"/>
      <c r="AB209" s="678"/>
      <c r="AC209" s="678"/>
      <c r="AD209" s="678"/>
      <c r="AE209" s="678"/>
      <c r="AF209" s="678"/>
      <c r="AG209" s="678"/>
      <c r="AH209" s="678"/>
      <c r="AI209" s="678"/>
      <c r="AJ209" s="678"/>
      <c r="AK209" s="678"/>
      <c r="AL209" s="678"/>
      <c r="AM209" s="678"/>
      <c r="AN209" s="678"/>
      <c r="AO209" s="678"/>
      <c r="AP209" s="678"/>
      <c r="AQ209" s="678"/>
      <c r="AR209" s="678"/>
      <c r="AS209" s="678"/>
      <c r="AT209" s="678"/>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c r="BO209" s="678"/>
      <c r="BP209" s="678"/>
      <c r="BQ209" s="678"/>
      <c r="BR209" s="678"/>
      <c r="BS209" s="678"/>
      <c r="BT209" s="678"/>
      <c r="BU209" s="678"/>
      <c r="BV209" s="678"/>
      <c r="BW209" s="678"/>
      <c r="BX209" s="678"/>
      <c r="BY209" s="678"/>
      <c r="BZ209" s="678"/>
      <c r="CA209" s="678"/>
      <c r="CB209" s="678"/>
      <c r="CC209" s="678"/>
      <c r="CD209" s="678"/>
      <c r="CE209" s="678"/>
      <c r="CF209" s="678"/>
      <c r="CG209" s="678"/>
      <c r="CH209" s="678"/>
      <c r="CI209" s="678"/>
      <c r="CJ209" s="678"/>
      <c r="CK209" s="678"/>
      <c r="CL209" s="678"/>
      <c r="CM209" s="678"/>
      <c r="CN209" s="678"/>
      <c r="CO209" s="678"/>
      <c r="CP209" s="678"/>
      <c r="CQ209" s="678"/>
      <c r="CR209" s="678"/>
      <c r="CS209" s="678"/>
      <c r="CT209" s="678"/>
      <c r="CU209" s="678"/>
      <c r="CV209" s="678"/>
      <c r="CW209" s="678"/>
      <c r="CX209" s="678"/>
      <c r="CY209" s="678"/>
      <c r="CZ209" s="678"/>
      <c r="DA209" s="678"/>
      <c r="DB209" s="678"/>
      <c r="DC209" s="678"/>
      <c r="DD209" s="678"/>
      <c r="DE209" s="678"/>
      <c r="DF209" s="678"/>
      <c r="DG209" s="678"/>
      <c r="DH209" s="678"/>
      <c r="DI209" s="678"/>
      <c r="DJ209" s="678"/>
      <c r="DK209" s="678"/>
      <c r="DL209" s="678"/>
      <c r="DM209" s="678"/>
      <c r="DN209" s="678"/>
      <c r="DO209" s="678"/>
      <c r="DP209" s="678"/>
      <c r="DQ209" s="678"/>
      <c r="DR209" s="678"/>
      <c r="DS209" s="678"/>
      <c r="DT209" s="678"/>
      <c r="DU209" s="678"/>
      <c r="DV209" s="678"/>
      <c r="DW209" s="678"/>
      <c r="DX209" s="678"/>
      <c r="DY209" s="678"/>
      <c r="DZ209" s="678"/>
      <c r="EA209" s="678"/>
      <c r="EB209" s="678"/>
      <c r="EC209" s="678"/>
      <c r="ED209" s="678"/>
      <c r="EE209" s="678"/>
      <c r="EF209" s="678"/>
      <c r="EG209" s="678"/>
      <c r="EH209" s="678"/>
      <c r="EI209" s="678"/>
      <c r="EJ209" s="678"/>
      <c r="EK209" s="678"/>
      <c r="EL209" s="678"/>
      <c r="EM209" s="678"/>
      <c r="EN209" s="678"/>
      <c r="EO209" s="678"/>
      <c r="EP209" s="678"/>
      <c r="EQ209" s="678"/>
      <c r="ER209" s="678"/>
      <c r="ES209" s="678"/>
      <c r="ET209" s="678"/>
      <c r="EU209" s="678"/>
      <c r="EV209" s="678"/>
      <c r="EW209" s="678"/>
      <c r="EX209" s="678"/>
      <c r="EY209" s="678"/>
      <c r="EZ209" s="678"/>
      <c r="FA209" s="678"/>
      <c r="FB209" s="678"/>
      <c r="FC209" s="678"/>
      <c r="FD209" s="678"/>
      <c r="FE209" s="678"/>
      <c r="FF209" s="678"/>
      <c r="FG209" s="678"/>
      <c r="FH209" s="678"/>
      <c r="FI209" s="678"/>
      <c r="FJ209" s="678"/>
      <c r="FK209" s="678"/>
      <c r="FL209" s="678"/>
      <c r="FM209" s="678"/>
      <c r="FN209" s="678"/>
      <c r="FO209" s="678"/>
      <c r="FP209" s="678"/>
      <c r="FQ209" s="678"/>
      <c r="FR209" s="678"/>
      <c r="FS209" s="678"/>
      <c r="FT209" s="678"/>
      <c r="FU209" s="678"/>
      <c r="FV209" s="678"/>
      <c r="FW209" s="678"/>
      <c r="FX209" s="678"/>
      <c r="FY209" s="678"/>
      <c r="FZ209" s="678"/>
      <c r="GA209" s="678"/>
      <c r="GB209" s="678"/>
      <c r="GC209" s="678"/>
      <c r="GD209" s="678"/>
      <c r="GE209" s="678"/>
      <c r="GF209" s="678"/>
      <c r="GG209" s="678"/>
      <c r="GH209" s="678"/>
      <c r="GI209" s="678"/>
      <c r="GJ209" s="678"/>
      <c r="GK209" s="678"/>
      <c r="GL209" s="678"/>
      <c r="GM209" s="678"/>
      <c r="GN209" s="678"/>
      <c r="GO209" s="678"/>
      <c r="GP209" s="678"/>
      <c r="GQ209" s="678"/>
      <c r="GR209" s="678"/>
      <c r="GS209" s="678"/>
      <c r="GT209" s="678"/>
      <c r="GU209" s="678"/>
      <c r="GV209" s="678"/>
      <c r="GW209" s="678"/>
      <c r="GX209" s="678"/>
      <c r="GY209" s="678"/>
      <c r="GZ209" s="678"/>
      <c r="HA209" s="678"/>
      <c r="HB209" s="678"/>
      <c r="HC209" s="678"/>
      <c r="HD209" s="678"/>
      <c r="HE209" s="678"/>
      <c r="HF209" s="678"/>
      <c r="HG209" s="678"/>
      <c r="HH209" s="678"/>
      <c r="HI209" s="678"/>
      <c r="HJ209" s="678"/>
      <c r="HK209" s="678"/>
      <c r="HL209" s="678"/>
      <c r="HM209" s="678"/>
      <c r="HN209" s="678"/>
      <c r="HO209" s="678"/>
      <c r="HP209" s="678"/>
      <c r="HQ209" s="678"/>
      <c r="HR209" s="678"/>
      <c r="HS209" s="678"/>
      <c r="HT209" s="678"/>
      <c r="HU209" s="678"/>
      <c r="HV209" s="678"/>
      <c r="HW209" s="678"/>
      <c r="HX209" s="678"/>
      <c r="HY209" s="678"/>
      <c r="HZ209" s="678"/>
      <c r="IA209" s="678"/>
      <c r="IB209" s="678"/>
      <c r="IC209" s="678"/>
      <c r="ID209" s="678"/>
      <c r="IE209" s="678"/>
      <c r="IF209" s="678"/>
      <c r="IG209" s="678"/>
      <c r="IH209" s="678"/>
      <c r="II209" s="678"/>
      <c r="IJ209" s="678"/>
      <c r="IK209" s="678"/>
      <c r="IL209" s="678"/>
      <c r="IM209" s="678"/>
      <c r="IN209" s="678"/>
      <c r="IO209" s="678"/>
      <c r="IP209" s="678"/>
      <c r="IQ209" s="678"/>
      <c r="IR209" s="678"/>
      <c r="IS209" s="678"/>
      <c r="IT209" s="678"/>
      <c r="IU209" s="678"/>
      <c r="IV209" s="678"/>
      <c r="IW209" s="678"/>
    </row>
    <row r="210" spans="1:257" s="579" customFormat="1" ht="15.75" hidden="1" customHeight="1">
      <c r="A210" s="672" t="s">
        <v>91</v>
      </c>
      <c r="B210" s="696" t="s">
        <v>928</v>
      </c>
      <c r="C210" s="635"/>
      <c r="D210" s="635"/>
      <c r="E210" s="651"/>
      <c r="F210" s="651"/>
      <c r="G210" s="669"/>
      <c r="H210" s="669"/>
      <c r="I210" s="669"/>
      <c r="J210" s="651">
        <v>80000000</v>
      </c>
      <c r="K210" s="651"/>
      <c r="L210" s="1305"/>
      <c r="M210" s="651"/>
      <c r="N210" s="826"/>
      <c r="O210" s="826"/>
      <c r="P210" s="837"/>
      <c r="Q210" s="837"/>
      <c r="R210" s="826"/>
      <c r="S210" s="830"/>
      <c r="T210" s="852"/>
      <c r="U210" s="655"/>
      <c r="V210" s="689"/>
      <c r="W210" s="689"/>
      <c r="X210" s="670"/>
      <c r="Y210" s="678"/>
      <c r="Z210" s="678"/>
      <c r="AA210" s="678"/>
      <c r="AB210" s="678"/>
      <c r="AC210" s="678"/>
      <c r="AD210" s="678"/>
      <c r="AE210" s="678"/>
      <c r="AF210" s="678"/>
      <c r="AG210" s="678"/>
      <c r="AH210" s="678"/>
      <c r="AI210" s="678"/>
      <c r="AJ210" s="678"/>
      <c r="AK210" s="678"/>
      <c r="AL210" s="678"/>
      <c r="AM210" s="678"/>
      <c r="AN210" s="678"/>
      <c r="AO210" s="678"/>
      <c r="AP210" s="678"/>
      <c r="AQ210" s="678"/>
      <c r="AR210" s="678"/>
      <c r="AS210" s="678"/>
      <c r="AT210" s="678"/>
      <c r="AU210" s="678"/>
      <c r="AV210" s="678"/>
      <c r="AW210" s="678"/>
      <c r="AX210" s="678"/>
      <c r="AY210" s="678"/>
      <c r="AZ210" s="678"/>
      <c r="BA210" s="678"/>
      <c r="BB210" s="678"/>
      <c r="BC210" s="678"/>
      <c r="BD210" s="678"/>
      <c r="BE210" s="678"/>
      <c r="BF210" s="678"/>
      <c r="BG210" s="678"/>
      <c r="BH210" s="678"/>
      <c r="BI210" s="678"/>
      <c r="BJ210" s="678"/>
      <c r="BK210" s="678"/>
      <c r="BL210" s="678"/>
      <c r="BM210" s="678"/>
      <c r="BN210" s="678"/>
      <c r="BO210" s="678"/>
      <c r="BP210" s="678"/>
      <c r="BQ210" s="678"/>
      <c r="BR210" s="678"/>
      <c r="BS210" s="678"/>
      <c r="BT210" s="678"/>
      <c r="BU210" s="678"/>
      <c r="BV210" s="678"/>
      <c r="BW210" s="678"/>
      <c r="BX210" s="678"/>
      <c r="BY210" s="678"/>
      <c r="BZ210" s="678"/>
      <c r="CA210" s="678"/>
      <c r="CB210" s="678"/>
      <c r="CC210" s="678"/>
      <c r="CD210" s="678"/>
      <c r="CE210" s="678"/>
      <c r="CF210" s="678"/>
      <c r="CG210" s="678"/>
      <c r="CH210" s="678"/>
      <c r="CI210" s="678"/>
      <c r="CJ210" s="678"/>
      <c r="CK210" s="678"/>
      <c r="CL210" s="678"/>
      <c r="CM210" s="678"/>
      <c r="CN210" s="678"/>
      <c r="CO210" s="678"/>
      <c r="CP210" s="678"/>
      <c r="CQ210" s="678"/>
      <c r="CR210" s="678"/>
      <c r="CS210" s="678"/>
      <c r="CT210" s="678"/>
      <c r="CU210" s="678"/>
      <c r="CV210" s="678"/>
      <c r="CW210" s="678"/>
      <c r="CX210" s="678"/>
      <c r="CY210" s="678"/>
      <c r="CZ210" s="678"/>
      <c r="DA210" s="678"/>
      <c r="DB210" s="678"/>
      <c r="DC210" s="678"/>
      <c r="DD210" s="678"/>
      <c r="DE210" s="678"/>
      <c r="DF210" s="678"/>
      <c r="DG210" s="678"/>
      <c r="DH210" s="678"/>
      <c r="DI210" s="678"/>
      <c r="DJ210" s="678"/>
      <c r="DK210" s="678"/>
      <c r="DL210" s="678"/>
      <c r="DM210" s="678"/>
      <c r="DN210" s="678"/>
      <c r="DO210" s="678"/>
      <c r="DP210" s="678"/>
      <c r="DQ210" s="678"/>
      <c r="DR210" s="678"/>
      <c r="DS210" s="678"/>
      <c r="DT210" s="678"/>
      <c r="DU210" s="678"/>
      <c r="DV210" s="678"/>
      <c r="DW210" s="678"/>
      <c r="DX210" s="678"/>
      <c r="DY210" s="678"/>
      <c r="DZ210" s="678"/>
      <c r="EA210" s="678"/>
      <c r="EB210" s="678"/>
      <c r="EC210" s="678"/>
      <c r="ED210" s="678"/>
      <c r="EE210" s="678"/>
      <c r="EF210" s="678"/>
      <c r="EG210" s="678"/>
      <c r="EH210" s="678"/>
      <c r="EI210" s="678"/>
      <c r="EJ210" s="678"/>
      <c r="EK210" s="678"/>
      <c r="EL210" s="678"/>
      <c r="EM210" s="678"/>
      <c r="EN210" s="678"/>
      <c r="EO210" s="678"/>
      <c r="EP210" s="678"/>
      <c r="EQ210" s="678"/>
      <c r="ER210" s="678"/>
      <c r="ES210" s="678"/>
      <c r="ET210" s="678"/>
      <c r="EU210" s="678"/>
      <c r="EV210" s="678"/>
      <c r="EW210" s="678"/>
      <c r="EX210" s="678"/>
      <c r="EY210" s="678"/>
      <c r="EZ210" s="678"/>
      <c r="FA210" s="678"/>
      <c r="FB210" s="678"/>
      <c r="FC210" s="678"/>
      <c r="FD210" s="678"/>
      <c r="FE210" s="678"/>
      <c r="FF210" s="678"/>
      <c r="FG210" s="678"/>
      <c r="FH210" s="678"/>
      <c r="FI210" s="678"/>
      <c r="FJ210" s="678"/>
      <c r="FK210" s="678"/>
      <c r="FL210" s="678"/>
      <c r="FM210" s="678"/>
      <c r="FN210" s="678"/>
      <c r="FO210" s="678"/>
      <c r="FP210" s="678"/>
      <c r="FQ210" s="678"/>
      <c r="FR210" s="678"/>
      <c r="FS210" s="678"/>
      <c r="FT210" s="678"/>
      <c r="FU210" s="678"/>
      <c r="FV210" s="678"/>
      <c r="FW210" s="678"/>
      <c r="FX210" s="678"/>
      <c r="FY210" s="678"/>
      <c r="FZ210" s="678"/>
      <c r="GA210" s="678"/>
      <c r="GB210" s="678"/>
      <c r="GC210" s="678"/>
      <c r="GD210" s="678"/>
      <c r="GE210" s="678"/>
      <c r="GF210" s="678"/>
      <c r="GG210" s="678"/>
      <c r="GH210" s="678"/>
      <c r="GI210" s="678"/>
      <c r="GJ210" s="678"/>
      <c r="GK210" s="678"/>
      <c r="GL210" s="678"/>
      <c r="GM210" s="678"/>
      <c r="GN210" s="678"/>
      <c r="GO210" s="678"/>
      <c r="GP210" s="678"/>
      <c r="GQ210" s="678"/>
      <c r="GR210" s="678"/>
      <c r="GS210" s="678"/>
      <c r="GT210" s="678"/>
      <c r="GU210" s="678"/>
      <c r="GV210" s="678"/>
      <c r="GW210" s="678"/>
      <c r="GX210" s="678"/>
      <c r="GY210" s="678"/>
      <c r="GZ210" s="678"/>
      <c r="HA210" s="678"/>
      <c r="HB210" s="678"/>
      <c r="HC210" s="678"/>
      <c r="HD210" s="678"/>
      <c r="HE210" s="678"/>
      <c r="HF210" s="678"/>
      <c r="HG210" s="678"/>
      <c r="HH210" s="678"/>
      <c r="HI210" s="678"/>
      <c r="HJ210" s="678"/>
      <c r="HK210" s="678"/>
      <c r="HL210" s="678"/>
      <c r="HM210" s="678"/>
      <c r="HN210" s="678"/>
      <c r="HO210" s="678"/>
      <c r="HP210" s="678"/>
      <c r="HQ210" s="678"/>
      <c r="HR210" s="678"/>
      <c r="HS210" s="678"/>
      <c r="HT210" s="678"/>
      <c r="HU210" s="678"/>
      <c r="HV210" s="678"/>
      <c r="HW210" s="678"/>
      <c r="HX210" s="678"/>
      <c r="HY210" s="678"/>
      <c r="HZ210" s="678"/>
      <c r="IA210" s="678"/>
      <c r="IB210" s="678"/>
      <c r="IC210" s="678"/>
      <c r="ID210" s="678"/>
      <c r="IE210" s="678"/>
      <c r="IF210" s="678"/>
      <c r="IG210" s="678"/>
      <c r="IH210" s="678"/>
      <c r="II210" s="678"/>
      <c r="IJ210" s="678"/>
      <c r="IK210" s="678"/>
      <c r="IL210" s="678"/>
      <c r="IM210" s="678"/>
      <c r="IN210" s="678"/>
      <c r="IO210" s="678"/>
      <c r="IP210" s="678"/>
      <c r="IQ210" s="678"/>
      <c r="IR210" s="678"/>
      <c r="IS210" s="678"/>
      <c r="IT210" s="678"/>
      <c r="IU210" s="678"/>
      <c r="IV210" s="678"/>
      <c r="IW210" s="678"/>
    </row>
    <row r="211" spans="1:257" s="579" customFormat="1" ht="15.75" hidden="1" customHeight="1">
      <c r="A211" s="672" t="s">
        <v>91</v>
      </c>
      <c r="B211" s="696" t="s">
        <v>929</v>
      </c>
      <c r="C211" s="635"/>
      <c r="D211" s="635"/>
      <c r="E211" s="651"/>
      <c r="F211" s="651"/>
      <c r="G211" s="669"/>
      <c r="H211" s="669"/>
      <c r="I211" s="669"/>
      <c r="J211" s="651">
        <v>40000000</v>
      </c>
      <c r="K211" s="651"/>
      <c r="L211" s="1305"/>
      <c r="M211" s="651"/>
      <c r="N211" s="826"/>
      <c r="O211" s="826"/>
      <c r="P211" s="837"/>
      <c r="Q211" s="837"/>
      <c r="R211" s="826"/>
      <c r="S211" s="830"/>
      <c r="T211" s="852"/>
      <c r="U211" s="655"/>
      <c r="V211" s="689"/>
      <c r="W211" s="689"/>
      <c r="X211" s="670"/>
      <c r="Y211" s="678"/>
      <c r="Z211" s="678"/>
      <c r="AA211" s="678"/>
      <c r="AB211" s="678"/>
      <c r="AC211" s="678"/>
      <c r="AD211" s="678"/>
      <c r="AE211" s="678"/>
      <c r="AF211" s="678"/>
      <c r="AG211" s="678"/>
      <c r="AH211" s="678"/>
      <c r="AI211" s="678"/>
      <c r="AJ211" s="678"/>
      <c r="AK211" s="678"/>
      <c r="AL211" s="678"/>
      <c r="AM211" s="678"/>
      <c r="AN211" s="678"/>
      <c r="AO211" s="678"/>
      <c r="AP211" s="678"/>
      <c r="AQ211" s="678"/>
      <c r="AR211" s="678"/>
      <c r="AS211" s="678"/>
      <c r="AT211" s="678"/>
      <c r="AU211" s="678"/>
      <c r="AV211" s="678"/>
      <c r="AW211" s="678"/>
      <c r="AX211" s="678"/>
      <c r="AY211" s="678"/>
      <c r="AZ211" s="678"/>
      <c r="BA211" s="678"/>
      <c r="BB211" s="678"/>
      <c r="BC211" s="678"/>
      <c r="BD211" s="678"/>
      <c r="BE211" s="678"/>
      <c r="BF211" s="678"/>
      <c r="BG211" s="678"/>
      <c r="BH211" s="678"/>
      <c r="BI211" s="678"/>
      <c r="BJ211" s="678"/>
      <c r="BK211" s="678"/>
      <c r="BL211" s="678"/>
      <c r="BM211" s="678"/>
      <c r="BN211" s="678"/>
      <c r="BO211" s="678"/>
      <c r="BP211" s="678"/>
      <c r="BQ211" s="678"/>
      <c r="BR211" s="678"/>
      <c r="BS211" s="678"/>
      <c r="BT211" s="678"/>
      <c r="BU211" s="678"/>
      <c r="BV211" s="678"/>
      <c r="BW211" s="678"/>
      <c r="BX211" s="678"/>
      <c r="BY211" s="678"/>
      <c r="BZ211" s="678"/>
      <c r="CA211" s="678"/>
      <c r="CB211" s="678"/>
      <c r="CC211" s="678"/>
      <c r="CD211" s="678"/>
      <c r="CE211" s="678"/>
      <c r="CF211" s="678"/>
      <c r="CG211" s="678"/>
      <c r="CH211" s="678"/>
      <c r="CI211" s="678"/>
      <c r="CJ211" s="678"/>
      <c r="CK211" s="678"/>
      <c r="CL211" s="678"/>
      <c r="CM211" s="678"/>
      <c r="CN211" s="678"/>
      <c r="CO211" s="678"/>
      <c r="CP211" s="678"/>
      <c r="CQ211" s="678"/>
      <c r="CR211" s="678"/>
      <c r="CS211" s="678"/>
      <c r="CT211" s="678"/>
      <c r="CU211" s="678"/>
      <c r="CV211" s="678"/>
      <c r="CW211" s="678"/>
      <c r="CX211" s="678"/>
      <c r="CY211" s="678"/>
      <c r="CZ211" s="678"/>
      <c r="DA211" s="678"/>
      <c r="DB211" s="678"/>
      <c r="DC211" s="678"/>
      <c r="DD211" s="678"/>
      <c r="DE211" s="678"/>
      <c r="DF211" s="678"/>
      <c r="DG211" s="678"/>
      <c r="DH211" s="678"/>
      <c r="DI211" s="678"/>
      <c r="DJ211" s="678"/>
      <c r="DK211" s="678"/>
      <c r="DL211" s="678"/>
      <c r="DM211" s="678"/>
      <c r="DN211" s="678"/>
      <c r="DO211" s="678"/>
      <c r="DP211" s="678"/>
      <c r="DQ211" s="678"/>
      <c r="DR211" s="678"/>
      <c r="DS211" s="678"/>
      <c r="DT211" s="678"/>
      <c r="DU211" s="678"/>
      <c r="DV211" s="678"/>
      <c r="DW211" s="678"/>
      <c r="DX211" s="678"/>
      <c r="DY211" s="678"/>
      <c r="DZ211" s="678"/>
      <c r="EA211" s="678"/>
      <c r="EB211" s="678"/>
      <c r="EC211" s="678"/>
      <c r="ED211" s="678"/>
      <c r="EE211" s="678"/>
      <c r="EF211" s="678"/>
      <c r="EG211" s="678"/>
      <c r="EH211" s="678"/>
      <c r="EI211" s="678"/>
      <c r="EJ211" s="678"/>
      <c r="EK211" s="678"/>
      <c r="EL211" s="678"/>
      <c r="EM211" s="678"/>
      <c r="EN211" s="678"/>
      <c r="EO211" s="678"/>
      <c r="EP211" s="678"/>
      <c r="EQ211" s="678"/>
      <c r="ER211" s="678"/>
      <c r="ES211" s="678"/>
      <c r="ET211" s="678"/>
      <c r="EU211" s="678"/>
      <c r="EV211" s="678"/>
      <c r="EW211" s="678"/>
      <c r="EX211" s="678"/>
      <c r="EY211" s="678"/>
      <c r="EZ211" s="678"/>
      <c r="FA211" s="678"/>
      <c r="FB211" s="678"/>
      <c r="FC211" s="678"/>
      <c r="FD211" s="678"/>
      <c r="FE211" s="678"/>
      <c r="FF211" s="678"/>
      <c r="FG211" s="678"/>
      <c r="FH211" s="678"/>
      <c r="FI211" s="678"/>
      <c r="FJ211" s="678"/>
      <c r="FK211" s="678"/>
      <c r="FL211" s="678"/>
      <c r="FM211" s="678"/>
      <c r="FN211" s="678"/>
      <c r="FO211" s="678"/>
      <c r="FP211" s="678"/>
      <c r="FQ211" s="678"/>
      <c r="FR211" s="678"/>
      <c r="FS211" s="678"/>
      <c r="FT211" s="678"/>
      <c r="FU211" s="678"/>
      <c r="FV211" s="678"/>
      <c r="FW211" s="678"/>
      <c r="FX211" s="678"/>
      <c r="FY211" s="678"/>
      <c r="FZ211" s="678"/>
      <c r="GA211" s="678"/>
      <c r="GB211" s="678"/>
      <c r="GC211" s="678"/>
      <c r="GD211" s="678"/>
      <c r="GE211" s="678"/>
      <c r="GF211" s="678"/>
      <c r="GG211" s="678"/>
      <c r="GH211" s="678"/>
      <c r="GI211" s="678"/>
      <c r="GJ211" s="678"/>
      <c r="GK211" s="678"/>
      <c r="GL211" s="678"/>
      <c r="GM211" s="678"/>
      <c r="GN211" s="678"/>
      <c r="GO211" s="678"/>
      <c r="GP211" s="678"/>
      <c r="GQ211" s="678"/>
      <c r="GR211" s="678"/>
      <c r="GS211" s="678"/>
      <c r="GT211" s="678"/>
      <c r="GU211" s="678"/>
      <c r="GV211" s="678"/>
      <c r="GW211" s="678"/>
      <c r="GX211" s="678"/>
      <c r="GY211" s="678"/>
      <c r="GZ211" s="678"/>
      <c r="HA211" s="678"/>
      <c r="HB211" s="678"/>
      <c r="HC211" s="678"/>
      <c r="HD211" s="678"/>
      <c r="HE211" s="678"/>
      <c r="HF211" s="678"/>
      <c r="HG211" s="678"/>
      <c r="HH211" s="678"/>
      <c r="HI211" s="678"/>
      <c r="HJ211" s="678"/>
      <c r="HK211" s="678"/>
      <c r="HL211" s="678"/>
      <c r="HM211" s="678"/>
      <c r="HN211" s="678"/>
      <c r="HO211" s="678"/>
      <c r="HP211" s="678"/>
      <c r="HQ211" s="678"/>
      <c r="HR211" s="678"/>
      <c r="HS211" s="678"/>
      <c r="HT211" s="678"/>
      <c r="HU211" s="678"/>
      <c r="HV211" s="678"/>
      <c r="HW211" s="678"/>
      <c r="HX211" s="678"/>
      <c r="HY211" s="678"/>
      <c r="HZ211" s="678"/>
      <c r="IA211" s="678"/>
      <c r="IB211" s="678"/>
      <c r="IC211" s="678"/>
      <c r="ID211" s="678"/>
      <c r="IE211" s="678"/>
      <c r="IF211" s="678"/>
      <c r="IG211" s="678"/>
      <c r="IH211" s="678"/>
      <c r="II211" s="678"/>
      <c r="IJ211" s="678"/>
      <c r="IK211" s="678"/>
      <c r="IL211" s="678"/>
      <c r="IM211" s="678"/>
      <c r="IN211" s="678"/>
      <c r="IO211" s="678"/>
      <c r="IP211" s="678"/>
      <c r="IQ211" s="678"/>
      <c r="IR211" s="678"/>
      <c r="IS211" s="678"/>
      <c r="IT211" s="678"/>
      <c r="IU211" s="678"/>
      <c r="IV211" s="678"/>
      <c r="IW211" s="678"/>
    </row>
    <row r="212" spans="1:257" s="579" customFormat="1" ht="15.75" hidden="1" customHeight="1">
      <c r="A212" s="672" t="s">
        <v>91</v>
      </c>
      <c r="B212" s="696" t="s">
        <v>930</v>
      </c>
      <c r="C212" s="635"/>
      <c r="D212" s="635"/>
      <c r="E212" s="651"/>
      <c r="F212" s="651"/>
      <c r="G212" s="669"/>
      <c r="H212" s="669"/>
      <c r="I212" s="669"/>
      <c r="J212" s="651">
        <v>266640000</v>
      </c>
      <c r="K212" s="651"/>
      <c r="L212" s="1305"/>
      <c r="M212" s="651"/>
      <c r="N212" s="826"/>
      <c r="O212" s="826"/>
      <c r="P212" s="837"/>
      <c r="Q212" s="837"/>
      <c r="R212" s="826"/>
      <c r="S212" s="830"/>
      <c r="T212" s="852"/>
      <c r="U212" s="655"/>
      <c r="V212" s="689"/>
      <c r="W212" s="689"/>
      <c r="X212" s="670"/>
      <c r="Y212" s="678"/>
      <c r="Z212" s="678"/>
      <c r="AA212" s="678"/>
      <c r="AB212" s="678"/>
      <c r="AC212" s="678"/>
      <c r="AD212" s="678"/>
      <c r="AE212" s="678"/>
      <c r="AF212" s="678"/>
      <c r="AG212" s="678"/>
      <c r="AH212" s="678"/>
      <c r="AI212" s="678"/>
      <c r="AJ212" s="678"/>
      <c r="AK212" s="678"/>
      <c r="AL212" s="678"/>
      <c r="AM212" s="678"/>
      <c r="AN212" s="678"/>
      <c r="AO212" s="678"/>
      <c r="AP212" s="678"/>
      <c r="AQ212" s="678"/>
      <c r="AR212" s="678"/>
      <c r="AS212" s="678"/>
      <c r="AT212" s="678"/>
      <c r="AU212" s="678"/>
      <c r="AV212" s="678"/>
      <c r="AW212" s="678"/>
      <c r="AX212" s="678"/>
      <c r="AY212" s="678"/>
      <c r="AZ212" s="678"/>
      <c r="BA212" s="678"/>
      <c r="BB212" s="678"/>
      <c r="BC212" s="678"/>
      <c r="BD212" s="678"/>
      <c r="BE212" s="678"/>
      <c r="BF212" s="678"/>
      <c r="BG212" s="678"/>
      <c r="BH212" s="678"/>
      <c r="BI212" s="678"/>
      <c r="BJ212" s="678"/>
      <c r="BK212" s="678"/>
      <c r="BL212" s="678"/>
      <c r="BM212" s="678"/>
      <c r="BN212" s="678"/>
      <c r="BO212" s="678"/>
      <c r="BP212" s="678"/>
      <c r="BQ212" s="678"/>
      <c r="BR212" s="678"/>
      <c r="BS212" s="678"/>
      <c r="BT212" s="678"/>
      <c r="BU212" s="678"/>
      <c r="BV212" s="678"/>
      <c r="BW212" s="678"/>
      <c r="BX212" s="678"/>
      <c r="BY212" s="678"/>
      <c r="BZ212" s="678"/>
      <c r="CA212" s="678"/>
      <c r="CB212" s="678"/>
      <c r="CC212" s="678"/>
      <c r="CD212" s="678"/>
      <c r="CE212" s="678"/>
      <c r="CF212" s="678"/>
      <c r="CG212" s="678"/>
      <c r="CH212" s="678"/>
      <c r="CI212" s="678"/>
      <c r="CJ212" s="678"/>
      <c r="CK212" s="678"/>
      <c r="CL212" s="678"/>
      <c r="CM212" s="678"/>
      <c r="CN212" s="678"/>
      <c r="CO212" s="678"/>
      <c r="CP212" s="678"/>
      <c r="CQ212" s="678"/>
      <c r="CR212" s="678"/>
      <c r="CS212" s="678"/>
      <c r="CT212" s="678"/>
      <c r="CU212" s="678"/>
      <c r="CV212" s="678"/>
      <c r="CW212" s="678"/>
      <c r="CX212" s="678"/>
      <c r="CY212" s="678"/>
      <c r="CZ212" s="678"/>
      <c r="DA212" s="678"/>
      <c r="DB212" s="678"/>
      <c r="DC212" s="678"/>
      <c r="DD212" s="678"/>
      <c r="DE212" s="678"/>
      <c r="DF212" s="678"/>
      <c r="DG212" s="678"/>
      <c r="DH212" s="678"/>
      <c r="DI212" s="678"/>
      <c r="DJ212" s="678"/>
      <c r="DK212" s="678"/>
      <c r="DL212" s="678"/>
      <c r="DM212" s="678"/>
      <c r="DN212" s="678"/>
      <c r="DO212" s="678"/>
      <c r="DP212" s="678"/>
      <c r="DQ212" s="678"/>
      <c r="DR212" s="678"/>
      <c r="DS212" s="678"/>
      <c r="DT212" s="678"/>
      <c r="DU212" s="678"/>
      <c r="DV212" s="678"/>
      <c r="DW212" s="678"/>
      <c r="DX212" s="678"/>
      <c r="DY212" s="678"/>
      <c r="DZ212" s="678"/>
      <c r="EA212" s="678"/>
      <c r="EB212" s="678"/>
      <c r="EC212" s="678"/>
      <c r="ED212" s="678"/>
      <c r="EE212" s="678"/>
      <c r="EF212" s="678"/>
      <c r="EG212" s="678"/>
      <c r="EH212" s="678"/>
      <c r="EI212" s="678"/>
      <c r="EJ212" s="678"/>
      <c r="EK212" s="678"/>
      <c r="EL212" s="678"/>
      <c r="EM212" s="678"/>
      <c r="EN212" s="678"/>
      <c r="EO212" s="678"/>
      <c r="EP212" s="678"/>
      <c r="EQ212" s="678"/>
      <c r="ER212" s="678"/>
      <c r="ES212" s="678"/>
      <c r="ET212" s="678"/>
      <c r="EU212" s="678"/>
      <c r="EV212" s="678"/>
      <c r="EW212" s="678"/>
      <c r="EX212" s="678"/>
      <c r="EY212" s="678"/>
      <c r="EZ212" s="678"/>
      <c r="FA212" s="678"/>
      <c r="FB212" s="678"/>
      <c r="FC212" s="678"/>
      <c r="FD212" s="678"/>
      <c r="FE212" s="678"/>
      <c r="FF212" s="678"/>
      <c r="FG212" s="678"/>
      <c r="FH212" s="678"/>
      <c r="FI212" s="678"/>
      <c r="FJ212" s="678"/>
      <c r="FK212" s="678"/>
      <c r="FL212" s="678"/>
      <c r="FM212" s="678"/>
      <c r="FN212" s="678"/>
      <c r="FO212" s="678"/>
      <c r="FP212" s="678"/>
      <c r="FQ212" s="678"/>
      <c r="FR212" s="678"/>
      <c r="FS212" s="678"/>
      <c r="FT212" s="678"/>
      <c r="FU212" s="678"/>
      <c r="FV212" s="678"/>
      <c r="FW212" s="678"/>
      <c r="FX212" s="678"/>
      <c r="FY212" s="678"/>
      <c r="FZ212" s="678"/>
      <c r="GA212" s="678"/>
      <c r="GB212" s="678"/>
      <c r="GC212" s="678"/>
      <c r="GD212" s="678"/>
      <c r="GE212" s="678"/>
      <c r="GF212" s="678"/>
      <c r="GG212" s="678"/>
      <c r="GH212" s="678"/>
      <c r="GI212" s="678"/>
      <c r="GJ212" s="678"/>
      <c r="GK212" s="678"/>
      <c r="GL212" s="678"/>
      <c r="GM212" s="678"/>
      <c r="GN212" s="678"/>
      <c r="GO212" s="678"/>
      <c r="GP212" s="678"/>
      <c r="GQ212" s="678"/>
      <c r="GR212" s="678"/>
      <c r="GS212" s="678"/>
      <c r="GT212" s="678"/>
      <c r="GU212" s="678"/>
      <c r="GV212" s="678"/>
      <c r="GW212" s="678"/>
      <c r="GX212" s="678"/>
      <c r="GY212" s="678"/>
      <c r="GZ212" s="678"/>
      <c r="HA212" s="678"/>
      <c r="HB212" s="678"/>
      <c r="HC212" s="678"/>
      <c r="HD212" s="678"/>
      <c r="HE212" s="678"/>
      <c r="HF212" s="678"/>
      <c r="HG212" s="678"/>
      <c r="HH212" s="678"/>
      <c r="HI212" s="678"/>
      <c r="HJ212" s="678"/>
      <c r="HK212" s="678"/>
      <c r="HL212" s="678"/>
      <c r="HM212" s="678"/>
      <c r="HN212" s="678"/>
      <c r="HO212" s="678"/>
      <c r="HP212" s="678"/>
      <c r="HQ212" s="678"/>
      <c r="HR212" s="678"/>
      <c r="HS212" s="678"/>
      <c r="HT212" s="678"/>
      <c r="HU212" s="678"/>
      <c r="HV212" s="678"/>
      <c r="HW212" s="678"/>
      <c r="HX212" s="678"/>
      <c r="HY212" s="678"/>
      <c r="HZ212" s="678"/>
      <c r="IA212" s="678"/>
      <c r="IB212" s="678"/>
      <c r="IC212" s="678"/>
      <c r="ID212" s="678"/>
      <c r="IE212" s="678"/>
      <c r="IF212" s="678"/>
      <c r="IG212" s="678"/>
      <c r="IH212" s="678"/>
      <c r="II212" s="678"/>
      <c r="IJ212" s="678"/>
      <c r="IK212" s="678"/>
      <c r="IL212" s="678"/>
      <c r="IM212" s="678"/>
      <c r="IN212" s="678"/>
      <c r="IO212" s="678"/>
      <c r="IP212" s="678"/>
      <c r="IQ212" s="678"/>
      <c r="IR212" s="678"/>
      <c r="IS212" s="678"/>
      <c r="IT212" s="678"/>
      <c r="IU212" s="678"/>
      <c r="IV212" s="678"/>
      <c r="IW212" s="678"/>
    </row>
    <row r="213" spans="1:257" s="579" customFormat="1" ht="15.75" hidden="1" customHeight="1">
      <c r="A213" s="672" t="s">
        <v>91</v>
      </c>
      <c r="B213" s="696" t="s">
        <v>931</v>
      </c>
      <c r="C213" s="635"/>
      <c r="D213" s="635"/>
      <c r="E213" s="651"/>
      <c r="F213" s="651"/>
      <c r="G213" s="669"/>
      <c r="H213" s="669"/>
      <c r="I213" s="669"/>
      <c r="J213" s="651">
        <v>270000000</v>
      </c>
      <c r="K213" s="651"/>
      <c r="L213" s="1305"/>
      <c r="M213" s="651"/>
      <c r="N213" s="826"/>
      <c r="O213" s="826"/>
      <c r="P213" s="837"/>
      <c r="Q213" s="837"/>
      <c r="R213" s="826"/>
      <c r="S213" s="830"/>
      <c r="T213" s="852"/>
      <c r="U213" s="655"/>
      <c r="V213" s="689"/>
      <c r="W213" s="689"/>
      <c r="X213" s="670"/>
      <c r="Y213" s="678"/>
      <c r="Z213" s="678"/>
      <c r="AA213" s="678"/>
      <c r="AB213" s="678"/>
      <c r="AC213" s="678"/>
      <c r="AD213" s="678"/>
      <c r="AE213" s="678"/>
      <c r="AF213" s="678"/>
      <c r="AG213" s="678"/>
      <c r="AH213" s="678"/>
      <c r="AI213" s="678"/>
      <c r="AJ213" s="678"/>
      <c r="AK213" s="678"/>
      <c r="AL213" s="678"/>
      <c r="AM213" s="678"/>
      <c r="AN213" s="678"/>
      <c r="AO213" s="678"/>
      <c r="AP213" s="678"/>
      <c r="AQ213" s="678"/>
      <c r="AR213" s="678"/>
      <c r="AS213" s="678"/>
      <c r="AT213" s="678"/>
      <c r="AU213" s="678"/>
      <c r="AV213" s="678"/>
      <c r="AW213" s="678"/>
      <c r="AX213" s="678"/>
      <c r="AY213" s="678"/>
      <c r="AZ213" s="678"/>
      <c r="BA213" s="678"/>
      <c r="BB213" s="678"/>
      <c r="BC213" s="678"/>
      <c r="BD213" s="678"/>
      <c r="BE213" s="678"/>
      <c r="BF213" s="678"/>
      <c r="BG213" s="678"/>
      <c r="BH213" s="678"/>
      <c r="BI213" s="678"/>
      <c r="BJ213" s="678"/>
      <c r="BK213" s="678"/>
      <c r="BL213" s="678"/>
      <c r="BM213" s="678"/>
      <c r="BN213" s="678"/>
      <c r="BO213" s="678"/>
      <c r="BP213" s="678"/>
      <c r="BQ213" s="678"/>
      <c r="BR213" s="678"/>
      <c r="BS213" s="678"/>
      <c r="BT213" s="678"/>
      <c r="BU213" s="678"/>
      <c r="BV213" s="678"/>
      <c r="BW213" s="678"/>
      <c r="BX213" s="678"/>
      <c r="BY213" s="678"/>
      <c r="BZ213" s="678"/>
      <c r="CA213" s="678"/>
      <c r="CB213" s="678"/>
      <c r="CC213" s="678"/>
      <c r="CD213" s="678"/>
      <c r="CE213" s="678"/>
      <c r="CF213" s="678"/>
      <c r="CG213" s="678"/>
      <c r="CH213" s="678"/>
      <c r="CI213" s="678"/>
      <c r="CJ213" s="678"/>
      <c r="CK213" s="678"/>
      <c r="CL213" s="678"/>
      <c r="CM213" s="678"/>
      <c r="CN213" s="678"/>
      <c r="CO213" s="678"/>
      <c r="CP213" s="678"/>
      <c r="CQ213" s="678"/>
      <c r="CR213" s="678"/>
      <c r="CS213" s="678"/>
      <c r="CT213" s="678"/>
      <c r="CU213" s="678"/>
      <c r="CV213" s="678"/>
      <c r="CW213" s="678"/>
      <c r="CX213" s="678"/>
      <c r="CY213" s="678"/>
      <c r="CZ213" s="678"/>
      <c r="DA213" s="678"/>
      <c r="DB213" s="678"/>
      <c r="DC213" s="678"/>
      <c r="DD213" s="678"/>
      <c r="DE213" s="678"/>
      <c r="DF213" s="678"/>
      <c r="DG213" s="678"/>
      <c r="DH213" s="678"/>
      <c r="DI213" s="678"/>
      <c r="DJ213" s="678"/>
      <c r="DK213" s="678"/>
      <c r="DL213" s="678"/>
      <c r="DM213" s="678"/>
      <c r="DN213" s="678"/>
      <c r="DO213" s="678"/>
      <c r="DP213" s="678"/>
      <c r="DQ213" s="678"/>
      <c r="DR213" s="678"/>
      <c r="DS213" s="678"/>
      <c r="DT213" s="678"/>
      <c r="DU213" s="678"/>
      <c r="DV213" s="678"/>
      <c r="DW213" s="678"/>
      <c r="DX213" s="678"/>
      <c r="DY213" s="678"/>
      <c r="DZ213" s="678"/>
      <c r="EA213" s="678"/>
      <c r="EB213" s="678"/>
      <c r="EC213" s="678"/>
      <c r="ED213" s="678"/>
      <c r="EE213" s="678"/>
      <c r="EF213" s="678"/>
      <c r="EG213" s="678"/>
      <c r="EH213" s="678"/>
      <c r="EI213" s="678"/>
      <c r="EJ213" s="678"/>
      <c r="EK213" s="678"/>
      <c r="EL213" s="678"/>
      <c r="EM213" s="678"/>
      <c r="EN213" s="678"/>
      <c r="EO213" s="678"/>
      <c r="EP213" s="678"/>
      <c r="EQ213" s="678"/>
      <c r="ER213" s="678"/>
      <c r="ES213" s="678"/>
      <c r="ET213" s="678"/>
      <c r="EU213" s="678"/>
      <c r="EV213" s="678"/>
      <c r="EW213" s="678"/>
      <c r="EX213" s="678"/>
      <c r="EY213" s="678"/>
      <c r="EZ213" s="678"/>
      <c r="FA213" s="678"/>
      <c r="FB213" s="678"/>
      <c r="FC213" s="678"/>
      <c r="FD213" s="678"/>
      <c r="FE213" s="678"/>
      <c r="FF213" s="678"/>
      <c r="FG213" s="678"/>
      <c r="FH213" s="678"/>
      <c r="FI213" s="678"/>
      <c r="FJ213" s="678"/>
      <c r="FK213" s="678"/>
      <c r="FL213" s="678"/>
      <c r="FM213" s="678"/>
      <c r="FN213" s="678"/>
      <c r="FO213" s="678"/>
      <c r="FP213" s="678"/>
      <c r="FQ213" s="678"/>
      <c r="FR213" s="678"/>
      <c r="FS213" s="678"/>
      <c r="FT213" s="678"/>
      <c r="FU213" s="678"/>
      <c r="FV213" s="678"/>
      <c r="FW213" s="678"/>
      <c r="FX213" s="678"/>
      <c r="FY213" s="678"/>
      <c r="FZ213" s="678"/>
      <c r="GA213" s="678"/>
      <c r="GB213" s="678"/>
      <c r="GC213" s="678"/>
      <c r="GD213" s="678"/>
      <c r="GE213" s="678"/>
      <c r="GF213" s="678"/>
      <c r="GG213" s="678"/>
      <c r="GH213" s="678"/>
      <c r="GI213" s="678"/>
      <c r="GJ213" s="678"/>
      <c r="GK213" s="678"/>
      <c r="GL213" s="678"/>
      <c r="GM213" s="678"/>
      <c r="GN213" s="678"/>
      <c r="GO213" s="678"/>
      <c r="GP213" s="678"/>
      <c r="GQ213" s="678"/>
      <c r="GR213" s="678"/>
      <c r="GS213" s="678"/>
      <c r="GT213" s="678"/>
      <c r="GU213" s="678"/>
      <c r="GV213" s="678"/>
      <c r="GW213" s="678"/>
      <c r="GX213" s="678"/>
      <c r="GY213" s="678"/>
      <c r="GZ213" s="678"/>
      <c r="HA213" s="678"/>
      <c r="HB213" s="678"/>
      <c r="HC213" s="678"/>
      <c r="HD213" s="678"/>
      <c r="HE213" s="678"/>
      <c r="HF213" s="678"/>
      <c r="HG213" s="678"/>
      <c r="HH213" s="678"/>
      <c r="HI213" s="678"/>
      <c r="HJ213" s="678"/>
      <c r="HK213" s="678"/>
      <c r="HL213" s="678"/>
      <c r="HM213" s="678"/>
      <c r="HN213" s="678"/>
      <c r="HO213" s="678"/>
      <c r="HP213" s="678"/>
      <c r="HQ213" s="678"/>
      <c r="HR213" s="678"/>
      <c r="HS213" s="678"/>
      <c r="HT213" s="678"/>
      <c r="HU213" s="678"/>
      <c r="HV213" s="678"/>
      <c r="HW213" s="678"/>
      <c r="HX213" s="678"/>
      <c r="HY213" s="678"/>
      <c r="HZ213" s="678"/>
      <c r="IA213" s="678"/>
      <c r="IB213" s="678"/>
      <c r="IC213" s="678"/>
      <c r="ID213" s="678"/>
      <c r="IE213" s="678"/>
      <c r="IF213" s="678"/>
      <c r="IG213" s="678"/>
      <c r="IH213" s="678"/>
      <c r="II213" s="678"/>
      <c r="IJ213" s="678"/>
      <c r="IK213" s="678"/>
      <c r="IL213" s="678"/>
      <c r="IM213" s="678"/>
      <c r="IN213" s="678"/>
      <c r="IO213" s="678"/>
      <c r="IP213" s="678"/>
      <c r="IQ213" s="678"/>
      <c r="IR213" s="678"/>
      <c r="IS213" s="678"/>
      <c r="IT213" s="678"/>
      <c r="IU213" s="678"/>
      <c r="IV213" s="678"/>
      <c r="IW213" s="678"/>
    </row>
    <row r="214" spans="1:257" s="579" customFormat="1">
      <c r="A214" s="672" t="s">
        <v>91</v>
      </c>
      <c r="B214" s="696" t="s">
        <v>57</v>
      </c>
      <c r="C214" s="635"/>
      <c r="D214" s="635"/>
      <c r="E214" s="651"/>
      <c r="F214" s="651"/>
      <c r="G214" s="669"/>
      <c r="H214" s="669"/>
      <c r="I214" s="669"/>
      <c r="J214" s="651">
        <v>20000000</v>
      </c>
      <c r="K214" s="651"/>
      <c r="L214" s="1305"/>
      <c r="M214" s="651"/>
      <c r="N214" s="826"/>
      <c r="O214" s="826"/>
      <c r="P214" s="837"/>
      <c r="Q214" s="837"/>
      <c r="R214" s="826"/>
      <c r="S214" s="830"/>
      <c r="T214" s="852"/>
      <c r="U214" s="655"/>
      <c r="V214" s="689"/>
      <c r="W214" s="689"/>
      <c r="X214" s="670"/>
      <c r="Y214" s="678"/>
      <c r="Z214" s="678"/>
      <c r="AA214" s="678"/>
      <c r="AB214" s="678"/>
      <c r="AC214" s="678"/>
      <c r="AD214" s="678"/>
      <c r="AE214" s="678"/>
      <c r="AF214" s="678"/>
      <c r="AG214" s="678"/>
      <c r="AH214" s="678"/>
      <c r="AI214" s="678"/>
      <c r="AJ214" s="678"/>
      <c r="AK214" s="678"/>
      <c r="AL214" s="678"/>
      <c r="AM214" s="678"/>
      <c r="AN214" s="678"/>
      <c r="AO214" s="678"/>
      <c r="AP214" s="678"/>
      <c r="AQ214" s="678"/>
      <c r="AR214" s="678"/>
      <c r="AS214" s="678"/>
      <c r="AT214" s="678"/>
      <c r="AU214" s="678"/>
      <c r="AV214" s="678"/>
      <c r="AW214" s="678"/>
      <c r="AX214" s="678"/>
      <c r="AY214" s="678"/>
      <c r="AZ214" s="678"/>
      <c r="BA214" s="678"/>
      <c r="BB214" s="678"/>
      <c r="BC214" s="678"/>
      <c r="BD214" s="678"/>
      <c r="BE214" s="678"/>
      <c r="BF214" s="678"/>
      <c r="BG214" s="678"/>
      <c r="BH214" s="678"/>
      <c r="BI214" s="678"/>
      <c r="BJ214" s="678"/>
      <c r="BK214" s="678"/>
      <c r="BL214" s="678"/>
      <c r="BM214" s="678"/>
      <c r="BN214" s="678"/>
      <c r="BO214" s="678"/>
      <c r="BP214" s="678"/>
      <c r="BQ214" s="678"/>
      <c r="BR214" s="678"/>
      <c r="BS214" s="678"/>
      <c r="BT214" s="678"/>
      <c r="BU214" s="678"/>
      <c r="BV214" s="678"/>
      <c r="BW214" s="678"/>
      <c r="BX214" s="678"/>
      <c r="BY214" s="678"/>
      <c r="BZ214" s="678"/>
      <c r="CA214" s="678"/>
      <c r="CB214" s="678"/>
      <c r="CC214" s="678"/>
      <c r="CD214" s="678"/>
      <c r="CE214" s="678"/>
      <c r="CF214" s="678"/>
      <c r="CG214" s="678"/>
      <c r="CH214" s="678"/>
      <c r="CI214" s="678"/>
      <c r="CJ214" s="678"/>
      <c r="CK214" s="678"/>
      <c r="CL214" s="678"/>
      <c r="CM214" s="678"/>
      <c r="CN214" s="678"/>
      <c r="CO214" s="678"/>
      <c r="CP214" s="678"/>
      <c r="CQ214" s="678"/>
      <c r="CR214" s="678"/>
      <c r="CS214" s="678"/>
      <c r="CT214" s="678"/>
      <c r="CU214" s="678"/>
      <c r="CV214" s="678"/>
      <c r="CW214" s="678"/>
      <c r="CX214" s="678"/>
      <c r="CY214" s="678"/>
      <c r="CZ214" s="678"/>
      <c r="DA214" s="678"/>
      <c r="DB214" s="678"/>
      <c r="DC214" s="678"/>
      <c r="DD214" s="678"/>
      <c r="DE214" s="678"/>
      <c r="DF214" s="678"/>
      <c r="DG214" s="678"/>
      <c r="DH214" s="678"/>
      <c r="DI214" s="678"/>
      <c r="DJ214" s="678"/>
      <c r="DK214" s="678"/>
      <c r="DL214" s="678"/>
      <c r="DM214" s="678"/>
      <c r="DN214" s="678"/>
      <c r="DO214" s="678"/>
      <c r="DP214" s="678"/>
      <c r="DQ214" s="678"/>
      <c r="DR214" s="678"/>
      <c r="DS214" s="678"/>
      <c r="DT214" s="678"/>
      <c r="DU214" s="678"/>
      <c r="DV214" s="678"/>
      <c r="DW214" s="678"/>
      <c r="DX214" s="678"/>
      <c r="DY214" s="678"/>
      <c r="DZ214" s="678"/>
      <c r="EA214" s="678"/>
      <c r="EB214" s="678"/>
      <c r="EC214" s="678"/>
      <c r="ED214" s="678"/>
      <c r="EE214" s="678"/>
      <c r="EF214" s="678"/>
      <c r="EG214" s="678"/>
      <c r="EH214" s="678"/>
      <c r="EI214" s="678"/>
      <c r="EJ214" s="678"/>
      <c r="EK214" s="678"/>
      <c r="EL214" s="678"/>
      <c r="EM214" s="678"/>
      <c r="EN214" s="678"/>
      <c r="EO214" s="678"/>
      <c r="EP214" s="678"/>
      <c r="EQ214" s="678"/>
      <c r="ER214" s="678"/>
      <c r="ES214" s="678"/>
      <c r="ET214" s="678"/>
      <c r="EU214" s="678"/>
      <c r="EV214" s="678"/>
      <c r="EW214" s="678"/>
      <c r="EX214" s="678"/>
      <c r="EY214" s="678"/>
      <c r="EZ214" s="678"/>
      <c r="FA214" s="678"/>
      <c r="FB214" s="678"/>
      <c r="FC214" s="678"/>
      <c r="FD214" s="678"/>
      <c r="FE214" s="678"/>
      <c r="FF214" s="678"/>
      <c r="FG214" s="678"/>
      <c r="FH214" s="678"/>
      <c r="FI214" s="678"/>
      <c r="FJ214" s="678"/>
      <c r="FK214" s="678"/>
      <c r="FL214" s="678"/>
      <c r="FM214" s="678"/>
      <c r="FN214" s="678"/>
      <c r="FO214" s="678"/>
      <c r="FP214" s="678"/>
      <c r="FQ214" s="678"/>
      <c r="FR214" s="678"/>
      <c r="FS214" s="678"/>
      <c r="FT214" s="678"/>
      <c r="FU214" s="678"/>
      <c r="FV214" s="678"/>
      <c r="FW214" s="678"/>
      <c r="FX214" s="678"/>
      <c r="FY214" s="678"/>
      <c r="FZ214" s="678"/>
      <c r="GA214" s="678"/>
      <c r="GB214" s="678"/>
      <c r="GC214" s="678"/>
      <c r="GD214" s="678"/>
      <c r="GE214" s="678"/>
      <c r="GF214" s="678"/>
      <c r="GG214" s="678"/>
      <c r="GH214" s="678"/>
      <c r="GI214" s="678"/>
      <c r="GJ214" s="678"/>
      <c r="GK214" s="678"/>
      <c r="GL214" s="678"/>
      <c r="GM214" s="678"/>
      <c r="GN214" s="678"/>
      <c r="GO214" s="678"/>
      <c r="GP214" s="678"/>
      <c r="GQ214" s="678"/>
      <c r="GR214" s="678"/>
      <c r="GS214" s="678"/>
      <c r="GT214" s="678"/>
      <c r="GU214" s="678"/>
      <c r="GV214" s="678"/>
      <c r="GW214" s="678"/>
      <c r="GX214" s="678"/>
      <c r="GY214" s="678"/>
      <c r="GZ214" s="678"/>
      <c r="HA214" s="678"/>
      <c r="HB214" s="678"/>
      <c r="HC214" s="678"/>
      <c r="HD214" s="678"/>
      <c r="HE214" s="678"/>
      <c r="HF214" s="678"/>
      <c r="HG214" s="678"/>
      <c r="HH214" s="678"/>
      <c r="HI214" s="678"/>
      <c r="HJ214" s="678"/>
      <c r="HK214" s="678"/>
      <c r="HL214" s="678"/>
      <c r="HM214" s="678"/>
      <c r="HN214" s="678"/>
      <c r="HO214" s="678"/>
      <c r="HP214" s="678"/>
      <c r="HQ214" s="678"/>
      <c r="HR214" s="678"/>
      <c r="HS214" s="678"/>
      <c r="HT214" s="678"/>
      <c r="HU214" s="678"/>
      <c r="HV214" s="678"/>
      <c r="HW214" s="678"/>
      <c r="HX214" s="678"/>
      <c r="HY214" s="678"/>
      <c r="HZ214" s="678"/>
      <c r="IA214" s="678"/>
      <c r="IB214" s="678"/>
      <c r="IC214" s="678"/>
      <c r="ID214" s="678"/>
      <c r="IE214" s="678"/>
      <c r="IF214" s="678"/>
      <c r="IG214" s="678"/>
      <c r="IH214" s="678"/>
      <c r="II214" s="678"/>
      <c r="IJ214" s="678"/>
      <c r="IK214" s="678"/>
      <c r="IL214" s="678"/>
      <c r="IM214" s="678"/>
      <c r="IN214" s="678"/>
      <c r="IO214" s="678"/>
      <c r="IP214" s="678"/>
      <c r="IQ214" s="678"/>
      <c r="IR214" s="678"/>
      <c r="IS214" s="678"/>
      <c r="IT214" s="678"/>
      <c r="IU214" s="678"/>
      <c r="IV214" s="678"/>
      <c r="IW214" s="678"/>
    </row>
    <row r="215" spans="1:257" s="579" customFormat="1" ht="41.25" customHeight="1">
      <c r="A215" s="672" t="s">
        <v>91</v>
      </c>
      <c r="B215" s="696" t="s">
        <v>58</v>
      </c>
      <c r="C215" s="635"/>
      <c r="D215" s="635"/>
      <c r="E215" s="651"/>
      <c r="F215" s="651">
        <v>100000000</v>
      </c>
      <c r="G215" s="669" t="s">
        <v>932</v>
      </c>
      <c r="H215" s="669"/>
      <c r="I215" s="669"/>
      <c r="J215" s="651">
        <v>100000000</v>
      </c>
      <c r="K215" s="651">
        <v>80000000</v>
      </c>
      <c r="L215" s="1305">
        <v>60000000</v>
      </c>
      <c r="M215" s="651"/>
      <c r="N215" s="826"/>
      <c r="O215" s="826"/>
      <c r="P215" s="837"/>
      <c r="Q215" s="837"/>
      <c r="R215" s="826"/>
      <c r="S215" s="830"/>
      <c r="T215" s="852"/>
      <c r="U215" s="655"/>
      <c r="V215" s="689"/>
      <c r="W215" s="689"/>
      <c r="X215" s="670"/>
      <c r="Y215" s="678"/>
      <c r="Z215" s="678"/>
      <c r="AA215" s="678"/>
      <c r="AB215" s="678"/>
      <c r="AC215" s="678"/>
      <c r="AD215" s="678"/>
      <c r="AE215" s="678"/>
      <c r="AF215" s="678"/>
      <c r="AG215" s="678"/>
      <c r="AH215" s="678"/>
      <c r="AI215" s="678"/>
      <c r="AJ215" s="678"/>
      <c r="AK215" s="678"/>
      <c r="AL215" s="678"/>
      <c r="AM215" s="678"/>
      <c r="AN215" s="678"/>
      <c r="AO215" s="678"/>
      <c r="AP215" s="678"/>
      <c r="AQ215" s="678"/>
      <c r="AR215" s="678"/>
      <c r="AS215" s="678"/>
      <c r="AT215" s="678"/>
      <c r="AU215" s="678"/>
      <c r="AV215" s="678"/>
      <c r="AW215" s="678"/>
      <c r="AX215" s="678"/>
      <c r="AY215" s="678"/>
      <c r="AZ215" s="678"/>
      <c r="BA215" s="678"/>
      <c r="BB215" s="678"/>
      <c r="BC215" s="678"/>
      <c r="BD215" s="678"/>
      <c r="BE215" s="678"/>
      <c r="BF215" s="678"/>
      <c r="BG215" s="678"/>
      <c r="BH215" s="678"/>
      <c r="BI215" s="678"/>
      <c r="BJ215" s="678"/>
      <c r="BK215" s="678"/>
      <c r="BL215" s="678"/>
      <c r="BM215" s="678"/>
      <c r="BN215" s="678"/>
      <c r="BO215" s="678"/>
      <c r="BP215" s="678"/>
      <c r="BQ215" s="678"/>
      <c r="BR215" s="678"/>
      <c r="BS215" s="678"/>
      <c r="BT215" s="678"/>
      <c r="BU215" s="678"/>
      <c r="BV215" s="678"/>
      <c r="BW215" s="678"/>
      <c r="BX215" s="678"/>
      <c r="BY215" s="678"/>
      <c r="BZ215" s="678"/>
      <c r="CA215" s="678"/>
      <c r="CB215" s="678"/>
      <c r="CC215" s="678"/>
      <c r="CD215" s="678"/>
      <c r="CE215" s="678"/>
      <c r="CF215" s="678"/>
      <c r="CG215" s="678"/>
      <c r="CH215" s="678"/>
      <c r="CI215" s="678"/>
      <c r="CJ215" s="678"/>
      <c r="CK215" s="678"/>
      <c r="CL215" s="678"/>
      <c r="CM215" s="678"/>
      <c r="CN215" s="678"/>
      <c r="CO215" s="678"/>
      <c r="CP215" s="678"/>
      <c r="CQ215" s="678"/>
      <c r="CR215" s="678"/>
      <c r="CS215" s="678"/>
      <c r="CT215" s="678"/>
      <c r="CU215" s="678"/>
      <c r="CV215" s="678"/>
      <c r="CW215" s="678"/>
      <c r="CX215" s="678"/>
      <c r="CY215" s="678"/>
      <c r="CZ215" s="678"/>
      <c r="DA215" s="678"/>
      <c r="DB215" s="678"/>
      <c r="DC215" s="678"/>
      <c r="DD215" s="678"/>
      <c r="DE215" s="678"/>
      <c r="DF215" s="678"/>
      <c r="DG215" s="678"/>
      <c r="DH215" s="678"/>
      <c r="DI215" s="678"/>
      <c r="DJ215" s="678"/>
      <c r="DK215" s="678"/>
      <c r="DL215" s="678"/>
      <c r="DM215" s="678"/>
      <c r="DN215" s="678"/>
      <c r="DO215" s="678"/>
      <c r="DP215" s="678"/>
      <c r="DQ215" s="678"/>
      <c r="DR215" s="678"/>
      <c r="DS215" s="678"/>
      <c r="DT215" s="678"/>
      <c r="DU215" s="678"/>
      <c r="DV215" s="678"/>
      <c r="DW215" s="678"/>
      <c r="DX215" s="678"/>
      <c r="DY215" s="678"/>
      <c r="DZ215" s="678"/>
      <c r="EA215" s="678"/>
      <c r="EB215" s="678"/>
      <c r="EC215" s="678"/>
      <c r="ED215" s="678"/>
      <c r="EE215" s="678"/>
      <c r="EF215" s="678"/>
      <c r="EG215" s="678"/>
      <c r="EH215" s="678"/>
      <c r="EI215" s="678"/>
      <c r="EJ215" s="678"/>
      <c r="EK215" s="678"/>
      <c r="EL215" s="678"/>
      <c r="EM215" s="678"/>
      <c r="EN215" s="678"/>
      <c r="EO215" s="678"/>
      <c r="EP215" s="678"/>
      <c r="EQ215" s="678"/>
      <c r="ER215" s="678"/>
      <c r="ES215" s="678"/>
      <c r="ET215" s="678"/>
      <c r="EU215" s="678"/>
      <c r="EV215" s="678"/>
      <c r="EW215" s="678"/>
      <c r="EX215" s="678"/>
      <c r="EY215" s="678"/>
      <c r="EZ215" s="678"/>
      <c r="FA215" s="678"/>
      <c r="FB215" s="678"/>
      <c r="FC215" s="678"/>
      <c r="FD215" s="678"/>
      <c r="FE215" s="678"/>
      <c r="FF215" s="678"/>
      <c r="FG215" s="678"/>
      <c r="FH215" s="678"/>
      <c r="FI215" s="678"/>
      <c r="FJ215" s="678"/>
      <c r="FK215" s="678"/>
      <c r="FL215" s="678"/>
      <c r="FM215" s="678"/>
      <c r="FN215" s="678"/>
      <c r="FO215" s="678"/>
      <c r="FP215" s="678"/>
      <c r="FQ215" s="678"/>
      <c r="FR215" s="678"/>
      <c r="FS215" s="678"/>
      <c r="FT215" s="678"/>
      <c r="FU215" s="678"/>
      <c r="FV215" s="678"/>
      <c r="FW215" s="678"/>
      <c r="FX215" s="678"/>
      <c r="FY215" s="678"/>
      <c r="FZ215" s="678"/>
      <c r="GA215" s="678"/>
      <c r="GB215" s="678"/>
      <c r="GC215" s="678"/>
      <c r="GD215" s="678"/>
      <c r="GE215" s="678"/>
      <c r="GF215" s="678"/>
      <c r="GG215" s="678"/>
      <c r="GH215" s="678"/>
      <c r="GI215" s="678"/>
      <c r="GJ215" s="678"/>
      <c r="GK215" s="678"/>
      <c r="GL215" s="678"/>
      <c r="GM215" s="678"/>
      <c r="GN215" s="678"/>
      <c r="GO215" s="678"/>
      <c r="GP215" s="678"/>
      <c r="GQ215" s="678"/>
      <c r="GR215" s="678"/>
      <c r="GS215" s="678"/>
      <c r="GT215" s="678"/>
      <c r="GU215" s="678"/>
      <c r="GV215" s="678"/>
      <c r="GW215" s="678"/>
      <c r="GX215" s="678"/>
      <c r="GY215" s="678"/>
      <c r="GZ215" s="678"/>
      <c r="HA215" s="678"/>
      <c r="HB215" s="678"/>
      <c r="HC215" s="678"/>
      <c r="HD215" s="678"/>
      <c r="HE215" s="678"/>
      <c r="HF215" s="678"/>
      <c r="HG215" s="678"/>
      <c r="HH215" s="678"/>
      <c r="HI215" s="678"/>
      <c r="HJ215" s="678"/>
      <c r="HK215" s="678"/>
      <c r="HL215" s="678"/>
      <c r="HM215" s="678"/>
      <c r="HN215" s="678"/>
      <c r="HO215" s="678"/>
      <c r="HP215" s="678"/>
      <c r="HQ215" s="678"/>
      <c r="HR215" s="678"/>
      <c r="HS215" s="678"/>
      <c r="HT215" s="678"/>
      <c r="HU215" s="678"/>
      <c r="HV215" s="678"/>
      <c r="HW215" s="678"/>
      <c r="HX215" s="678"/>
      <c r="HY215" s="678"/>
      <c r="HZ215" s="678"/>
      <c r="IA215" s="678"/>
      <c r="IB215" s="678"/>
      <c r="IC215" s="678"/>
      <c r="ID215" s="678"/>
      <c r="IE215" s="678"/>
      <c r="IF215" s="678"/>
      <c r="IG215" s="678"/>
      <c r="IH215" s="678"/>
      <c r="II215" s="678"/>
      <c r="IJ215" s="678"/>
      <c r="IK215" s="678"/>
      <c r="IL215" s="678"/>
      <c r="IM215" s="678"/>
      <c r="IN215" s="678"/>
      <c r="IO215" s="678"/>
      <c r="IP215" s="678"/>
      <c r="IQ215" s="678"/>
      <c r="IR215" s="678"/>
      <c r="IS215" s="678"/>
      <c r="IT215" s="678"/>
      <c r="IU215" s="678"/>
      <c r="IV215" s="678"/>
      <c r="IW215" s="678"/>
    </row>
    <row r="216" spans="1:257" s="754" customFormat="1">
      <c r="A216" s="590" t="s">
        <v>261</v>
      </c>
      <c r="B216" s="804" t="s">
        <v>262</v>
      </c>
      <c r="C216" s="590"/>
      <c r="D216" s="590"/>
      <c r="E216" s="609"/>
      <c r="F216" s="603">
        <f t="shared" ref="F216:L216" si="18">F217</f>
        <v>148200000</v>
      </c>
      <c r="G216" s="603">
        <f t="shared" si="18"/>
        <v>0</v>
      </c>
      <c r="H216" s="603">
        <f t="shared" si="18"/>
        <v>0</v>
      </c>
      <c r="I216" s="603">
        <f t="shared" si="18"/>
        <v>0</v>
      </c>
      <c r="J216" s="603">
        <f t="shared" si="18"/>
        <v>560442400</v>
      </c>
      <c r="K216" s="603">
        <f t="shared" si="18"/>
        <v>159300000</v>
      </c>
      <c r="L216" s="1302">
        <f t="shared" si="18"/>
        <v>129000000</v>
      </c>
      <c r="M216" s="603"/>
      <c r="N216" s="855"/>
      <c r="O216" s="855"/>
      <c r="P216" s="856"/>
      <c r="Q216" s="856"/>
      <c r="R216" s="830"/>
      <c r="S216" s="830"/>
      <c r="T216" s="852"/>
      <c r="U216" s="637"/>
      <c r="V216" s="857"/>
      <c r="W216" s="857"/>
      <c r="X216" s="667"/>
      <c r="Y216" s="675"/>
      <c r="Z216" s="675"/>
      <c r="AA216" s="675"/>
      <c r="AB216" s="675"/>
      <c r="AC216" s="675"/>
      <c r="AD216" s="675"/>
      <c r="AE216" s="675"/>
      <c r="AF216" s="675"/>
      <c r="AG216" s="675"/>
      <c r="AH216" s="675"/>
      <c r="AI216" s="675"/>
      <c r="AJ216" s="675"/>
      <c r="AK216" s="675"/>
      <c r="AL216" s="675"/>
      <c r="AM216" s="675"/>
      <c r="AN216" s="675"/>
      <c r="AO216" s="675"/>
      <c r="AP216" s="675"/>
      <c r="AQ216" s="675"/>
      <c r="AR216" s="675"/>
      <c r="AS216" s="675"/>
      <c r="AT216" s="675"/>
      <c r="AU216" s="675"/>
      <c r="AV216" s="675"/>
      <c r="AW216" s="675"/>
      <c r="AX216" s="675"/>
      <c r="AY216" s="675"/>
      <c r="AZ216" s="675"/>
      <c r="BA216" s="675"/>
      <c r="BB216" s="675"/>
      <c r="BC216" s="675"/>
      <c r="BD216" s="675"/>
      <c r="BE216" s="675"/>
      <c r="BF216" s="675"/>
      <c r="BG216" s="675"/>
      <c r="BH216" s="675"/>
      <c r="BI216" s="675"/>
      <c r="BJ216" s="675"/>
      <c r="BK216" s="675"/>
      <c r="BL216" s="675"/>
      <c r="BM216" s="675"/>
      <c r="BN216" s="675"/>
      <c r="BO216" s="675"/>
      <c r="BP216" s="675"/>
      <c r="BQ216" s="675"/>
      <c r="BR216" s="675"/>
      <c r="BS216" s="675"/>
      <c r="BT216" s="675"/>
      <c r="BU216" s="675"/>
      <c r="BV216" s="675"/>
      <c r="BW216" s="675"/>
      <c r="BX216" s="675"/>
      <c r="BY216" s="675"/>
      <c r="BZ216" s="675"/>
      <c r="CA216" s="675"/>
      <c r="CB216" s="675"/>
      <c r="CC216" s="675"/>
      <c r="CD216" s="675"/>
      <c r="CE216" s="675"/>
      <c r="CF216" s="675"/>
      <c r="CG216" s="675"/>
      <c r="CH216" s="675"/>
      <c r="CI216" s="675"/>
      <c r="CJ216" s="675"/>
      <c r="CK216" s="675"/>
      <c r="CL216" s="675"/>
      <c r="CM216" s="675"/>
      <c r="CN216" s="675"/>
      <c r="CO216" s="675"/>
      <c r="CP216" s="675"/>
      <c r="CQ216" s="675"/>
      <c r="CR216" s="675"/>
      <c r="CS216" s="675"/>
      <c r="CT216" s="675"/>
      <c r="CU216" s="675"/>
      <c r="CV216" s="675"/>
      <c r="CW216" s="675"/>
      <c r="CX216" s="675"/>
      <c r="CY216" s="675"/>
      <c r="CZ216" s="675"/>
      <c r="DA216" s="675"/>
      <c r="DB216" s="675"/>
      <c r="DC216" s="675"/>
      <c r="DD216" s="675"/>
      <c r="DE216" s="675"/>
      <c r="DF216" s="675"/>
      <c r="DG216" s="675"/>
      <c r="DH216" s="675"/>
      <c r="DI216" s="675"/>
      <c r="DJ216" s="675"/>
      <c r="DK216" s="675"/>
      <c r="DL216" s="675"/>
      <c r="DM216" s="675"/>
      <c r="DN216" s="675"/>
      <c r="DO216" s="675"/>
      <c r="DP216" s="675"/>
      <c r="DQ216" s="675"/>
      <c r="DR216" s="675"/>
      <c r="DS216" s="675"/>
      <c r="DT216" s="675"/>
      <c r="DU216" s="675"/>
      <c r="DV216" s="675"/>
      <c r="DW216" s="675"/>
      <c r="DX216" s="675"/>
      <c r="DY216" s="675"/>
      <c r="DZ216" s="675"/>
      <c r="EA216" s="675"/>
      <c r="EB216" s="675"/>
      <c r="EC216" s="675"/>
      <c r="ED216" s="675"/>
      <c r="EE216" s="675"/>
      <c r="EF216" s="675"/>
      <c r="EG216" s="675"/>
      <c r="EH216" s="675"/>
      <c r="EI216" s="675"/>
      <c r="EJ216" s="675"/>
      <c r="EK216" s="675"/>
      <c r="EL216" s="675"/>
      <c r="EM216" s="675"/>
      <c r="EN216" s="675"/>
      <c r="EO216" s="675"/>
      <c r="EP216" s="675"/>
      <c r="EQ216" s="675"/>
      <c r="ER216" s="675"/>
      <c r="ES216" s="675"/>
      <c r="ET216" s="675"/>
      <c r="EU216" s="675"/>
      <c r="EV216" s="675"/>
      <c r="EW216" s="675"/>
      <c r="EX216" s="675"/>
      <c r="EY216" s="675"/>
      <c r="EZ216" s="675"/>
      <c r="FA216" s="675"/>
      <c r="FB216" s="675"/>
      <c r="FC216" s="675"/>
      <c r="FD216" s="675"/>
      <c r="FE216" s="675"/>
      <c r="FF216" s="675"/>
      <c r="FG216" s="675"/>
      <c r="FH216" s="675"/>
      <c r="FI216" s="675"/>
      <c r="FJ216" s="675"/>
      <c r="FK216" s="675"/>
      <c r="FL216" s="675"/>
      <c r="FM216" s="675"/>
      <c r="FN216" s="675"/>
      <c r="FO216" s="675"/>
      <c r="FP216" s="675"/>
      <c r="FQ216" s="675"/>
      <c r="FR216" s="675"/>
      <c r="FS216" s="675"/>
      <c r="FT216" s="675"/>
      <c r="FU216" s="675"/>
      <c r="FV216" s="675"/>
      <c r="FW216" s="675"/>
      <c r="FX216" s="675"/>
      <c r="FY216" s="675"/>
      <c r="FZ216" s="675"/>
      <c r="GA216" s="675"/>
      <c r="GB216" s="675"/>
      <c r="GC216" s="675"/>
      <c r="GD216" s="675"/>
      <c r="GE216" s="675"/>
      <c r="GF216" s="675"/>
      <c r="GG216" s="675"/>
      <c r="GH216" s="675"/>
      <c r="GI216" s="675"/>
      <c r="GJ216" s="675"/>
      <c r="GK216" s="675"/>
      <c r="GL216" s="675"/>
      <c r="GM216" s="675"/>
      <c r="GN216" s="675"/>
      <c r="GO216" s="675"/>
      <c r="GP216" s="675"/>
      <c r="GQ216" s="675"/>
      <c r="GR216" s="675"/>
      <c r="GS216" s="675"/>
      <c r="GT216" s="675"/>
      <c r="GU216" s="675"/>
      <c r="GV216" s="675"/>
      <c r="GW216" s="675"/>
      <c r="GX216" s="675"/>
      <c r="GY216" s="675"/>
      <c r="GZ216" s="675"/>
      <c r="HA216" s="675"/>
      <c r="HB216" s="675"/>
      <c r="HC216" s="675"/>
      <c r="HD216" s="675"/>
      <c r="HE216" s="675"/>
      <c r="HF216" s="675"/>
      <c r="HG216" s="675"/>
      <c r="HH216" s="675"/>
      <c r="HI216" s="675"/>
      <c r="HJ216" s="675"/>
      <c r="HK216" s="675"/>
      <c r="HL216" s="675"/>
      <c r="HM216" s="675"/>
      <c r="HN216" s="675"/>
      <c r="HO216" s="675"/>
      <c r="HP216" s="675"/>
      <c r="HQ216" s="675"/>
      <c r="HR216" s="675"/>
      <c r="HS216" s="675"/>
      <c r="HT216" s="675"/>
      <c r="HU216" s="675"/>
      <c r="HV216" s="675"/>
      <c r="HW216" s="675"/>
      <c r="HX216" s="675"/>
      <c r="HY216" s="675"/>
      <c r="HZ216" s="675"/>
      <c r="IA216" s="675"/>
      <c r="IB216" s="675"/>
      <c r="IC216" s="675"/>
      <c r="ID216" s="675"/>
      <c r="IE216" s="675"/>
      <c r="IF216" s="675"/>
      <c r="IG216" s="675"/>
      <c r="IH216" s="675"/>
      <c r="II216" s="675"/>
      <c r="IJ216" s="675"/>
      <c r="IK216" s="675"/>
      <c r="IL216" s="675"/>
      <c r="IM216" s="675"/>
      <c r="IN216" s="675"/>
      <c r="IO216" s="675"/>
      <c r="IP216" s="675"/>
      <c r="IQ216" s="675"/>
      <c r="IR216" s="675"/>
      <c r="IS216" s="675"/>
      <c r="IT216" s="675"/>
      <c r="IU216" s="675"/>
      <c r="IV216" s="675"/>
      <c r="IW216" s="675"/>
    </row>
    <row r="217" spans="1:257" s="582" customFormat="1" ht="33.75" customHeight="1">
      <c r="A217" s="713"/>
      <c r="B217" s="668" t="s">
        <v>263</v>
      </c>
      <c r="C217" s="713"/>
      <c r="D217" s="713"/>
      <c r="E217" s="725"/>
      <c r="F217" s="669">
        <f>(F180+F188+F190+F191+F193+F194+F201+F202+F203+F204+F205+F206+F215)*10%</f>
        <v>148200000</v>
      </c>
      <c r="G217" s="700"/>
      <c r="H217" s="700"/>
      <c r="I217" s="700"/>
      <c r="J217" s="669">
        <f>(J180+J188+J189+J190+J191+J193+J194+J201+J202+J203+J204+J205+J206+J208+J209+J210+J211+J212+J213+J214+J215)*10%</f>
        <v>560442400</v>
      </c>
      <c r="K217" s="669">
        <f>(K183+K184-K185-K187)*10%</f>
        <v>159300000</v>
      </c>
      <c r="L217" s="1306">
        <f>(L183+L184-L185-L187-L186)*10%</f>
        <v>129000000</v>
      </c>
      <c r="M217" s="669"/>
      <c r="N217" s="837"/>
      <c r="O217" s="837"/>
      <c r="P217" s="820"/>
      <c r="Q217" s="820"/>
      <c r="R217" s="826"/>
      <c r="S217" s="830"/>
      <c r="T217" s="852"/>
      <c r="U217" s="655"/>
      <c r="V217" s="689"/>
      <c r="W217" s="689"/>
      <c r="X217" s="670"/>
      <c r="Y217" s="678"/>
      <c r="Z217" s="678"/>
      <c r="AA217" s="678"/>
      <c r="AB217" s="678"/>
      <c r="AC217" s="678"/>
      <c r="AD217" s="678"/>
      <c r="AE217" s="678"/>
      <c r="AF217" s="678"/>
      <c r="AG217" s="678"/>
      <c r="AH217" s="678"/>
      <c r="AI217" s="678"/>
      <c r="AJ217" s="678"/>
      <c r="AK217" s="678"/>
      <c r="AL217" s="678"/>
      <c r="AM217" s="678"/>
      <c r="AN217" s="678"/>
      <c r="AO217" s="678"/>
      <c r="AP217" s="678"/>
      <c r="AQ217" s="678"/>
      <c r="AR217" s="678"/>
      <c r="AS217" s="678"/>
      <c r="AT217" s="678"/>
      <c r="AU217" s="678"/>
      <c r="AV217" s="678"/>
      <c r="AW217" s="678"/>
      <c r="AX217" s="678"/>
      <c r="AY217" s="678"/>
      <c r="AZ217" s="678"/>
      <c r="BA217" s="678"/>
      <c r="BB217" s="678"/>
      <c r="BC217" s="678"/>
      <c r="BD217" s="678"/>
      <c r="BE217" s="678"/>
      <c r="BF217" s="678"/>
      <c r="BG217" s="678"/>
      <c r="BH217" s="678"/>
      <c r="BI217" s="678"/>
      <c r="BJ217" s="678"/>
      <c r="BK217" s="678"/>
      <c r="BL217" s="678"/>
      <c r="BM217" s="678"/>
      <c r="BN217" s="678"/>
      <c r="BO217" s="678"/>
      <c r="BP217" s="678"/>
      <c r="BQ217" s="678"/>
      <c r="BR217" s="678"/>
      <c r="BS217" s="678"/>
      <c r="BT217" s="678"/>
      <c r="BU217" s="678"/>
      <c r="BV217" s="678"/>
      <c r="BW217" s="678"/>
      <c r="BX217" s="678"/>
      <c r="BY217" s="678"/>
      <c r="BZ217" s="678"/>
      <c r="CA217" s="678"/>
      <c r="CB217" s="678"/>
      <c r="CC217" s="678"/>
      <c r="CD217" s="678"/>
      <c r="CE217" s="678"/>
      <c r="CF217" s="678"/>
      <c r="CG217" s="678"/>
      <c r="CH217" s="678"/>
      <c r="CI217" s="678"/>
      <c r="CJ217" s="678"/>
      <c r="CK217" s="678"/>
      <c r="CL217" s="678"/>
      <c r="CM217" s="678"/>
      <c r="CN217" s="678"/>
      <c r="CO217" s="678"/>
      <c r="CP217" s="678"/>
      <c r="CQ217" s="678"/>
      <c r="CR217" s="678"/>
      <c r="CS217" s="678"/>
      <c r="CT217" s="678"/>
      <c r="CU217" s="678"/>
      <c r="CV217" s="678"/>
      <c r="CW217" s="678"/>
      <c r="CX217" s="678"/>
      <c r="CY217" s="678"/>
      <c r="CZ217" s="678"/>
      <c r="DA217" s="678"/>
      <c r="DB217" s="678"/>
      <c r="DC217" s="678"/>
      <c r="DD217" s="678"/>
      <c r="DE217" s="678"/>
      <c r="DF217" s="678"/>
      <c r="DG217" s="678"/>
      <c r="DH217" s="678"/>
      <c r="DI217" s="678"/>
      <c r="DJ217" s="678"/>
      <c r="DK217" s="678"/>
      <c r="DL217" s="678"/>
      <c r="DM217" s="678"/>
      <c r="DN217" s="678"/>
      <c r="DO217" s="678"/>
      <c r="DP217" s="678"/>
      <c r="DQ217" s="678"/>
      <c r="DR217" s="678"/>
      <c r="DS217" s="678"/>
      <c r="DT217" s="678"/>
      <c r="DU217" s="678"/>
      <c r="DV217" s="678"/>
      <c r="DW217" s="678"/>
      <c r="DX217" s="678"/>
      <c r="DY217" s="678"/>
      <c r="DZ217" s="678"/>
      <c r="EA217" s="678"/>
      <c r="EB217" s="678"/>
      <c r="EC217" s="678"/>
      <c r="ED217" s="678"/>
      <c r="EE217" s="678"/>
      <c r="EF217" s="678"/>
      <c r="EG217" s="678"/>
      <c r="EH217" s="678"/>
      <c r="EI217" s="678"/>
      <c r="EJ217" s="678"/>
      <c r="EK217" s="678"/>
      <c r="EL217" s="678"/>
      <c r="EM217" s="678"/>
      <c r="EN217" s="678"/>
      <c r="EO217" s="678"/>
      <c r="EP217" s="678"/>
      <c r="EQ217" s="678"/>
      <c r="ER217" s="678"/>
      <c r="ES217" s="678"/>
      <c r="ET217" s="678"/>
      <c r="EU217" s="678"/>
      <c r="EV217" s="678"/>
      <c r="EW217" s="678"/>
      <c r="EX217" s="678"/>
      <c r="EY217" s="678"/>
      <c r="EZ217" s="678"/>
      <c r="FA217" s="678"/>
      <c r="FB217" s="678"/>
      <c r="FC217" s="678"/>
      <c r="FD217" s="678"/>
      <c r="FE217" s="678"/>
      <c r="FF217" s="678"/>
      <c r="FG217" s="678"/>
      <c r="FH217" s="678"/>
      <c r="FI217" s="678"/>
      <c r="FJ217" s="678"/>
      <c r="FK217" s="678"/>
      <c r="FL217" s="678"/>
      <c r="FM217" s="678"/>
      <c r="FN217" s="678"/>
      <c r="FO217" s="678"/>
      <c r="FP217" s="678"/>
      <c r="FQ217" s="678"/>
      <c r="FR217" s="678"/>
      <c r="FS217" s="678"/>
      <c r="FT217" s="678"/>
      <c r="FU217" s="678"/>
      <c r="FV217" s="678"/>
      <c r="FW217" s="678"/>
      <c r="FX217" s="678"/>
      <c r="FY217" s="678"/>
      <c r="FZ217" s="678"/>
      <c r="GA217" s="678"/>
      <c r="GB217" s="678"/>
      <c r="GC217" s="678"/>
      <c r="GD217" s="678"/>
      <c r="GE217" s="678"/>
      <c r="GF217" s="678"/>
      <c r="GG217" s="678"/>
      <c r="GH217" s="678"/>
      <c r="GI217" s="678"/>
      <c r="GJ217" s="678"/>
      <c r="GK217" s="678"/>
      <c r="GL217" s="678"/>
      <c r="GM217" s="678"/>
      <c r="GN217" s="678"/>
      <c r="GO217" s="678"/>
      <c r="GP217" s="678"/>
      <c r="GQ217" s="678"/>
      <c r="GR217" s="678"/>
      <c r="GS217" s="678"/>
      <c r="GT217" s="678"/>
      <c r="GU217" s="678"/>
      <c r="GV217" s="678"/>
      <c r="GW217" s="678"/>
      <c r="GX217" s="678"/>
      <c r="GY217" s="678"/>
      <c r="GZ217" s="678"/>
      <c r="HA217" s="678"/>
      <c r="HB217" s="678"/>
      <c r="HC217" s="678"/>
      <c r="HD217" s="678"/>
      <c r="HE217" s="678"/>
      <c r="HF217" s="678"/>
      <c r="HG217" s="678"/>
      <c r="HH217" s="678"/>
      <c r="HI217" s="678"/>
      <c r="HJ217" s="678"/>
      <c r="HK217" s="678"/>
      <c r="HL217" s="678"/>
      <c r="HM217" s="678"/>
      <c r="HN217" s="678"/>
      <c r="HO217" s="678"/>
      <c r="HP217" s="678"/>
      <c r="HQ217" s="678"/>
      <c r="HR217" s="678"/>
      <c r="HS217" s="678"/>
      <c r="HT217" s="678"/>
      <c r="HU217" s="678"/>
      <c r="HV217" s="678"/>
      <c r="HW217" s="678"/>
      <c r="HX217" s="678"/>
      <c r="HY217" s="678"/>
      <c r="HZ217" s="678"/>
      <c r="IA217" s="678"/>
      <c r="IB217" s="678"/>
      <c r="IC217" s="678"/>
      <c r="ID217" s="678"/>
      <c r="IE217" s="678"/>
      <c r="IF217" s="678"/>
      <c r="IG217" s="678"/>
      <c r="IH217" s="678"/>
      <c r="II217" s="678"/>
      <c r="IJ217" s="678"/>
      <c r="IK217" s="678"/>
      <c r="IL217" s="678"/>
      <c r="IM217" s="678"/>
      <c r="IN217" s="678"/>
      <c r="IO217" s="678"/>
      <c r="IP217" s="678"/>
      <c r="IQ217" s="678"/>
      <c r="IR217" s="678"/>
      <c r="IS217" s="678"/>
      <c r="IT217" s="678"/>
      <c r="IU217" s="678"/>
      <c r="IV217" s="678"/>
      <c r="IW217" s="678"/>
    </row>
    <row r="218" spans="1:257" s="864" customFormat="1">
      <c r="A218" s="622">
        <v>15</v>
      </c>
      <c r="B218" s="660" t="s">
        <v>267</v>
      </c>
      <c r="C218" s="622"/>
      <c r="D218" s="622"/>
      <c r="E218" s="858"/>
      <c r="F218" s="626">
        <f>F219+F230</f>
        <v>0</v>
      </c>
      <c r="G218" s="660"/>
      <c r="H218" s="660"/>
      <c r="I218" s="660"/>
      <c r="J218" s="626"/>
      <c r="K218" s="626">
        <f>SUM(K231:K237)</f>
        <v>400000000</v>
      </c>
      <c r="L218" s="1302">
        <f>SUM(L231:L237)</f>
        <v>1000000000</v>
      </c>
      <c r="M218" s="626"/>
      <c r="N218" s="859"/>
      <c r="O218" s="859"/>
      <c r="P218" s="860"/>
      <c r="Q218" s="860"/>
      <c r="R218" s="861"/>
      <c r="S218" s="861"/>
      <c r="T218" s="862"/>
      <c r="U218" s="776"/>
      <c r="V218" s="863"/>
      <c r="W218" s="746"/>
      <c r="X218" s="747"/>
      <c r="Y218" s="748"/>
      <c r="Z218" s="748"/>
      <c r="AA218" s="748"/>
      <c r="AB218" s="748"/>
      <c r="AC218" s="748"/>
      <c r="AD218" s="748"/>
      <c r="AE218" s="748"/>
      <c r="AF218" s="748"/>
      <c r="AG218" s="748"/>
      <c r="AH218" s="748"/>
      <c r="AI218" s="748"/>
      <c r="AJ218" s="748"/>
      <c r="AK218" s="748"/>
      <c r="AL218" s="748"/>
      <c r="AM218" s="748"/>
      <c r="AN218" s="748"/>
      <c r="AO218" s="748"/>
      <c r="AP218" s="748"/>
      <c r="AQ218" s="748"/>
      <c r="AR218" s="748"/>
      <c r="AS218" s="748"/>
      <c r="AT218" s="748"/>
      <c r="AU218" s="748"/>
      <c r="AV218" s="748"/>
      <c r="AW218" s="748"/>
      <c r="AX218" s="748"/>
      <c r="AY218" s="748"/>
      <c r="AZ218" s="748"/>
      <c r="BA218" s="748"/>
      <c r="BB218" s="748"/>
      <c r="BC218" s="748"/>
      <c r="BD218" s="748"/>
      <c r="BE218" s="748"/>
      <c r="BF218" s="748"/>
      <c r="BG218" s="748"/>
      <c r="BH218" s="748"/>
      <c r="BI218" s="748"/>
      <c r="BJ218" s="748"/>
      <c r="BK218" s="748"/>
      <c r="BL218" s="748"/>
      <c r="BM218" s="748"/>
      <c r="BN218" s="748"/>
      <c r="BO218" s="748"/>
      <c r="BP218" s="748"/>
      <c r="BQ218" s="748"/>
      <c r="BR218" s="748"/>
      <c r="BS218" s="748"/>
      <c r="BT218" s="748"/>
      <c r="BU218" s="748"/>
      <c r="BV218" s="748"/>
      <c r="BW218" s="748"/>
      <c r="BX218" s="748"/>
      <c r="BY218" s="748"/>
      <c r="BZ218" s="748"/>
      <c r="CA218" s="748"/>
      <c r="CB218" s="748"/>
      <c r="CC218" s="748"/>
      <c r="CD218" s="748"/>
      <c r="CE218" s="748"/>
      <c r="CF218" s="748"/>
      <c r="CG218" s="748"/>
      <c r="CH218" s="748"/>
      <c r="CI218" s="748"/>
      <c r="CJ218" s="748"/>
      <c r="CK218" s="748"/>
      <c r="CL218" s="748"/>
      <c r="CM218" s="748"/>
      <c r="CN218" s="748"/>
      <c r="CO218" s="748"/>
      <c r="CP218" s="748"/>
      <c r="CQ218" s="748"/>
      <c r="CR218" s="748"/>
      <c r="CS218" s="748"/>
      <c r="CT218" s="748"/>
      <c r="CU218" s="748"/>
      <c r="CV218" s="748"/>
      <c r="CW218" s="748"/>
      <c r="CX218" s="748"/>
      <c r="CY218" s="748"/>
      <c r="CZ218" s="748"/>
      <c r="DA218" s="748"/>
      <c r="DB218" s="748"/>
      <c r="DC218" s="748"/>
      <c r="DD218" s="748"/>
      <c r="DE218" s="748"/>
      <c r="DF218" s="748"/>
      <c r="DG218" s="748"/>
      <c r="DH218" s="748"/>
      <c r="DI218" s="748"/>
      <c r="DJ218" s="748"/>
      <c r="DK218" s="748"/>
      <c r="DL218" s="748"/>
      <c r="DM218" s="748"/>
      <c r="DN218" s="748"/>
      <c r="DO218" s="748"/>
      <c r="DP218" s="748"/>
      <c r="DQ218" s="748"/>
      <c r="DR218" s="748"/>
      <c r="DS218" s="748"/>
      <c r="DT218" s="748"/>
      <c r="DU218" s="748"/>
      <c r="DV218" s="748"/>
      <c r="DW218" s="748"/>
      <c r="DX218" s="748"/>
      <c r="DY218" s="748"/>
      <c r="DZ218" s="748"/>
      <c r="EA218" s="748"/>
      <c r="EB218" s="748"/>
      <c r="EC218" s="748"/>
      <c r="ED218" s="748"/>
      <c r="EE218" s="748"/>
      <c r="EF218" s="748"/>
      <c r="EG218" s="748"/>
      <c r="EH218" s="748"/>
      <c r="EI218" s="748"/>
      <c r="EJ218" s="748"/>
      <c r="EK218" s="748"/>
      <c r="EL218" s="748"/>
      <c r="EM218" s="748"/>
      <c r="EN218" s="748"/>
      <c r="EO218" s="748"/>
      <c r="EP218" s="748"/>
      <c r="EQ218" s="748"/>
      <c r="ER218" s="748"/>
      <c r="ES218" s="748"/>
      <c r="ET218" s="748"/>
      <c r="EU218" s="748"/>
      <c r="EV218" s="748"/>
      <c r="EW218" s="748"/>
      <c r="EX218" s="748"/>
      <c r="EY218" s="748"/>
      <c r="EZ218" s="748"/>
      <c r="FA218" s="748"/>
      <c r="FB218" s="748"/>
      <c r="FC218" s="748"/>
      <c r="FD218" s="748"/>
      <c r="FE218" s="748"/>
      <c r="FF218" s="748"/>
      <c r="FG218" s="748"/>
      <c r="FH218" s="748"/>
      <c r="FI218" s="748"/>
      <c r="FJ218" s="748"/>
      <c r="FK218" s="748"/>
      <c r="FL218" s="748"/>
      <c r="FM218" s="748"/>
      <c r="FN218" s="748"/>
      <c r="FO218" s="748"/>
      <c r="FP218" s="748"/>
      <c r="FQ218" s="748"/>
      <c r="FR218" s="748"/>
      <c r="FS218" s="748"/>
      <c r="FT218" s="748"/>
      <c r="FU218" s="748"/>
      <c r="FV218" s="748"/>
      <c r="FW218" s="748"/>
      <c r="FX218" s="748"/>
      <c r="FY218" s="748"/>
      <c r="FZ218" s="748"/>
      <c r="GA218" s="748"/>
      <c r="GB218" s="748"/>
      <c r="GC218" s="748"/>
      <c r="GD218" s="748"/>
      <c r="GE218" s="748"/>
      <c r="GF218" s="748"/>
      <c r="GG218" s="748"/>
      <c r="GH218" s="748"/>
      <c r="GI218" s="748"/>
      <c r="GJ218" s="748"/>
      <c r="GK218" s="748"/>
      <c r="GL218" s="748"/>
      <c r="GM218" s="748"/>
      <c r="GN218" s="748"/>
      <c r="GO218" s="748"/>
      <c r="GP218" s="748"/>
      <c r="GQ218" s="748"/>
      <c r="GR218" s="748"/>
      <c r="GS218" s="748"/>
      <c r="GT218" s="748"/>
      <c r="GU218" s="748"/>
      <c r="GV218" s="748"/>
      <c r="GW218" s="748"/>
      <c r="GX218" s="748"/>
      <c r="GY218" s="748"/>
      <c r="GZ218" s="748"/>
      <c r="HA218" s="748"/>
      <c r="HB218" s="748"/>
      <c r="HC218" s="748"/>
      <c r="HD218" s="748"/>
      <c r="HE218" s="748"/>
      <c r="HF218" s="748"/>
      <c r="HG218" s="748"/>
      <c r="HH218" s="748"/>
      <c r="HI218" s="748"/>
      <c r="HJ218" s="748"/>
      <c r="HK218" s="748"/>
      <c r="HL218" s="748"/>
      <c r="HM218" s="748"/>
      <c r="HN218" s="748"/>
      <c r="HO218" s="748"/>
      <c r="HP218" s="748"/>
      <c r="HQ218" s="748"/>
      <c r="HR218" s="748"/>
      <c r="HS218" s="748"/>
      <c r="HT218" s="748"/>
      <c r="HU218" s="748"/>
      <c r="HV218" s="748"/>
      <c r="HW218" s="748"/>
      <c r="HX218" s="748"/>
      <c r="HY218" s="748"/>
      <c r="HZ218" s="748"/>
      <c r="IA218" s="748"/>
      <c r="IB218" s="748"/>
      <c r="IC218" s="748"/>
      <c r="ID218" s="748"/>
      <c r="IE218" s="748"/>
      <c r="IF218" s="748"/>
      <c r="IG218" s="748"/>
      <c r="IH218" s="748"/>
      <c r="II218" s="748"/>
      <c r="IJ218" s="748"/>
      <c r="IK218" s="748"/>
      <c r="IL218" s="748"/>
      <c r="IM218" s="748"/>
      <c r="IN218" s="748"/>
      <c r="IO218" s="748"/>
      <c r="IP218" s="748"/>
      <c r="IQ218" s="748"/>
      <c r="IR218" s="748"/>
      <c r="IS218" s="748"/>
      <c r="IT218" s="748"/>
      <c r="IU218" s="748"/>
      <c r="IV218" s="748"/>
      <c r="IW218" s="748"/>
    </row>
    <row r="219" spans="1:257" s="579" customFormat="1" ht="35.25" hidden="1" customHeight="1">
      <c r="A219" s="699" t="s">
        <v>222</v>
      </c>
      <c r="B219" s="808" t="s">
        <v>268</v>
      </c>
      <c r="C219" s="699"/>
      <c r="D219" s="699"/>
      <c r="E219" s="700">
        <f>E220+E225</f>
        <v>0</v>
      </c>
      <c r="F219" s="700"/>
      <c r="G219" s="592" t="s">
        <v>933</v>
      </c>
      <c r="H219" s="592"/>
      <c r="I219" s="592"/>
      <c r="J219" s="700"/>
      <c r="K219" s="700"/>
      <c r="L219" s="1315"/>
      <c r="M219" s="651"/>
      <c r="N219" s="820"/>
      <c r="O219" s="820"/>
      <c r="P219" s="865"/>
      <c r="Q219" s="865"/>
      <c r="R219" s="866"/>
      <c r="S219" s="867"/>
      <c r="T219" s="856"/>
      <c r="U219" s="708"/>
      <c r="V219" s="581"/>
      <c r="W219" s="619"/>
      <c r="X219" s="620"/>
      <c r="Y219" s="621"/>
      <c r="Z219" s="621"/>
      <c r="AA219" s="621"/>
      <c r="AB219" s="621"/>
      <c r="AC219" s="621"/>
      <c r="AD219" s="621"/>
      <c r="AE219" s="621"/>
      <c r="AF219" s="621"/>
      <c r="AG219" s="621"/>
      <c r="AH219" s="621"/>
      <c r="AI219" s="621"/>
      <c r="AJ219" s="621"/>
      <c r="AK219" s="621"/>
      <c r="AL219" s="621"/>
      <c r="AM219" s="621"/>
      <c r="AN219" s="621"/>
      <c r="AO219" s="621"/>
      <c r="AP219" s="621"/>
      <c r="AQ219" s="621"/>
      <c r="AR219" s="621"/>
      <c r="AS219" s="621"/>
      <c r="AT219" s="621"/>
      <c r="AU219" s="621"/>
      <c r="AV219" s="621"/>
      <c r="AW219" s="621"/>
      <c r="AX219" s="621"/>
      <c r="AY219" s="621"/>
      <c r="AZ219" s="621"/>
      <c r="BA219" s="621"/>
      <c r="BB219" s="621"/>
      <c r="BC219" s="621"/>
      <c r="BD219" s="621"/>
      <c r="BE219" s="621"/>
      <c r="BF219" s="621"/>
      <c r="BG219" s="621"/>
      <c r="BH219" s="621"/>
      <c r="BI219" s="621"/>
      <c r="BJ219" s="621"/>
      <c r="BK219" s="621"/>
      <c r="BL219" s="621"/>
      <c r="BM219" s="621"/>
      <c r="BN219" s="621"/>
      <c r="BO219" s="621"/>
      <c r="BP219" s="621"/>
      <c r="BQ219" s="621"/>
      <c r="BR219" s="621"/>
      <c r="BS219" s="621"/>
      <c r="BT219" s="621"/>
      <c r="BU219" s="621"/>
      <c r="BV219" s="621"/>
      <c r="BW219" s="621"/>
      <c r="BX219" s="621"/>
      <c r="BY219" s="621"/>
      <c r="BZ219" s="621"/>
      <c r="CA219" s="621"/>
      <c r="CB219" s="621"/>
      <c r="CC219" s="621"/>
      <c r="CD219" s="621"/>
      <c r="CE219" s="621"/>
      <c r="CF219" s="621"/>
      <c r="CG219" s="621"/>
      <c r="CH219" s="621"/>
      <c r="CI219" s="621"/>
      <c r="CJ219" s="621"/>
      <c r="CK219" s="621"/>
      <c r="CL219" s="621"/>
      <c r="CM219" s="621"/>
      <c r="CN219" s="621"/>
      <c r="CO219" s="621"/>
      <c r="CP219" s="621"/>
      <c r="CQ219" s="621"/>
      <c r="CR219" s="621"/>
      <c r="CS219" s="621"/>
      <c r="CT219" s="621"/>
      <c r="CU219" s="621"/>
      <c r="CV219" s="621"/>
      <c r="CW219" s="621"/>
      <c r="CX219" s="621"/>
      <c r="CY219" s="621"/>
      <c r="CZ219" s="621"/>
      <c r="DA219" s="621"/>
      <c r="DB219" s="621"/>
      <c r="DC219" s="621"/>
      <c r="DD219" s="621"/>
      <c r="DE219" s="621"/>
      <c r="DF219" s="621"/>
      <c r="DG219" s="621"/>
      <c r="DH219" s="621"/>
      <c r="DI219" s="621"/>
      <c r="DJ219" s="621"/>
      <c r="DK219" s="621"/>
      <c r="DL219" s="621"/>
      <c r="DM219" s="621"/>
      <c r="DN219" s="621"/>
      <c r="DO219" s="621"/>
      <c r="DP219" s="621"/>
      <c r="DQ219" s="621"/>
      <c r="DR219" s="621"/>
      <c r="DS219" s="621"/>
      <c r="DT219" s="621"/>
      <c r="DU219" s="621"/>
      <c r="DV219" s="621"/>
      <c r="DW219" s="621"/>
      <c r="DX219" s="621"/>
      <c r="DY219" s="621"/>
      <c r="DZ219" s="621"/>
      <c r="EA219" s="621"/>
      <c r="EB219" s="621"/>
      <c r="EC219" s="621"/>
      <c r="ED219" s="621"/>
      <c r="EE219" s="621"/>
      <c r="EF219" s="621"/>
      <c r="EG219" s="621"/>
      <c r="EH219" s="621"/>
      <c r="EI219" s="621"/>
      <c r="EJ219" s="621"/>
      <c r="EK219" s="621"/>
      <c r="EL219" s="621"/>
      <c r="EM219" s="621"/>
      <c r="EN219" s="621"/>
      <c r="EO219" s="621"/>
      <c r="EP219" s="621"/>
      <c r="EQ219" s="621"/>
      <c r="ER219" s="621"/>
      <c r="ES219" s="621"/>
      <c r="ET219" s="621"/>
      <c r="EU219" s="621"/>
      <c r="EV219" s="621"/>
      <c r="EW219" s="621"/>
      <c r="EX219" s="621"/>
      <c r="EY219" s="621"/>
      <c r="EZ219" s="621"/>
      <c r="FA219" s="621"/>
      <c r="FB219" s="621"/>
      <c r="FC219" s="621"/>
      <c r="FD219" s="621"/>
      <c r="FE219" s="621"/>
      <c r="FF219" s="621"/>
      <c r="FG219" s="621"/>
      <c r="FH219" s="621"/>
      <c r="FI219" s="621"/>
      <c r="FJ219" s="621"/>
      <c r="FK219" s="621"/>
      <c r="FL219" s="621"/>
      <c r="FM219" s="621"/>
      <c r="FN219" s="621"/>
      <c r="FO219" s="621"/>
      <c r="FP219" s="621"/>
      <c r="FQ219" s="621"/>
      <c r="FR219" s="621"/>
      <c r="FS219" s="621"/>
      <c r="FT219" s="621"/>
      <c r="FU219" s="621"/>
      <c r="FV219" s="621"/>
      <c r="FW219" s="621"/>
      <c r="FX219" s="621"/>
      <c r="FY219" s="621"/>
      <c r="FZ219" s="621"/>
      <c r="GA219" s="621"/>
      <c r="GB219" s="621"/>
      <c r="GC219" s="621"/>
      <c r="GD219" s="621"/>
      <c r="GE219" s="621"/>
      <c r="GF219" s="621"/>
      <c r="GG219" s="621"/>
      <c r="GH219" s="621"/>
      <c r="GI219" s="621"/>
      <c r="GJ219" s="621"/>
      <c r="GK219" s="621"/>
      <c r="GL219" s="621"/>
      <c r="GM219" s="621"/>
      <c r="GN219" s="621"/>
      <c r="GO219" s="621"/>
      <c r="GP219" s="621"/>
      <c r="GQ219" s="621"/>
      <c r="GR219" s="621"/>
      <c r="GS219" s="621"/>
      <c r="GT219" s="621"/>
      <c r="GU219" s="621"/>
      <c r="GV219" s="621"/>
      <c r="GW219" s="621"/>
      <c r="GX219" s="621"/>
      <c r="GY219" s="621"/>
      <c r="GZ219" s="621"/>
      <c r="HA219" s="621"/>
      <c r="HB219" s="621"/>
      <c r="HC219" s="621"/>
      <c r="HD219" s="621"/>
      <c r="HE219" s="621"/>
      <c r="HF219" s="621"/>
      <c r="HG219" s="621"/>
      <c r="HH219" s="621"/>
      <c r="HI219" s="621"/>
      <c r="HJ219" s="621"/>
      <c r="HK219" s="621"/>
      <c r="HL219" s="621"/>
      <c r="HM219" s="621"/>
      <c r="HN219" s="621"/>
      <c r="HO219" s="621"/>
      <c r="HP219" s="621"/>
      <c r="HQ219" s="621"/>
      <c r="HR219" s="621"/>
      <c r="HS219" s="621"/>
      <c r="HT219" s="621"/>
      <c r="HU219" s="621"/>
      <c r="HV219" s="621"/>
      <c r="HW219" s="621"/>
      <c r="HX219" s="621"/>
      <c r="HY219" s="621"/>
      <c r="HZ219" s="621"/>
      <c r="IA219" s="621"/>
      <c r="IB219" s="621"/>
      <c r="IC219" s="621"/>
      <c r="ID219" s="621"/>
      <c r="IE219" s="621"/>
      <c r="IF219" s="621"/>
      <c r="IG219" s="621"/>
      <c r="IH219" s="621"/>
      <c r="II219" s="621"/>
      <c r="IJ219" s="621"/>
      <c r="IK219" s="621"/>
      <c r="IL219" s="621"/>
      <c r="IM219" s="621"/>
      <c r="IN219" s="621"/>
      <c r="IO219" s="621"/>
      <c r="IP219" s="621"/>
      <c r="IQ219" s="621"/>
      <c r="IR219" s="621"/>
      <c r="IS219" s="621"/>
      <c r="IT219" s="621"/>
      <c r="IU219" s="621"/>
      <c r="IV219" s="621"/>
      <c r="IW219" s="621"/>
    </row>
    <row r="220" spans="1:257" s="579" customFormat="1" ht="15.75" hidden="1" customHeight="1">
      <c r="A220" s="699" t="s">
        <v>192</v>
      </c>
      <c r="B220" s="808" t="s">
        <v>253</v>
      </c>
      <c r="C220" s="713"/>
      <c r="D220" s="713"/>
      <c r="E220" s="725"/>
      <c r="F220" s="725"/>
      <c r="G220" s="725"/>
      <c r="H220" s="725"/>
      <c r="I220" s="725"/>
      <c r="J220" s="725"/>
      <c r="K220" s="725"/>
      <c r="L220" s="1311"/>
      <c r="M220" s="669"/>
      <c r="N220" s="868"/>
      <c r="O220" s="868"/>
      <c r="P220" s="868"/>
      <c r="Q220" s="868"/>
      <c r="R220" s="869"/>
      <c r="S220" s="838"/>
      <c r="T220" s="839"/>
      <c r="U220" s="726"/>
      <c r="V220" s="581"/>
      <c r="W220" s="790"/>
      <c r="X220" s="580"/>
    </row>
    <row r="221" spans="1:257" s="582" customFormat="1" ht="15.75" hidden="1" customHeight="1">
      <c r="A221" s="809" t="s">
        <v>91</v>
      </c>
      <c r="B221" s="808" t="s">
        <v>264</v>
      </c>
      <c r="C221" s="713"/>
      <c r="D221" s="713"/>
      <c r="E221" s="725"/>
      <c r="F221" s="810"/>
      <c r="G221" s="725"/>
      <c r="H221" s="725"/>
      <c r="I221" s="725"/>
      <c r="J221" s="810"/>
      <c r="K221" s="810"/>
      <c r="L221" s="1313"/>
      <c r="M221" s="707"/>
      <c r="N221" s="811"/>
      <c r="O221" s="811"/>
      <c r="P221" s="782"/>
      <c r="Q221" s="782"/>
      <c r="R221" s="580"/>
      <c r="S221" s="870"/>
      <c r="T221" s="839"/>
      <c r="U221" s="580"/>
      <c r="V221" s="727"/>
      <c r="W221" s="581"/>
      <c r="X221" s="578"/>
    </row>
    <row r="222" spans="1:257" s="582" customFormat="1" ht="15.75" hidden="1" customHeight="1">
      <c r="A222" s="812" t="s">
        <v>248</v>
      </c>
      <c r="B222" s="813" t="s">
        <v>255</v>
      </c>
      <c r="C222" s="699"/>
      <c r="D222" s="713"/>
      <c r="E222" s="725"/>
      <c r="F222" s="725"/>
      <c r="G222" s="704"/>
      <c r="H222" s="704"/>
      <c r="I222" s="704"/>
      <c r="J222" s="725"/>
      <c r="K222" s="725"/>
      <c r="L222" s="1311"/>
      <c r="M222" s="669"/>
      <c r="N222" s="782"/>
      <c r="O222" s="782"/>
      <c r="P222" s="770"/>
      <c r="Q222" s="770"/>
      <c r="R222" s="580"/>
      <c r="S222" s="870"/>
      <c r="T222" s="839"/>
      <c r="U222" s="580"/>
      <c r="V222" s="727"/>
      <c r="W222" s="581"/>
      <c r="X222" s="578"/>
    </row>
    <row r="223" spans="1:257" s="582" customFormat="1" ht="15.75" hidden="1" customHeight="1">
      <c r="A223" s="809" t="s">
        <v>248</v>
      </c>
      <c r="B223" s="813" t="s">
        <v>269</v>
      </c>
      <c r="C223" s="713"/>
      <c r="D223" s="713"/>
      <c r="E223" s="725"/>
      <c r="F223" s="725"/>
      <c r="G223" s="725"/>
      <c r="H223" s="725"/>
      <c r="I223" s="725"/>
      <c r="J223" s="725"/>
      <c r="K223" s="725"/>
      <c r="L223" s="1311"/>
      <c r="M223" s="669"/>
      <c r="N223" s="782"/>
      <c r="O223" s="782"/>
      <c r="P223" s="782"/>
      <c r="Q223" s="782"/>
      <c r="R223" s="580"/>
      <c r="S223" s="870"/>
      <c r="T223" s="839"/>
      <c r="U223" s="726"/>
      <c r="V223" s="581"/>
      <c r="W223" s="581"/>
      <c r="X223" s="578"/>
    </row>
    <row r="224" spans="1:257" s="582" customFormat="1" ht="15.75" hidden="1" customHeight="1">
      <c r="A224" s="809" t="s">
        <v>248</v>
      </c>
      <c r="B224" s="813" t="s">
        <v>256</v>
      </c>
      <c r="C224" s="713">
        <v>11</v>
      </c>
      <c r="D224" s="713"/>
      <c r="E224" s="725">
        <v>15000000</v>
      </c>
      <c r="F224" s="725"/>
      <c r="G224" s="686"/>
      <c r="H224" s="686"/>
      <c r="I224" s="686"/>
      <c r="J224" s="725"/>
      <c r="K224" s="725"/>
      <c r="L224" s="1311"/>
      <c r="M224" s="669"/>
      <c r="N224" s="782"/>
      <c r="O224" s="782"/>
      <c r="P224" s="688"/>
      <c r="Q224" s="688"/>
      <c r="R224" s="580"/>
      <c r="S224" s="870"/>
      <c r="T224" s="839"/>
      <c r="U224" s="726"/>
      <c r="V224" s="581"/>
      <c r="W224" s="581"/>
      <c r="X224" s="578"/>
    </row>
    <row r="225" spans="1:257" s="582" customFormat="1" ht="15.75" hidden="1" customHeight="1">
      <c r="A225" s="809" t="s">
        <v>91</v>
      </c>
      <c r="B225" s="696" t="s">
        <v>270</v>
      </c>
      <c r="C225" s="713"/>
      <c r="D225" s="713"/>
      <c r="E225" s="725"/>
      <c r="F225" s="810"/>
      <c r="G225" s="725"/>
      <c r="H225" s="725"/>
      <c r="I225" s="725"/>
      <c r="J225" s="810"/>
      <c r="K225" s="810"/>
      <c r="L225" s="1313"/>
      <c r="M225" s="707"/>
      <c r="N225" s="811"/>
      <c r="O225" s="811"/>
      <c r="P225" s="782"/>
      <c r="Q225" s="782"/>
      <c r="R225" s="580"/>
      <c r="S225" s="870"/>
      <c r="T225" s="839"/>
      <c r="U225" s="726"/>
      <c r="V225" s="581"/>
      <c r="W225" s="581"/>
      <c r="X225" s="578"/>
    </row>
    <row r="226" spans="1:257" s="682" customFormat="1" ht="15.75" hidden="1" customHeight="1">
      <c r="A226" s="812" t="s">
        <v>248</v>
      </c>
      <c r="B226" s="813" t="s">
        <v>271</v>
      </c>
      <c r="C226" s="713"/>
      <c r="D226" s="713"/>
      <c r="E226" s="725"/>
      <c r="F226" s="725"/>
      <c r="G226" s="700"/>
      <c r="H226" s="700"/>
      <c r="I226" s="700"/>
      <c r="J226" s="725"/>
      <c r="K226" s="725"/>
      <c r="L226" s="1311"/>
      <c r="M226" s="669"/>
      <c r="N226" s="782"/>
      <c r="O226" s="782"/>
      <c r="P226" s="585"/>
      <c r="Q226" s="585"/>
      <c r="R226" s="580"/>
      <c r="S226" s="870"/>
      <c r="T226" s="839"/>
      <c r="U226" s="726"/>
      <c r="V226" s="581"/>
      <c r="W226" s="581"/>
      <c r="X226" s="578"/>
      <c r="Y226" s="582"/>
      <c r="Z226" s="582"/>
      <c r="AA226" s="582"/>
      <c r="AB226" s="582"/>
      <c r="AC226" s="582"/>
      <c r="AD226" s="582"/>
      <c r="AE226" s="582"/>
      <c r="AF226" s="582"/>
      <c r="AG226" s="582"/>
      <c r="AH226" s="582"/>
      <c r="AI226" s="582"/>
      <c r="AJ226" s="582"/>
      <c r="AK226" s="582"/>
      <c r="AL226" s="582"/>
      <c r="AM226" s="582"/>
      <c r="AN226" s="582"/>
      <c r="AO226" s="582"/>
      <c r="AP226" s="582"/>
      <c r="AQ226" s="582"/>
      <c r="AR226" s="582"/>
      <c r="AS226" s="582"/>
      <c r="AT226" s="582"/>
      <c r="AU226" s="582"/>
      <c r="AV226" s="582"/>
      <c r="AW226" s="582"/>
      <c r="AX226" s="582"/>
      <c r="AY226" s="582"/>
      <c r="AZ226" s="582"/>
      <c r="BA226" s="582"/>
      <c r="BB226" s="582"/>
      <c r="BC226" s="582"/>
      <c r="BD226" s="582"/>
      <c r="BE226" s="582"/>
      <c r="BF226" s="582"/>
      <c r="BG226" s="582"/>
      <c r="BH226" s="582"/>
      <c r="BI226" s="582"/>
      <c r="BJ226" s="582"/>
      <c r="BK226" s="582"/>
      <c r="BL226" s="582"/>
      <c r="BM226" s="582"/>
      <c r="BN226" s="582"/>
      <c r="BO226" s="582"/>
      <c r="BP226" s="582"/>
      <c r="BQ226" s="582"/>
      <c r="BR226" s="582"/>
      <c r="BS226" s="582"/>
      <c r="BT226" s="582"/>
      <c r="BU226" s="582"/>
      <c r="BV226" s="582"/>
      <c r="BW226" s="582"/>
      <c r="BX226" s="582"/>
      <c r="BY226" s="582"/>
      <c r="BZ226" s="582"/>
      <c r="CA226" s="582"/>
      <c r="CB226" s="582"/>
      <c r="CC226" s="582"/>
      <c r="CD226" s="582"/>
      <c r="CE226" s="582"/>
      <c r="CF226" s="582"/>
      <c r="CG226" s="582"/>
      <c r="CH226" s="582"/>
      <c r="CI226" s="582"/>
      <c r="CJ226" s="582"/>
      <c r="CK226" s="582"/>
      <c r="CL226" s="582"/>
      <c r="CM226" s="582"/>
      <c r="CN226" s="582"/>
      <c r="CO226" s="582"/>
      <c r="CP226" s="582"/>
      <c r="CQ226" s="582"/>
      <c r="CR226" s="582"/>
      <c r="CS226" s="582"/>
      <c r="CT226" s="582"/>
      <c r="CU226" s="582"/>
      <c r="CV226" s="582"/>
      <c r="CW226" s="582"/>
      <c r="CX226" s="582"/>
      <c r="CY226" s="582"/>
      <c r="CZ226" s="582"/>
      <c r="DA226" s="582"/>
      <c r="DB226" s="582"/>
      <c r="DC226" s="582"/>
      <c r="DD226" s="582"/>
      <c r="DE226" s="582"/>
      <c r="DF226" s="582"/>
      <c r="DG226" s="582"/>
      <c r="DH226" s="582"/>
      <c r="DI226" s="582"/>
      <c r="DJ226" s="582"/>
      <c r="DK226" s="582"/>
      <c r="DL226" s="582"/>
      <c r="DM226" s="582"/>
      <c r="DN226" s="582"/>
      <c r="DO226" s="582"/>
      <c r="DP226" s="582"/>
      <c r="DQ226" s="582"/>
      <c r="DR226" s="582"/>
      <c r="DS226" s="582"/>
      <c r="DT226" s="582"/>
      <c r="DU226" s="582"/>
      <c r="DV226" s="582"/>
      <c r="DW226" s="582"/>
      <c r="DX226" s="582"/>
      <c r="DY226" s="582"/>
      <c r="DZ226" s="582"/>
      <c r="EA226" s="582"/>
      <c r="EB226" s="582"/>
      <c r="EC226" s="582"/>
      <c r="ED226" s="582"/>
      <c r="EE226" s="582"/>
      <c r="EF226" s="582"/>
      <c r="EG226" s="582"/>
      <c r="EH226" s="582"/>
      <c r="EI226" s="582"/>
      <c r="EJ226" s="582"/>
      <c r="EK226" s="582"/>
      <c r="EL226" s="582"/>
      <c r="EM226" s="582"/>
      <c r="EN226" s="582"/>
      <c r="EO226" s="582"/>
      <c r="EP226" s="582"/>
      <c r="EQ226" s="582"/>
      <c r="ER226" s="582"/>
      <c r="ES226" s="582"/>
      <c r="ET226" s="582"/>
      <c r="EU226" s="582"/>
      <c r="EV226" s="582"/>
      <c r="EW226" s="582"/>
      <c r="EX226" s="582"/>
      <c r="EY226" s="582"/>
      <c r="EZ226" s="582"/>
      <c r="FA226" s="582"/>
      <c r="FB226" s="582"/>
      <c r="FC226" s="582"/>
      <c r="FD226" s="582"/>
      <c r="FE226" s="582"/>
      <c r="FF226" s="582"/>
      <c r="FG226" s="582"/>
      <c r="FH226" s="582"/>
      <c r="FI226" s="582"/>
      <c r="FJ226" s="582"/>
      <c r="FK226" s="582"/>
      <c r="FL226" s="582"/>
      <c r="FM226" s="582"/>
      <c r="FN226" s="582"/>
      <c r="FO226" s="582"/>
      <c r="FP226" s="582"/>
      <c r="FQ226" s="582"/>
      <c r="FR226" s="582"/>
      <c r="FS226" s="582"/>
      <c r="FT226" s="582"/>
      <c r="FU226" s="582"/>
      <c r="FV226" s="582"/>
      <c r="FW226" s="582"/>
      <c r="FX226" s="582"/>
      <c r="FY226" s="582"/>
      <c r="FZ226" s="582"/>
      <c r="GA226" s="582"/>
      <c r="GB226" s="582"/>
      <c r="GC226" s="582"/>
      <c r="GD226" s="582"/>
      <c r="GE226" s="582"/>
      <c r="GF226" s="582"/>
      <c r="GG226" s="582"/>
      <c r="GH226" s="582"/>
      <c r="GI226" s="582"/>
      <c r="GJ226" s="582"/>
      <c r="GK226" s="582"/>
      <c r="GL226" s="582"/>
      <c r="GM226" s="582"/>
      <c r="GN226" s="582"/>
      <c r="GO226" s="582"/>
      <c r="GP226" s="582"/>
      <c r="GQ226" s="582"/>
      <c r="GR226" s="582"/>
      <c r="GS226" s="582"/>
      <c r="GT226" s="582"/>
      <c r="GU226" s="582"/>
      <c r="GV226" s="582"/>
      <c r="GW226" s="582"/>
      <c r="GX226" s="582"/>
      <c r="GY226" s="582"/>
      <c r="GZ226" s="582"/>
      <c r="HA226" s="582"/>
      <c r="HB226" s="582"/>
      <c r="HC226" s="582"/>
      <c r="HD226" s="582"/>
      <c r="HE226" s="582"/>
      <c r="HF226" s="582"/>
      <c r="HG226" s="582"/>
      <c r="HH226" s="582"/>
      <c r="HI226" s="582"/>
      <c r="HJ226" s="582"/>
      <c r="HK226" s="582"/>
      <c r="HL226" s="582"/>
      <c r="HM226" s="582"/>
      <c r="HN226" s="582"/>
      <c r="HO226" s="582"/>
      <c r="HP226" s="582"/>
      <c r="HQ226" s="582"/>
      <c r="HR226" s="582"/>
      <c r="HS226" s="582"/>
      <c r="HT226" s="582"/>
      <c r="HU226" s="582"/>
      <c r="HV226" s="582"/>
      <c r="HW226" s="582"/>
      <c r="HX226" s="582"/>
      <c r="HY226" s="582"/>
      <c r="HZ226" s="582"/>
      <c r="IA226" s="582"/>
      <c r="IB226" s="582"/>
      <c r="IC226" s="582"/>
      <c r="ID226" s="582"/>
      <c r="IE226" s="582"/>
      <c r="IF226" s="582"/>
      <c r="IG226" s="582"/>
      <c r="IH226" s="582"/>
      <c r="II226" s="582"/>
      <c r="IJ226" s="582"/>
      <c r="IK226" s="582"/>
      <c r="IL226" s="582"/>
      <c r="IM226" s="582"/>
      <c r="IN226" s="582"/>
      <c r="IO226" s="582"/>
      <c r="IP226" s="582"/>
      <c r="IQ226" s="582"/>
      <c r="IR226" s="582"/>
      <c r="IS226" s="582"/>
      <c r="IT226" s="582"/>
      <c r="IU226" s="582"/>
      <c r="IV226" s="582"/>
      <c r="IW226" s="582"/>
    </row>
    <row r="227" spans="1:257" s="682" customFormat="1" ht="15.75" hidden="1" customHeight="1">
      <c r="A227" s="812" t="s">
        <v>248</v>
      </c>
      <c r="B227" s="813" t="s">
        <v>272</v>
      </c>
      <c r="C227" s="713"/>
      <c r="D227" s="713"/>
      <c r="E227" s="725">
        <f>E226*24%</f>
        <v>0</v>
      </c>
      <c r="F227" s="725"/>
      <c r="G227" s="700"/>
      <c r="H227" s="700"/>
      <c r="I227" s="700"/>
      <c r="J227" s="725"/>
      <c r="K227" s="725"/>
      <c r="L227" s="1311"/>
      <c r="M227" s="669"/>
      <c r="N227" s="782"/>
      <c r="O227" s="782"/>
      <c r="P227" s="585"/>
      <c r="Q227" s="585"/>
      <c r="R227" s="580"/>
      <c r="S227" s="870"/>
      <c r="T227" s="839"/>
      <c r="U227" s="726"/>
      <c r="V227" s="581"/>
      <c r="W227" s="581"/>
      <c r="X227" s="578"/>
      <c r="Y227" s="582"/>
      <c r="Z227" s="582"/>
      <c r="AA227" s="582"/>
      <c r="AB227" s="582"/>
      <c r="AC227" s="582"/>
      <c r="AD227" s="582"/>
      <c r="AE227" s="582"/>
      <c r="AF227" s="582"/>
      <c r="AG227" s="582"/>
      <c r="AH227" s="582"/>
      <c r="AI227" s="582"/>
      <c r="AJ227" s="582"/>
      <c r="AK227" s="582"/>
      <c r="AL227" s="582"/>
      <c r="AM227" s="582"/>
      <c r="AN227" s="582"/>
      <c r="AO227" s="582"/>
      <c r="AP227" s="582"/>
      <c r="AQ227" s="582"/>
      <c r="AR227" s="582"/>
      <c r="AS227" s="582"/>
      <c r="AT227" s="582"/>
      <c r="AU227" s="582"/>
      <c r="AV227" s="582"/>
      <c r="AW227" s="582"/>
      <c r="AX227" s="582"/>
      <c r="AY227" s="582"/>
      <c r="AZ227" s="582"/>
      <c r="BA227" s="582"/>
      <c r="BB227" s="582"/>
      <c r="BC227" s="582"/>
      <c r="BD227" s="582"/>
      <c r="BE227" s="582"/>
      <c r="BF227" s="582"/>
      <c r="BG227" s="582"/>
      <c r="BH227" s="582"/>
      <c r="BI227" s="582"/>
      <c r="BJ227" s="582"/>
      <c r="BK227" s="582"/>
      <c r="BL227" s="582"/>
      <c r="BM227" s="582"/>
      <c r="BN227" s="582"/>
      <c r="BO227" s="582"/>
      <c r="BP227" s="582"/>
      <c r="BQ227" s="582"/>
      <c r="BR227" s="582"/>
      <c r="BS227" s="582"/>
      <c r="BT227" s="582"/>
      <c r="BU227" s="582"/>
      <c r="BV227" s="582"/>
      <c r="BW227" s="582"/>
      <c r="BX227" s="582"/>
      <c r="BY227" s="582"/>
      <c r="BZ227" s="582"/>
      <c r="CA227" s="582"/>
      <c r="CB227" s="582"/>
      <c r="CC227" s="582"/>
      <c r="CD227" s="582"/>
      <c r="CE227" s="582"/>
      <c r="CF227" s="582"/>
      <c r="CG227" s="582"/>
      <c r="CH227" s="582"/>
      <c r="CI227" s="582"/>
      <c r="CJ227" s="582"/>
      <c r="CK227" s="582"/>
      <c r="CL227" s="582"/>
      <c r="CM227" s="582"/>
      <c r="CN227" s="582"/>
      <c r="CO227" s="582"/>
      <c r="CP227" s="582"/>
      <c r="CQ227" s="582"/>
      <c r="CR227" s="582"/>
      <c r="CS227" s="582"/>
      <c r="CT227" s="582"/>
      <c r="CU227" s="582"/>
      <c r="CV227" s="582"/>
      <c r="CW227" s="582"/>
      <c r="CX227" s="582"/>
      <c r="CY227" s="582"/>
      <c r="CZ227" s="582"/>
      <c r="DA227" s="582"/>
      <c r="DB227" s="582"/>
      <c r="DC227" s="582"/>
      <c r="DD227" s="582"/>
      <c r="DE227" s="582"/>
      <c r="DF227" s="582"/>
      <c r="DG227" s="582"/>
      <c r="DH227" s="582"/>
      <c r="DI227" s="582"/>
      <c r="DJ227" s="582"/>
      <c r="DK227" s="582"/>
      <c r="DL227" s="582"/>
      <c r="DM227" s="582"/>
      <c r="DN227" s="582"/>
      <c r="DO227" s="582"/>
      <c r="DP227" s="582"/>
      <c r="DQ227" s="582"/>
      <c r="DR227" s="582"/>
      <c r="DS227" s="582"/>
      <c r="DT227" s="582"/>
      <c r="DU227" s="582"/>
      <c r="DV227" s="582"/>
      <c r="DW227" s="582"/>
      <c r="DX227" s="582"/>
      <c r="DY227" s="582"/>
      <c r="DZ227" s="582"/>
      <c r="EA227" s="582"/>
      <c r="EB227" s="582"/>
      <c r="EC227" s="582"/>
      <c r="ED227" s="582"/>
      <c r="EE227" s="582"/>
      <c r="EF227" s="582"/>
      <c r="EG227" s="582"/>
      <c r="EH227" s="582"/>
      <c r="EI227" s="582"/>
      <c r="EJ227" s="582"/>
      <c r="EK227" s="582"/>
      <c r="EL227" s="582"/>
      <c r="EM227" s="582"/>
      <c r="EN227" s="582"/>
      <c r="EO227" s="582"/>
      <c r="EP227" s="582"/>
      <c r="EQ227" s="582"/>
      <c r="ER227" s="582"/>
      <c r="ES227" s="582"/>
      <c r="ET227" s="582"/>
      <c r="EU227" s="582"/>
      <c r="EV227" s="582"/>
      <c r="EW227" s="582"/>
      <c r="EX227" s="582"/>
      <c r="EY227" s="582"/>
      <c r="EZ227" s="582"/>
      <c r="FA227" s="582"/>
      <c r="FB227" s="582"/>
      <c r="FC227" s="582"/>
      <c r="FD227" s="582"/>
      <c r="FE227" s="582"/>
      <c r="FF227" s="582"/>
      <c r="FG227" s="582"/>
      <c r="FH227" s="582"/>
      <c r="FI227" s="582"/>
      <c r="FJ227" s="582"/>
      <c r="FK227" s="582"/>
      <c r="FL227" s="582"/>
      <c r="FM227" s="582"/>
      <c r="FN227" s="582"/>
      <c r="FO227" s="582"/>
      <c r="FP227" s="582"/>
      <c r="FQ227" s="582"/>
      <c r="FR227" s="582"/>
      <c r="FS227" s="582"/>
      <c r="FT227" s="582"/>
      <c r="FU227" s="582"/>
      <c r="FV227" s="582"/>
      <c r="FW227" s="582"/>
      <c r="FX227" s="582"/>
      <c r="FY227" s="582"/>
      <c r="FZ227" s="582"/>
      <c r="GA227" s="582"/>
      <c r="GB227" s="582"/>
      <c r="GC227" s="582"/>
      <c r="GD227" s="582"/>
      <c r="GE227" s="582"/>
      <c r="GF227" s="582"/>
      <c r="GG227" s="582"/>
      <c r="GH227" s="582"/>
      <c r="GI227" s="582"/>
      <c r="GJ227" s="582"/>
      <c r="GK227" s="582"/>
      <c r="GL227" s="582"/>
      <c r="GM227" s="582"/>
      <c r="GN227" s="582"/>
      <c r="GO227" s="582"/>
      <c r="GP227" s="582"/>
      <c r="GQ227" s="582"/>
      <c r="GR227" s="582"/>
      <c r="GS227" s="582"/>
      <c r="GT227" s="582"/>
      <c r="GU227" s="582"/>
      <c r="GV227" s="582"/>
      <c r="GW227" s="582"/>
      <c r="GX227" s="582"/>
      <c r="GY227" s="582"/>
      <c r="GZ227" s="582"/>
      <c r="HA227" s="582"/>
      <c r="HB227" s="582"/>
      <c r="HC227" s="582"/>
      <c r="HD227" s="582"/>
      <c r="HE227" s="582"/>
      <c r="HF227" s="582"/>
      <c r="HG227" s="582"/>
      <c r="HH227" s="582"/>
      <c r="HI227" s="582"/>
      <c r="HJ227" s="582"/>
      <c r="HK227" s="582"/>
      <c r="HL227" s="582"/>
      <c r="HM227" s="582"/>
      <c r="HN227" s="582"/>
      <c r="HO227" s="582"/>
      <c r="HP227" s="582"/>
      <c r="HQ227" s="582"/>
      <c r="HR227" s="582"/>
      <c r="HS227" s="582"/>
      <c r="HT227" s="582"/>
      <c r="HU227" s="582"/>
      <c r="HV227" s="582"/>
      <c r="HW227" s="582"/>
      <c r="HX227" s="582"/>
      <c r="HY227" s="582"/>
      <c r="HZ227" s="582"/>
      <c r="IA227" s="582"/>
      <c r="IB227" s="582"/>
      <c r="IC227" s="582"/>
      <c r="ID227" s="582"/>
      <c r="IE227" s="582"/>
      <c r="IF227" s="582"/>
      <c r="IG227" s="582"/>
      <c r="IH227" s="582"/>
      <c r="II227" s="582"/>
      <c r="IJ227" s="582"/>
      <c r="IK227" s="582"/>
      <c r="IL227" s="582"/>
      <c r="IM227" s="582"/>
      <c r="IN227" s="582"/>
      <c r="IO227" s="582"/>
      <c r="IP227" s="582"/>
      <c r="IQ227" s="582"/>
      <c r="IR227" s="582"/>
      <c r="IS227" s="582"/>
      <c r="IT227" s="582"/>
      <c r="IU227" s="582"/>
      <c r="IV227" s="582"/>
      <c r="IW227" s="582"/>
    </row>
    <row r="228" spans="1:257" s="621" customFormat="1" ht="15.75" hidden="1" customHeight="1">
      <c r="A228" s="812" t="s">
        <v>248</v>
      </c>
      <c r="B228" s="813" t="s">
        <v>273</v>
      </c>
      <c r="C228" s="699"/>
      <c r="D228" s="713">
        <v>21</v>
      </c>
      <c r="E228" s="725">
        <v>7500000</v>
      </c>
      <c r="F228" s="725"/>
      <c r="G228" s="686"/>
      <c r="H228" s="686"/>
      <c r="I228" s="686"/>
      <c r="J228" s="725"/>
      <c r="K228" s="725"/>
      <c r="L228" s="1311"/>
      <c r="M228" s="669"/>
      <c r="N228" s="782"/>
      <c r="O228" s="782"/>
      <c r="P228" s="688"/>
      <c r="Q228" s="688"/>
      <c r="R228" s="580"/>
      <c r="S228" s="871"/>
      <c r="T228" s="824"/>
      <c r="U228" s="726"/>
      <c r="V228" s="581"/>
      <c r="W228" s="727"/>
      <c r="X228" s="728"/>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c r="CB228" s="682"/>
      <c r="CC228" s="682"/>
      <c r="CD228" s="682"/>
      <c r="CE228" s="682"/>
      <c r="CF228" s="682"/>
      <c r="CG228" s="682"/>
      <c r="CH228" s="682"/>
      <c r="CI228" s="682"/>
      <c r="CJ228" s="682"/>
      <c r="CK228" s="682"/>
      <c r="CL228" s="682"/>
      <c r="CM228" s="682"/>
      <c r="CN228" s="682"/>
      <c r="CO228" s="682"/>
      <c r="CP228" s="682"/>
      <c r="CQ228" s="682"/>
      <c r="CR228" s="682"/>
      <c r="CS228" s="682"/>
      <c r="CT228" s="682"/>
      <c r="CU228" s="682"/>
      <c r="CV228" s="682"/>
      <c r="CW228" s="682"/>
      <c r="CX228" s="682"/>
      <c r="CY228" s="682"/>
      <c r="CZ228" s="682"/>
      <c r="DA228" s="682"/>
      <c r="DB228" s="682"/>
      <c r="DC228" s="682"/>
      <c r="DD228" s="682"/>
      <c r="DE228" s="682"/>
      <c r="DF228" s="682"/>
      <c r="DG228" s="682"/>
      <c r="DH228" s="682"/>
      <c r="DI228" s="682"/>
      <c r="DJ228" s="682"/>
      <c r="DK228" s="682"/>
      <c r="DL228" s="682"/>
      <c r="DM228" s="682"/>
      <c r="DN228" s="682"/>
      <c r="DO228" s="682"/>
      <c r="DP228" s="682"/>
      <c r="DQ228" s="682"/>
      <c r="DR228" s="682"/>
      <c r="DS228" s="682"/>
      <c r="DT228" s="682"/>
      <c r="DU228" s="682"/>
      <c r="DV228" s="682"/>
      <c r="DW228" s="682"/>
      <c r="DX228" s="682"/>
      <c r="DY228" s="682"/>
      <c r="DZ228" s="682"/>
      <c r="EA228" s="682"/>
      <c r="EB228" s="682"/>
      <c r="EC228" s="682"/>
      <c r="ED228" s="682"/>
      <c r="EE228" s="682"/>
      <c r="EF228" s="682"/>
      <c r="EG228" s="682"/>
      <c r="EH228" s="682"/>
      <c r="EI228" s="682"/>
      <c r="EJ228" s="682"/>
      <c r="EK228" s="682"/>
      <c r="EL228" s="682"/>
      <c r="EM228" s="682"/>
      <c r="EN228" s="682"/>
      <c r="EO228" s="682"/>
      <c r="EP228" s="682"/>
      <c r="EQ228" s="682"/>
      <c r="ER228" s="682"/>
      <c r="ES228" s="682"/>
      <c r="ET228" s="682"/>
      <c r="EU228" s="682"/>
      <c r="EV228" s="682"/>
      <c r="EW228" s="682"/>
      <c r="EX228" s="682"/>
      <c r="EY228" s="682"/>
      <c r="EZ228" s="682"/>
      <c r="FA228" s="682"/>
      <c r="FB228" s="682"/>
      <c r="FC228" s="682"/>
      <c r="FD228" s="682"/>
      <c r="FE228" s="682"/>
      <c r="FF228" s="682"/>
      <c r="FG228" s="682"/>
      <c r="FH228" s="682"/>
      <c r="FI228" s="682"/>
      <c r="FJ228" s="682"/>
      <c r="FK228" s="682"/>
      <c r="FL228" s="682"/>
      <c r="FM228" s="682"/>
      <c r="FN228" s="682"/>
      <c r="FO228" s="682"/>
      <c r="FP228" s="682"/>
      <c r="FQ228" s="682"/>
      <c r="FR228" s="682"/>
      <c r="FS228" s="682"/>
      <c r="FT228" s="682"/>
      <c r="FU228" s="682"/>
      <c r="FV228" s="682"/>
      <c r="FW228" s="682"/>
      <c r="FX228" s="682"/>
      <c r="FY228" s="682"/>
      <c r="FZ228" s="682"/>
      <c r="GA228" s="682"/>
      <c r="GB228" s="682"/>
      <c r="GC228" s="682"/>
      <c r="GD228" s="682"/>
      <c r="GE228" s="682"/>
      <c r="GF228" s="682"/>
      <c r="GG228" s="682"/>
      <c r="GH228" s="682"/>
      <c r="GI228" s="682"/>
      <c r="GJ228" s="682"/>
      <c r="GK228" s="682"/>
      <c r="GL228" s="682"/>
      <c r="GM228" s="682"/>
      <c r="GN228" s="682"/>
      <c r="GO228" s="682"/>
      <c r="GP228" s="682"/>
      <c r="GQ228" s="682"/>
      <c r="GR228" s="682"/>
      <c r="GS228" s="682"/>
      <c r="GT228" s="682"/>
      <c r="GU228" s="682"/>
      <c r="GV228" s="682"/>
      <c r="GW228" s="682"/>
      <c r="GX228" s="682"/>
      <c r="GY228" s="682"/>
      <c r="GZ228" s="682"/>
      <c r="HA228" s="682"/>
      <c r="HB228" s="682"/>
      <c r="HC228" s="682"/>
      <c r="HD228" s="682"/>
      <c r="HE228" s="682"/>
      <c r="HF228" s="682"/>
      <c r="HG228" s="682"/>
      <c r="HH228" s="682"/>
      <c r="HI228" s="682"/>
      <c r="HJ228" s="682"/>
      <c r="HK228" s="682"/>
      <c r="HL228" s="682"/>
      <c r="HM228" s="682"/>
      <c r="HN228" s="682"/>
      <c r="HO228" s="682"/>
      <c r="HP228" s="682"/>
      <c r="HQ228" s="682"/>
      <c r="HR228" s="682"/>
      <c r="HS228" s="682"/>
      <c r="HT228" s="682"/>
      <c r="HU228" s="682"/>
      <c r="HV228" s="682"/>
      <c r="HW228" s="682"/>
      <c r="HX228" s="682"/>
      <c r="HY228" s="682"/>
      <c r="HZ228" s="682"/>
      <c r="IA228" s="682"/>
      <c r="IB228" s="682"/>
      <c r="IC228" s="682"/>
      <c r="ID228" s="682"/>
      <c r="IE228" s="682"/>
      <c r="IF228" s="682"/>
      <c r="IG228" s="682"/>
      <c r="IH228" s="682"/>
      <c r="II228" s="682"/>
      <c r="IJ228" s="682"/>
      <c r="IK228" s="682"/>
      <c r="IL228" s="682"/>
      <c r="IM228" s="682"/>
      <c r="IN228" s="682"/>
      <c r="IO228" s="682"/>
      <c r="IP228" s="682"/>
      <c r="IQ228" s="682"/>
      <c r="IR228" s="682"/>
      <c r="IS228" s="682"/>
      <c r="IT228" s="682"/>
      <c r="IU228" s="682"/>
      <c r="IV228" s="682"/>
      <c r="IW228" s="682"/>
    </row>
    <row r="229" spans="1:257" s="582" customFormat="1" ht="15.75" hidden="1" customHeight="1">
      <c r="A229" s="848" t="s">
        <v>225</v>
      </c>
      <c r="B229" s="808" t="s">
        <v>274</v>
      </c>
      <c r="C229" s="699"/>
      <c r="D229" s="699"/>
      <c r="E229" s="700"/>
      <c r="F229" s="810"/>
      <c r="G229" s="686"/>
      <c r="H229" s="686"/>
      <c r="I229" s="686"/>
      <c r="J229" s="810"/>
      <c r="K229" s="810"/>
      <c r="L229" s="1313"/>
      <c r="M229" s="707"/>
      <c r="N229" s="811"/>
      <c r="O229" s="811"/>
      <c r="P229" s="688"/>
      <c r="Q229" s="688"/>
      <c r="R229" s="580"/>
      <c r="S229" s="871"/>
      <c r="T229" s="824"/>
      <c r="U229" s="726"/>
      <c r="V229" s="581"/>
      <c r="W229" s="581"/>
      <c r="X229" s="578"/>
    </row>
    <row r="230" spans="1:257" s="682" customFormat="1" ht="31.5" hidden="1" customHeight="1">
      <c r="A230" s="787" t="s">
        <v>91</v>
      </c>
      <c r="B230" s="609" t="s">
        <v>275</v>
      </c>
      <c r="C230" s="590"/>
      <c r="D230" s="590"/>
      <c r="E230" s="609"/>
      <c r="F230" s="603"/>
      <c r="G230" s="592" t="s">
        <v>934</v>
      </c>
      <c r="H230" s="592"/>
      <c r="I230" s="592"/>
      <c r="J230" s="603"/>
      <c r="K230" s="603"/>
      <c r="L230" s="1302"/>
      <c r="M230" s="603"/>
      <c r="N230" s="596"/>
      <c r="O230" s="596"/>
      <c r="P230" s="593"/>
      <c r="Q230" s="593"/>
      <c r="R230" s="580"/>
      <c r="S230" s="871"/>
      <c r="T230" s="824"/>
      <c r="U230" s="726"/>
      <c r="V230" s="727"/>
      <c r="W230" s="581"/>
      <c r="X230" s="578"/>
      <c r="Y230" s="582"/>
      <c r="Z230" s="582"/>
      <c r="AA230" s="582"/>
      <c r="AB230" s="582"/>
      <c r="AC230" s="582"/>
      <c r="AD230" s="582"/>
      <c r="AE230" s="582"/>
      <c r="AF230" s="582"/>
      <c r="AG230" s="582"/>
      <c r="AH230" s="582"/>
      <c r="AI230" s="582"/>
      <c r="AJ230" s="582"/>
      <c r="AK230" s="582"/>
      <c r="AL230" s="582"/>
      <c r="AM230" s="582"/>
      <c r="AN230" s="582"/>
      <c r="AO230" s="582"/>
      <c r="AP230" s="582"/>
      <c r="AQ230" s="582"/>
      <c r="AR230" s="582"/>
      <c r="AS230" s="582"/>
      <c r="AT230" s="582"/>
      <c r="AU230" s="582"/>
      <c r="AV230" s="582"/>
      <c r="AW230" s="582"/>
      <c r="AX230" s="582"/>
      <c r="AY230" s="582"/>
      <c r="AZ230" s="582"/>
      <c r="BA230" s="582"/>
      <c r="BB230" s="582"/>
      <c r="BC230" s="582"/>
      <c r="BD230" s="582"/>
      <c r="BE230" s="582"/>
      <c r="BF230" s="582"/>
      <c r="BG230" s="582"/>
      <c r="BH230" s="582"/>
      <c r="BI230" s="582"/>
      <c r="BJ230" s="582"/>
      <c r="BK230" s="582"/>
      <c r="BL230" s="582"/>
      <c r="BM230" s="582"/>
      <c r="BN230" s="582"/>
      <c r="BO230" s="582"/>
      <c r="BP230" s="582"/>
      <c r="BQ230" s="582"/>
      <c r="BR230" s="582"/>
      <c r="BS230" s="582"/>
      <c r="BT230" s="582"/>
      <c r="BU230" s="582"/>
      <c r="BV230" s="582"/>
      <c r="BW230" s="582"/>
      <c r="BX230" s="582"/>
      <c r="BY230" s="582"/>
      <c r="BZ230" s="582"/>
      <c r="CA230" s="582"/>
      <c r="CB230" s="582"/>
      <c r="CC230" s="582"/>
      <c r="CD230" s="582"/>
      <c r="CE230" s="582"/>
      <c r="CF230" s="582"/>
      <c r="CG230" s="582"/>
      <c r="CH230" s="582"/>
      <c r="CI230" s="582"/>
      <c r="CJ230" s="582"/>
      <c r="CK230" s="582"/>
      <c r="CL230" s="582"/>
      <c r="CM230" s="582"/>
      <c r="CN230" s="582"/>
      <c r="CO230" s="582"/>
      <c r="CP230" s="582"/>
      <c r="CQ230" s="582"/>
      <c r="CR230" s="582"/>
      <c r="CS230" s="582"/>
      <c r="CT230" s="582"/>
      <c r="CU230" s="582"/>
      <c r="CV230" s="582"/>
      <c r="CW230" s="582"/>
      <c r="CX230" s="582"/>
      <c r="CY230" s="582"/>
      <c r="CZ230" s="582"/>
      <c r="DA230" s="582"/>
      <c r="DB230" s="582"/>
      <c r="DC230" s="582"/>
      <c r="DD230" s="582"/>
      <c r="DE230" s="582"/>
      <c r="DF230" s="582"/>
      <c r="DG230" s="582"/>
      <c r="DH230" s="582"/>
      <c r="DI230" s="582"/>
      <c r="DJ230" s="582"/>
      <c r="DK230" s="582"/>
      <c r="DL230" s="582"/>
      <c r="DM230" s="582"/>
      <c r="DN230" s="582"/>
      <c r="DO230" s="582"/>
      <c r="DP230" s="582"/>
      <c r="DQ230" s="582"/>
      <c r="DR230" s="582"/>
      <c r="DS230" s="582"/>
      <c r="DT230" s="582"/>
      <c r="DU230" s="582"/>
      <c r="DV230" s="582"/>
      <c r="DW230" s="582"/>
      <c r="DX230" s="582"/>
      <c r="DY230" s="582"/>
      <c r="DZ230" s="582"/>
      <c r="EA230" s="582"/>
      <c r="EB230" s="582"/>
      <c r="EC230" s="582"/>
      <c r="ED230" s="582"/>
      <c r="EE230" s="582"/>
      <c r="EF230" s="582"/>
      <c r="EG230" s="582"/>
      <c r="EH230" s="582"/>
      <c r="EI230" s="582"/>
      <c r="EJ230" s="582"/>
      <c r="EK230" s="582"/>
      <c r="EL230" s="582"/>
      <c r="EM230" s="582"/>
      <c r="EN230" s="582"/>
      <c r="EO230" s="582"/>
      <c r="EP230" s="582"/>
      <c r="EQ230" s="582"/>
      <c r="ER230" s="582"/>
      <c r="ES230" s="582"/>
      <c r="ET230" s="582"/>
      <c r="EU230" s="582"/>
      <c r="EV230" s="582"/>
      <c r="EW230" s="582"/>
      <c r="EX230" s="582"/>
      <c r="EY230" s="582"/>
      <c r="EZ230" s="582"/>
      <c r="FA230" s="582"/>
      <c r="FB230" s="582"/>
      <c r="FC230" s="582"/>
      <c r="FD230" s="582"/>
      <c r="FE230" s="582"/>
      <c r="FF230" s="582"/>
      <c r="FG230" s="582"/>
      <c r="FH230" s="582"/>
      <c r="FI230" s="582"/>
      <c r="FJ230" s="582"/>
      <c r="FK230" s="582"/>
      <c r="FL230" s="582"/>
      <c r="FM230" s="582"/>
      <c r="FN230" s="582"/>
      <c r="FO230" s="582"/>
      <c r="FP230" s="582"/>
      <c r="FQ230" s="582"/>
      <c r="FR230" s="582"/>
      <c r="FS230" s="582"/>
      <c r="FT230" s="582"/>
      <c r="FU230" s="582"/>
      <c r="FV230" s="582"/>
      <c r="FW230" s="582"/>
      <c r="FX230" s="582"/>
      <c r="FY230" s="582"/>
      <c r="FZ230" s="582"/>
      <c r="GA230" s="582"/>
      <c r="GB230" s="582"/>
      <c r="GC230" s="582"/>
      <c r="GD230" s="582"/>
      <c r="GE230" s="582"/>
      <c r="GF230" s="582"/>
      <c r="GG230" s="582"/>
      <c r="GH230" s="582"/>
      <c r="GI230" s="582"/>
      <c r="GJ230" s="582"/>
      <c r="GK230" s="582"/>
      <c r="GL230" s="582"/>
      <c r="GM230" s="582"/>
      <c r="GN230" s="582"/>
      <c r="GO230" s="582"/>
      <c r="GP230" s="582"/>
      <c r="GQ230" s="582"/>
      <c r="GR230" s="582"/>
      <c r="GS230" s="582"/>
      <c r="GT230" s="582"/>
      <c r="GU230" s="582"/>
      <c r="GV230" s="582"/>
      <c r="GW230" s="582"/>
      <c r="GX230" s="582"/>
      <c r="GY230" s="582"/>
      <c r="GZ230" s="582"/>
      <c r="HA230" s="582"/>
      <c r="HB230" s="582"/>
      <c r="HC230" s="582"/>
      <c r="HD230" s="582"/>
      <c r="HE230" s="582"/>
      <c r="HF230" s="582"/>
      <c r="HG230" s="582"/>
      <c r="HH230" s="582"/>
      <c r="HI230" s="582"/>
      <c r="HJ230" s="582"/>
      <c r="HK230" s="582"/>
      <c r="HL230" s="582"/>
      <c r="HM230" s="582"/>
      <c r="HN230" s="582"/>
      <c r="HO230" s="582"/>
      <c r="HP230" s="582"/>
      <c r="HQ230" s="582"/>
      <c r="HR230" s="582"/>
      <c r="HS230" s="582"/>
      <c r="HT230" s="582"/>
      <c r="HU230" s="582"/>
      <c r="HV230" s="582"/>
      <c r="HW230" s="582"/>
      <c r="HX230" s="582"/>
      <c r="HY230" s="582"/>
      <c r="HZ230" s="582"/>
      <c r="IA230" s="582"/>
      <c r="IB230" s="582"/>
      <c r="IC230" s="582"/>
      <c r="ID230" s="582"/>
      <c r="IE230" s="582"/>
      <c r="IF230" s="582"/>
      <c r="IG230" s="582"/>
      <c r="IH230" s="582"/>
      <c r="II230" s="582"/>
      <c r="IJ230" s="582"/>
      <c r="IK230" s="582"/>
      <c r="IL230" s="582"/>
      <c r="IM230" s="582"/>
      <c r="IN230" s="582"/>
      <c r="IO230" s="582"/>
      <c r="IP230" s="582"/>
      <c r="IQ230" s="582"/>
      <c r="IR230" s="582"/>
      <c r="IS230" s="582"/>
      <c r="IT230" s="582"/>
      <c r="IU230" s="582"/>
      <c r="IV230" s="582"/>
      <c r="IW230" s="582"/>
    </row>
    <row r="231" spans="1:257" s="874" customFormat="1" ht="51" customHeight="1">
      <c r="A231" s="672" t="s">
        <v>91</v>
      </c>
      <c r="B231" s="651" t="s">
        <v>935</v>
      </c>
      <c r="C231" s="635"/>
      <c r="D231" s="635"/>
      <c r="E231" s="651"/>
      <c r="F231" s="651"/>
      <c r="G231" s="651" t="s">
        <v>936</v>
      </c>
      <c r="H231" s="651"/>
      <c r="I231" s="651"/>
      <c r="J231" s="651"/>
      <c r="K231" s="651">
        <v>200000000</v>
      </c>
      <c r="L231" s="1305">
        <v>200000000</v>
      </c>
      <c r="M231" s="651"/>
      <c r="N231" s="655"/>
      <c r="O231" s="655"/>
      <c r="P231" s="655"/>
      <c r="Q231" s="655"/>
      <c r="R231" s="580"/>
      <c r="S231" s="866"/>
      <c r="T231" s="839"/>
      <c r="U231" s="814"/>
      <c r="V231" s="581"/>
      <c r="W231" s="872"/>
      <c r="X231" s="751"/>
      <c r="Y231" s="873"/>
      <c r="Z231" s="873"/>
      <c r="AA231" s="873"/>
      <c r="AB231" s="873"/>
      <c r="AC231" s="873"/>
      <c r="AD231" s="873"/>
      <c r="AE231" s="873"/>
      <c r="AF231" s="873"/>
      <c r="AG231" s="873"/>
      <c r="AH231" s="873"/>
      <c r="AI231" s="873"/>
      <c r="AJ231" s="873"/>
      <c r="AK231" s="873"/>
      <c r="AL231" s="873"/>
      <c r="AM231" s="873"/>
      <c r="AN231" s="873"/>
      <c r="AO231" s="873"/>
      <c r="AP231" s="873"/>
      <c r="AQ231" s="873"/>
      <c r="AR231" s="873"/>
      <c r="AS231" s="873"/>
      <c r="AT231" s="873"/>
      <c r="AU231" s="873"/>
      <c r="AV231" s="873"/>
      <c r="AW231" s="873"/>
      <c r="AX231" s="873"/>
      <c r="AY231" s="873"/>
      <c r="AZ231" s="873"/>
      <c r="BA231" s="873"/>
      <c r="BB231" s="873"/>
      <c r="BC231" s="873"/>
      <c r="BD231" s="873"/>
      <c r="BE231" s="873"/>
      <c r="BF231" s="873"/>
      <c r="BG231" s="873"/>
      <c r="BH231" s="873"/>
      <c r="BI231" s="873"/>
      <c r="BJ231" s="873"/>
      <c r="BK231" s="873"/>
      <c r="BL231" s="873"/>
      <c r="BM231" s="873"/>
      <c r="BN231" s="873"/>
      <c r="BO231" s="873"/>
      <c r="BP231" s="873"/>
      <c r="BQ231" s="873"/>
      <c r="BR231" s="873"/>
      <c r="BS231" s="873"/>
      <c r="BT231" s="873"/>
      <c r="BU231" s="873"/>
      <c r="BV231" s="873"/>
      <c r="BW231" s="873"/>
      <c r="BX231" s="873"/>
      <c r="BY231" s="873"/>
      <c r="BZ231" s="873"/>
      <c r="CA231" s="873"/>
      <c r="CB231" s="873"/>
      <c r="CC231" s="873"/>
      <c r="CD231" s="873"/>
      <c r="CE231" s="873"/>
      <c r="CF231" s="873"/>
      <c r="CG231" s="873"/>
      <c r="CH231" s="873"/>
      <c r="CI231" s="873"/>
      <c r="CJ231" s="873"/>
      <c r="CK231" s="873"/>
      <c r="CL231" s="873"/>
      <c r="CM231" s="873"/>
      <c r="CN231" s="873"/>
      <c r="CO231" s="873"/>
      <c r="CP231" s="873"/>
      <c r="CQ231" s="873"/>
      <c r="CR231" s="873"/>
      <c r="CS231" s="873"/>
      <c r="CT231" s="873"/>
      <c r="CU231" s="873"/>
      <c r="CV231" s="873"/>
      <c r="CW231" s="873"/>
      <c r="CX231" s="873"/>
      <c r="CY231" s="873"/>
      <c r="CZ231" s="873"/>
      <c r="DA231" s="873"/>
      <c r="DB231" s="873"/>
      <c r="DC231" s="873"/>
      <c r="DD231" s="873"/>
      <c r="DE231" s="873"/>
      <c r="DF231" s="873"/>
      <c r="DG231" s="873"/>
      <c r="DH231" s="873"/>
      <c r="DI231" s="873"/>
      <c r="DJ231" s="873"/>
      <c r="DK231" s="873"/>
      <c r="DL231" s="873"/>
      <c r="DM231" s="873"/>
      <c r="DN231" s="873"/>
      <c r="DO231" s="873"/>
      <c r="DP231" s="873"/>
      <c r="DQ231" s="873"/>
      <c r="DR231" s="873"/>
      <c r="DS231" s="873"/>
      <c r="DT231" s="873"/>
      <c r="DU231" s="873"/>
      <c r="DV231" s="873"/>
      <c r="DW231" s="873"/>
      <c r="DX231" s="873"/>
      <c r="DY231" s="873"/>
      <c r="DZ231" s="873"/>
      <c r="EA231" s="873"/>
      <c r="EB231" s="873"/>
      <c r="EC231" s="873"/>
      <c r="ED231" s="873"/>
      <c r="EE231" s="873"/>
      <c r="EF231" s="873"/>
      <c r="EG231" s="873"/>
      <c r="EH231" s="873"/>
      <c r="EI231" s="873"/>
      <c r="EJ231" s="873"/>
      <c r="EK231" s="873"/>
      <c r="EL231" s="873"/>
      <c r="EM231" s="873"/>
      <c r="EN231" s="873"/>
      <c r="EO231" s="873"/>
      <c r="EP231" s="873"/>
      <c r="EQ231" s="873"/>
      <c r="ER231" s="873"/>
      <c r="ES231" s="873"/>
      <c r="ET231" s="873"/>
      <c r="EU231" s="873"/>
      <c r="EV231" s="873"/>
      <c r="EW231" s="873"/>
      <c r="EX231" s="873"/>
      <c r="EY231" s="873"/>
      <c r="EZ231" s="873"/>
      <c r="FA231" s="873"/>
      <c r="FB231" s="873"/>
      <c r="FC231" s="873"/>
      <c r="FD231" s="873"/>
      <c r="FE231" s="873"/>
      <c r="FF231" s="873"/>
      <c r="FG231" s="873"/>
      <c r="FH231" s="873"/>
      <c r="FI231" s="873"/>
      <c r="FJ231" s="873"/>
      <c r="FK231" s="873"/>
      <c r="FL231" s="873"/>
      <c r="FM231" s="873"/>
      <c r="FN231" s="873"/>
      <c r="FO231" s="873"/>
      <c r="FP231" s="873"/>
      <c r="FQ231" s="873"/>
      <c r="FR231" s="873"/>
      <c r="FS231" s="873"/>
      <c r="FT231" s="873"/>
      <c r="FU231" s="873"/>
      <c r="FV231" s="873"/>
      <c r="FW231" s="873"/>
      <c r="FX231" s="873"/>
      <c r="FY231" s="873"/>
      <c r="FZ231" s="873"/>
      <c r="GA231" s="873"/>
      <c r="GB231" s="873"/>
      <c r="GC231" s="873"/>
      <c r="GD231" s="873"/>
      <c r="GE231" s="873"/>
      <c r="GF231" s="873"/>
      <c r="GG231" s="873"/>
      <c r="GH231" s="873"/>
      <c r="GI231" s="873"/>
      <c r="GJ231" s="873"/>
      <c r="GK231" s="873"/>
      <c r="GL231" s="873"/>
      <c r="GM231" s="873"/>
      <c r="GN231" s="873"/>
      <c r="GO231" s="873"/>
      <c r="GP231" s="873"/>
      <c r="GQ231" s="873"/>
      <c r="GR231" s="873"/>
      <c r="GS231" s="873"/>
      <c r="GT231" s="873"/>
      <c r="GU231" s="873"/>
      <c r="GV231" s="873"/>
      <c r="GW231" s="873"/>
      <c r="GX231" s="873"/>
      <c r="GY231" s="873"/>
      <c r="GZ231" s="873"/>
      <c r="HA231" s="873"/>
      <c r="HB231" s="873"/>
      <c r="HC231" s="873"/>
      <c r="HD231" s="873"/>
      <c r="HE231" s="873"/>
      <c r="HF231" s="873"/>
      <c r="HG231" s="873"/>
      <c r="HH231" s="873"/>
      <c r="HI231" s="873"/>
      <c r="HJ231" s="873"/>
      <c r="HK231" s="873"/>
      <c r="HL231" s="873"/>
      <c r="HM231" s="873"/>
      <c r="HN231" s="873"/>
      <c r="HO231" s="873"/>
      <c r="HP231" s="873"/>
      <c r="HQ231" s="873"/>
      <c r="HR231" s="873"/>
      <c r="HS231" s="873"/>
      <c r="HT231" s="873"/>
      <c r="HU231" s="873"/>
      <c r="HV231" s="873"/>
      <c r="HW231" s="873"/>
      <c r="HX231" s="873"/>
      <c r="HY231" s="873"/>
      <c r="HZ231" s="873"/>
      <c r="IA231" s="873"/>
      <c r="IB231" s="873"/>
      <c r="IC231" s="873"/>
      <c r="ID231" s="873"/>
      <c r="IE231" s="873"/>
      <c r="IF231" s="873"/>
      <c r="IG231" s="873"/>
      <c r="IH231" s="873"/>
      <c r="II231" s="873"/>
      <c r="IJ231" s="873"/>
      <c r="IK231" s="873"/>
      <c r="IL231" s="873"/>
      <c r="IM231" s="873"/>
      <c r="IN231" s="873"/>
      <c r="IO231" s="873"/>
      <c r="IP231" s="873"/>
      <c r="IQ231" s="873"/>
      <c r="IR231" s="873"/>
      <c r="IS231" s="873"/>
      <c r="IT231" s="873"/>
      <c r="IU231" s="873"/>
      <c r="IV231" s="873"/>
      <c r="IW231" s="873"/>
    </row>
    <row r="232" spans="1:257" s="582" customFormat="1" ht="15.75" hidden="1" customHeight="1">
      <c r="A232" s="672" t="s">
        <v>248</v>
      </c>
      <c r="B232" s="651" t="s">
        <v>277</v>
      </c>
      <c r="C232" s="635"/>
      <c r="D232" s="635"/>
      <c r="E232" s="651"/>
      <c r="F232" s="651"/>
      <c r="G232" s="651"/>
      <c r="H232" s="651"/>
      <c r="I232" s="651"/>
      <c r="J232" s="651"/>
      <c r="K232" s="651"/>
      <c r="L232" s="1305"/>
      <c r="M232" s="651"/>
      <c r="N232" s="655"/>
      <c r="O232" s="655"/>
      <c r="P232" s="655"/>
      <c r="Q232" s="655"/>
      <c r="R232" s="585"/>
      <c r="S232" s="875"/>
      <c r="T232" s="876"/>
      <c r="U232" s="726"/>
      <c r="V232" s="581"/>
      <c r="W232" s="727"/>
      <c r="X232" s="728"/>
      <c r="Y232" s="682"/>
      <c r="Z232" s="682"/>
      <c r="AA232" s="682"/>
      <c r="AB232" s="682"/>
      <c r="AC232" s="682"/>
      <c r="AD232" s="682"/>
      <c r="AE232" s="682"/>
      <c r="AF232" s="682"/>
      <c r="AG232" s="682"/>
      <c r="AH232" s="682"/>
      <c r="AI232" s="682"/>
      <c r="AJ232" s="682"/>
      <c r="AK232" s="682"/>
      <c r="AL232" s="682"/>
      <c r="AM232" s="682"/>
      <c r="AN232" s="682"/>
      <c r="AO232" s="682"/>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c r="CB232" s="682"/>
      <c r="CC232" s="682"/>
      <c r="CD232" s="682"/>
      <c r="CE232" s="682"/>
      <c r="CF232" s="682"/>
      <c r="CG232" s="682"/>
      <c r="CH232" s="682"/>
      <c r="CI232" s="682"/>
      <c r="CJ232" s="682"/>
      <c r="CK232" s="682"/>
      <c r="CL232" s="682"/>
      <c r="CM232" s="682"/>
      <c r="CN232" s="682"/>
      <c r="CO232" s="682"/>
      <c r="CP232" s="682"/>
      <c r="CQ232" s="682"/>
      <c r="CR232" s="682"/>
      <c r="CS232" s="682"/>
      <c r="CT232" s="682"/>
      <c r="CU232" s="682"/>
      <c r="CV232" s="682"/>
      <c r="CW232" s="682"/>
      <c r="CX232" s="682"/>
      <c r="CY232" s="682"/>
      <c r="CZ232" s="682"/>
      <c r="DA232" s="682"/>
      <c r="DB232" s="682"/>
      <c r="DC232" s="682"/>
      <c r="DD232" s="682"/>
      <c r="DE232" s="682"/>
      <c r="DF232" s="682"/>
      <c r="DG232" s="682"/>
      <c r="DH232" s="682"/>
      <c r="DI232" s="682"/>
      <c r="DJ232" s="682"/>
      <c r="DK232" s="682"/>
      <c r="DL232" s="682"/>
      <c r="DM232" s="682"/>
      <c r="DN232" s="682"/>
      <c r="DO232" s="682"/>
      <c r="DP232" s="682"/>
      <c r="DQ232" s="682"/>
      <c r="DR232" s="682"/>
      <c r="DS232" s="682"/>
      <c r="DT232" s="682"/>
      <c r="DU232" s="682"/>
      <c r="DV232" s="682"/>
      <c r="DW232" s="682"/>
      <c r="DX232" s="682"/>
      <c r="DY232" s="682"/>
      <c r="DZ232" s="682"/>
      <c r="EA232" s="682"/>
      <c r="EB232" s="682"/>
      <c r="EC232" s="682"/>
      <c r="ED232" s="682"/>
      <c r="EE232" s="682"/>
      <c r="EF232" s="682"/>
      <c r="EG232" s="682"/>
      <c r="EH232" s="682"/>
      <c r="EI232" s="682"/>
      <c r="EJ232" s="682"/>
      <c r="EK232" s="682"/>
      <c r="EL232" s="682"/>
      <c r="EM232" s="682"/>
      <c r="EN232" s="682"/>
      <c r="EO232" s="682"/>
      <c r="EP232" s="682"/>
      <c r="EQ232" s="682"/>
      <c r="ER232" s="682"/>
      <c r="ES232" s="682"/>
      <c r="ET232" s="682"/>
      <c r="EU232" s="682"/>
      <c r="EV232" s="682"/>
      <c r="EW232" s="682"/>
      <c r="EX232" s="682"/>
      <c r="EY232" s="682"/>
      <c r="EZ232" s="682"/>
      <c r="FA232" s="682"/>
      <c r="FB232" s="682"/>
      <c r="FC232" s="682"/>
      <c r="FD232" s="682"/>
      <c r="FE232" s="682"/>
      <c r="FF232" s="682"/>
      <c r="FG232" s="682"/>
      <c r="FH232" s="682"/>
      <c r="FI232" s="682"/>
      <c r="FJ232" s="682"/>
      <c r="FK232" s="682"/>
      <c r="FL232" s="682"/>
      <c r="FM232" s="682"/>
      <c r="FN232" s="682"/>
      <c r="FO232" s="682"/>
      <c r="FP232" s="682"/>
      <c r="FQ232" s="682"/>
      <c r="FR232" s="682"/>
      <c r="FS232" s="682"/>
      <c r="FT232" s="682"/>
      <c r="FU232" s="682"/>
      <c r="FV232" s="682"/>
      <c r="FW232" s="682"/>
      <c r="FX232" s="682"/>
      <c r="FY232" s="682"/>
      <c r="FZ232" s="682"/>
      <c r="GA232" s="682"/>
      <c r="GB232" s="682"/>
      <c r="GC232" s="682"/>
      <c r="GD232" s="682"/>
      <c r="GE232" s="682"/>
      <c r="GF232" s="682"/>
      <c r="GG232" s="682"/>
      <c r="GH232" s="682"/>
      <c r="GI232" s="682"/>
      <c r="GJ232" s="682"/>
      <c r="GK232" s="682"/>
      <c r="GL232" s="682"/>
      <c r="GM232" s="682"/>
      <c r="GN232" s="682"/>
      <c r="GO232" s="682"/>
      <c r="GP232" s="682"/>
      <c r="GQ232" s="682"/>
      <c r="GR232" s="682"/>
      <c r="GS232" s="682"/>
      <c r="GT232" s="682"/>
      <c r="GU232" s="682"/>
      <c r="GV232" s="682"/>
      <c r="GW232" s="682"/>
      <c r="GX232" s="682"/>
      <c r="GY232" s="682"/>
      <c r="GZ232" s="682"/>
      <c r="HA232" s="682"/>
      <c r="HB232" s="682"/>
      <c r="HC232" s="682"/>
      <c r="HD232" s="682"/>
      <c r="HE232" s="682"/>
      <c r="HF232" s="682"/>
      <c r="HG232" s="682"/>
      <c r="HH232" s="682"/>
      <c r="HI232" s="682"/>
      <c r="HJ232" s="682"/>
      <c r="HK232" s="682"/>
      <c r="HL232" s="682"/>
      <c r="HM232" s="682"/>
      <c r="HN232" s="682"/>
      <c r="HO232" s="682"/>
      <c r="HP232" s="682"/>
      <c r="HQ232" s="682"/>
      <c r="HR232" s="682"/>
      <c r="HS232" s="682"/>
      <c r="HT232" s="682"/>
      <c r="HU232" s="682"/>
      <c r="HV232" s="682"/>
      <c r="HW232" s="682"/>
      <c r="HX232" s="682"/>
      <c r="HY232" s="682"/>
      <c r="HZ232" s="682"/>
      <c r="IA232" s="682"/>
      <c r="IB232" s="682"/>
      <c r="IC232" s="682"/>
      <c r="ID232" s="682"/>
      <c r="IE232" s="682"/>
      <c r="IF232" s="682"/>
      <c r="IG232" s="682"/>
      <c r="IH232" s="682"/>
      <c r="II232" s="682"/>
      <c r="IJ232" s="682"/>
      <c r="IK232" s="682"/>
      <c r="IL232" s="682"/>
      <c r="IM232" s="682"/>
      <c r="IN232" s="682"/>
      <c r="IO232" s="682"/>
      <c r="IP232" s="682"/>
      <c r="IQ232" s="682"/>
      <c r="IR232" s="682"/>
      <c r="IS232" s="682"/>
      <c r="IT232" s="682"/>
      <c r="IU232" s="682"/>
      <c r="IV232" s="682"/>
      <c r="IW232" s="682"/>
    </row>
    <row r="233" spans="1:257" s="641" customFormat="1" ht="15.75" hidden="1" customHeight="1">
      <c r="A233" s="672" t="s">
        <v>248</v>
      </c>
      <c r="B233" s="651" t="s">
        <v>278</v>
      </c>
      <c r="C233" s="635"/>
      <c r="D233" s="635"/>
      <c r="E233" s="651"/>
      <c r="F233" s="651"/>
      <c r="G233" s="651"/>
      <c r="H233" s="651"/>
      <c r="I233" s="651"/>
      <c r="J233" s="651"/>
      <c r="K233" s="651"/>
      <c r="L233" s="1305"/>
      <c r="M233" s="651"/>
      <c r="N233" s="655"/>
      <c r="O233" s="655"/>
      <c r="P233" s="655"/>
      <c r="Q233" s="655"/>
      <c r="R233" s="593"/>
      <c r="S233" s="588"/>
      <c r="T233" s="654"/>
      <c r="U233" s="726"/>
      <c r="V233" s="727"/>
      <c r="W233" s="639"/>
      <c r="X233" s="640"/>
    </row>
    <row r="234" spans="1:257" s="641" customFormat="1" ht="15.75" hidden="1" customHeight="1">
      <c r="A234" s="672" t="s">
        <v>248</v>
      </c>
      <c r="B234" s="651" t="s">
        <v>279</v>
      </c>
      <c r="C234" s="635"/>
      <c r="D234" s="635"/>
      <c r="E234" s="651"/>
      <c r="F234" s="651"/>
      <c r="G234" s="651"/>
      <c r="H234" s="651"/>
      <c r="I234" s="651"/>
      <c r="J234" s="651"/>
      <c r="K234" s="651"/>
      <c r="L234" s="1305"/>
      <c r="M234" s="651"/>
      <c r="N234" s="655"/>
      <c r="O234" s="655"/>
      <c r="P234" s="655"/>
      <c r="Q234" s="655"/>
      <c r="R234" s="593"/>
      <c r="S234" s="588"/>
      <c r="T234" s="584"/>
      <c r="U234" s="637"/>
      <c r="V234" s="613"/>
      <c r="W234" s="639"/>
      <c r="X234" s="640"/>
    </row>
    <row r="235" spans="1:257" s="641" customFormat="1" ht="15.75" hidden="1" customHeight="1">
      <c r="A235" s="672" t="s">
        <v>248</v>
      </c>
      <c r="B235" s="651" t="s">
        <v>280</v>
      </c>
      <c r="C235" s="635"/>
      <c r="D235" s="635"/>
      <c r="E235" s="651"/>
      <c r="F235" s="651"/>
      <c r="G235" s="651"/>
      <c r="H235" s="651"/>
      <c r="I235" s="651"/>
      <c r="J235" s="651"/>
      <c r="K235" s="651"/>
      <c r="L235" s="1305"/>
      <c r="M235" s="651"/>
      <c r="N235" s="655"/>
      <c r="O235" s="655"/>
      <c r="P235" s="655"/>
      <c r="Q235" s="655"/>
      <c r="R235" s="610"/>
      <c r="S235" s="611"/>
      <c r="T235" s="584"/>
      <c r="U235" s="655"/>
      <c r="V235" s="639"/>
      <c r="W235" s="639"/>
      <c r="X235" s="640"/>
    </row>
    <row r="236" spans="1:257" s="641" customFormat="1" ht="28.5" customHeight="1">
      <c r="A236" s="672"/>
      <c r="B236" s="651" t="s">
        <v>1516</v>
      </c>
      <c r="C236" s="635"/>
      <c r="D236" s="635"/>
      <c r="E236" s="651"/>
      <c r="F236" s="651"/>
      <c r="G236" s="651"/>
      <c r="H236" s="651"/>
      <c r="I236" s="651"/>
      <c r="J236" s="651"/>
      <c r="K236" s="651"/>
      <c r="L236" s="1305">
        <v>200000000</v>
      </c>
      <c r="M236" s="651"/>
      <c r="N236" s="655"/>
      <c r="O236" s="655"/>
      <c r="P236" s="655"/>
      <c r="Q236" s="655"/>
      <c r="R236" s="610"/>
      <c r="S236" s="611"/>
      <c r="T236" s="584"/>
      <c r="U236" s="655"/>
      <c r="V236" s="639"/>
      <c r="W236" s="639"/>
      <c r="X236" s="640"/>
    </row>
    <row r="237" spans="1:257" s="641" customFormat="1" ht="31.5">
      <c r="A237" s="672"/>
      <c r="B237" s="651" t="s">
        <v>1517</v>
      </c>
      <c r="C237" s="635"/>
      <c r="D237" s="635"/>
      <c r="E237" s="651"/>
      <c r="F237" s="651"/>
      <c r="G237" s="651"/>
      <c r="H237" s="651"/>
      <c r="I237" s="651"/>
      <c r="J237" s="651"/>
      <c r="K237" s="651">
        <v>200000000</v>
      </c>
      <c r="L237" s="1305">
        <v>600000000</v>
      </c>
      <c r="M237" s="651"/>
      <c r="N237" s="655"/>
      <c r="O237" s="655"/>
      <c r="P237" s="655"/>
      <c r="Q237" s="655"/>
      <c r="R237" s="610"/>
      <c r="S237" s="611"/>
      <c r="T237" s="584"/>
      <c r="U237" s="655"/>
      <c r="V237" s="639"/>
      <c r="W237" s="639"/>
      <c r="X237" s="640"/>
    </row>
    <row r="238" spans="1:257" s="582" customFormat="1">
      <c r="A238" s="713"/>
      <c r="B238" s="668" t="s">
        <v>263</v>
      </c>
      <c r="C238" s="713"/>
      <c r="D238" s="713"/>
      <c r="E238" s="725"/>
      <c r="F238" s="669">
        <f>F230*10%</f>
        <v>0</v>
      </c>
      <c r="G238" s="877"/>
      <c r="H238" s="877"/>
      <c r="I238" s="877"/>
      <c r="J238" s="669"/>
      <c r="K238" s="669">
        <f>K218*10%</f>
        <v>40000000</v>
      </c>
      <c r="L238" s="1306">
        <f>L218*10%</f>
        <v>100000000</v>
      </c>
      <c r="M238" s="669"/>
      <c r="N238" s="670"/>
      <c r="O238" s="670"/>
      <c r="P238" s="878"/>
      <c r="Q238" s="878"/>
      <c r="R238" s="593"/>
      <c r="S238" s="611"/>
      <c r="T238" s="584"/>
      <c r="U238" s="655"/>
      <c r="V238" s="639"/>
      <c r="W238" s="639"/>
      <c r="X238" s="640"/>
      <c r="Y238" s="641"/>
      <c r="Z238" s="641"/>
      <c r="AA238" s="641"/>
      <c r="AB238" s="641"/>
      <c r="AC238" s="641"/>
      <c r="AD238" s="641"/>
      <c r="AE238" s="641"/>
      <c r="AF238" s="641"/>
      <c r="AG238" s="641"/>
      <c r="AH238" s="641"/>
      <c r="AI238" s="641"/>
      <c r="AJ238" s="641"/>
      <c r="AK238" s="641"/>
      <c r="AL238" s="641"/>
      <c r="AM238" s="641"/>
      <c r="AN238" s="641"/>
      <c r="AO238" s="641"/>
      <c r="AP238" s="641"/>
      <c r="AQ238" s="641"/>
      <c r="AR238" s="641"/>
      <c r="AS238" s="641"/>
      <c r="AT238" s="641"/>
      <c r="AU238" s="641"/>
      <c r="AV238" s="641"/>
      <c r="AW238" s="641"/>
      <c r="AX238" s="641"/>
      <c r="AY238" s="641"/>
      <c r="AZ238" s="641"/>
      <c r="BA238" s="641"/>
      <c r="BB238" s="641"/>
      <c r="BC238" s="641"/>
      <c r="BD238" s="641"/>
      <c r="BE238" s="641"/>
      <c r="BF238" s="641"/>
      <c r="BG238" s="641"/>
      <c r="BH238" s="641"/>
      <c r="BI238" s="641"/>
      <c r="BJ238" s="641"/>
      <c r="BK238" s="641"/>
      <c r="BL238" s="641"/>
      <c r="BM238" s="641"/>
      <c r="BN238" s="641"/>
      <c r="BO238" s="641"/>
      <c r="BP238" s="641"/>
      <c r="BQ238" s="641"/>
      <c r="BR238" s="641"/>
      <c r="BS238" s="641"/>
      <c r="BT238" s="641"/>
      <c r="BU238" s="641"/>
      <c r="BV238" s="641"/>
      <c r="BW238" s="641"/>
      <c r="BX238" s="641"/>
      <c r="BY238" s="641"/>
      <c r="BZ238" s="641"/>
      <c r="CA238" s="641"/>
      <c r="CB238" s="641"/>
      <c r="CC238" s="641"/>
      <c r="CD238" s="641"/>
      <c r="CE238" s="641"/>
      <c r="CF238" s="641"/>
      <c r="CG238" s="641"/>
      <c r="CH238" s="641"/>
      <c r="CI238" s="641"/>
      <c r="CJ238" s="641"/>
      <c r="CK238" s="641"/>
      <c r="CL238" s="641"/>
      <c r="CM238" s="641"/>
      <c r="CN238" s="641"/>
      <c r="CO238" s="641"/>
      <c r="CP238" s="641"/>
      <c r="CQ238" s="641"/>
      <c r="CR238" s="641"/>
      <c r="CS238" s="641"/>
      <c r="CT238" s="641"/>
      <c r="CU238" s="641"/>
      <c r="CV238" s="641"/>
      <c r="CW238" s="641"/>
      <c r="CX238" s="641"/>
      <c r="CY238" s="641"/>
      <c r="CZ238" s="641"/>
      <c r="DA238" s="641"/>
      <c r="DB238" s="641"/>
      <c r="DC238" s="641"/>
      <c r="DD238" s="641"/>
      <c r="DE238" s="641"/>
      <c r="DF238" s="641"/>
      <c r="DG238" s="641"/>
      <c r="DH238" s="641"/>
      <c r="DI238" s="641"/>
      <c r="DJ238" s="641"/>
      <c r="DK238" s="641"/>
      <c r="DL238" s="641"/>
      <c r="DM238" s="641"/>
      <c r="DN238" s="641"/>
      <c r="DO238" s="641"/>
      <c r="DP238" s="641"/>
      <c r="DQ238" s="641"/>
      <c r="DR238" s="641"/>
      <c r="DS238" s="641"/>
      <c r="DT238" s="641"/>
      <c r="DU238" s="641"/>
      <c r="DV238" s="641"/>
      <c r="DW238" s="641"/>
      <c r="DX238" s="641"/>
      <c r="DY238" s="641"/>
      <c r="DZ238" s="641"/>
      <c r="EA238" s="641"/>
      <c r="EB238" s="641"/>
      <c r="EC238" s="641"/>
      <c r="ED238" s="641"/>
      <c r="EE238" s="641"/>
      <c r="EF238" s="641"/>
      <c r="EG238" s="641"/>
      <c r="EH238" s="641"/>
      <c r="EI238" s="641"/>
      <c r="EJ238" s="641"/>
      <c r="EK238" s="641"/>
      <c r="EL238" s="641"/>
      <c r="EM238" s="641"/>
      <c r="EN238" s="641"/>
      <c r="EO238" s="641"/>
      <c r="EP238" s="641"/>
      <c r="EQ238" s="641"/>
      <c r="ER238" s="641"/>
      <c r="ES238" s="641"/>
      <c r="ET238" s="641"/>
      <c r="EU238" s="641"/>
      <c r="EV238" s="641"/>
      <c r="EW238" s="641"/>
      <c r="EX238" s="641"/>
      <c r="EY238" s="641"/>
      <c r="EZ238" s="641"/>
      <c r="FA238" s="641"/>
      <c r="FB238" s="641"/>
      <c r="FC238" s="641"/>
      <c r="FD238" s="641"/>
      <c r="FE238" s="641"/>
      <c r="FF238" s="641"/>
      <c r="FG238" s="641"/>
      <c r="FH238" s="641"/>
      <c r="FI238" s="641"/>
      <c r="FJ238" s="641"/>
      <c r="FK238" s="641"/>
      <c r="FL238" s="641"/>
      <c r="FM238" s="641"/>
      <c r="FN238" s="641"/>
      <c r="FO238" s="641"/>
      <c r="FP238" s="641"/>
      <c r="FQ238" s="641"/>
      <c r="FR238" s="641"/>
      <c r="FS238" s="641"/>
      <c r="FT238" s="641"/>
      <c r="FU238" s="641"/>
      <c r="FV238" s="641"/>
      <c r="FW238" s="641"/>
      <c r="FX238" s="641"/>
      <c r="FY238" s="641"/>
      <c r="FZ238" s="641"/>
      <c r="GA238" s="641"/>
      <c r="GB238" s="641"/>
      <c r="GC238" s="641"/>
      <c r="GD238" s="641"/>
      <c r="GE238" s="641"/>
      <c r="GF238" s="641"/>
      <c r="GG238" s="641"/>
      <c r="GH238" s="641"/>
      <c r="GI238" s="641"/>
      <c r="GJ238" s="641"/>
      <c r="GK238" s="641"/>
      <c r="GL238" s="641"/>
      <c r="GM238" s="641"/>
      <c r="GN238" s="641"/>
      <c r="GO238" s="641"/>
      <c r="GP238" s="641"/>
      <c r="GQ238" s="641"/>
      <c r="GR238" s="641"/>
      <c r="GS238" s="641"/>
      <c r="GT238" s="641"/>
      <c r="GU238" s="641"/>
      <c r="GV238" s="641"/>
      <c r="GW238" s="641"/>
      <c r="GX238" s="641"/>
      <c r="GY238" s="641"/>
      <c r="GZ238" s="641"/>
      <c r="HA238" s="641"/>
      <c r="HB238" s="641"/>
      <c r="HC238" s="641"/>
      <c r="HD238" s="641"/>
      <c r="HE238" s="641"/>
      <c r="HF238" s="641"/>
      <c r="HG238" s="641"/>
      <c r="HH238" s="641"/>
      <c r="HI238" s="641"/>
      <c r="HJ238" s="641"/>
      <c r="HK238" s="641"/>
      <c r="HL238" s="641"/>
      <c r="HM238" s="641"/>
      <c r="HN238" s="641"/>
      <c r="HO238" s="641"/>
      <c r="HP238" s="641"/>
      <c r="HQ238" s="641"/>
      <c r="HR238" s="641"/>
      <c r="HS238" s="641"/>
      <c r="HT238" s="641"/>
      <c r="HU238" s="641"/>
      <c r="HV238" s="641"/>
      <c r="HW238" s="641"/>
      <c r="HX238" s="641"/>
      <c r="HY238" s="641"/>
      <c r="HZ238" s="641"/>
      <c r="IA238" s="641"/>
      <c r="IB238" s="641"/>
      <c r="IC238" s="641"/>
      <c r="ID238" s="641"/>
      <c r="IE238" s="641"/>
      <c r="IF238" s="641"/>
      <c r="IG238" s="641"/>
      <c r="IH238" s="641"/>
      <c r="II238" s="641"/>
      <c r="IJ238" s="641"/>
      <c r="IK238" s="641"/>
      <c r="IL238" s="641"/>
      <c r="IM238" s="641"/>
      <c r="IN238" s="641"/>
      <c r="IO238" s="641"/>
      <c r="IP238" s="641"/>
      <c r="IQ238" s="641"/>
      <c r="IR238" s="641"/>
      <c r="IS238" s="641"/>
      <c r="IT238" s="641"/>
      <c r="IU238" s="641"/>
      <c r="IV238" s="641"/>
      <c r="IW238" s="641"/>
    </row>
    <row r="239" spans="1:257" s="614" customFormat="1" ht="15.75" hidden="1" customHeight="1">
      <c r="A239" s="713"/>
      <c r="B239" s="668" t="s">
        <v>281</v>
      </c>
      <c r="C239" s="713"/>
      <c r="D239" s="713"/>
      <c r="E239" s="725"/>
      <c r="F239" s="725">
        <f>F238*1%</f>
        <v>0</v>
      </c>
      <c r="G239" s="781"/>
      <c r="H239" s="781"/>
      <c r="I239" s="781"/>
      <c r="J239" s="725"/>
      <c r="K239" s="725"/>
      <c r="L239" s="1311"/>
      <c r="M239" s="669"/>
      <c r="N239" s="782"/>
      <c r="O239" s="782"/>
      <c r="P239" s="783"/>
      <c r="Q239" s="783"/>
      <c r="R239" s="879"/>
      <c r="S239" s="611"/>
      <c r="T239" s="584"/>
      <c r="U239" s="655"/>
      <c r="V239" s="639"/>
      <c r="W239" s="639"/>
      <c r="X239" s="640"/>
      <c r="Y239" s="641"/>
      <c r="Z239" s="641"/>
      <c r="AA239" s="641"/>
      <c r="AB239" s="641"/>
      <c r="AC239" s="641"/>
      <c r="AD239" s="641"/>
      <c r="AE239" s="641"/>
      <c r="AF239" s="641"/>
      <c r="AG239" s="641"/>
      <c r="AH239" s="641"/>
      <c r="AI239" s="641"/>
      <c r="AJ239" s="641"/>
      <c r="AK239" s="641"/>
      <c r="AL239" s="641"/>
      <c r="AM239" s="641"/>
      <c r="AN239" s="641"/>
      <c r="AO239" s="641"/>
      <c r="AP239" s="641"/>
      <c r="AQ239" s="641"/>
      <c r="AR239" s="641"/>
      <c r="AS239" s="641"/>
      <c r="AT239" s="641"/>
      <c r="AU239" s="641"/>
      <c r="AV239" s="641"/>
      <c r="AW239" s="641"/>
      <c r="AX239" s="641"/>
      <c r="AY239" s="641"/>
      <c r="AZ239" s="641"/>
      <c r="BA239" s="641"/>
      <c r="BB239" s="641"/>
      <c r="BC239" s="641"/>
      <c r="BD239" s="641"/>
      <c r="BE239" s="641"/>
      <c r="BF239" s="641"/>
      <c r="BG239" s="641"/>
      <c r="BH239" s="641"/>
      <c r="BI239" s="641"/>
      <c r="BJ239" s="641"/>
      <c r="BK239" s="641"/>
      <c r="BL239" s="641"/>
      <c r="BM239" s="641"/>
      <c r="BN239" s="641"/>
      <c r="BO239" s="641"/>
      <c r="BP239" s="641"/>
      <c r="BQ239" s="641"/>
      <c r="BR239" s="641"/>
      <c r="BS239" s="641"/>
      <c r="BT239" s="641"/>
      <c r="BU239" s="641"/>
      <c r="BV239" s="641"/>
      <c r="BW239" s="641"/>
      <c r="BX239" s="641"/>
      <c r="BY239" s="641"/>
      <c r="BZ239" s="641"/>
      <c r="CA239" s="641"/>
      <c r="CB239" s="641"/>
      <c r="CC239" s="641"/>
      <c r="CD239" s="641"/>
      <c r="CE239" s="641"/>
      <c r="CF239" s="641"/>
      <c r="CG239" s="641"/>
      <c r="CH239" s="641"/>
      <c r="CI239" s="641"/>
      <c r="CJ239" s="641"/>
      <c r="CK239" s="641"/>
      <c r="CL239" s="641"/>
      <c r="CM239" s="641"/>
      <c r="CN239" s="641"/>
      <c r="CO239" s="641"/>
      <c r="CP239" s="641"/>
      <c r="CQ239" s="641"/>
      <c r="CR239" s="641"/>
      <c r="CS239" s="641"/>
      <c r="CT239" s="641"/>
      <c r="CU239" s="641"/>
      <c r="CV239" s="641"/>
      <c r="CW239" s="641"/>
      <c r="CX239" s="641"/>
      <c r="CY239" s="641"/>
      <c r="CZ239" s="641"/>
      <c r="DA239" s="641"/>
      <c r="DB239" s="641"/>
      <c r="DC239" s="641"/>
      <c r="DD239" s="641"/>
      <c r="DE239" s="641"/>
      <c r="DF239" s="641"/>
      <c r="DG239" s="641"/>
      <c r="DH239" s="641"/>
      <c r="DI239" s="641"/>
      <c r="DJ239" s="641"/>
      <c r="DK239" s="641"/>
      <c r="DL239" s="641"/>
      <c r="DM239" s="641"/>
      <c r="DN239" s="641"/>
      <c r="DO239" s="641"/>
      <c r="DP239" s="641"/>
      <c r="DQ239" s="641"/>
      <c r="DR239" s="641"/>
      <c r="DS239" s="641"/>
      <c r="DT239" s="641"/>
      <c r="DU239" s="641"/>
      <c r="DV239" s="641"/>
      <c r="DW239" s="641"/>
      <c r="DX239" s="641"/>
      <c r="DY239" s="641"/>
      <c r="DZ239" s="641"/>
      <c r="EA239" s="641"/>
      <c r="EB239" s="641"/>
      <c r="EC239" s="641"/>
      <c r="ED239" s="641"/>
      <c r="EE239" s="641"/>
      <c r="EF239" s="641"/>
      <c r="EG239" s="641"/>
      <c r="EH239" s="641"/>
      <c r="EI239" s="641"/>
      <c r="EJ239" s="641"/>
      <c r="EK239" s="641"/>
      <c r="EL239" s="641"/>
      <c r="EM239" s="641"/>
      <c r="EN239" s="641"/>
      <c r="EO239" s="641"/>
      <c r="EP239" s="641"/>
      <c r="EQ239" s="641"/>
      <c r="ER239" s="641"/>
      <c r="ES239" s="641"/>
      <c r="ET239" s="641"/>
      <c r="EU239" s="641"/>
      <c r="EV239" s="641"/>
      <c r="EW239" s="641"/>
      <c r="EX239" s="641"/>
      <c r="EY239" s="641"/>
      <c r="EZ239" s="641"/>
      <c r="FA239" s="641"/>
      <c r="FB239" s="641"/>
      <c r="FC239" s="641"/>
      <c r="FD239" s="641"/>
      <c r="FE239" s="641"/>
      <c r="FF239" s="641"/>
      <c r="FG239" s="641"/>
      <c r="FH239" s="641"/>
      <c r="FI239" s="641"/>
      <c r="FJ239" s="641"/>
      <c r="FK239" s="641"/>
      <c r="FL239" s="641"/>
      <c r="FM239" s="641"/>
      <c r="FN239" s="641"/>
      <c r="FO239" s="641"/>
      <c r="FP239" s="641"/>
      <c r="FQ239" s="641"/>
      <c r="FR239" s="641"/>
      <c r="FS239" s="641"/>
      <c r="FT239" s="641"/>
      <c r="FU239" s="641"/>
      <c r="FV239" s="641"/>
      <c r="FW239" s="641"/>
      <c r="FX239" s="641"/>
      <c r="FY239" s="641"/>
      <c r="FZ239" s="641"/>
      <c r="GA239" s="641"/>
      <c r="GB239" s="641"/>
      <c r="GC239" s="641"/>
      <c r="GD239" s="641"/>
      <c r="GE239" s="641"/>
      <c r="GF239" s="641"/>
      <c r="GG239" s="641"/>
      <c r="GH239" s="641"/>
      <c r="GI239" s="641"/>
      <c r="GJ239" s="641"/>
      <c r="GK239" s="641"/>
      <c r="GL239" s="641"/>
      <c r="GM239" s="641"/>
      <c r="GN239" s="641"/>
      <c r="GO239" s="641"/>
      <c r="GP239" s="641"/>
      <c r="GQ239" s="641"/>
      <c r="GR239" s="641"/>
      <c r="GS239" s="641"/>
      <c r="GT239" s="641"/>
      <c r="GU239" s="641"/>
      <c r="GV239" s="641"/>
      <c r="GW239" s="641"/>
      <c r="GX239" s="641"/>
      <c r="GY239" s="641"/>
      <c r="GZ239" s="641"/>
      <c r="HA239" s="641"/>
      <c r="HB239" s="641"/>
      <c r="HC239" s="641"/>
      <c r="HD239" s="641"/>
      <c r="HE239" s="641"/>
      <c r="HF239" s="641"/>
      <c r="HG239" s="641"/>
      <c r="HH239" s="641"/>
      <c r="HI239" s="641"/>
      <c r="HJ239" s="641"/>
      <c r="HK239" s="641"/>
      <c r="HL239" s="641"/>
      <c r="HM239" s="641"/>
      <c r="HN239" s="641"/>
      <c r="HO239" s="641"/>
      <c r="HP239" s="641"/>
      <c r="HQ239" s="641"/>
      <c r="HR239" s="641"/>
      <c r="HS239" s="641"/>
      <c r="HT239" s="641"/>
      <c r="HU239" s="641"/>
      <c r="HV239" s="641"/>
      <c r="HW239" s="641"/>
      <c r="HX239" s="641"/>
      <c r="HY239" s="641"/>
      <c r="HZ239" s="641"/>
      <c r="IA239" s="641"/>
      <c r="IB239" s="641"/>
      <c r="IC239" s="641"/>
      <c r="ID239" s="641"/>
      <c r="IE239" s="641"/>
      <c r="IF239" s="641"/>
      <c r="IG239" s="641"/>
      <c r="IH239" s="641"/>
      <c r="II239" s="641"/>
      <c r="IJ239" s="641"/>
      <c r="IK239" s="641"/>
      <c r="IL239" s="641"/>
      <c r="IM239" s="641"/>
      <c r="IN239" s="641"/>
      <c r="IO239" s="641"/>
      <c r="IP239" s="641"/>
      <c r="IQ239" s="641"/>
      <c r="IR239" s="641"/>
      <c r="IS239" s="641"/>
      <c r="IT239" s="641"/>
      <c r="IU239" s="641"/>
      <c r="IV239" s="641"/>
      <c r="IW239" s="641"/>
    </row>
    <row r="240" spans="1:257" s="665" customFormat="1">
      <c r="A240" s="880">
        <v>16</v>
      </c>
      <c r="B240" s="881" t="s">
        <v>937</v>
      </c>
      <c r="C240" s="880"/>
      <c r="D240" s="880"/>
      <c r="E240" s="882"/>
      <c r="F240" s="882"/>
      <c r="G240" s="883"/>
      <c r="H240" s="883"/>
      <c r="I240" s="883"/>
      <c r="J240" s="882"/>
      <c r="K240" s="882">
        <f>SUM(K241:K244)</f>
        <v>2000000000</v>
      </c>
      <c r="L240" s="1316">
        <f>SUM(L241:L244)</f>
        <v>1500000000</v>
      </c>
      <c r="M240" s="625" t="s">
        <v>1518</v>
      </c>
      <c r="N240" s="884"/>
      <c r="O240" s="884"/>
      <c r="P240" s="885"/>
      <c r="Q240" s="885"/>
      <c r="R240" s="886"/>
      <c r="S240" s="630"/>
      <c r="T240" s="768"/>
      <c r="U240" s="648"/>
      <c r="V240" s="664"/>
      <c r="W240" s="664"/>
      <c r="X240" s="630"/>
    </row>
    <row r="241" spans="1:257" s="614" customFormat="1" ht="31.5">
      <c r="A241" s="713" t="s">
        <v>91</v>
      </c>
      <c r="B241" s="668" t="s">
        <v>938</v>
      </c>
      <c r="C241" s="713"/>
      <c r="D241" s="713"/>
      <c r="E241" s="725"/>
      <c r="F241" s="725"/>
      <c r="G241" s="781"/>
      <c r="H241" s="781"/>
      <c r="I241" s="781"/>
      <c r="J241" s="725"/>
      <c r="K241" s="725"/>
      <c r="L241" s="1311"/>
      <c r="M241" s="669"/>
      <c r="N241" s="782"/>
      <c r="O241" s="782"/>
      <c r="P241" s="783"/>
      <c r="Q241" s="783"/>
      <c r="R241" s="879"/>
      <c r="S241" s="611"/>
      <c r="T241" s="584"/>
      <c r="U241" s="655"/>
      <c r="V241" s="639"/>
      <c r="W241" s="639"/>
      <c r="X241" s="640"/>
      <c r="Y241" s="641"/>
      <c r="Z241" s="641"/>
      <c r="AA241" s="641"/>
      <c r="AB241" s="641"/>
      <c r="AC241" s="641"/>
      <c r="AD241" s="641"/>
      <c r="AE241" s="641"/>
      <c r="AF241" s="641"/>
      <c r="AG241" s="641"/>
      <c r="AH241" s="641"/>
      <c r="AI241" s="641"/>
      <c r="AJ241" s="641"/>
      <c r="AK241" s="641"/>
      <c r="AL241" s="641"/>
      <c r="AM241" s="641"/>
      <c r="AN241" s="641"/>
      <c r="AO241" s="641"/>
      <c r="AP241" s="641"/>
      <c r="AQ241" s="641"/>
      <c r="AR241" s="641"/>
      <c r="AS241" s="641"/>
      <c r="AT241" s="641"/>
      <c r="AU241" s="641"/>
      <c r="AV241" s="641"/>
      <c r="AW241" s="641"/>
      <c r="AX241" s="641"/>
      <c r="AY241" s="641"/>
      <c r="AZ241" s="641"/>
      <c r="BA241" s="641"/>
      <c r="BB241" s="641"/>
      <c r="BC241" s="641"/>
      <c r="BD241" s="641"/>
      <c r="BE241" s="641"/>
      <c r="BF241" s="641"/>
      <c r="BG241" s="641"/>
      <c r="BH241" s="641"/>
      <c r="BI241" s="641"/>
      <c r="BJ241" s="641"/>
      <c r="BK241" s="641"/>
      <c r="BL241" s="641"/>
      <c r="BM241" s="641"/>
      <c r="BN241" s="641"/>
      <c r="BO241" s="641"/>
      <c r="BP241" s="641"/>
      <c r="BQ241" s="641"/>
      <c r="BR241" s="641"/>
      <c r="BS241" s="641"/>
      <c r="BT241" s="641"/>
      <c r="BU241" s="641"/>
      <c r="BV241" s="641"/>
      <c r="BW241" s="641"/>
      <c r="BX241" s="641"/>
      <c r="BY241" s="641"/>
      <c r="BZ241" s="641"/>
      <c r="CA241" s="641"/>
      <c r="CB241" s="641"/>
      <c r="CC241" s="641"/>
      <c r="CD241" s="641"/>
      <c r="CE241" s="641"/>
      <c r="CF241" s="641"/>
      <c r="CG241" s="641"/>
      <c r="CH241" s="641"/>
      <c r="CI241" s="641"/>
      <c r="CJ241" s="641"/>
      <c r="CK241" s="641"/>
      <c r="CL241" s="641"/>
      <c r="CM241" s="641"/>
      <c r="CN241" s="641"/>
      <c r="CO241" s="641"/>
      <c r="CP241" s="641"/>
      <c r="CQ241" s="641"/>
      <c r="CR241" s="641"/>
      <c r="CS241" s="641"/>
      <c r="CT241" s="641"/>
      <c r="CU241" s="641"/>
      <c r="CV241" s="641"/>
      <c r="CW241" s="641"/>
      <c r="CX241" s="641"/>
      <c r="CY241" s="641"/>
      <c r="CZ241" s="641"/>
      <c r="DA241" s="641"/>
      <c r="DB241" s="641"/>
      <c r="DC241" s="641"/>
      <c r="DD241" s="641"/>
      <c r="DE241" s="641"/>
      <c r="DF241" s="641"/>
      <c r="DG241" s="641"/>
      <c r="DH241" s="641"/>
      <c r="DI241" s="641"/>
      <c r="DJ241" s="641"/>
      <c r="DK241" s="641"/>
      <c r="DL241" s="641"/>
      <c r="DM241" s="641"/>
      <c r="DN241" s="641"/>
      <c r="DO241" s="641"/>
      <c r="DP241" s="641"/>
      <c r="DQ241" s="641"/>
      <c r="DR241" s="641"/>
      <c r="DS241" s="641"/>
      <c r="DT241" s="641"/>
      <c r="DU241" s="641"/>
      <c r="DV241" s="641"/>
      <c r="DW241" s="641"/>
      <c r="DX241" s="641"/>
      <c r="DY241" s="641"/>
      <c r="DZ241" s="641"/>
      <c r="EA241" s="641"/>
      <c r="EB241" s="641"/>
      <c r="EC241" s="641"/>
      <c r="ED241" s="641"/>
      <c r="EE241" s="641"/>
      <c r="EF241" s="641"/>
      <c r="EG241" s="641"/>
      <c r="EH241" s="641"/>
      <c r="EI241" s="641"/>
      <c r="EJ241" s="641"/>
      <c r="EK241" s="641"/>
      <c r="EL241" s="641"/>
      <c r="EM241" s="641"/>
      <c r="EN241" s="641"/>
      <c r="EO241" s="641"/>
      <c r="EP241" s="641"/>
      <c r="EQ241" s="641"/>
      <c r="ER241" s="641"/>
      <c r="ES241" s="641"/>
      <c r="ET241" s="641"/>
      <c r="EU241" s="641"/>
      <c r="EV241" s="641"/>
      <c r="EW241" s="641"/>
      <c r="EX241" s="641"/>
      <c r="EY241" s="641"/>
      <c r="EZ241" s="641"/>
      <c r="FA241" s="641"/>
      <c r="FB241" s="641"/>
      <c r="FC241" s="641"/>
      <c r="FD241" s="641"/>
      <c r="FE241" s="641"/>
      <c r="FF241" s="641"/>
      <c r="FG241" s="641"/>
      <c r="FH241" s="641"/>
      <c r="FI241" s="641"/>
      <c r="FJ241" s="641"/>
      <c r="FK241" s="641"/>
      <c r="FL241" s="641"/>
      <c r="FM241" s="641"/>
      <c r="FN241" s="641"/>
      <c r="FO241" s="641"/>
      <c r="FP241" s="641"/>
      <c r="FQ241" s="641"/>
      <c r="FR241" s="641"/>
      <c r="FS241" s="641"/>
      <c r="FT241" s="641"/>
      <c r="FU241" s="641"/>
      <c r="FV241" s="641"/>
      <c r="FW241" s="641"/>
      <c r="FX241" s="641"/>
      <c r="FY241" s="641"/>
      <c r="FZ241" s="641"/>
      <c r="GA241" s="641"/>
      <c r="GB241" s="641"/>
      <c r="GC241" s="641"/>
      <c r="GD241" s="641"/>
      <c r="GE241" s="641"/>
      <c r="GF241" s="641"/>
      <c r="GG241" s="641"/>
      <c r="GH241" s="641"/>
      <c r="GI241" s="641"/>
      <c r="GJ241" s="641"/>
      <c r="GK241" s="641"/>
      <c r="GL241" s="641"/>
      <c r="GM241" s="641"/>
      <c r="GN241" s="641"/>
      <c r="GO241" s="641"/>
      <c r="GP241" s="641"/>
      <c r="GQ241" s="641"/>
      <c r="GR241" s="641"/>
      <c r="GS241" s="641"/>
      <c r="GT241" s="641"/>
      <c r="GU241" s="641"/>
      <c r="GV241" s="641"/>
      <c r="GW241" s="641"/>
      <c r="GX241" s="641"/>
      <c r="GY241" s="641"/>
      <c r="GZ241" s="641"/>
      <c r="HA241" s="641"/>
      <c r="HB241" s="641"/>
      <c r="HC241" s="641"/>
      <c r="HD241" s="641"/>
      <c r="HE241" s="641"/>
      <c r="HF241" s="641"/>
      <c r="HG241" s="641"/>
      <c r="HH241" s="641"/>
      <c r="HI241" s="641"/>
      <c r="HJ241" s="641"/>
      <c r="HK241" s="641"/>
      <c r="HL241" s="641"/>
      <c r="HM241" s="641"/>
      <c r="HN241" s="641"/>
      <c r="HO241" s="641"/>
      <c r="HP241" s="641"/>
      <c r="HQ241" s="641"/>
      <c r="HR241" s="641"/>
      <c r="HS241" s="641"/>
      <c r="HT241" s="641"/>
      <c r="HU241" s="641"/>
      <c r="HV241" s="641"/>
      <c r="HW241" s="641"/>
      <c r="HX241" s="641"/>
      <c r="HY241" s="641"/>
      <c r="HZ241" s="641"/>
      <c r="IA241" s="641"/>
      <c r="IB241" s="641"/>
      <c r="IC241" s="641"/>
      <c r="ID241" s="641"/>
      <c r="IE241" s="641"/>
      <c r="IF241" s="641"/>
      <c r="IG241" s="641"/>
      <c r="IH241" s="641"/>
      <c r="II241" s="641"/>
      <c r="IJ241" s="641"/>
      <c r="IK241" s="641"/>
      <c r="IL241" s="641"/>
      <c r="IM241" s="641"/>
      <c r="IN241" s="641"/>
      <c r="IO241" s="641"/>
      <c r="IP241" s="641"/>
      <c r="IQ241" s="641"/>
      <c r="IR241" s="641"/>
      <c r="IS241" s="641"/>
      <c r="IT241" s="641"/>
      <c r="IU241" s="641"/>
      <c r="IV241" s="641"/>
      <c r="IW241" s="641"/>
    </row>
    <row r="242" spans="1:257" s="614" customFormat="1">
      <c r="A242" s="713" t="s">
        <v>91</v>
      </c>
      <c r="B242" s="668" t="s">
        <v>939</v>
      </c>
      <c r="C242" s="713"/>
      <c r="D242" s="713"/>
      <c r="E242" s="725"/>
      <c r="F242" s="725"/>
      <c r="G242" s="781"/>
      <c r="H242" s="781"/>
      <c r="I242" s="781"/>
      <c r="J242" s="725"/>
      <c r="K242" s="725">
        <v>2000000000</v>
      </c>
      <c r="L242" s="1311">
        <v>1500000000</v>
      </c>
      <c r="M242" s="669"/>
      <c r="N242" s="782"/>
      <c r="O242" s="782"/>
      <c r="P242" s="783"/>
      <c r="Q242" s="783"/>
      <c r="R242" s="879"/>
      <c r="S242" s="611"/>
      <c r="T242" s="584"/>
      <c r="U242" s="655"/>
      <c r="V242" s="639"/>
      <c r="W242" s="639"/>
      <c r="X242" s="640"/>
      <c r="Y242" s="641"/>
      <c r="Z242" s="641"/>
      <c r="AA242" s="641"/>
      <c r="AB242" s="641"/>
      <c r="AC242" s="641"/>
      <c r="AD242" s="641"/>
      <c r="AE242" s="641"/>
      <c r="AF242" s="641"/>
      <c r="AG242" s="641"/>
      <c r="AH242" s="641"/>
      <c r="AI242" s="641"/>
      <c r="AJ242" s="641"/>
      <c r="AK242" s="641"/>
      <c r="AL242" s="641"/>
      <c r="AM242" s="641"/>
      <c r="AN242" s="641"/>
      <c r="AO242" s="641"/>
      <c r="AP242" s="641"/>
      <c r="AQ242" s="641"/>
      <c r="AR242" s="641"/>
      <c r="AS242" s="641"/>
      <c r="AT242" s="641"/>
      <c r="AU242" s="641"/>
      <c r="AV242" s="641"/>
      <c r="AW242" s="641"/>
      <c r="AX242" s="641"/>
      <c r="AY242" s="641"/>
      <c r="AZ242" s="641"/>
      <c r="BA242" s="641"/>
      <c r="BB242" s="641"/>
      <c r="BC242" s="641"/>
      <c r="BD242" s="641"/>
      <c r="BE242" s="641"/>
      <c r="BF242" s="641"/>
      <c r="BG242" s="641"/>
      <c r="BH242" s="641"/>
      <c r="BI242" s="641"/>
      <c r="BJ242" s="641"/>
      <c r="BK242" s="641"/>
      <c r="BL242" s="641"/>
      <c r="BM242" s="641"/>
      <c r="BN242" s="641"/>
      <c r="BO242" s="641"/>
      <c r="BP242" s="641"/>
      <c r="BQ242" s="641"/>
      <c r="BR242" s="641"/>
      <c r="BS242" s="641"/>
      <c r="BT242" s="641"/>
      <c r="BU242" s="641"/>
      <c r="BV242" s="641"/>
      <c r="BW242" s="641"/>
      <c r="BX242" s="641"/>
      <c r="BY242" s="641"/>
      <c r="BZ242" s="641"/>
      <c r="CA242" s="641"/>
      <c r="CB242" s="641"/>
      <c r="CC242" s="641"/>
      <c r="CD242" s="641"/>
      <c r="CE242" s="641"/>
      <c r="CF242" s="641"/>
      <c r="CG242" s="641"/>
      <c r="CH242" s="641"/>
      <c r="CI242" s="641"/>
      <c r="CJ242" s="641"/>
      <c r="CK242" s="641"/>
      <c r="CL242" s="641"/>
      <c r="CM242" s="641"/>
      <c r="CN242" s="641"/>
      <c r="CO242" s="641"/>
      <c r="CP242" s="641"/>
      <c r="CQ242" s="641"/>
      <c r="CR242" s="641"/>
      <c r="CS242" s="641"/>
      <c r="CT242" s="641"/>
      <c r="CU242" s="641"/>
      <c r="CV242" s="641"/>
      <c r="CW242" s="641"/>
      <c r="CX242" s="641"/>
      <c r="CY242" s="641"/>
      <c r="CZ242" s="641"/>
      <c r="DA242" s="641"/>
      <c r="DB242" s="641"/>
      <c r="DC242" s="641"/>
      <c r="DD242" s="641"/>
      <c r="DE242" s="641"/>
      <c r="DF242" s="641"/>
      <c r="DG242" s="641"/>
      <c r="DH242" s="641"/>
      <c r="DI242" s="641"/>
      <c r="DJ242" s="641"/>
      <c r="DK242" s="641"/>
      <c r="DL242" s="641"/>
      <c r="DM242" s="641"/>
      <c r="DN242" s="641"/>
      <c r="DO242" s="641"/>
      <c r="DP242" s="641"/>
      <c r="DQ242" s="641"/>
      <c r="DR242" s="641"/>
      <c r="DS242" s="641"/>
      <c r="DT242" s="641"/>
      <c r="DU242" s="641"/>
      <c r="DV242" s="641"/>
      <c r="DW242" s="641"/>
      <c r="DX242" s="641"/>
      <c r="DY242" s="641"/>
      <c r="DZ242" s="641"/>
      <c r="EA242" s="641"/>
      <c r="EB242" s="641"/>
      <c r="EC242" s="641"/>
      <c r="ED242" s="641"/>
      <c r="EE242" s="641"/>
      <c r="EF242" s="641"/>
      <c r="EG242" s="641"/>
      <c r="EH242" s="641"/>
      <c r="EI242" s="641"/>
      <c r="EJ242" s="641"/>
      <c r="EK242" s="641"/>
      <c r="EL242" s="641"/>
      <c r="EM242" s="641"/>
      <c r="EN242" s="641"/>
      <c r="EO242" s="641"/>
      <c r="EP242" s="641"/>
      <c r="EQ242" s="641"/>
      <c r="ER242" s="641"/>
      <c r="ES242" s="641"/>
      <c r="ET242" s="641"/>
      <c r="EU242" s="641"/>
      <c r="EV242" s="641"/>
      <c r="EW242" s="641"/>
      <c r="EX242" s="641"/>
      <c r="EY242" s="641"/>
      <c r="EZ242" s="641"/>
      <c r="FA242" s="641"/>
      <c r="FB242" s="641"/>
      <c r="FC242" s="641"/>
      <c r="FD242" s="641"/>
      <c r="FE242" s="641"/>
      <c r="FF242" s="641"/>
      <c r="FG242" s="641"/>
      <c r="FH242" s="641"/>
      <c r="FI242" s="641"/>
      <c r="FJ242" s="641"/>
      <c r="FK242" s="641"/>
      <c r="FL242" s="641"/>
      <c r="FM242" s="641"/>
      <c r="FN242" s="641"/>
      <c r="FO242" s="641"/>
      <c r="FP242" s="641"/>
      <c r="FQ242" s="641"/>
      <c r="FR242" s="641"/>
      <c r="FS242" s="641"/>
      <c r="FT242" s="641"/>
      <c r="FU242" s="641"/>
      <c r="FV242" s="641"/>
      <c r="FW242" s="641"/>
      <c r="FX242" s="641"/>
      <c r="FY242" s="641"/>
      <c r="FZ242" s="641"/>
      <c r="GA242" s="641"/>
      <c r="GB242" s="641"/>
      <c r="GC242" s="641"/>
      <c r="GD242" s="641"/>
      <c r="GE242" s="641"/>
      <c r="GF242" s="641"/>
      <c r="GG242" s="641"/>
      <c r="GH242" s="641"/>
      <c r="GI242" s="641"/>
      <c r="GJ242" s="641"/>
      <c r="GK242" s="641"/>
      <c r="GL242" s="641"/>
      <c r="GM242" s="641"/>
      <c r="GN242" s="641"/>
      <c r="GO242" s="641"/>
      <c r="GP242" s="641"/>
      <c r="GQ242" s="641"/>
      <c r="GR242" s="641"/>
      <c r="GS242" s="641"/>
      <c r="GT242" s="641"/>
      <c r="GU242" s="641"/>
      <c r="GV242" s="641"/>
      <c r="GW242" s="641"/>
      <c r="GX242" s="641"/>
      <c r="GY242" s="641"/>
      <c r="GZ242" s="641"/>
      <c r="HA242" s="641"/>
      <c r="HB242" s="641"/>
      <c r="HC242" s="641"/>
      <c r="HD242" s="641"/>
      <c r="HE242" s="641"/>
      <c r="HF242" s="641"/>
      <c r="HG242" s="641"/>
      <c r="HH242" s="641"/>
      <c r="HI242" s="641"/>
      <c r="HJ242" s="641"/>
      <c r="HK242" s="641"/>
      <c r="HL242" s="641"/>
      <c r="HM242" s="641"/>
      <c r="HN242" s="641"/>
      <c r="HO242" s="641"/>
      <c r="HP242" s="641"/>
      <c r="HQ242" s="641"/>
      <c r="HR242" s="641"/>
      <c r="HS242" s="641"/>
      <c r="HT242" s="641"/>
      <c r="HU242" s="641"/>
      <c r="HV242" s="641"/>
      <c r="HW242" s="641"/>
      <c r="HX242" s="641"/>
      <c r="HY242" s="641"/>
      <c r="HZ242" s="641"/>
      <c r="IA242" s="641"/>
      <c r="IB242" s="641"/>
      <c r="IC242" s="641"/>
      <c r="ID242" s="641"/>
      <c r="IE242" s="641"/>
      <c r="IF242" s="641"/>
      <c r="IG242" s="641"/>
      <c r="IH242" s="641"/>
      <c r="II242" s="641"/>
      <c r="IJ242" s="641"/>
      <c r="IK242" s="641"/>
      <c r="IL242" s="641"/>
      <c r="IM242" s="641"/>
      <c r="IN242" s="641"/>
      <c r="IO242" s="641"/>
      <c r="IP242" s="641"/>
      <c r="IQ242" s="641"/>
      <c r="IR242" s="641"/>
      <c r="IS242" s="641"/>
      <c r="IT242" s="641"/>
      <c r="IU242" s="641"/>
      <c r="IV242" s="641"/>
      <c r="IW242" s="641"/>
    </row>
    <row r="243" spans="1:257" s="665" customFormat="1" ht="31.5" hidden="1" customHeight="1">
      <c r="A243" s="758"/>
      <c r="B243" s="759" t="s">
        <v>940</v>
      </c>
      <c r="C243" s="758"/>
      <c r="D243" s="758"/>
      <c r="E243" s="760"/>
      <c r="F243" s="760"/>
      <c r="G243" s="765"/>
      <c r="H243" s="765"/>
      <c r="I243" s="765"/>
      <c r="J243" s="760"/>
      <c r="K243" s="760"/>
      <c r="L243" s="1311"/>
      <c r="M243" s="761" t="s">
        <v>941</v>
      </c>
      <c r="N243" s="887"/>
      <c r="O243" s="887"/>
      <c r="P243" s="766"/>
      <c r="Q243" s="766"/>
      <c r="R243" s="886"/>
      <c r="S243" s="630"/>
      <c r="T243" s="631"/>
      <c r="U243" s="776"/>
      <c r="V243" s="784"/>
      <c r="W243" s="784"/>
      <c r="X243" s="663"/>
      <c r="Y243" s="749"/>
      <c r="Z243" s="749"/>
      <c r="AA243" s="749"/>
      <c r="AB243" s="749"/>
      <c r="AC243" s="749"/>
      <c r="AD243" s="749"/>
      <c r="AE243" s="749"/>
      <c r="AF243" s="749"/>
      <c r="AG243" s="749"/>
      <c r="AH243" s="749"/>
      <c r="AI243" s="749"/>
      <c r="AJ243" s="749"/>
      <c r="AK243" s="749"/>
      <c r="AL243" s="749"/>
      <c r="AM243" s="749"/>
      <c r="AN243" s="749"/>
      <c r="AO243" s="749"/>
      <c r="AP243" s="749"/>
      <c r="AQ243" s="749"/>
      <c r="AR243" s="749"/>
      <c r="AS243" s="749"/>
      <c r="AT243" s="749"/>
      <c r="AU243" s="749"/>
      <c r="AV243" s="749"/>
      <c r="AW243" s="749"/>
      <c r="AX243" s="749"/>
      <c r="AY243" s="749"/>
      <c r="AZ243" s="749"/>
      <c r="BA243" s="749"/>
      <c r="BB243" s="749"/>
      <c r="BC243" s="749"/>
      <c r="BD243" s="749"/>
      <c r="BE243" s="749"/>
      <c r="BF243" s="749"/>
      <c r="BG243" s="749"/>
      <c r="BH243" s="749"/>
      <c r="BI243" s="749"/>
      <c r="BJ243" s="749"/>
      <c r="BK243" s="749"/>
      <c r="BL243" s="749"/>
      <c r="BM243" s="749"/>
      <c r="BN243" s="749"/>
      <c r="BO243" s="749"/>
      <c r="BP243" s="749"/>
      <c r="BQ243" s="749"/>
      <c r="BR243" s="749"/>
      <c r="BS243" s="749"/>
      <c r="BT243" s="749"/>
      <c r="BU243" s="749"/>
      <c r="BV243" s="749"/>
      <c r="BW243" s="749"/>
      <c r="BX243" s="749"/>
      <c r="BY243" s="749"/>
      <c r="BZ243" s="749"/>
      <c r="CA243" s="749"/>
      <c r="CB243" s="749"/>
      <c r="CC243" s="749"/>
      <c r="CD243" s="749"/>
      <c r="CE243" s="749"/>
      <c r="CF243" s="749"/>
      <c r="CG243" s="749"/>
      <c r="CH243" s="749"/>
      <c r="CI243" s="749"/>
      <c r="CJ243" s="749"/>
      <c r="CK243" s="749"/>
      <c r="CL243" s="749"/>
      <c r="CM243" s="749"/>
      <c r="CN243" s="749"/>
      <c r="CO243" s="749"/>
      <c r="CP243" s="749"/>
      <c r="CQ243" s="749"/>
      <c r="CR243" s="749"/>
      <c r="CS243" s="749"/>
      <c r="CT243" s="749"/>
      <c r="CU243" s="749"/>
      <c r="CV243" s="749"/>
      <c r="CW243" s="749"/>
      <c r="CX243" s="749"/>
      <c r="CY243" s="749"/>
      <c r="CZ243" s="749"/>
      <c r="DA243" s="749"/>
      <c r="DB243" s="749"/>
      <c r="DC243" s="749"/>
      <c r="DD243" s="749"/>
      <c r="DE243" s="749"/>
      <c r="DF243" s="749"/>
      <c r="DG243" s="749"/>
      <c r="DH243" s="749"/>
      <c r="DI243" s="749"/>
      <c r="DJ243" s="749"/>
      <c r="DK243" s="749"/>
      <c r="DL243" s="749"/>
      <c r="DM243" s="749"/>
      <c r="DN243" s="749"/>
      <c r="DO243" s="749"/>
      <c r="DP243" s="749"/>
      <c r="DQ243" s="749"/>
      <c r="DR243" s="749"/>
      <c r="DS243" s="749"/>
      <c r="DT243" s="749"/>
      <c r="DU243" s="749"/>
      <c r="DV243" s="749"/>
      <c r="DW243" s="749"/>
      <c r="DX243" s="749"/>
      <c r="DY243" s="749"/>
      <c r="DZ243" s="749"/>
      <c r="EA243" s="749"/>
      <c r="EB243" s="749"/>
      <c r="EC243" s="749"/>
      <c r="ED243" s="749"/>
      <c r="EE243" s="749"/>
      <c r="EF243" s="749"/>
      <c r="EG243" s="749"/>
      <c r="EH243" s="749"/>
      <c r="EI243" s="749"/>
      <c r="EJ243" s="749"/>
      <c r="EK243" s="749"/>
      <c r="EL243" s="749"/>
      <c r="EM243" s="749"/>
      <c r="EN243" s="749"/>
      <c r="EO243" s="749"/>
      <c r="EP243" s="749"/>
      <c r="EQ243" s="749"/>
      <c r="ER243" s="749"/>
      <c r="ES243" s="749"/>
      <c r="ET243" s="749"/>
      <c r="EU243" s="749"/>
      <c r="EV243" s="749"/>
      <c r="EW243" s="749"/>
      <c r="EX243" s="749"/>
      <c r="EY243" s="749"/>
      <c r="EZ243" s="749"/>
      <c r="FA243" s="749"/>
      <c r="FB243" s="749"/>
      <c r="FC243" s="749"/>
      <c r="FD243" s="749"/>
      <c r="FE243" s="749"/>
      <c r="FF243" s="749"/>
      <c r="FG243" s="749"/>
      <c r="FH243" s="749"/>
      <c r="FI243" s="749"/>
      <c r="FJ243" s="749"/>
      <c r="FK243" s="749"/>
      <c r="FL243" s="749"/>
      <c r="FM243" s="749"/>
      <c r="FN243" s="749"/>
      <c r="FO243" s="749"/>
      <c r="FP243" s="749"/>
      <c r="FQ243" s="749"/>
      <c r="FR243" s="749"/>
      <c r="FS243" s="749"/>
      <c r="FT243" s="749"/>
      <c r="FU243" s="749"/>
      <c r="FV243" s="749"/>
      <c r="FW243" s="749"/>
      <c r="FX243" s="749"/>
      <c r="FY243" s="749"/>
      <c r="FZ243" s="749"/>
      <c r="GA243" s="749"/>
      <c r="GB243" s="749"/>
      <c r="GC243" s="749"/>
      <c r="GD243" s="749"/>
      <c r="GE243" s="749"/>
      <c r="GF243" s="749"/>
      <c r="GG243" s="749"/>
      <c r="GH243" s="749"/>
      <c r="GI243" s="749"/>
      <c r="GJ243" s="749"/>
      <c r="GK243" s="749"/>
      <c r="GL243" s="749"/>
      <c r="GM243" s="749"/>
      <c r="GN243" s="749"/>
      <c r="GO243" s="749"/>
      <c r="GP243" s="749"/>
      <c r="GQ243" s="749"/>
      <c r="GR243" s="749"/>
      <c r="GS243" s="749"/>
      <c r="GT243" s="749"/>
      <c r="GU243" s="749"/>
      <c r="GV243" s="749"/>
      <c r="GW243" s="749"/>
      <c r="GX243" s="749"/>
      <c r="GY243" s="749"/>
      <c r="GZ243" s="749"/>
      <c r="HA243" s="749"/>
      <c r="HB243" s="749"/>
      <c r="HC243" s="749"/>
      <c r="HD243" s="749"/>
      <c r="HE243" s="749"/>
      <c r="HF243" s="749"/>
      <c r="HG243" s="749"/>
      <c r="HH243" s="749"/>
      <c r="HI243" s="749"/>
      <c r="HJ243" s="749"/>
      <c r="HK243" s="749"/>
      <c r="HL243" s="749"/>
      <c r="HM243" s="749"/>
      <c r="HN243" s="749"/>
      <c r="HO243" s="749"/>
      <c r="HP243" s="749"/>
      <c r="HQ243" s="749"/>
      <c r="HR243" s="749"/>
      <c r="HS243" s="749"/>
      <c r="HT243" s="749"/>
      <c r="HU243" s="749"/>
      <c r="HV243" s="749"/>
      <c r="HW243" s="749"/>
      <c r="HX243" s="749"/>
      <c r="HY243" s="749"/>
      <c r="HZ243" s="749"/>
      <c r="IA243" s="749"/>
      <c r="IB243" s="749"/>
      <c r="IC243" s="749"/>
      <c r="ID243" s="749"/>
      <c r="IE243" s="749"/>
      <c r="IF243" s="749"/>
      <c r="IG243" s="749"/>
      <c r="IH243" s="749"/>
      <c r="II243" s="749"/>
      <c r="IJ243" s="749"/>
      <c r="IK243" s="749"/>
      <c r="IL243" s="749"/>
      <c r="IM243" s="749"/>
      <c r="IN243" s="749"/>
      <c r="IO243" s="749"/>
      <c r="IP243" s="749"/>
      <c r="IQ243" s="749"/>
      <c r="IR243" s="749"/>
      <c r="IS243" s="749"/>
      <c r="IT243" s="749"/>
      <c r="IU243" s="749"/>
      <c r="IV243" s="749"/>
      <c r="IW243" s="749"/>
    </row>
    <row r="244" spans="1:257" s="614" customFormat="1">
      <c r="A244" s="713" t="s">
        <v>91</v>
      </c>
      <c r="B244" s="668" t="s">
        <v>942</v>
      </c>
      <c r="C244" s="713"/>
      <c r="D244" s="713"/>
      <c r="E244" s="725"/>
      <c r="F244" s="725"/>
      <c r="G244" s="781"/>
      <c r="H244" s="781"/>
      <c r="I244" s="781"/>
      <c r="J244" s="725"/>
      <c r="K244" s="725"/>
      <c r="L244" s="1311"/>
      <c r="M244" s="669"/>
      <c r="N244" s="782"/>
      <c r="O244" s="782"/>
      <c r="P244" s="783"/>
      <c r="Q244" s="783"/>
      <c r="R244" s="879"/>
      <c r="S244" s="611"/>
      <c r="T244" s="584"/>
      <c r="U244" s="655"/>
      <c r="V244" s="639"/>
      <c r="W244" s="639"/>
      <c r="X244" s="640"/>
      <c r="Y244" s="641"/>
      <c r="Z244" s="641"/>
      <c r="AA244" s="641"/>
      <c r="AB244" s="641"/>
      <c r="AC244" s="641"/>
      <c r="AD244" s="641"/>
      <c r="AE244" s="641"/>
      <c r="AF244" s="641"/>
      <c r="AG244" s="641"/>
      <c r="AH244" s="641"/>
      <c r="AI244" s="641"/>
      <c r="AJ244" s="641"/>
      <c r="AK244" s="641"/>
      <c r="AL244" s="641"/>
      <c r="AM244" s="641"/>
      <c r="AN244" s="641"/>
      <c r="AO244" s="641"/>
      <c r="AP244" s="641"/>
      <c r="AQ244" s="641"/>
      <c r="AR244" s="641"/>
      <c r="AS244" s="641"/>
      <c r="AT244" s="641"/>
      <c r="AU244" s="641"/>
      <c r="AV244" s="641"/>
      <c r="AW244" s="641"/>
      <c r="AX244" s="641"/>
      <c r="AY244" s="641"/>
      <c r="AZ244" s="641"/>
      <c r="BA244" s="641"/>
      <c r="BB244" s="641"/>
      <c r="BC244" s="641"/>
      <c r="BD244" s="641"/>
      <c r="BE244" s="641"/>
      <c r="BF244" s="641"/>
      <c r="BG244" s="641"/>
      <c r="BH244" s="641"/>
      <c r="BI244" s="641"/>
      <c r="BJ244" s="641"/>
      <c r="BK244" s="641"/>
      <c r="BL244" s="641"/>
      <c r="BM244" s="641"/>
      <c r="BN244" s="641"/>
      <c r="BO244" s="641"/>
      <c r="BP244" s="641"/>
      <c r="BQ244" s="641"/>
      <c r="BR244" s="641"/>
      <c r="BS244" s="641"/>
      <c r="BT244" s="641"/>
      <c r="BU244" s="641"/>
      <c r="BV244" s="641"/>
      <c r="BW244" s="641"/>
      <c r="BX244" s="641"/>
      <c r="BY244" s="641"/>
      <c r="BZ244" s="641"/>
      <c r="CA244" s="641"/>
      <c r="CB244" s="641"/>
      <c r="CC244" s="641"/>
      <c r="CD244" s="641"/>
      <c r="CE244" s="641"/>
      <c r="CF244" s="641"/>
      <c r="CG244" s="641"/>
      <c r="CH244" s="641"/>
      <c r="CI244" s="641"/>
      <c r="CJ244" s="641"/>
      <c r="CK244" s="641"/>
      <c r="CL244" s="641"/>
      <c r="CM244" s="641"/>
      <c r="CN244" s="641"/>
      <c r="CO244" s="641"/>
      <c r="CP244" s="641"/>
      <c r="CQ244" s="641"/>
      <c r="CR244" s="641"/>
      <c r="CS244" s="641"/>
      <c r="CT244" s="641"/>
      <c r="CU244" s="641"/>
      <c r="CV244" s="641"/>
      <c r="CW244" s="641"/>
      <c r="CX244" s="641"/>
      <c r="CY244" s="641"/>
      <c r="CZ244" s="641"/>
      <c r="DA244" s="641"/>
      <c r="DB244" s="641"/>
      <c r="DC244" s="641"/>
      <c r="DD244" s="641"/>
      <c r="DE244" s="641"/>
      <c r="DF244" s="641"/>
      <c r="DG244" s="641"/>
      <c r="DH244" s="641"/>
      <c r="DI244" s="641"/>
      <c r="DJ244" s="641"/>
      <c r="DK244" s="641"/>
      <c r="DL244" s="641"/>
      <c r="DM244" s="641"/>
      <c r="DN244" s="641"/>
      <c r="DO244" s="641"/>
      <c r="DP244" s="641"/>
      <c r="DQ244" s="641"/>
      <c r="DR244" s="641"/>
      <c r="DS244" s="641"/>
      <c r="DT244" s="641"/>
      <c r="DU244" s="641"/>
      <c r="DV244" s="641"/>
      <c r="DW244" s="641"/>
      <c r="DX244" s="641"/>
      <c r="DY244" s="641"/>
      <c r="DZ244" s="641"/>
      <c r="EA244" s="641"/>
      <c r="EB244" s="641"/>
      <c r="EC244" s="641"/>
      <c r="ED244" s="641"/>
      <c r="EE244" s="641"/>
      <c r="EF244" s="641"/>
      <c r="EG244" s="641"/>
      <c r="EH244" s="641"/>
      <c r="EI244" s="641"/>
      <c r="EJ244" s="641"/>
      <c r="EK244" s="641"/>
      <c r="EL244" s="641"/>
      <c r="EM244" s="641"/>
      <c r="EN244" s="641"/>
      <c r="EO244" s="641"/>
      <c r="EP244" s="641"/>
      <c r="EQ244" s="641"/>
      <c r="ER244" s="641"/>
      <c r="ES244" s="641"/>
      <c r="ET244" s="641"/>
      <c r="EU244" s="641"/>
      <c r="EV244" s="641"/>
      <c r="EW244" s="641"/>
      <c r="EX244" s="641"/>
      <c r="EY244" s="641"/>
      <c r="EZ244" s="641"/>
      <c r="FA244" s="641"/>
      <c r="FB244" s="641"/>
      <c r="FC244" s="641"/>
      <c r="FD244" s="641"/>
      <c r="FE244" s="641"/>
      <c r="FF244" s="641"/>
      <c r="FG244" s="641"/>
      <c r="FH244" s="641"/>
      <c r="FI244" s="641"/>
      <c r="FJ244" s="641"/>
      <c r="FK244" s="641"/>
      <c r="FL244" s="641"/>
      <c r="FM244" s="641"/>
      <c r="FN244" s="641"/>
      <c r="FO244" s="641"/>
      <c r="FP244" s="641"/>
      <c r="FQ244" s="641"/>
      <c r="FR244" s="641"/>
      <c r="FS244" s="641"/>
      <c r="FT244" s="641"/>
      <c r="FU244" s="641"/>
      <c r="FV244" s="641"/>
      <c r="FW244" s="641"/>
      <c r="FX244" s="641"/>
      <c r="FY244" s="641"/>
      <c r="FZ244" s="641"/>
      <c r="GA244" s="641"/>
      <c r="GB244" s="641"/>
      <c r="GC244" s="641"/>
      <c r="GD244" s="641"/>
      <c r="GE244" s="641"/>
      <c r="GF244" s="641"/>
      <c r="GG244" s="641"/>
      <c r="GH244" s="641"/>
      <c r="GI244" s="641"/>
      <c r="GJ244" s="641"/>
      <c r="GK244" s="641"/>
      <c r="GL244" s="641"/>
      <c r="GM244" s="641"/>
      <c r="GN244" s="641"/>
      <c r="GO244" s="641"/>
      <c r="GP244" s="641"/>
      <c r="GQ244" s="641"/>
      <c r="GR244" s="641"/>
      <c r="GS244" s="641"/>
      <c r="GT244" s="641"/>
      <c r="GU244" s="641"/>
      <c r="GV244" s="641"/>
      <c r="GW244" s="641"/>
      <c r="GX244" s="641"/>
      <c r="GY244" s="641"/>
      <c r="GZ244" s="641"/>
      <c r="HA244" s="641"/>
      <c r="HB244" s="641"/>
      <c r="HC244" s="641"/>
      <c r="HD244" s="641"/>
      <c r="HE244" s="641"/>
      <c r="HF244" s="641"/>
      <c r="HG244" s="641"/>
      <c r="HH244" s="641"/>
      <c r="HI244" s="641"/>
      <c r="HJ244" s="641"/>
      <c r="HK244" s="641"/>
      <c r="HL244" s="641"/>
      <c r="HM244" s="641"/>
      <c r="HN244" s="641"/>
      <c r="HO244" s="641"/>
      <c r="HP244" s="641"/>
      <c r="HQ244" s="641"/>
      <c r="HR244" s="641"/>
      <c r="HS244" s="641"/>
      <c r="HT244" s="641"/>
      <c r="HU244" s="641"/>
      <c r="HV244" s="641"/>
      <c r="HW244" s="641"/>
      <c r="HX244" s="641"/>
      <c r="HY244" s="641"/>
      <c r="HZ244" s="641"/>
      <c r="IA244" s="641"/>
      <c r="IB244" s="641"/>
      <c r="IC244" s="641"/>
      <c r="ID244" s="641"/>
      <c r="IE244" s="641"/>
      <c r="IF244" s="641"/>
      <c r="IG244" s="641"/>
      <c r="IH244" s="641"/>
      <c r="II244" s="641"/>
      <c r="IJ244" s="641"/>
      <c r="IK244" s="641"/>
      <c r="IL244" s="641"/>
      <c r="IM244" s="641"/>
      <c r="IN244" s="641"/>
      <c r="IO244" s="641"/>
      <c r="IP244" s="641"/>
      <c r="IQ244" s="641"/>
      <c r="IR244" s="641"/>
      <c r="IS244" s="641"/>
      <c r="IT244" s="641"/>
      <c r="IU244" s="641"/>
      <c r="IV244" s="641"/>
      <c r="IW244" s="641"/>
    </row>
    <row r="245" spans="1:257" s="665" customFormat="1">
      <c r="A245" s="729">
        <v>17</v>
      </c>
      <c r="B245" s="730" t="s">
        <v>943</v>
      </c>
      <c r="C245" s="729"/>
      <c r="D245" s="729"/>
      <c r="E245" s="731"/>
      <c r="F245" s="731"/>
      <c r="G245" s="883"/>
      <c r="H245" s="883"/>
      <c r="I245" s="883"/>
      <c r="J245" s="731"/>
      <c r="K245" s="731">
        <v>9500000000</v>
      </c>
      <c r="L245" s="1310">
        <v>0</v>
      </c>
      <c r="M245" s="731" t="s">
        <v>1519</v>
      </c>
      <c r="N245" s="888"/>
      <c r="O245" s="888"/>
      <c r="P245" s="885"/>
      <c r="Q245" s="885"/>
      <c r="R245" s="886"/>
      <c r="S245" s="630"/>
      <c r="T245" s="768"/>
      <c r="U245" s="648"/>
      <c r="V245" s="664"/>
      <c r="W245" s="664"/>
      <c r="X245" s="630"/>
    </row>
    <row r="246" spans="1:257" s="665" customFormat="1">
      <c r="A246" s="729">
        <v>18</v>
      </c>
      <c r="B246" s="730" t="s">
        <v>944</v>
      </c>
      <c r="C246" s="729"/>
      <c r="D246" s="729"/>
      <c r="E246" s="731"/>
      <c r="F246" s="731"/>
      <c r="G246" s="883"/>
      <c r="H246" s="883"/>
      <c r="I246" s="883"/>
      <c r="J246" s="731"/>
      <c r="K246" s="731">
        <f>K247+K248</f>
        <v>0</v>
      </c>
      <c r="L246" s="1310">
        <f>L247+L248</f>
        <v>0</v>
      </c>
      <c r="M246" s="731" t="s">
        <v>945</v>
      </c>
      <c r="N246" s="888"/>
      <c r="O246" s="888"/>
      <c r="P246" s="885"/>
      <c r="Q246" s="885"/>
      <c r="R246" s="886"/>
      <c r="S246" s="630"/>
      <c r="T246" s="768"/>
      <c r="U246" s="648"/>
      <c r="V246" s="664"/>
      <c r="W246" s="664"/>
      <c r="X246" s="630"/>
    </row>
    <row r="247" spans="1:257" s="614" customFormat="1" ht="15.75" hidden="1" customHeight="1">
      <c r="A247" s="713" t="s">
        <v>946</v>
      </c>
      <c r="B247" s="668" t="s">
        <v>947</v>
      </c>
      <c r="C247" s="713"/>
      <c r="D247" s="713"/>
      <c r="E247" s="725"/>
      <c r="F247" s="725"/>
      <c r="G247" s="781"/>
      <c r="H247" s="781"/>
      <c r="I247" s="781"/>
      <c r="J247" s="725"/>
      <c r="K247" s="725"/>
      <c r="L247" s="1311"/>
      <c r="M247" s="725">
        <v>300000000</v>
      </c>
      <c r="N247" s="782"/>
      <c r="O247" s="782"/>
      <c r="P247" s="783"/>
      <c r="Q247" s="783"/>
      <c r="R247" s="879"/>
      <c r="S247" s="611"/>
      <c r="T247" s="584"/>
      <c r="U247" s="655"/>
      <c r="V247" s="639"/>
      <c r="W247" s="639"/>
      <c r="X247" s="640"/>
      <c r="Y247" s="641"/>
      <c r="Z247" s="641"/>
      <c r="AA247" s="641"/>
      <c r="AB247" s="641"/>
      <c r="AC247" s="641"/>
      <c r="AD247" s="641"/>
      <c r="AE247" s="641"/>
      <c r="AF247" s="641"/>
      <c r="AG247" s="641"/>
      <c r="AH247" s="641"/>
      <c r="AI247" s="641"/>
      <c r="AJ247" s="641"/>
      <c r="AK247" s="641"/>
      <c r="AL247" s="641"/>
      <c r="AM247" s="641"/>
      <c r="AN247" s="641"/>
      <c r="AO247" s="641"/>
      <c r="AP247" s="641"/>
      <c r="AQ247" s="641"/>
      <c r="AR247" s="641"/>
      <c r="AS247" s="641"/>
      <c r="AT247" s="641"/>
      <c r="AU247" s="641"/>
      <c r="AV247" s="641"/>
      <c r="AW247" s="641"/>
      <c r="AX247" s="641"/>
      <c r="AY247" s="641"/>
      <c r="AZ247" s="641"/>
      <c r="BA247" s="641"/>
      <c r="BB247" s="641"/>
      <c r="BC247" s="641"/>
      <c r="BD247" s="641"/>
      <c r="BE247" s="641"/>
      <c r="BF247" s="641"/>
      <c r="BG247" s="641"/>
      <c r="BH247" s="641"/>
      <c r="BI247" s="641"/>
      <c r="BJ247" s="641"/>
      <c r="BK247" s="641"/>
      <c r="BL247" s="641"/>
      <c r="BM247" s="641"/>
      <c r="BN247" s="641"/>
      <c r="BO247" s="641"/>
      <c r="BP247" s="641"/>
      <c r="BQ247" s="641"/>
      <c r="BR247" s="641"/>
      <c r="BS247" s="641"/>
      <c r="BT247" s="641"/>
      <c r="BU247" s="641"/>
      <c r="BV247" s="641"/>
      <c r="BW247" s="641"/>
      <c r="BX247" s="641"/>
      <c r="BY247" s="641"/>
      <c r="BZ247" s="641"/>
      <c r="CA247" s="641"/>
      <c r="CB247" s="641"/>
      <c r="CC247" s="641"/>
      <c r="CD247" s="641"/>
      <c r="CE247" s="641"/>
      <c r="CF247" s="641"/>
      <c r="CG247" s="641"/>
      <c r="CH247" s="641"/>
      <c r="CI247" s="641"/>
      <c r="CJ247" s="641"/>
      <c r="CK247" s="641"/>
      <c r="CL247" s="641"/>
      <c r="CM247" s="641"/>
      <c r="CN247" s="641"/>
      <c r="CO247" s="641"/>
      <c r="CP247" s="641"/>
      <c r="CQ247" s="641"/>
      <c r="CR247" s="641"/>
      <c r="CS247" s="641"/>
      <c r="CT247" s="641"/>
      <c r="CU247" s="641"/>
      <c r="CV247" s="641"/>
      <c r="CW247" s="641"/>
      <c r="CX247" s="641"/>
      <c r="CY247" s="641"/>
      <c r="CZ247" s="641"/>
      <c r="DA247" s="641"/>
      <c r="DB247" s="641"/>
      <c r="DC247" s="641"/>
      <c r="DD247" s="641"/>
      <c r="DE247" s="641"/>
      <c r="DF247" s="641"/>
      <c r="DG247" s="641"/>
      <c r="DH247" s="641"/>
      <c r="DI247" s="641"/>
      <c r="DJ247" s="641"/>
      <c r="DK247" s="641"/>
      <c r="DL247" s="641"/>
      <c r="DM247" s="641"/>
      <c r="DN247" s="641"/>
      <c r="DO247" s="641"/>
      <c r="DP247" s="641"/>
      <c r="DQ247" s="641"/>
      <c r="DR247" s="641"/>
      <c r="DS247" s="641"/>
      <c r="DT247" s="641"/>
      <c r="DU247" s="641"/>
      <c r="DV247" s="641"/>
      <c r="DW247" s="641"/>
      <c r="DX247" s="641"/>
      <c r="DY247" s="641"/>
      <c r="DZ247" s="641"/>
      <c r="EA247" s="641"/>
      <c r="EB247" s="641"/>
      <c r="EC247" s="641"/>
      <c r="ED247" s="641"/>
      <c r="EE247" s="641"/>
      <c r="EF247" s="641"/>
      <c r="EG247" s="641"/>
      <c r="EH247" s="641"/>
      <c r="EI247" s="641"/>
      <c r="EJ247" s="641"/>
      <c r="EK247" s="641"/>
      <c r="EL247" s="641"/>
      <c r="EM247" s="641"/>
      <c r="EN247" s="641"/>
      <c r="EO247" s="641"/>
      <c r="EP247" s="641"/>
      <c r="EQ247" s="641"/>
      <c r="ER247" s="641"/>
      <c r="ES247" s="641"/>
      <c r="ET247" s="641"/>
      <c r="EU247" s="641"/>
      <c r="EV247" s="641"/>
      <c r="EW247" s="641"/>
      <c r="EX247" s="641"/>
      <c r="EY247" s="641"/>
      <c r="EZ247" s="641"/>
      <c r="FA247" s="641"/>
      <c r="FB247" s="641"/>
      <c r="FC247" s="641"/>
      <c r="FD247" s="641"/>
      <c r="FE247" s="641"/>
      <c r="FF247" s="641"/>
      <c r="FG247" s="641"/>
      <c r="FH247" s="641"/>
      <c r="FI247" s="641"/>
      <c r="FJ247" s="641"/>
      <c r="FK247" s="641"/>
      <c r="FL247" s="641"/>
      <c r="FM247" s="641"/>
      <c r="FN247" s="641"/>
      <c r="FO247" s="641"/>
      <c r="FP247" s="641"/>
      <c r="FQ247" s="641"/>
      <c r="FR247" s="641"/>
      <c r="FS247" s="641"/>
      <c r="FT247" s="641"/>
      <c r="FU247" s="641"/>
      <c r="FV247" s="641"/>
      <c r="FW247" s="641"/>
      <c r="FX247" s="641"/>
      <c r="FY247" s="641"/>
      <c r="FZ247" s="641"/>
      <c r="GA247" s="641"/>
      <c r="GB247" s="641"/>
      <c r="GC247" s="641"/>
      <c r="GD247" s="641"/>
      <c r="GE247" s="641"/>
      <c r="GF247" s="641"/>
      <c r="GG247" s="641"/>
      <c r="GH247" s="641"/>
      <c r="GI247" s="641"/>
      <c r="GJ247" s="641"/>
      <c r="GK247" s="641"/>
      <c r="GL247" s="641"/>
      <c r="GM247" s="641"/>
      <c r="GN247" s="641"/>
      <c r="GO247" s="641"/>
      <c r="GP247" s="641"/>
      <c r="GQ247" s="641"/>
      <c r="GR247" s="641"/>
      <c r="GS247" s="641"/>
      <c r="GT247" s="641"/>
      <c r="GU247" s="641"/>
      <c r="GV247" s="641"/>
      <c r="GW247" s="641"/>
      <c r="GX247" s="641"/>
      <c r="GY247" s="641"/>
      <c r="GZ247" s="641"/>
      <c r="HA247" s="641"/>
      <c r="HB247" s="641"/>
      <c r="HC247" s="641"/>
      <c r="HD247" s="641"/>
      <c r="HE247" s="641"/>
      <c r="HF247" s="641"/>
      <c r="HG247" s="641"/>
      <c r="HH247" s="641"/>
      <c r="HI247" s="641"/>
      <c r="HJ247" s="641"/>
      <c r="HK247" s="641"/>
      <c r="HL247" s="641"/>
      <c r="HM247" s="641"/>
      <c r="HN247" s="641"/>
      <c r="HO247" s="641"/>
      <c r="HP247" s="641"/>
      <c r="HQ247" s="641"/>
      <c r="HR247" s="641"/>
      <c r="HS247" s="641"/>
      <c r="HT247" s="641"/>
      <c r="HU247" s="641"/>
      <c r="HV247" s="641"/>
      <c r="HW247" s="641"/>
      <c r="HX247" s="641"/>
      <c r="HY247" s="641"/>
      <c r="HZ247" s="641"/>
      <c r="IA247" s="641"/>
      <c r="IB247" s="641"/>
      <c r="IC247" s="641"/>
      <c r="ID247" s="641"/>
      <c r="IE247" s="641"/>
      <c r="IF247" s="641"/>
      <c r="IG247" s="641"/>
      <c r="IH247" s="641"/>
      <c r="II247" s="641"/>
      <c r="IJ247" s="641"/>
      <c r="IK247" s="641"/>
      <c r="IL247" s="641"/>
      <c r="IM247" s="641"/>
      <c r="IN247" s="641"/>
      <c r="IO247" s="641"/>
      <c r="IP247" s="641"/>
      <c r="IQ247" s="641"/>
      <c r="IR247" s="641"/>
      <c r="IS247" s="641"/>
      <c r="IT247" s="641"/>
      <c r="IU247" s="641"/>
      <c r="IV247" s="641"/>
      <c r="IW247" s="641"/>
    </row>
    <row r="248" spans="1:257" s="614" customFormat="1" ht="15.75" hidden="1" customHeight="1">
      <c r="A248" s="713" t="s">
        <v>948</v>
      </c>
      <c r="B248" s="668" t="s">
        <v>949</v>
      </c>
      <c r="C248" s="713"/>
      <c r="D248" s="713"/>
      <c r="E248" s="725"/>
      <c r="F248" s="725"/>
      <c r="G248" s="781"/>
      <c r="H248" s="781"/>
      <c r="I248" s="781"/>
      <c r="J248" s="725"/>
      <c r="K248" s="725"/>
      <c r="L248" s="1311"/>
      <c r="M248" s="725">
        <v>1000000000</v>
      </c>
      <c r="N248" s="782"/>
      <c r="O248" s="782"/>
      <c r="P248" s="783"/>
      <c r="Q248" s="783"/>
      <c r="R248" s="879"/>
      <c r="S248" s="611"/>
      <c r="T248" s="584"/>
      <c r="U248" s="655"/>
      <c r="V248" s="639"/>
      <c r="W248" s="639"/>
      <c r="X248" s="640"/>
      <c r="Y248" s="641"/>
      <c r="Z248" s="641"/>
      <c r="AA248" s="641"/>
      <c r="AB248" s="641"/>
      <c r="AC248" s="641"/>
      <c r="AD248" s="641"/>
      <c r="AE248" s="641"/>
      <c r="AF248" s="641"/>
      <c r="AG248" s="641"/>
      <c r="AH248" s="641"/>
      <c r="AI248" s="641"/>
      <c r="AJ248" s="641"/>
      <c r="AK248" s="641"/>
      <c r="AL248" s="641"/>
      <c r="AM248" s="641"/>
      <c r="AN248" s="641"/>
      <c r="AO248" s="641"/>
      <c r="AP248" s="641"/>
      <c r="AQ248" s="641"/>
      <c r="AR248" s="641"/>
      <c r="AS248" s="641"/>
      <c r="AT248" s="641"/>
      <c r="AU248" s="641"/>
      <c r="AV248" s="641"/>
      <c r="AW248" s="641"/>
      <c r="AX248" s="641"/>
      <c r="AY248" s="641"/>
      <c r="AZ248" s="641"/>
      <c r="BA248" s="641"/>
      <c r="BB248" s="641"/>
      <c r="BC248" s="641"/>
      <c r="BD248" s="641"/>
      <c r="BE248" s="641"/>
      <c r="BF248" s="641"/>
      <c r="BG248" s="641"/>
      <c r="BH248" s="641"/>
      <c r="BI248" s="641"/>
      <c r="BJ248" s="641"/>
      <c r="BK248" s="641"/>
      <c r="BL248" s="641"/>
      <c r="BM248" s="641"/>
      <c r="BN248" s="641"/>
      <c r="BO248" s="641"/>
      <c r="BP248" s="641"/>
      <c r="BQ248" s="641"/>
      <c r="BR248" s="641"/>
      <c r="BS248" s="641"/>
      <c r="BT248" s="641"/>
      <c r="BU248" s="641"/>
      <c r="BV248" s="641"/>
      <c r="BW248" s="641"/>
      <c r="BX248" s="641"/>
      <c r="BY248" s="641"/>
      <c r="BZ248" s="641"/>
      <c r="CA248" s="641"/>
      <c r="CB248" s="641"/>
      <c r="CC248" s="641"/>
      <c r="CD248" s="641"/>
      <c r="CE248" s="641"/>
      <c r="CF248" s="641"/>
      <c r="CG248" s="641"/>
      <c r="CH248" s="641"/>
      <c r="CI248" s="641"/>
      <c r="CJ248" s="641"/>
      <c r="CK248" s="641"/>
      <c r="CL248" s="641"/>
      <c r="CM248" s="641"/>
      <c r="CN248" s="641"/>
      <c r="CO248" s="641"/>
      <c r="CP248" s="641"/>
      <c r="CQ248" s="641"/>
      <c r="CR248" s="641"/>
      <c r="CS248" s="641"/>
      <c r="CT248" s="641"/>
      <c r="CU248" s="641"/>
      <c r="CV248" s="641"/>
      <c r="CW248" s="641"/>
      <c r="CX248" s="641"/>
      <c r="CY248" s="641"/>
      <c r="CZ248" s="641"/>
      <c r="DA248" s="641"/>
      <c r="DB248" s="641"/>
      <c r="DC248" s="641"/>
      <c r="DD248" s="641"/>
      <c r="DE248" s="641"/>
      <c r="DF248" s="641"/>
      <c r="DG248" s="641"/>
      <c r="DH248" s="641"/>
      <c r="DI248" s="641"/>
      <c r="DJ248" s="641"/>
      <c r="DK248" s="641"/>
      <c r="DL248" s="641"/>
      <c r="DM248" s="641"/>
      <c r="DN248" s="641"/>
      <c r="DO248" s="641"/>
      <c r="DP248" s="641"/>
      <c r="DQ248" s="641"/>
      <c r="DR248" s="641"/>
      <c r="DS248" s="641"/>
      <c r="DT248" s="641"/>
      <c r="DU248" s="641"/>
      <c r="DV248" s="641"/>
      <c r="DW248" s="641"/>
      <c r="DX248" s="641"/>
      <c r="DY248" s="641"/>
      <c r="DZ248" s="641"/>
      <c r="EA248" s="641"/>
      <c r="EB248" s="641"/>
      <c r="EC248" s="641"/>
      <c r="ED248" s="641"/>
      <c r="EE248" s="641"/>
      <c r="EF248" s="641"/>
      <c r="EG248" s="641"/>
      <c r="EH248" s="641"/>
      <c r="EI248" s="641"/>
      <c r="EJ248" s="641"/>
      <c r="EK248" s="641"/>
      <c r="EL248" s="641"/>
      <c r="EM248" s="641"/>
      <c r="EN248" s="641"/>
      <c r="EO248" s="641"/>
      <c r="EP248" s="641"/>
      <c r="EQ248" s="641"/>
      <c r="ER248" s="641"/>
      <c r="ES248" s="641"/>
      <c r="ET248" s="641"/>
      <c r="EU248" s="641"/>
      <c r="EV248" s="641"/>
      <c r="EW248" s="641"/>
      <c r="EX248" s="641"/>
      <c r="EY248" s="641"/>
      <c r="EZ248" s="641"/>
      <c r="FA248" s="641"/>
      <c r="FB248" s="641"/>
      <c r="FC248" s="641"/>
      <c r="FD248" s="641"/>
      <c r="FE248" s="641"/>
      <c r="FF248" s="641"/>
      <c r="FG248" s="641"/>
      <c r="FH248" s="641"/>
      <c r="FI248" s="641"/>
      <c r="FJ248" s="641"/>
      <c r="FK248" s="641"/>
      <c r="FL248" s="641"/>
      <c r="FM248" s="641"/>
      <c r="FN248" s="641"/>
      <c r="FO248" s="641"/>
      <c r="FP248" s="641"/>
      <c r="FQ248" s="641"/>
      <c r="FR248" s="641"/>
      <c r="FS248" s="641"/>
      <c r="FT248" s="641"/>
      <c r="FU248" s="641"/>
      <c r="FV248" s="641"/>
      <c r="FW248" s="641"/>
      <c r="FX248" s="641"/>
      <c r="FY248" s="641"/>
      <c r="FZ248" s="641"/>
      <c r="GA248" s="641"/>
      <c r="GB248" s="641"/>
      <c r="GC248" s="641"/>
      <c r="GD248" s="641"/>
      <c r="GE248" s="641"/>
      <c r="GF248" s="641"/>
      <c r="GG248" s="641"/>
      <c r="GH248" s="641"/>
      <c r="GI248" s="641"/>
      <c r="GJ248" s="641"/>
      <c r="GK248" s="641"/>
      <c r="GL248" s="641"/>
      <c r="GM248" s="641"/>
      <c r="GN248" s="641"/>
      <c r="GO248" s="641"/>
      <c r="GP248" s="641"/>
      <c r="GQ248" s="641"/>
      <c r="GR248" s="641"/>
      <c r="GS248" s="641"/>
      <c r="GT248" s="641"/>
      <c r="GU248" s="641"/>
      <c r="GV248" s="641"/>
      <c r="GW248" s="641"/>
      <c r="GX248" s="641"/>
      <c r="GY248" s="641"/>
      <c r="GZ248" s="641"/>
      <c r="HA248" s="641"/>
      <c r="HB248" s="641"/>
      <c r="HC248" s="641"/>
      <c r="HD248" s="641"/>
      <c r="HE248" s="641"/>
      <c r="HF248" s="641"/>
      <c r="HG248" s="641"/>
      <c r="HH248" s="641"/>
      <c r="HI248" s="641"/>
      <c r="HJ248" s="641"/>
      <c r="HK248" s="641"/>
      <c r="HL248" s="641"/>
      <c r="HM248" s="641"/>
      <c r="HN248" s="641"/>
      <c r="HO248" s="641"/>
      <c r="HP248" s="641"/>
      <c r="HQ248" s="641"/>
      <c r="HR248" s="641"/>
      <c r="HS248" s="641"/>
      <c r="HT248" s="641"/>
      <c r="HU248" s="641"/>
      <c r="HV248" s="641"/>
      <c r="HW248" s="641"/>
      <c r="HX248" s="641"/>
      <c r="HY248" s="641"/>
      <c r="HZ248" s="641"/>
      <c r="IA248" s="641"/>
      <c r="IB248" s="641"/>
      <c r="IC248" s="641"/>
      <c r="ID248" s="641"/>
      <c r="IE248" s="641"/>
      <c r="IF248" s="641"/>
      <c r="IG248" s="641"/>
      <c r="IH248" s="641"/>
      <c r="II248" s="641"/>
      <c r="IJ248" s="641"/>
      <c r="IK248" s="641"/>
      <c r="IL248" s="641"/>
      <c r="IM248" s="641"/>
      <c r="IN248" s="641"/>
      <c r="IO248" s="641"/>
      <c r="IP248" s="641"/>
      <c r="IQ248" s="641"/>
      <c r="IR248" s="641"/>
      <c r="IS248" s="641"/>
      <c r="IT248" s="641"/>
      <c r="IU248" s="641"/>
      <c r="IV248" s="641"/>
      <c r="IW248" s="641"/>
    </row>
    <row r="249" spans="1:257" s="889" customFormat="1">
      <c r="A249" s="880" t="s">
        <v>283</v>
      </c>
      <c r="B249" s="881" t="s">
        <v>284</v>
      </c>
      <c r="C249" s="880"/>
      <c r="D249" s="880"/>
      <c r="E249" s="882"/>
      <c r="F249" s="882">
        <f t="shared" ref="F249:J249" si="19">F251+F252</f>
        <v>87481000000</v>
      </c>
      <c r="G249" s="882" t="e">
        <f t="shared" si="19"/>
        <v>#VALUE!</v>
      </c>
      <c r="H249" s="882">
        <f t="shared" si="19"/>
        <v>0</v>
      </c>
      <c r="I249" s="882">
        <f t="shared" si="19"/>
        <v>0</v>
      </c>
      <c r="J249" s="882">
        <f t="shared" si="19"/>
        <v>102480000000</v>
      </c>
      <c r="K249" s="882">
        <f>K251+K252</f>
        <v>94189000000</v>
      </c>
      <c r="L249" s="1316">
        <f>L251+L252</f>
        <v>100311000000</v>
      </c>
      <c r="M249" s="625"/>
      <c r="N249" s="884">
        <v>93775000000</v>
      </c>
      <c r="O249" s="884" t="s">
        <v>1977</v>
      </c>
      <c r="P249" s="778"/>
      <c r="Q249" s="778"/>
      <c r="R249" s="767"/>
      <c r="S249" s="630"/>
      <c r="T249" s="631"/>
      <c r="U249" s="776"/>
      <c r="V249" s="784"/>
      <c r="W249" s="746"/>
      <c r="X249" s="747"/>
      <c r="Y249" s="748"/>
      <c r="Z249" s="748"/>
      <c r="AA249" s="748"/>
      <c r="AB249" s="748"/>
      <c r="AC249" s="748"/>
      <c r="AD249" s="748"/>
      <c r="AE249" s="748"/>
      <c r="AF249" s="748"/>
      <c r="AG249" s="748"/>
      <c r="AH249" s="748"/>
      <c r="AI249" s="748"/>
      <c r="AJ249" s="748"/>
      <c r="AK249" s="748"/>
      <c r="AL249" s="748"/>
      <c r="AM249" s="748"/>
      <c r="AN249" s="748"/>
      <c r="AO249" s="748"/>
      <c r="AP249" s="748"/>
      <c r="AQ249" s="748"/>
      <c r="AR249" s="748"/>
      <c r="AS249" s="748"/>
      <c r="AT249" s="748"/>
      <c r="AU249" s="748"/>
      <c r="AV249" s="748"/>
      <c r="AW249" s="748"/>
      <c r="AX249" s="748"/>
      <c r="AY249" s="748"/>
      <c r="AZ249" s="748"/>
      <c r="BA249" s="748"/>
      <c r="BB249" s="748"/>
      <c r="BC249" s="748"/>
      <c r="BD249" s="748"/>
      <c r="BE249" s="748"/>
      <c r="BF249" s="748"/>
      <c r="BG249" s="748"/>
      <c r="BH249" s="748"/>
      <c r="BI249" s="748"/>
      <c r="BJ249" s="748"/>
      <c r="BK249" s="748"/>
      <c r="BL249" s="748"/>
      <c r="BM249" s="748"/>
      <c r="BN249" s="748"/>
      <c r="BO249" s="748"/>
      <c r="BP249" s="748"/>
      <c r="BQ249" s="748"/>
      <c r="BR249" s="748"/>
      <c r="BS249" s="748"/>
      <c r="BT249" s="748"/>
      <c r="BU249" s="748"/>
      <c r="BV249" s="748"/>
      <c r="BW249" s="748"/>
      <c r="BX249" s="748"/>
      <c r="BY249" s="748"/>
      <c r="BZ249" s="748"/>
      <c r="CA249" s="748"/>
      <c r="CB249" s="748"/>
      <c r="CC249" s="748"/>
      <c r="CD249" s="748"/>
      <c r="CE249" s="748"/>
      <c r="CF249" s="748"/>
      <c r="CG249" s="748"/>
      <c r="CH249" s="748"/>
      <c r="CI249" s="748"/>
      <c r="CJ249" s="748"/>
      <c r="CK249" s="748"/>
      <c r="CL249" s="748"/>
      <c r="CM249" s="748"/>
      <c r="CN249" s="748"/>
      <c r="CO249" s="748"/>
      <c r="CP249" s="748"/>
      <c r="CQ249" s="748"/>
      <c r="CR249" s="748"/>
      <c r="CS249" s="748"/>
      <c r="CT249" s="748"/>
      <c r="CU249" s="748"/>
      <c r="CV249" s="748"/>
      <c r="CW249" s="748"/>
      <c r="CX249" s="748"/>
      <c r="CY249" s="748"/>
      <c r="CZ249" s="748"/>
      <c r="DA249" s="748"/>
      <c r="DB249" s="748"/>
      <c r="DC249" s="748"/>
      <c r="DD249" s="748"/>
      <c r="DE249" s="748"/>
      <c r="DF249" s="748"/>
      <c r="DG249" s="748"/>
      <c r="DH249" s="748"/>
      <c r="DI249" s="748"/>
      <c r="DJ249" s="748"/>
      <c r="DK249" s="748"/>
      <c r="DL249" s="748"/>
      <c r="DM249" s="748"/>
      <c r="DN249" s="748"/>
      <c r="DO249" s="748"/>
      <c r="DP249" s="748"/>
      <c r="DQ249" s="748"/>
      <c r="DR249" s="748"/>
      <c r="DS249" s="748"/>
      <c r="DT249" s="748"/>
      <c r="DU249" s="748"/>
      <c r="DV249" s="748"/>
      <c r="DW249" s="748"/>
      <c r="DX249" s="748"/>
      <c r="DY249" s="748"/>
      <c r="DZ249" s="748"/>
      <c r="EA249" s="748"/>
      <c r="EB249" s="748"/>
      <c r="EC249" s="748"/>
      <c r="ED249" s="748"/>
      <c r="EE249" s="748"/>
      <c r="EF249" s="748"/>
      <c r="EG249" s="748"/>
      <c r="EH249" s="748"/>
      <c r="EI249" s="748"/>
      <c r="EJ249" s="748"/>
      <c r="EK249" s="748"/>
      <c r="EL249" s="748"/>
      <c r="EM249" s="748"/>
      <c r="EN249" s="748"/>
      <c r="EO249" s="748"/>
      <c r="EP249" s="748"/>
      <c r="EQ249" s="748"/>
      <c r="ER249" s="748"/>
      <c r="ES249" s="748"/>
      <c r="ET249" s="748"/>
      <c r="EU249" s="748"/>
      <c r="EV249" s="748"/>
      <c r="EW249" s="748"/>
      <c r="EX249" s="748"/>
      <c r="EY249" s="748"/>
      <c r="EZ249" s="748"/>
      <c r="FA249" s="748"/>
      <c r="FB249" s="748"/>
      <c r="FC249" s="748"/>
      <c r="FD249" s="748"/>
      <c r="FE249" s="748"/>
      <c r="FF249" s="748"/>
      <c r="FG249" s="748"/>
      <c r="FH249" s="748"/>
      <c r="FI249" s="748"/>
      <c r="FJ249" s="748"/>
      <c r="FK249" s="748"/>
      <c r="FL249" s="748"/>
      <c r="FM249" s="748"/>
      <c r="FN249" s="748"/>
      <c r="FO249" s="748"/>
      <c r="FP249" s="748"/>
      <c r="FQ249" s="748"/>
      <c r="FR249" s="748"/>
      <c r="FS249" s="748"/>
      <c r="FT249" s="748"/>
      <c r="FU249" s="748"/>
      <c r="FV249" s="748"/>
      <c r="FW249" s="748"/>
      <c r="FX249" s="748"/>
      <c r="FY249" s="748"/>
      <c r="FZ249" s="748"/>
      <c r="GA249" s="748"/>
      <c r="GB249" s="748"/>
      <c r="GC249" s="748"/>
      <c r="GD249" s="748"/>
      <c r="GE249" s="748"/>
      <c r="GF249" s="748"/>
      <c r="GG249" s="748"/>
      <c r="GH249" s="748"/>
      <c r="GI249" s="748"/>
      <c r="GJ249" s="748"/>
      <c r="GK249" s="748"/>
      <c r="GL249" s="748"/>
      <c r="GM249" s="748"/>
      <c r="GN249" s="748"/>
      <c r="GO249" s="748"/>
      <c r="GP249" s="748"/>
      <c r="GQ249" s="748"/>
      <c r="GR249" s="748"/>
      <c r="GS249" s="748"/>
      <c r="GT249" s="748"/>
      <c r="GU249" s="748"/>
      <c r="GV249" s="748"/>
      <c r="GW249" s="748"/>
      <c r="GX249" s="748"/>
      <c r="GY249" s="748"/>
      <c r="GZ249" s="748"/>
      <c r="HA249" s="748"/>
      <c r="HB249" s="748"/>
      <c r="HC249" s="748"/>
      <c r="HD249" s="748"/>
      <c r="HE249" s="748"/>
      <c r="HF249" s="748"/>
      <c r="HG249" s="748"/>
      <c r="HH249" s="748"/>
      <c r="HI249" s="748"/>
      <c r="HJ249" s="748"/>
      <c r="HK249" s="748"/>
      <c r="HL249" s="748"/>
      <c r="HM249" s="748"/>
      <c r="HN249" s="748"/>
      <c r="HO249" s="748"/>
      <c r="HP249" s="748"/>
      <c r="HQ249" s="748"/>
      <c r="HR249" s="748"/>
      <c r="HS249" s="748"/>
      <c r="HT249" s="748"/>
      <c r="HU249" s="748"/>
      <c r="HV249" s="748"/>
      <c r="HW249" s="748"/>
      <c r="HX249" s="748"/>
      <c r="HY249" s="748"/>
      <c r="HZ249" s="748"/>
      <c r="IA249" s="748"/>
      <c r="IB249" s="748"/>
      <c r="IC249" s="748"/>
      <c r="ID249" s="748"/>
      <c r="IE249" s="748"/>
      <c r="IF249" s="748"/>
      <c r="IG249" s="748"/>
      <c r="IH249" s="748"/>
      <c r="II249" s="748"/>
      <c r="IJ249" s="748"/>
      <c r="IK249" s="748"/>
      <c r="IL249" s="748"/>
      <c r="IM249" s="748"/>
      <c r="IN249" s="748"/>
      <c r="IO249" s="748"/>
      <c r="IP249" s="748"/>
      <c r="IQ249" s="748"/>
      <c r="IR249" s="748"/>
      <c r="IS249" s="748"/>
      <c r="IT249" s="748"/>
      <c r="IU249" s="748"/>
      <c r="IV249" s="748"/>
      <c r="IW249" s="748"/>
    </row>
    <row r="250" spans="1:257" s="724" customFormat="1" ht="15.75" customHeight="1">
      <c r="A250" s="713"/>
      <c r="B250" s="669" t="s">
        <v>950</v>
      </c>
      <c r="C250" s="713"/>
      <c r="D250" s="713"/>
      <c r="E250" s="781" t="s">
        <v>951</v>
      </c>
      <c r="F250" s="700">
        <v>6811000000</v>
      </c>
      <c r="G250" s="877"/>
      <c r="H250" s="877"/>
      <c r="I250" s="877"/>
      <c r="J250" s="700"/>
      <c r="K250" s="700"/>
      <c r="L250" s="1315"/>
      <c r="M250" s="651"/>
      <c r="N250" s="585">
        <f>L249+Sheet2!BG15*1000</f>
        <v>102285246000</v>
      </c>
      <c r="O250" s="585" t="s">
        <v>1976</v>
      </c>
      <c r="P250" s="878"/>
      <c r="Q250" s="878"/>
      <c r="R250" s="593"/>
      <c r="S250" s="611"/>
      <c r="T250" s="584"/>
      <c r="U250" s="655"/>
      <c r="V250" s="639"/>
      <c r="W250" s="581"/>
      <c r="X250" s="578"/>
      <c r="Y250" s="582"/>
      <c r="Z250" s="582"/>
      <c r="AA250" s="582"/>
      <c r="AB250" s="582"/>
      <c r="AC250" s="582"/>
      <c r="AD250" s="582"/>
      <c r="AE250" s="582"/>
      <c r="AF250" s="582"/>
      <c r="AG250" s="582"/>
      <c r="AH250" s="582"/>
      <c r="AI250" s="582"/>
      <c r="AJ250" s="582"/>
      <c r="AK250" s="582"/>
      <c r="AL250" s="582"/>
      <c r="AM250" s="582"/>
      <c r="AN250" s="582"/>
      <c r="AO250" s="582"/>
      <c r="AP250" s="582"/>
      <c r="AQ250" s="582"/>
      <c r="AR250" s="582"/>
      <c r="AS250" s="582"/>
      <c r="AT250" s="582"/>
      <c r="AU250" s="582"/>
      <c r="AV250" s="582"/>
      <c r="AW250" s="582"/>
      <c r="AX250" s="582"/>
      <c r="AY250" s="582"/>
      <c r="AZ250" s="582"/>
      <c r="BA250" s="582"/>
      <c r="BB250" s="582"/>
      <c r="BC250" s="582"/>
      <c r="BD250" s="582"/>
      <c r="BE250" s="582"/>
      <c r="BF250" s="582"/>
      <c r="BG250" s="582"/>
      <c r="BH250" s="582"/>
      <c r="BI250" s="582"/>
      <c r="BJ250" s="582"/>
      <c r="BK250" s="582"/>
      <c r="BL250" s="582"/>
      <c r="BM250" s="582"/>
      <c r="BN250" s="582"/>
      <c r="BO250" s="582"/>
      <c r="BP250" s="582"/>
      <c r="BQ250" s="582"/>
      <c r="BR250" s="582"/>
      <c r="BS250" s="582"/>
      <c r="BT250" s="582"/>
      <c r="BU250" s="582"/>
      <c r="BV250" s="582"/>
      <c r="BW250" s="582"/>
      <c r="BX250" s="582"/>
      <c r="BY250" s="582"/>
      <c r="BZ250" s="582"/>
      <c r="CA250" s="582"/>
      <c r="CB250" s="582"/>
      <c r="CC250" s="582"/>
      <c r="CD250" s="582"/>
      <c r="CE250" s="582"/>
      <c r="CF250" s="582"/>
      <c r="CG250" s="582"/>
      <c r="CH250" s="582"/>
      <c r="CI250" s="582"/>
      <c r="CJ250" s="582"/>
      <c r="CK250" s="582"/>
      <c r="CL250" s="582"/>
      <c r="CM250" s="582"/>
      <c r="CN250" s="582"/>
      <c r="CO250" s="582"/>
      <c r="CP250" s="582"/>
      <c r="CQ250" s="582"/>
      <c r="CR250" s="582"/>
      <c r="CS250" s="582"/>
      <c r="CT250" s="582"/>
      <c r="CU250" s="582"/>
      <c r="CV250" s="582"/>
      <c r="CW250" s="582"/>
      <c r="CX250" s="582"/>
      <c r="CY250" s="582"/>
      <c r="CZ250" s="582"/>
      <c r="DA250" s="582"/>
      <c r="DB250" s="582"/>
      <c r="DC250" s="582"/>
      <c r="DD250" s="582"/>
      <c r="DE250" s="582"/>
      <c r="DF250" s="582"/>
      <c r="DG250" s="582"/>
      <c r="DH250" s="582"/>
      <c r="DI250" s="582"/>
      <c r="DJ250" s="582"/>
      <c r="DK250" s="582"/>
      <c r="DL250" s="582"/>
      <c r="DM250" s="582"/>
      <c r="DN250" s="582"/>
      <c r="DO250" s="582"/>
      <c r="DP250" s="582"/>
      <c r="DQ250" s="582"/>
      <c r="DR250" s="582"/>
      <c r="DS250" s="582"/>
      <c r="DT250" s="582"/>
      <c r="DU250" s="582"/>
      <c r="DV250" s="582"/>
      <c r="DW250" s="582"/>
      <c r="DX250" s="582"/>
      <c r="DY250" s="582"/>
      <c r="DZ250" s="582"/>
      <c r="EA250" s="582"/>
      <c r="EB250" s="582"/>
      <c r="EC250" s="582"/>
      <c r="ED250" s="582"/>
      <c r="EE250" s="582"/>
      <c r="EF250" s="582"/>
      <c r="EG250" s="582"/>
      <c r="EH250" s="582"/>
      <c r="EI250" s="582"/>
      <c r="EJ250" s="582"/>
      <c r="EK250" s="582"/>
      <c r="EL250" s="582"/>
      <c r="EM250" s="582"/>
      <c r="EN250" s="582"/>
      <c r="EO250" s="582"/>
      <c r="EP250" s="582"/>
      <c r="EQ250" s="582"/>
      <c r="ER250" s="582"/>
      <c r="ES250" s="582"/>
      <c r="ET250" s="582"/>
      <c r="EU250" s="582"/>
      <c r="EV250" s="582"/>
      <c r="EW250" s="582"/>
      <c r="EX250" s="582"/>
      <c r="EY250" s="582"/>
      <c r="EZ250" s="582"/>
      <c r="FA250" s="582"/>
      <c r="FB250" s="582"/>
      <c r="FC250" s="582"/>
      <c r="FD250" s="582"/>
      <c r="FE250" s="582"/>
      <c r="FF250" s="582"/>
      <c r="FG250" s="582"/>
      <c r="FH250" s="582"/>
      <c r="FI250" s="582"/>
      <c r="FJ250" s="582"/>
      <c r="FK250" s="582"/>
      <c r="FL250" s="582"/>
      <c r="FM250" s="582"/>
      <c r="FN250" s="582"/>
      <c r="FO250" s="582"/>
      <c r="FP250" s="582"/>
      <c r="FQ250" s="582"/>
      <c r="FR250" s="582"/>
      <c r="FS250" s="582"/>
      <c r="FT250" s="582"/>
      <c r="FU250" s="582"/>
      <c r="FV250" s="582"/>
      <c r="FW250" s="582"/>
      <c r="FX250" s="582"/>
      <c r="FY250" s="582"/>
      <c r="FZ250" s="582"/>
      <c r="GA250" s="582"/>
      <c r="GB250" s="582"/>
      <c r="GC250" s="582"/>
      <c r="GD250" s="582"/>
      <c r="GE250" s="582"/>
      <c r="GF250" s="582"/>
      <c r="GG250" s="582"/>
      <c r="GH250" s="582"/>
      <c r="GI250" s="582"/>
      <c r="GJ250" s="582"/>
      <c r="GK250" s="582"/>
      <c r="GL250" s="582"/>
      <c r="GM250" s="582"/>
      <c r="GN250" s="582"/>
      <c r="GO250" s="582"/>
      <c r="GP250" s="582"/>
      <c r="GQ250" s="582"/>
      <c r="GR250" s="582"/>
      <c r="GS250" s="582"/>
      <c r="GT250" s="582"/>
      <c r="GU250" s="582"/>
      <c r="GV250" s="582"/>
      <c r="GW250" s="582"/>
      <c r="GX250" s="582"/>
      <c r="GY250" s="582"/>
      <c r="GZ250" s="582"/>
      <c r="HA250" s="582"/>
      <c r="HB250" s="582"/>
      <c r="HC250" s="582"/>
      <c r="HD250" s="582"/>
      <c r="HE250" s="582"/>
      <c r="HF250" s="582"/>
      <c r="HG250" s="582"/>
      <c r="HH250" s="582"/>
      <c r="HI250" s="582"/>
      <c r="HJ250" s="582"/>
      <c r="HK250" s="582"/>
      <c r="HL250" s="582"/>
      <c r="HM250" s="582"/>
      <c r="HN250" s="582"/>
      <c r="HO250" s="582"/>
      <c r="HP250" s="582"/>
      <c r="HQ250" s="582"/>
      <c r="HR250" s="582"/>
      <c r="HS250" s="582"/>
      <c r="HT250" s="582"/>
      <c r="HU250" s="582"/>
      <c r="HV250" s="582"/>
      <c r="HW250" s="582"/>
      <c r="HX250" s="582"/>
      <c r="HY250" s="582"/>
      <c r="HZ250" s="582"/>
      <c r="IA250" s="582"/>
      <c r="IB250" s="582"/>
      <c r="IC250" s="582"/>
      <c r="ID250" s="582"/>
      <c r="IE250" s="582"/>
      <c r="IF250" s="582"/>
      <c r="IG250" s="582"/>
      <c r="IH250" s="582"/>
      <c r="II250" s="582"/>
      <c r="IJ250" s="582"/>
      <c r="IK250" s="582"/>
      <c r="IL250" s="582"/>
      <c r="IM250" s="582"/>
      <c r="IN250" s="582"/>
      <c r="IO250" s="582"/>
      <c r="IP250" s="582"/>
      <c r="IQ250" s="582"/>
      <c r="IR250" s="582"/>
      <c r="IS250" s="582"/>
      <c r="IT250" s="582"/>
      <c r="IU250" s="582"/>
      <c r="IV250" s="582"/>
      <c r="IW250" s="582"/>
    </row>
    <row r="251" spans="1:257" s="724" customFormat="1" ht="15.75" customHeight="1">
      <c r="A251" s="713">
        <v>1</v>
      </c>
      <c r="B251" s="709" t="s">
        <v>285</v>
      </c>
      <c r="C251" s="713"/>
      <c r="D251" s="713"/>
      <c r="E251" s="781"/>
      <c r="F251" s="700">
        <v>22000000000</v>
      </c>
      <c r="G251" s="877" t="s">
        <v>952</v>
      </c>
      <c r="H251" s="877"/>
      <c r="I251" s="877"/>
      <c r="J251" s="700">
        <v>25000000000</v>
      </c>
      <c r="K251" s="700">
        <v>22000000000</v>
      </c>
      <c r="L251" s="1315">
        <v>22000000000</v>
      </c>
      <c r="M251" s="651" t="s">
        <v>1572</v>
      </c>
      <c r="N251" s="585">
        <f>N249-N250</f>
        <v>-8510246000</v>
      </c>
      <c r="O251" s="585" t="s">
        <v>1978</v>
      </c>
      <c r="P251" s="878"/>
      <c r="Q251" s="878"/>
      <c r="R251" s="593"/>
      <c r="S251" s="611"/>
      <c r="T251" s="584"/>
      <c r="U251" s="655"/>
      <c r="V251" s="639"/>
      <c r="W251" s="581"/>
      <c r="X251" s="578"/>
      <c r="Y251" s="582"/>
      <c r="Z251" s="582"/>
      <c r="AA251" s="582"/>
      <c r="AB251" s="582"/>
      <c r="AC251" s="582"/>
      <c r="AD251" s="582"/>
      <c r="AE251" s="582"/>
      <c r="AF251" s="582"/>
      <c r="AG251" s="582"/>
      <c r="AH251" s="582"/>
      <c r="AI251" s="582"/>
      <c r="AJ251" s="582"/>
      <c r="AK251" s="582"/>
      <c r="AL251" s="582"/>
      <c r="AM251" s="582"/>
      <c r="AN251" s="582"/>
      <c r="AO251" s="582"/>
      <c r="AP251" s="582"/>
      <c r="AQ251" s="582"/>
      <c r="AR251" s="582"/>
      <c r="AS251" s="582"/>
      <c r="AT251" s="582"/>
      <c r="AU251" s="582"/>
      <c r="AV251" s="582"/>
      <c r="AW251" s="582"/>
      <c r="AX251" s="582"/>
      <c r="AY251" s="582"/>
      <c r="AZ251" s="582"/>
      <c r="BA251" s="582"/>
      <c r="BB251" s="582"/>
      <c r="BC251" s="582"/>
      <c r="BD251" s="582"/>
      <c r="BE251" s="582"/>
      <c r="BF251" s="582"/>
      <c r="BG251" s="582"/>
      <c r="BH251" s="582"/>
      <c r="BI251" s="582"/>
      <c r="BJ251" s="582"/>
      <c r="BK251" s="582"/>
      <c r="BL251" s="582"/>
      <c r="BM251" s="582"/>
      <c r="BN251" s="582"/>
      <c r="BO251" s="582"/>
      <c r="BP251" s="582"/>
      <c r="BQ251" s="582"/>
      <c r="BR251" s="582"/>
      <c r="BS251" s="582"/>
      <c r="BT251" s="582"/>
      <c r="BU251" s="582"/>
      <c r="BV251" s="582"/>
      <c r="BW251" s="582"/>
      <c r="BX251" s="582"/>
      <c r="BY251" s="582"/>
      <c r="BZ251" s="582"/>
      <c r="CA251" s="582"/>
      <c r="CB251" s="582"/>
      <c r="CC251" s="582"/>
      <c r="CD251" s="582"/>
      <c r="CE251" s="582"/>
      <c r="CF251" s="582"/>
      <c r="CG251" s="582"/>
      <c r="CH251" s="582"/>
      <c r="CI251" s="582"/>
      <c r="CJ251" s="582"/>
      <c r="CK251" s="582"/>
      <c r="CL251" s="582"/>
      <c r="CM251" s="582"/>
      <c r="CN251" s="582"/>
      <c r="CO251" s="582"/>
      <c r="CP251" s="582"/>
      <c r="CQ251" s="582"/>
      <c r="CR251" s="582"/>
      <c r="CS251" s="582"/>
      <c r="CT251" s="582"/>
      <c r="CU251" s="582"/>
      <c r="CV251" s="582"/>
      <c r="CW251" s="582"/>
      <c r="CX251" s="582"/>
      <c r="CY251" s="582"/>
      <c r="CZ251" s="582"/>
      <c r="DA251" s="582"/>
      <c r="DB251" s="582"/>
      <c r="DC251" s="582"/>
      <c r="DD251" s="582"/>
      <c r="DE251" s="582"/>
      <c r="DF251" s="582"/>
      <c r="DG251" s="582"/>
      <c r="DH251" s="582"/>
      <c r="DI251" s="582"/>
      <c r="DJ251" s="582"/>
      <c r="DK251" s="582"/>
      <c r="DL251" s="582"/>
      <c r="DM251" s="582"/>
      <c r="DN251" s="582"/>
      <c r="DO251" s="582"/>
      <c r="DP251" s="582"/>
      <c r="DQ251" s="582"/>
      <c r="DR251" s="582"/>
      <c r="DS251" s="582"/>
      <c r="DT251" s="582"/>
      <c r="DU251" s="582"/>
      <c r="DV251" s="582"/>
      <c r="DW251" s="582"/>
      <c r="DX251" s="582"/>
      <c r="DY251" s="582"/>
      <c r="DZ251" s="582"/>
      <c r="EA251" s="582"/>
      <c r="EB251" s="582"/>
      <c r="EC251" s="582"/>
      <c r="ED251" s="582"/>
      <c r="EE251" s="582"/>
      <c r="EF251" s="582"/>
      <c r="EG251" s="582"/>
      <c r="EH251" s="582"/>
      <c r="EI251" s="582"/>
      <c r="EJ251" s="582"/>
      <c r="EK251" s="582"/>
      <c r="EL251" s="582"/>
      <c r="EM251" s="582"/>
      <c r="EN251" s="582"/>
      <c r="EO251" s="582"/>
      <c r="EP251" s="582"/>
      <c r="EQ251" s="582"/>
      <c r="ER251" s="582"/>
      <c r="ES251" s="582"/>
      <c r="ET251" s="582"/>
      <c r="EU251" s="582"/>
      <c r="EV251" s="582"/>
      <c r="EW251" s="582"/>
      <c r="EX251" s="582"/>
      <c r="EY251" s="582"/>
      <c r="EZ251" s="582"/>
      <c r="FA251" s="582"/>
      <c r="FB251" s="582"/>
      <c r="FC251" s="582"/>
      <c r="FD251" s="582"/>
      <c r="FE251" s="582"/>
      <c r="FF251" s="582"/>
      <c r="FG251" s="582"/>
      <c r="FH251" s="582"/>
      <c r="FI251" s="582"/>
      <c r="FJ251" s="582"/>
      <c r="FK251" s="582"/>
      <c r="FL251" s="582"/>
      <c r="FM251" s="582"/>
      <c r="FN251" s="582"/>
      <c r="FO251" s="582"/>
      <c r="FP251" s="582"/>
      <c r="FQ251" s="582"/>
      <c r="FR251" s="582"/>
      <c r="FS251" s="582"/>
      <c r="FT251" s="582"/>
      <c r="FU251" s="582"/>
      <c r="FV251" s="582"/>
      <c r="FW251" s="582"/>
      <c r="FX251" s="582"/>
      <c r="FY251" s="582"/>
      <c r="FZ251" s="582"/>
      <c r="GA251" s="582"/>
      <c r="GB251" s="582"/>
      <c r="GC251" s="582"/>
      <c r="GD251" s="582"/>
      <c r="GE251" s="582"/>
      <c r="GF251" s="582"/>
      <c r="GG251" s="582"/>
      <c r="GH251" s="582"/>
      <c r="GI251" s="582"/>
      <c r="GJ251" s="582"/>
      <c r="GK251" s="582"/>
      <c r="GL251" s="582"/>
      <c r="GM251" s="582"/>
      <c r="GN251" s="582"/>
      <c r="GO251" s="582"/>
      <c r="GP251" s="582"/>
      <c r="GQ251" s="582"/>
      <c r="GR251" s="582"/>
      <c r="GS251" s="582"/>
      <c r="GT251" s="582"/>
      <c r="GU251" s="582"/>
      <c r="GV251" s="582"/>
      <c r="GW251" s="582"/>
      <c r="GX251" s="582"/>
      <c r="GY251" s="582"/>
      <c r="GZ251" s="582"/>
      <c r="HA251" s="582"/>
      <c r="HB251" s="582"/>
      <c r="HC251" s="582"/>
      <c r="HD251" s="582"/>
      <c r="HE251" s="582"/>
      <c r="HF251" s="582"/>
      <c r="HG251" s="582"/>
      <c r="HH251" s="582"/>
      <c r="HI251" s="582"/>
      <c r="HJ251" s="582"/>
      <c r="HK251" s="582"/>
      <c r="HL251" s="582"/>
      <c r="HM251" s="582"/>
      <c r="HN251" s="582"/>
      <c r="HO251" s="582"/>
      <c r="HP251" s="582"/>
      <c r="HQ251" s="582"/>
      <c r="HR251" s="582"/>
      <c r="HS251" s="582"/>
      <c r="HT251" s="582"/>
      <c r="HU251" s="582"/>
      <c r="HV251" s="582"/>
      <c r="HW251" s="582"/>
      <c r="HX251" s="582"/>
      <c r="HY251" s="582"/>
      <c r="HZ251" s="582"/>
      <c r="IA251" s="582"/>
      <c r="IB251" s="582"/>
      <c r="IC251" s="582"/>
      <c r="ID251" s="582"/>
      <c r="IE251" s="582"/>
      <c r="IF251" s="582"/>
      <c r="IG251" s="582"/>
      <c r="IH251" s="582"/>
      <c r="II251" s="582"/>
      <c r="IJ251" s="582"/>
      <c r="IK251" s="582"/>
      <c r="IL251" s="582"/>
      <c r="IM251" s="582"/>
      <c r="IN251" s="582"/>
      <c r="IO251" s="582"/>
      <c r="IP251" s="582"/>
      <c r="IQ251" s="582"/>
      <c r="IR251" s="582"/>
      <c r="IS251" s="582"/>
      <c r="IT251" s="582"/>
      <c r="IU251" s="582"/>
      <c r="IV251" s="582"/>
      <c r="IW251" s="582"/>
    </row>
    <row r="252" spans="1:257" s="724" customFormat="1" ht="31.5" customHeight="1">
      <c r="A252" s="713">
        <v>2</v>
      </c>
      <c r="B252" s="709" t="s">
        <v>286</v>
      </c>
      <c r="C252" s="713"/>
      <c r="D252" s="713"/>
      <c r="E252" s="781"/>
      <c r="F252" s="700">
        <v>65481000000</v>
      </c>
      <c r="G252" s="877">
        <f>69434000000+6080000000+4578000000+159000000+1530000000-16300000000</f>
        <v>65481000000</v>
      </c>
      <c r="H252" s="877"/>
      <c r="I252" s="877"/>
      <c r="J252" s="700">
        <v>77480000000</v>
      </c>
      <c r="K252" s="700">
        <f>SUM(K253:K255)</f>
        <v>72189000000</v>
      </c>
      <c r="L252" s="1315">
        <v>78311000000</v>
      </c>
      <c r="M252" s="651" t="s">
        <v>953</v>
      </c>
      <c r="N252" s="585"/>
      <c r="O252" s="585"/>
      <c r="P252" s="878"/>
      <c r="Q252" s="878"/>
      <c r="R252" s="593">
        <f>101-22</f>
        <v>79</v>
      </c>
      <c r="S252" s="611"/>
      <c r="T252" s="584"/>
      <c r="U252" s="655"/>
      <c r="V252" s="639"/>
      <c r="W252" s="581"/>
      <c r="X252" s="578"/>
      <c r="Y252" s="582"/>
      <c r="Z252" s="582"/>
      <c r="AA252" s="582"/>
      <c r="AB252" s="582"/>
      <c r="AC252" s="582"/>
      <c r="AD252" s="582"/>
      <c r="AE252" s="582"/>
      <c r="AF252" s="582"/>
      <c r="AG252" s="582"/>
      <c r="AH252" s="582"/>
      <c r="AI252" s="582"/>
      <c r="AJ252" s="582"/>
      <c r="AK252" s="582"/>
      <c r="AL252" s="582"/>
      <c r="AM252" s="582"/>
      <c r="AN252" s="582"/>
      <c r="AO252" s="582"/>
      <c r="AP252" s="582"/>
      <c r="AQ252" s="582"/>
      <c r="AR252" s="582"/>
      <c r="AS252" s="582"/>
      <c r="AT252" s="582"/>
      <c r="AU252" s="582"/>
      <c r="AV252" s="582"/>
      <c r="AW252" s="582"/>
      <c r="AX252" s="582"/>
      <c r="AY252" s="582"/>
      <c r="AZ252" s="582"/>
      <c r="BA252" s="582"/>
      <c r="BB252" s="582"/>
      <c r="BC252" s="582"/>
      <c r="BD252" s="582"/>
      <c r="BE252" s="582"/>
      <c r="BF252" s="582"/>
      <c r="BG252" s="582"/>
      <c r="BH252" s="582"/>
      <c r="BI252" s="582"/>
      <c r="BJ252" s="582"/>
      <c r="BK252" s="582"/>
      <c r="BL252" s="582"/>
      <c r="BM252" s="582"/>
      <c r="BN252" s="582"/>
      <c r="BO252" s="582"/>
      <c r="BP252" s="582"/>
      <c r="BQ252" s="582"/>
      <c r="BR252" s="582"/>
      <c r="BS252" s="582"/>
      <c r="BT252" s="582"/>
      <c r="BU252" s="582"/>
      <c r="BV252" s="582"/>
      <c r="BW252" s="582"/>
      <c r="BX252" s="582"/>
      <c r="BY252" s="582"/>
      <c r="BZ252" s="582"/>
      <c r="CA252" s="582"/>
      <c r="CB252" s="582"/>
      <c r="CC252" s="582"/>
      <c r="CD252" s="582"/>
      <c r="CE252" s="582"/>
      <c r="CF252" s="582"/>
      <c r="CG252" s="582"/>
      <c r="CH252" s="582"/>
      <c r="CI252" s="582"/>
      <c r="CJ252" s="582"/>
      <c r="CK252" s="582"/>
      <c r="CL252" s="582"/>
      <c r="CM252" s="582"/>
      <c r="CN252" s="582"/>
      <c r="CO252" s="582"/>
      <c r="CP252" s="582"/>
      <c r="CQ252" s="582"/>
      <c r="CR252" s="582"/>
      <c r="CS252" s="582"/>
      <c r="CT252" s="582"/>
      <c r="CU252" s="582"/>
      <c r="CV252" s="582"/>
      <c r="CW252" s="582"/>
      <c r="CX252" s="582"/>
      <c r="CY252" s="582"/>
      <c r="CZ252" s="582"/>
      <c r="DA252" s="582"/>
      <c r="DB252" s="582"/>
      <c r="DC252" s="582"/>
      <c r="DD252" s="582"/>
      <c r="DE252" s="582"/>
      <c r="DF252" s="582"/>
      <c r="DG252" s="582"/>
      <c r="DH252" s="582"/>
      <c r="DI252" s="582"/>
      <c r="DJ252" s="582"/>
      <c r="DK252" s="582"/>
      <c r="DL252" s="582"/>
      <c r="DM252" s="582"/>
      <c r="DN252" s="582"/>
      <c r="DO252" s="582"/>
      <c r="DP252" s="582"/>
      <c r="DQ252" s="582"/>
      <c r="DR252" s="582"/>
      <c r="DS252" s="582"/>
      <c r="DT252" s="582"/>
      <c r="DU252" s="582"/>
      <c r="DV252" s="582"/>
      <c r="DW252" s="582"/>
      <c r="DX252" s="582"/>
      <c r="DY252" s="582"/>
      <c r="DZ252" s="582"/>
      <c r="EA252" s="582"/>
      <c r="EB252" s="582"/>
      <c r="EC252" s="582"/>
      <c r="ED252" s="582"/>
      <c r="EE252" s="582"/>
      <c r="EF252" s="582"/>
      <c r="EG252" s="582"/>
      <c r="EH252" s="582"/>
      <c r="EI252" s="582"/>
      <c r="EJ252" s="582"/>
      <c r="EK252" s="582"/>
      <c r="EL252" s="582"/>
      <c r="EM252" s="582"/>
      <c r="EN252" s="582"/>
      <c r="EO252" s="582"/>
      <c r="EP252" s="582"/>
      <c r="EQ252" s="582"/>
      <c r="ER252" s="582"/>
      <c r="ES252" s="582"/>
      <c r="ET252" s="582"/>
      <c r="EU252" s="582"/>
      <c r="EV252" s="582"/>
      <c r="EW252" s="582"/>
      <c r="EX252" s="582"/>
      <c r="EY252" s="582"/>
      <c r="EZ252" s="582"/>
      <c r="FA252" s="582"/>
      <c r="FB252" s="582"/>
      <c r="FC252" s="582"/>
      <c r="FD252" s="582"/>
      <c r="FE252" s="582"/>
      <c r="FF252" s="582"/>
      <c r="FG252" s="582"/>
      <c r="FH252" s="582"/>
      <c r="FI252" s="582"/>
      <c r="FJ252" s="582"/>
      <c r="FK252" s="582"/>
      <c r="FL252" s="582"/>
      <c r="FM252" s="582"/>
      <c r="FN252" s="582"/>
      <c r="FO252" s="582"/>
      <c r="FP252" s="582"/>
      <c r="FQ252" s="582"/>
      <c r="FR252" s="582"/>
      <c r="FS252" s="582"/>
      <c r="FT252" s="582"/>
      <c r="FU252" s="582"/>
      <c r="FV252" s="582"/>
      <c r="FW252" s="582"/>
      <c r="FX252" s="582"/>
      <c r="FY252" s="582"/>
      <c r="FZ252" s="582"/>
      <c r="GA252" s="582"/>
      <c r="GB252" s="582"/>
      <c r="GC252" s="582"/>
      <c r="GD252" s="582"/>
      <c r="GE252" s="582"/>
      <c r="GF252" s="582"/>
      <c r="GG252" s="582"/>
      <c r="GH252" s="582"/>
      <c r="GI252" s="582"/>
      <c r="GJ252" s="582"/>
      <c r="GK252" s="582"/>
      <c r="GL252" s="582"/>
      <c r="GM252" s="582"/>
      <c r="GN252" s="582"/>
      <c r="GO252" s="582"/>
      <c r="GP252" s="582"/>
      <c r="GQ252" s="582"/>
      <c r="GR252" s="582"/>
      <c r="GS252" s="582"/>
      <c r="GT252" s="582"/>
      <c r="GU252" s="582"/>
      <c r="GV252" s="582"/>
      <c r="GW252" s="582"/>
      <c r="GX252" s="582"/>
      <c r="GY252" s="582"/>
      <c r="GZ252" s="582"/>
      <c r="HA252" s="582"/>
      <c r="HB252" s="582"/>
      <c r="HC252" s="582"/>
      <c r="HD252" s="582"/>
      <c r="HE252" s="582"/>
      <c r="HF252" s="582"/>
      <c r="HG252" s="582"/>
      <c r="HH252" s="582"/>
      <c r="HI252" s="582"/>
      <c r="HJ252" s="582"/>
      <c r="HK252" s="582"/>
      <c r="HL252" s="582"/>
      <c r="HM252" s="582"/>
      <c r="HN252" s="582"/>
      <c r="HO252" s="582"/>
      <c r="HP252" s="582"/>
      <c r="HQ252" s="582"/>
      <c r="HR252" s="582"/>
      <c r="HS252" s="582"/>
      <c r="HT252" s="582"/>
      <c r="HU252" s="582"/>
      <c r="HV252" s="582"/>
      <c r="HW252" s="582"/>
      <c r="HX252" s="582"/>
      <c r="HY252" s="582"/>
      <c r="HZ252" s="582"/>
      <c r="IA252" s="582"/>
      <c r="IB252" s="582"/>
      <c r="IC252" s="582"/>
      <c r="ID252" s="582"/>
      <c r="IE252" s="582"/>
      <c r="IF252" s="582"/>
      <c r="IG252" s="582"/>
      <c r="IH252" s="582"/>
      <c r="II252" s="582"/>
      <c r="IJ252" s="582"/>
      <c r="IK252" s="582"/>
      <c r="IL252" s="582"/>
      <c r="IM252" s="582"/>
      <c r="IN252" s="582"/>
      <c r="IO252" s="582"/>
      <c r="IP252" s="582"/>
      <c r="IQ252" s="582"/>
      <c r="IR252" s="582"/>
      <c r="IS252" s="582"/>
      <c r="IT252" s="582"/>
      <c r="IU252" s="582"/>
      <c r="IV252" s="582"/>
      <c r="IW252" s="582"/>
    </row>
    <row r="253" spans="1:257" s="724" customFormat="1" ht="15.75" customHeight="1">
      <c r="A253" s="713" t="s">
        <v>91</v>
      </c>
      <c r="B253" s="709" t="s">
        <v>954</v>
      </c>
      <c r="C253" s="713"/>
      <c r="D253" s="713"/>
      <c r="E253" s="781"/>
      <c r="F253" s="700"/>
      <c r="G253" s="877"/>
      <c r="H253" s="877"/>
      <c r="I253" s="877"/>
      <c r="J253" s="700"/>
      <c r="K253" s="700" t="str">
        <f>E250</f>
        <v>30.000 đ/ng</v>
      </c>
      <c r="L253" s="1315">
        <f>F250</f>
        <v>6811000000</v>
      </c>
      <c r="M253" s="651"/>
      <c r="N253" s="585"/>
      <c r="O253" s="585"/>
      <c r="P253" s="878"/>
      <c r="Q253" s="878"/>
      <c r="R253" s="593"/>
      <c r="S253" s="611"/>
      <c r="T253" s="584"/>
      <c r="U253" s="655"/>
      <c r="V253" s="639"/>
      <c r="W253" s="581"/>
      <c r="X253" s="578"/>
      <c r="Y253" s="582"/>
      <c r="Z253" s="582"/>
      <c r="AA253" s="582"/>
      <c r="AB253" s="582"/>
      <c r="AC253" s="582"/>
      <c r="AD253" s="582"/>
      <c r="AE253" s="582"/>
      <c r="AF253" s="582"/>
      <c r="AG253" s="582"/>
      <c r="AH253" s="582"/>
      <c r="AI253" s="582"/>
      <c r="AJ253" s="582"/>
      <c r="AK253" s="582"/>
      <c r="AL253" s="582"/>
      <c r="AM253" s="582"/>
      <c r="AN253" s="582"/>
      <c r="AO253" s="582"/>
      <c r="AP253" s="582"/>
      <c r="AQ253" s="582"/>
      <c r="AR253" s="582"/>
      <c r="AS253" s="582"/>
      <c r="AT253" s="582"/>
      <c r="AU253" s="582"/>
      <c r="AV253" s="582"/>
      <c r="AW253" s="582"/>
      <c r="AX253" s="582"/>
      <c r="AY253" s="582"/>
      <c r="AZ253" s="582"/>
      <c r="BA253" s="582"/>
      <c r="BB253" s="582"/>
      <c r="BC253" s="582"/>
      <c r="BD253" s="582"/>
      <c r="BE253" s="582"/>
      <c r="BF253" s="582"/>
      <c r="BG253" s="582"/>
      <c r="BH253" s="582"/>
      <c r="BI253" s="582"/>
      <c r="BJ253" s="582"/>
      <c r="BK253" s="582"/>
      <c r="BL253" s="582"/>
      <c r="BM253" s="582"/>
      <c r="BN253" s="582"/>
      <c r="BO253" s="582"/>
      <c r="BP253" s="582"/>
      <c r="BQ253" s="582"/>
      <c r="BR253" s="582"/>
      <c r="BS253" s="582"/>
      <c r="BT253" s="582"/>
      <c r="BU253" s="582"/>
      <c r="BV253" s="582"/>
      <c r="BW253" s="582"/>
      <c r="BX253" s="582"/>
      <c r="BY253" s="582"/>
      <c r="BZ253" s="582"/>
      <c r="CA253" s="582"/>
      <c r="CB253" s="582"/>
      <c r="CC253" s="582"/>
      <c r="CD253" s="582"/>
      <c r="CE253" s="582"/>
      <c r="CF253" s="582"/>
      <c r="CG253" s="582"/>
      <c r="CH253" s="582"/>
      <c r="CI253" s="582"/>
      <c r="CJ253" s="582"/>
      <c r="CK253" s="582"/>
      <c r="CL253" s="582"/>
      <c r="CM253" s="582"/>
      <c r="CN253" s="582"/>
      <c r="CO253" s="582"/>
      <c r="CP253" s="582"/>
      <c r="CQ253" s="582"/>
      <c r="CR253" s="582"/>
      <c r="CS253" s="582"/>
      <c r="CT253" s="582"/>
      <c r="CU253" s="582"/>
      <c r="CV253" s="582"/>
      <c r="CW253" s="582"/>
      <c r="CX253" s="582"/>
      <c r="CY253" s="582"/>
      <c r="CZ253" s="582"/>
      <c r="DA253" s="582"/>
      <c r="DB253" s="582"/>
      <c r="DC253" s="582"/>
      <c r="DD253" s="582"/>
      <c r="DE253" s="582"/>
      <c r="DF253" s="582"/>
      <c r="DG253" s="582"/>
      <c r="DH253" s="582"/>
      <c r="DI253" s="582"/>
      <c r="DJ253" s="582"/>
      <c r="DK253" s="582"/>
      <c r="DL253" s="582"/>
      <c r="DM253" s="582"/>
      <c r="DN253" s="582"/>
      <c r="DO253" s="582"/>
      <c r="DP253" s="582"/>
      <c r="DQ253" s="582"/>
      <c r="DR253" s="582"/>
      <c r="DS253" s="582"/>
      <c r="DT253" s="582"/>
      <c r="DU253" s="582"/>
      <c r="DV253" s="582"/>
      <c r="DW253" s="582"/>
      <c r="DX253" s="582"/>
      <c r="DY253" s="582"/>
      <c r="DZ253" s="582"/>
      <c r="EA253" s="582"/>
      <c r="EB253" s="582"/>
      <c r="EC253" s="582"/>
      <c r="ED253" s="582"/>
      <c r="EE253" s="582"/>
      <c r="EF253" s="582"/>
      <c r="EG253" s="582"/>
      <c r="EH253" s="582"/>
      <c r="EI253" s="582"/>
      <c r="EJ253" s="582"/>
      <c r="EK253" s="582"/>
      <c r="EL253" s="582"/>
      <c r="EM253" s="582"/>
      <c r="EN253" s="582"/>
      <c r="EO253" s="582"/>
      <c r="EP253" s="582"/>
      <c r="EQ253" s="582"/>
      <c r="ER253" s="582"/>
      <c r="ES253" s="582"/>
      <c r="ET253" s="582"/>
      <c r="EU253" s="582"/>
      <c r="EV253" s="582"/>
      <c r="EW253" s="582"/>
      <c r="EX253" s="582"/>
      <c r="EY253" s="582"/>
      <c r="EZ253" s="582"/>
      <c r="FA253" s="582"/>
      <c r="FB253" s="582"/>
      <c r="FC253" s="582"/>
      <c r="FD253" s="582"/>
      <c r="FE253" s="582"/>
      <c r="FF253" s="582"/>
      <c r="FG253" s="582"/>
      <c r="FH253" s="582"/>
      <c r="FI253" s="582"/>
      <c r="FJ253" s="582"/>
      <c r="FK253" s="582"/>
      <c r="FL253" s="582"/>
      <c r="FM253" s="582"/>
      <c r="FN253" s="582"/>
      <c r="FO253" s="582"/>
      <c r="FP253" s="582"/>
      <c r="FQ253" s="582"/>
      <c r="FR253" s="582"/>
      <c r="FS253" s="582"/>
      <c r="FT253" s="582"/>
      <c r="FU253" s="582"/>
      <c r="FV253" s="582"/>
      <c r="FW253" s="582"/>
      <c r="FX253" s="582"/>
      <c r="FY253" s="582"/>
      <c r="FZ253" s="582"/>
      <c r="GA253" s="582"/>
      <c r="GB253" s="582"/>
      <c r="GC253" s="582"/>
      <c r="GD253" s="582"/>
      <c r="GE253" s="582"/>
      <c r="GF253" s="582"/>
      <c r="GG253" s="582"/>
      <c r="GH253" s="582"/>
      <c r="GI253" s="582"/>
      <c r="GJ253" s="582"/>
      <c r="GK253" s="582"/>
      <c r="GL253" s="582"/>
      <c r="GM253" s="582"/>
      <c r="GN253" s="582"/>
      <c r="GO253" s="582"/>
      <c r="GP253" s="582"/>
      <c r="GQ253" s="582"/>
      <c r="GR253" s="582"/>
      <c r="GS253" s="582"/>
      <c r="GT253" s="582"/>
      <c r="GU253" s="582"/>
      <c r="GV253" s="582"/>
      <c r="GW253" s="582"/>
      <c r="GX253" s="582"/>
      <c r="GY253" s="582"/>
      <c r="GZ253" s="582"/>
      <c r="HA253" s="582"/>
      <c r="HB253" s="582"/>
      <c r="HC253" s="582"/>
      <c r="HD253" s="582"/>
      <c r="HE253" s="582"/>
      <c r="HF253" s="582"/>
      <c r="HG253" s="582"/>
      <c r="HH253" s="582"/>
      <c r="HI253" s="582"/>
      <c r="HJ253" s="582"/>
      <c r="HK253" s="582"/>
      <c r="HL253" s="582"/>
      <c r="HM253" s="582"/>
      <c r="HN253" s="582"/>
      <c r="HO253" s="582"/>
      <c r="HP253" s="582"/>
      <c r="HQ253" s="582"/>
      <c r="HR253" s="582"/>
      <c r="HS253" s="582"/>
      <c r="HT253" s="582"/>
      <c r="HU253" s="582"/>
      <c r="HV253" s="582"/>
      <c r="HW253" s="582"/>
      <c r="HX253" s="582"/>
      <c r="HY253" s="582"/>
      <c r="HZ253" s="582"/>
      <c r="IA253" s="582"/>
      <c r="IB253" s="582"/>
      <c r="IC253" s="582"/>
      <c r="ID253" s="582"/>
      <c r="IE253" s="582"/>
      <c r="IF253" s="582"/>
      <c r="IG253" s="582"/>
      <c r="IH253" s="582"/>
      <c r="II253" s="582"/>
      <c r="IJ253" s="582"/>
      <c r="IK253" s="582"/>
      <c r="IL253" s="582"/>
      <c r="IM253" s="582"/>
      <c r="IN253" s="582"/>
      <c r="IO253" s="582"/>
      <c r="IP253" s="582"/>
      <c r="IQ253" s="582"/>
      <c r="IR253" s="582"/>
      <c r="IS253" s="582"/>
      <c r="IT253" s="582"/>
      <c r="IU253" s="582"/>
      <c r="IV253" s="582"/>
      <c r="IW253" s="582"/>
    </row>
    <row r="254" spans="1:257" s="724" customFormat="1" ht="15.75" customHeight="1">
      <c r="A254" s="713" t="s">
        <v>91</v>
      </c>
      <c r="B254" s="709" t="s">
        <v>955</v>
      </c>
      <c r="C254" s="713"/>
      <c r="D254" s="713"/>
      <c r="E254" s="781"/>
      <c r="F254" s="700"/>
      <c r="G254" s="877"/>
      <c r="H254" s="877"/>
      <c r="I254" s="877"/>
      <c r="J254" s="700"/>
      <c r="K254" s="700">
        <v>45000000000</v>
      </c>
      <c r="L254" s="1315">
        <v>63000000000</v>
      </c>
      <c r="M254" s="651" t="s">
        <v>1032</v>
      </c>
      <c r="N254" s="585"/>
      <c r="O254" s="585"/>
      <c r="P254" s="878"/>
      <c r="Q254" s="878"/>
      <c r="R254" s="593"/>
      <c r="S254" s="611"/>
      <c r="T254" s="584"/>
      <c r="U254" s="655"/>
      <c r="V254" s="639"/>
      <c r="W254" s="581"/>
      <c r="X254" s="578"/>
      <c r="Y254" s="582"/>
      <c r="Z254" s="582"/>
      <c r="AA254" s="582"/>
      <c r="AB254" s="582"/>
      <c r="AC254" s="582"/>
      <c r="AD254" s="582"/>
      <c r="AE254" s="582"/>
      <c r="AF254" s="582"/>
      <c r="AG254" s="582"/>
      <c r="AH254" s="582"/>
      <c r="AI254" s="582"/>
      <c r="AJ254" s="582"/>
      <c r="AK254" s="582"/>
      <c r="AL254" s="582"/>
      <c r="AM254" s="582"/>
      <c r="AN254" s="582"/>
      <c r="AO254" s="582"/>
      <c r="AP254" s="582"/>
      <c r="AQ254" s="582"/>
      <c r="AR254" s="582"/>
      <c r="AS254" s="582"/>
      <c r="AT254" s="582"/>
      <c r="AU254" s="582"/>
      <c r="AV254" s="582"/>
      <c r="AW254" s="582"/>
      <c r="AX254" s="582"/>
      <c r="AY254" s="582"/>
      <c r="AZ254" s="582"/>
      <c r="BA254" s="582"/>
      <c r="BB254" s="582"/>
      <c r="BC254" s="582"/>
      <c r="BD254" s="582"/>
      <c r="BE254" s="582"/>
      <c r="BF254" s="582"/>
      <c r="BG254" s="582"/>
      <c r="BH254" s="582"/>
      <c r="BI254" s="582"/>
      <c r="BJ254" s="582"/>
      <c r="BK254" s="582"/>
      <c r="BL254" s="582"/>
      <c r="BM254" s="582"/>
      <c r="BN254" s="582"/>
      <c r="BO254" s="582"/>
      <c r="BP254" s="582"/>
      <c r="BQ254" s="582"/>
      <c r="BR254" s="582"/>
      <c r="BS254" s="582"/>
      <c r="BT254" s="582"/>
      <c r="BU254" s="582"/>
      <c r="BV254" s="582"/>
      <c r="BW254" s="582"/>
      <c r="BX254" s="582"/>
      <c r="BY254" s="582"/>
      <c r="BZ254" s="582"/>
      <c r="CA254" s="582"/>
      <c r="CB254" s="582"/>
      <c r="CC254" s="582"/>
      <c r="CD254" s="582"/>
      <c r="CE254" s="582"/>
      <c r="CF254" s="582"/>
      <c r="CG254" s="582"/>
      <c r="CH254" s="582"/>
      <c r="CI254" s="582"/>
      <c r="CJ254" s="582"/>
      <c r="CK254" s="582"/>
      <c r="CL254" s="582"/>
      <c r="CM254" s="582"/>
      <c r="CN254" s="582"/>
      <c r="CO254" s="582"/>
      <c r="CP254" s="582"/>
      <c r="CQ254" s="582"/>
      <c r="CR254" s="582"/>
      <c r="CS254" s="582"/>
      <c r="CT254" s="582"/>
      <c r="CU254" s="582"/>
      <c r="CV254" s="582"/>
      <c r="CW254" s="582"/>
      <c r="CX254" s="582"/>
      <c r="CY254" s="582"/>
      <c r="CZ254" s="582"/>
      <c r="DA254" s="582"/>
      <c r="DB254" s="582"/>
      <c r="DC254" s="582"/>
      <c r="DD254" s="582"/>
      <c r="DE254" s="582"/>
      <c r="DF254" s="582"/>
      <c r="DG254" s="582"/>
      <c r="DH254" s="582"/>
      <c r="DI254" s="582"/>
      <c r="DJ254" s="582"/>
      <c r="DK254" s="582"/>
      <c r="DL254" s="582"/>
      <c r="DM254" s="582"/>
      <c r="DN254" s="582"/>
      <c r="DO254" s="582"/>
      <c r="DP254" s="582"/>
      <c r="DQ254" s="582"/>
      <c r="DR254" s="582"/>
      <c r="DS254" s="582"/>
      <c r="DT254" s="582"/>
      <c r="DU254" s="582"/>
      <c r="DV254" s="582"/>
      <c r="DW254" s="582"/>
      <c r="DX254" s="582"/>
      <c r="DY254" s="582"/>
      <c r="DZ254" s="582"/>
      <c r="EA254" s="582"/>
      <c r="EB254" s="582"/>
      <c r="EC254" s="582"/>
      <c r="ED254" s="582"/>
      <c r="EE254" s="582"/>
      <c r="EF254" s="582"/>
      <c r="EG254" s="582"/>
      <c r="EH254" s="582"/>
      <c r="EI254" s="582"/>
      <c r="EJ254" s="582"/>
      <c r="EK254" s="582"/>
      <c r="EL254" s="582"/>
      <c r="EM254" s="582"/>
      <c r="EN254" s="582"/>
      <c r="EO254" s="582"/>
      <c r="EP254" s="582"/>
      <c r="EQ254" s="582"/>
      <c r="ER254" s="582"/>
      <c r="ES254" s="582"/>
      <c r="ET254" s="582"/>
      <c r="EU254" s="582"/>
      <c r="EV254" s="582"/>
      <c r="EW254" s="582"/>
      <c r="EX254" s="582"/>
      <c r="EY254" s="582"/>
      <c r="EZ254" s="582"/>
      <c r="FA254" s="582"/>
      <c r="FB254" s="582"/>
      <c r="FC254" s="582"/>
      <c r="FD254" s="582"/>
      <c r="FE254" s="582"/>
      <c r="FF254" s="582"/>
      <c r="FG254" s="582"/>
      <c r="FH254" s="582"/>
      <c r="FI254" s="582"/>
      <c r="FJ254" s="582"/>
      <c r="FK254" s="582"/>
      <c r="FL254" s="582"/>
      <c r="FM254" s="582"/>
      <c r="FN254" s="582"/>
      <c r="FO254" s="582"/>
      <c r="FP254" s="582"/>
      <c r="FQ254" s="582"/>
      <c r="FR254" s="582"/>
      <c r="FS254" s="582"/>
      <c r="FT254" s="582"/>
      <c r="FU254" s="582"/>
      <c r="FV254" s="582"/>
      <c r="FW254" s="582"/>
      <c r="FX254" s="582"/>
      <c r="FY254" s="582"/>
      <c r="FZ254" s="582"/>
      <c r="GA254" s="582"/>
      <c r="GB254" s="582"/>
      <c r="GC254" s="582"/>
      <c r="GD254" s="582"/>
      <c r="GE254" s="582"/>
      <c r="GF254" s="582"/>
      <c r="GG254" s="582"/>
      <c r="GH254" s="582"/>
      <c r="GI254" s="582"/>
      <c r="GJ254" s="582"/>
      <c r="GK254" s="582"/>
      <c r="GL254" s="582"/>
      <c r="GM254" s="582"/>
      <c r="GN254" s="582"/>
      <c r="GO254" s="582"/>
      <c r="GP254" s="582"/>
      <c r="GQ254" s="582"/>
      <c r="GR254" s="582"/>
      <c r="GS254" s="582"/>
      <c r="GT254" s="582"/>
      <c r="GU254" s="582"/>
      <c r="GV254" s="582"/>
      <c r="GW254" s="582"/>
      <c r="GX254" s="582"/>
      <c r="GY254" s="582"/>
      <c r="GZ254" s="582"/>
      <c r="HA254" s="582"/>
      <c r="HB254" s="582"/>
      <c r="HC254" s="582"/>
      <c r="HD254" s="582"/>
      <c r="HE254" s="582"/>
      <c r="HF254" s="582"/>
      <c r="HG254" s="582"/>
      <c r="HH254" s="582"/>
      <c r="HI254" s="582"/>
      <c r="HJ254" s="582"/>
      <c r="HK254" s="582"/>
      <c r="HL254" s="582"/>
      <c r="HM254" s="582"/>
      <c r="HN254" s="582"/>
      <c r="HO254" s="582"/>
      <c r="HP254" s="582"/>
      <c r="HQ254" s="582"/>
      <c r="HR254" s="582"/>
      <c r="HS254" s="582"/>
      <c r="HT254" s="582"/>
      <c r="HU254" s="582"/>
      <c r="HV254" s="582"/>
      <c r="HW254" s="582"/>
      <c r="HX254" s="582"/>
      <c r="HY254" s="582"/>
      <c r="HZ254" s="582"/>
      <c r="IA254" s="582"/>
      <c r="IB254" s="582"/>
      <c r="IC254" s="582"/>
      <c r="ID254" s="582"/>
      <c r="IE254" s="582"/>
      <c r="IF254" s="582"/>
      <c r="IG254" s="582"/>
      <c r="IH254" s="582"/>
      <c r="II254" s="582"/>
      <c r="IJ254" s="582"/>
      <c r="IK254" s="582"/>
      <c r="IL254" s="582"/>
      <c r="IM254" s="582"/>
      <c r="IN254" s="582"/>
      <c r="IO254" s="582"/>
      <c r="IP254" s="582"/>
      <c r="IQ254" s="582"/>
      <c r="IR254" s="582"/>
      <c r="IS254" s="582"/>
      <c r="IT254" s="582"/>
      <c r="IU254" s="582"/>
      <c r="IV254" s="582"/>
      <c r="IW254" s="582"/>
    </row>
    <row r="255" spans="1:257" s="724" customFormat="1" ht="15.75" customHeight="1">
      <c r="A255" s="713" t="s">
        <v>91</v>
      </c>
      <c r="B255" s="709" t="s">
        <v>956</v>
      </c>
      <c r="C255" s="713"/>
      <c r="D255" s="713"/>
      <c r="E255" s="781"/>
      <c r="F255" s="700"/>
      <c r="G255" s="877"/>
      <c r="H255" s="877"/>
      <c r="I255" s="877"/>
      <c r="J255" s="700"/>
      <c r="K255" s="700">
        <f>79000000000-51811000000</f>
        <v>27189000000</v>
      </c>
      <c r="L255" s="1315">
        <v>0</v>
      </c>
      <c r="M255" s="651"/>
      <c r="N255" s="585">
        <f>L255</f>
        <v>0</v>
      </c>
      <c r="O255" s="585"/>
      <c r="P255" s="878"/>
      <c r="Q255" s="878"/>
      <c r="R255" s="593"/>
      <c r="S255" s="611"/>
      <c r="T255" s="584"/>
      <c r="U255" s="655"/>
      <c r="V255" s="639"/>
      <c r="W255" s="581"/>
      <c r="X255" s="578"/>
      <c r="Y255" s="582"/>
      <c r="Z255" s="582"/>
      <c r="AA255" s="582"/>
      <c r="AB255" s="582"/>
      <c r="AC255" s="582"/>
      <c r="AD255" s="582"/>
      <c r="AE255" s="582"/>
      <c r="AF255" s="582"/>
      <c r="AG255" s="582"/>
      <c r="AH255" s="582"/>
      <c r="AI255" s="582"/>
      <c r="AJ255" s="582"/>
      <c r="AK255" s="582"/>
      <c r="AL255" s="582"/>
      <c r="AM255" s="582"/>
      <c r="AN255" s="582"/>
      <c r="AO255" s="582"/>
      <c r="AP255" s="582"/>
      <c r="AQ255" s="582"/>
      <c r="AR255" s="582"/>
      <c r="AS255" s="582"/>
      <c r="AT255" s="582"/>
      <c r="AU255" s="582"/>
      <c r="AV255" s="582"/>
      <c r="AW255" s="582"/>
      <c r="AX255" s="582"/>
      <c r="AY255" s="582"/>
      <c r="AZ255" s="582"/>
      <c r="BA255" s="582"/>
      <c r="BB255" s="582"/>
      <c r="BC255" s="582"/>
      <c r="BD255" s="582"/>
      <c r="BE255" s="582"/>
      <c r="BF255" s="582"/>
      <c r="BG255" s="582"/>
      <c r="BH255" s="582"/>
      <c r="BI255" s="582"/>
      <c r="BJ255" s="582"/>
      <c r="BK255" s="582"/>
      <c r="BL255" s="582"/>
      <c r="BM255" s="582"/>
      <c r="BN255" s="582"/>
      <c r="BO255" s="582"/>
      <c r="BP255" s="582"/>
      <c r="BQ255" s="582"/>
      <c r="BR255" s="582"/>
      <c r="BS255" s="582"/>
      <c r="BT255" s="582"/>
      <c r="BU255" s="582"/>
      <c r="BV255" s="582"/>
      <c r="BW255" s="582"/>
      <c r="BX255" s="582"/>
      <c r="BY255" s="582"/>
      <c r="BZ255" s="582"/>
      <c r="CA255" s="582"/>
      <c r="CB255" s="582"/>
      <c r="CC255" s="582"/>
      <c r="CD255" s="582"/>
      <c r="CE255" s="582"/>
      <c r="CF255" s="582"/>
      <c r="CG255" s="582"/>
      <c r="CH255" s="582"/>
      <c r="CI255" s="582"/>
      <c r="CJ255" s="582"/>
      <c r="CK255" s="582"/>
      <c r="CL255" s="582"/>
      <c r="CM255" s="582"/>
      <c r="CN255" s="582"/>
      <c r="CO255" s="582"/>
      <c r="CP255" s="582"/>
      <c r="CQ255" s="582"/>
      <c r="CR255" s="582"/>
      <c r="CS255" s="582"/>
      <c r="CT255" s="582"/>
      <c r="CU255" s="582"/>
      <c r="CV255" s="582"/>
      <c r="CW255" s="582"/>
      <c r="CX255" s="582"/>
      <c r="CY255" s="582"/>
      <c r="CZ255" s="582"/>
      <c r="DA255" s="582"/>
      <c r="DB255" s="582"/>
      <c r="DC255" s="582"/>
      <c r="DD255" s="582"/>
      <c r="DE255" s="582"/>
      <c r="DF255" s="582"/>
      <c r="DG255" s="582"/>
      <c r="DH255" s="582"/>
      <c r="DI255" s="582"/>
      <c r="DJ255" s="582"/>
      <c r="DK255" s="582"/>
      <c r="DL255" s="582"/>
      <c r="DM255" s="582"/>
      <c r="DN255" s="582"/>
      <c r="DO255" s="582"/>
      <c r="DP255" s="582"/>
      <c r="DQ255" s="582"/>
      <c r="DR255" s="582"/>
      <c r="DS255" s="582"/>
      <c r="DT255" s="582"/>
      <c r="DU255" s="582"/>
      <c r="DV255" s="582"/>
      <c r="DW255" s="582"/>
      <c r="DX255" s="582"/>
      <c r="DY255" s="582"/>
      <c r="DZ255" s="582"/>
      <c r="EA255" s="582"/>
      <c r="EB255" s="582"/>
      <c r="EC255" s="582"/>
      <c r="ED255" s="582"/>
      <c r="EE255" s="582"/>
      <c r="EF255" s="582"/>
      <c r="EG255" s="582"/>
      <c r="EH255" s="582"/>
      <c r="EI255" s="582"/>
      <c r="EJ255" s="582"/>
      <c r="EK255" s="582"/>
      <c r="EL255" s="582"/>
      <c r="EM255" s="582"/>
      <c r="EN255" s="582"/>
      <c r="EO255" s="582"/>
      <c r="EP255" s="582"/>
      <c r="EQ255" s="582"/>
      <c r="ER255" s="582"/>
      <c r="ES255" s="582"/>
      <c r="ET255" s="582"/>
      <c r="EU255" s="582"/>
      <c r="EV255" s="582"/>
      <c r="EW255" s="582"/>
      <c r="EX255" s="582"/>
      <c r="EY255" s="582"/>
      <c r="EZ255" s="582"/>
      <c r="FA255" s="582"/>
      <c r="FB255" s="582"/>
      <c r="FC255" s="582"/>
      <c r="FD255" s="582"/>
      <c r="FE255" s="582"/>
      <c r="FF255" s="582"/>
      <c r="FG255" s="582"/>
      <c r="FH255" s="582"/>
      <c r="FI255" s="582"/>
      <c r="FJ255" s="582"/>
      <c r="FK255" s="582"/>
      <c r="FL255" s="582"/>
      <c r="FM255" s="582"/>
      <c r="FN255" s="582"/>
      <c r="FO255" s="582"/>
      <c r="FP255" s="582"/>
      <c r="FQ255" s="582"/>
      <c r="FR255" s="582"/>
      <c r="FS255" s="582"/>
      <c r="FT255" s="582"/>
      <c r="FU255" s="582"/>
      <c r="FV255" s="582"/>
      <c r="FW255" s="582"/>
      <c r="FX255" s="582"/>
      <c r="FY255" s="582"/>
      <c r="FZ255" s="582"/>
      <c r="GA255" s="582"/>
      <c r="GB255" s="582"/>
      <c r="GC255" s="582"/>
      <c r="GD255" s="582"/>
      <c r="GE255" s="582"/>
      <c r="GF255" s="582"/>
      <c r="GG255" s="582"/>
      <c r="GH255" s="582"/>
      <c r="GI255" s="582"/>
      <c r="GJ255" s="582"/>
      <c r="GK255" s="582"/>
      <c r="GL255" s="582"/>
      <c r="GM255" s="582"/>
      <c r="GN255" s="582"/>
      <c r="GO255" s="582"/>
      <c r="GP255" s="582"/>
      <c r="GQ255" s="582"/>
      <c r="GR255" s="582"/>
      <c r="GS255" s="582"/>
      <c r="GT255" s="582"/>
      <c r="GU255" s="582"/>
      <c r="GV255" s="582"/>
      <c r="GW255" s="582"/>
      <c r="GX255" s="582"/>
      <c r="GY255" s="582"/>
      <c r="GZ255" s="582"/>
      <c r="HA255" s="582"/>
      <c r="HB255" s="582"/>
      <c r="HC255" s="582"/>
      <c r="HD255" s="582"/>
      <c r="HE255" s="582"/>
      <c r="HF255" s="582"/>
      <c r="HG255" s="582"/>
      <c r="HH255" s="582"/>
      <c r="HI255" s="582"/>
      <c r="HJ255" s="582"/>
      <c r="HK255" s="582"/>
      <c r="HL255" s="582"/>
      <c r="HM255" s="582"/>
      <c r="HN255" s="582"/>
      <c r="HO255" s="582"/>
      <c r="HP255" s="582"/>
      <c r="HQ255" s="582"/>
      <c r="HR255" s="582"/>
      <c r="HS255" s="582"/>
      <c r="HT255" s="582"/>
      <c r="HU255" s="582"/>
      <c r="HV255" s="582"/>
      <c r="HW255" s="582"/>
      <c r="HX255" s="582"/>
      <c r="HY255" s="582"/>
      <c r="HZ255" s="582"/>
      <c r="IA255" s="582"/>
      <c r="IB255" s="582"/>
      <c r="IC255" s="582"/>
      <c r="ID255" s="582"/>
      <c r="IE255" s="582"/>
      <c r="IF255" s="582"/>
      <c r="IG255" s="582"/>
      <c r="IH255" s="582"/>
      <c r="II255" s="582"/>
      <c r="IJ255" s="582"/>
      <c r="IK255" s="582"/>
      <c r="IL255" s="582"/>
      <c r="IM255" s="582"/>
      <c r="IN255" s="582"/>
      <c r="IO255" s="582"/>
      <c r="IP255" s="582"/>
      <c r="IQ255" s="582"/>
      <c r="IR255" s="582"/>
      <c r="IS255" s="582"/>
      <c r="IT255" s="582"/>
      <c r="IU255" s="582"/>
      <c r="IV255" s="582"/>
      <c r="IW255" s="582"/>
    </row>
    <row r="256" spans="1:257" s="582" customFormat="1">
      <c r="A256" s="715" t="s">
        <v>287</v>
      </c>
      <c r="B256" s="714" t="s">
        <v>288</v>
      </c>
      <c r="C256" s="591" t="e">
        <f>SUM(C257:C400)+C403+C412+C420+#REF!</f>
        <v>#REF!</v>
      </c>
      <c r="D256" s="591" t="e">
        <f>SUM(D257:D400)+D403+D412+D420+#REF!</f>
        <v>#REF!</v>
      </c>
      <c r="E256" s="704"/>
      <c r="F256" s="716">
        <f t="shared" ref="F256:J256" si="20">F257+F280+F319+F344+F378+F401+F464+F469+F490+F491</f>
        <v>525867000000</v>
      </c>
      <c r="G256" s="716" t="e">
        <f t="shared" si="20"/>
        <v>#VALUE!</v>
      </c>
      <c r="H256" s="716">
        <f t="shared" si="20"/>
        <v>8191000000</v>
      </c>
      <c r="I256" s="716">
        <f t="shared" si="20"/>
        <v>8191000000</v>
      </c>
      <c r="J256" s="716">
        <f t="shared" si="20"/>
        <v>630964192939</v>
      </c>
      <c r="K256" s="716">
        <v>579473000000</v>
      </c>
      <c r="L256" s="1316">
        <f>L257+L280+L319+L344+L378+L401+L464+L469+L490+L491</f>
        <v>727861000000</v>
      </c>
      <c r="M256" s="618"/>
      <c r="N256" s="890"/>
      <c r="O256" s="890"/>
      <c r="P256" s="890"/>
      <c r="Q256" s="890"/>
      <c r="R256" s="891"/>
      <c r="S256" s="871"/>
      <c r="T256" s="824"/>
      <c r="U256" s="782"/>
      <c r="V256" s="872"/>
      <c r="W256" s="581"/>
      <c r="X256" s="578"/>
    </row>
    <row r="257" spans="1:257" s="898" customFormat="1">
      <c r="A257" s="791">
        <v>1</v>
      </c>
      <c r="B257" s="840" t="s">
        <v>196</v>
      </c>
      <c r="C257" s="791"/>
      <c r="D257" s="791"/>
      <c r="E257" s="792"/>
      <c r="F257" s="792">
        <f t="shared" ref="F257:J257" si="21">F258+F265</f>
        <v>463000000</v>
      </c>
      <c r="G257" s="792">
        <f t="shared" si="21"/>
        <v>22000000</v>
      </c>
      <c r="H257" s="792">
        <f t="shared" si="21"/>
        <v>0</v>
      </c>
      <c r="I257" s="792">
        <f t="shared" si="21"/>
        <v>0</v>
      </c>
      <c r="J257" s="792">
        <f t="shared" si="21"/>
        <v>386800000</v>
      </c>
      <c r="K257" s="792">
        <f>K258+K265</f>
        <v>524000000</v>
      </c>
      <c r="L257" s="1303">
        <f>L258+L265</f>
        <v>693000000</v>
      </c>
      <c r="M257" s="792"/>
      <c r="N257" s="841"/>
      <c r="O257" s="841"/>
      <c r="P257" s="892"/>
      <c r="Q257" s="892"/>
      <c r="R257" s="893"/>
      <c r="S257" s="894"/>
      <c r="T257" s="845"/>
      <c r="U257" s="802"/>
      <c r="V257" s="895"/>
      <c r="W257" s="896"/>
      <c r="X257" s="897"/>
      <c r="Y257" s="846"/>
      <c r="Z257" s="846"/>
      <c r="AA257" s="846"/>
      <c r="AB257" s="846"/>
      <c r="AC257" s="846"/>
      <c r="AD257" s="846"/>
      <c r="AE257" s="846"/>
      <c r="AF257" s="846"/>
      <c r="AG257" s="846"/>
      <c r="AH257" s="846"/>
      <c r="AI257" s="846"/>
      <c r="AJ257" s="846"/>
      <c r="AK257" s="846"/>
      <c r="AL257" s="846"/>
      <c r="AM257" s="846"/>
      <c r="AN257" s="846"/>
      <c r="AO257" s="846"/>
      <c r="AP257" s="846"/>
      <c r="AQ257" s="846"/>
      <c r="AR257" s="846"/>
      <c r="AS257" s="846"/>
      <c r="AT257" s="846"/>
      <c r="AU257" s="846"/>
      <c r="AV257" s="846"/>
      <c r="AW257" s="846"/>
      <c r="AX257" s="846"/>
      <c r="AY257" s="846"/>
      <c r="AZ257" s="846"/>
      <c r="BA257" s="846"/>
      <c r="BB257" s="846"/>
      <c r="BC257" s="846"/>
      <c r="BD257" s="846"/>
      <c r="BE257" s="846"/>
      <c r="BF257" s="846"/>
      <c r="BG257" s="846"/>
      <c r="BH257" s="846"/>
      <c r="BI257" s="846"/>
      <c r="BJ257" s="846"/>
      <c r="BK257" s="846"/>
      <c r="BL257" s="846"/>
      <c r="BM257" s="846"/>
      <c r="BN257" s="846"/>
      <c r="BO257" s="846"/>
      <c r="BP257" s="846"/>
      <c r="BQ257" s="846"/>
      <c r="BR257" s="846"/>
      <c r="BS257" s="846"/>
      <c r="BT257" s="846"/>
      <c r="BU257" s="846"/>
      <c r="BV257" s="846"/>
      <c r="BW257" s="846"/>
      <c r="BX257" s="846"/>
      <c r="BY257" s="846"/>
      <c r="BZ257" s="846"/>
      <c r="CA257" s="846"/>
      <c r="CB257" s="846"/>
      <c r="CC257" s="846"/>
      <c r="CD257" s="846"/>
      <c r="CE257" s="846"/>
      <c r="CF257" s="846"/>
      <c r="CG257" s="846"/>
      <c r="CH257" s="846"/>
      <c r="CI257" s="846"/>
      <c r="CJ257" s="846"/>
      <c r="CK257" s="846"/>
      <c r="CL257" s="846"/>
      <c r="CM257" s="846"/>
      <c r="CN257" s="846"/>
      <c r="CO257" s="846"/>
      <c r="CP257" s="846"/>
      <c r="CQ257" s="846"/>
      <c r="CR257" s="846"/>
      <c r="CS257" s="846"/>
      <c r="CT257" s="846"/>
      <c r="CU257" s="846"/>
      <c r="CV257" s="846"/>
      <c r="CW257" s="846"/>
      <c r="CX257" s="846"/>
      <c r="CY257" s="846"/>
      <c r="CZ257" s="846"/>
      <c r="DA257" s="846"/>
      <c r="DB257" s="846"/>
      <c r="DC257" s="846"/>
      <c r="DD257" s="846"/>
      <c r="DE257" s="846"/>
      <c r="DF257" s="846"/>
      <c r="DG257" s="846"/>
      <c r="DH257" s="846"/>
      <c r="DI257" s="846"/>
      <c r="DJ257" s="846"/>
      <c r="DK257" s="846"/>
      <c r="DL257" s="846"/>
      <c r="DM257" s="846"/>
      <c r="DN257" s="846"/>
      <c r="DO257" s="846"/>
      <c r="DP257" s="846"/>
      <c r="DQ257" s="846"/>
      <c r="DR257" s="846"/>
      <c r="DS257" s="846"/>
      <c r="DT257" s="846"/>
      <c r="DU257" s="846"/>
      <c r="DV257" s="846"/>
      <c r="DW257" s="846"/>
      <c r="DX257" s="846"/>
      <c r="DY257" s="846"/>
      <c r="DZ257" s="846"/>
      <c r="EA257" s="846"/>
      <c r="EB257" s="846"/>
      <c r="EC257" s="846"/>
      <c r="ED257" s="846"/>
      <c r="EE257" s="846"/>
      <c r="EF257" s="846"/>
      <c r="EG257" s="846"/>
      <c r="EH257" s="846"/>
      <c r="EI257" s="846"/>
      <c r="EJ257" s="846"/>
      <c r="EK257" s="846"/>
      <c r="EL257" s="846"/>
      <c r="EM257" s="846"/>
      <c r="EN257" s="846"/>
      <c r="EO257" s="846"/>
      <c r="EP257" s="846"/>
      <c r="EQ257" s="846"/>
      <c r="ER257" s="846"/>
      <c r="ES257" s="846"/>
      <c r="ET257" s="846"/>
      <c r="EU257" s="846"/>
      <c r="EV257" s="846"/>
      <c r="EW257" s="846"/>
      <c r="EX257" s="846"/>
      <c r="EY257" s="846"/>
      <c r="EZ257" s="846"/>
      <c r="FA257" s="846"/>
      <c r="FB257" s="846"/>
      <c r="FC257" s="846"/>
      <c r="FD257" s="846"/>
      <c r="FE257" s="846"/>
      <c r="FF257" s="846"/>
      <c r="FG257" s="846"/>
      <c r="FH257" s="846"/>
      <c r="FI257" s="846"/>
      <c r="FJ257" s="846"/>
      <c r="FK257" s="846"/>
      <c r="FL257" s="846"/>
      <c r="FM257" s="846"/>
      <c r="FN257" s="846"/>
      <c r="FO257" s="846"/>
      <c r="FP257" s="846"/>
      <c r="FQ257" s="846"/>
      <c r="FR257" s="846"/>
      <c r="FS257" s="846"/>
      <c r="FT257" s="846"/>
      <c r="FU257" s="846"/>
      <c r="FV257" s="846"/>
      <c r="FW257" s="846"/>
      <c r="FX257" s="846"/>
      <c r="FY257" s="846"/>
      <c r="FZ257" s="846"/>
      <c r="GA257" s="846"/>
      <c r="GB257" s="846"/>
      <c r="GC257" s="846"/>
      <c r="GD257" s="846"/>
      <c r="GE257" s="846"/>
      <c r="GF257" s="846"/>
      <c r="GG257" s="846"/>
      <c r="GH257" s="846"/>
      <c r="GI257" s="846"/>
      <c r="GJ257" s="846"/>
      <c r="GK257" s="846"/>
      <c r="GL257" s="846"/>
      <c r="GM257" s="846"/>
      <c r="GN257" s="846"/>
      <c r="GO257" s="846"/>
      <c r="GP257" s="846"/>
      <c r="GQ257" s="846"/>
      <c r="GR257" s="846"/>
      <c r="GS257" s="846"/>
      <c r="GT257" s="846"/>
      <c r="GU257" s="846"/>
      <c r="GV257" s="846"/>
      <c r="GW257" s="846"/>
      <c r="GX257" s="846"/>
      <c r="GY257" s="846"/>
      <c r="GZ257" s="846"/>
      <c r="HA257" s="846"/>
      <c r="HB257" s="846"/>
      <c r="HC257" s="846"/>
      <c r="HD257" s="846"/>
      <c r="HE257" s="846"/>
      <c r="HF257" s="846"/>
      <c r="HG257" s="846"/>
      <c r="HH257" s="846"/>
      <c r="HI257" s="846"/>
      <c r="HJ257" s="846"/>
      <c r="HK257" s="846"/>
      <c r="HL257" s="846"/>
      <c r="HM257" s="846"/>
      <c r="HN257" s="846"/>
      <c r="HO257" s="846"/>
      <c r="HP257" s="846"/>
      <c r="HQ257" s="846"/>
      <c r="HR257" s="846"/>
      <c r="HS257" s="846"/>
      <c r="HT257" s="846"/>
      <c r="HU257" s="846"/>
      <c r="HV257" s="846"/>
      <c r="HW257" s="846"/>
      <c r="HX257" s="846"/>
      <c r="HY257" s="846"/>
      <c r="HZ257" s="846"/>
      <c r="IA257" s="846"/>
      <c r="IB257" s="846"/>
      <c r="IC257" s="846"/>
      <c r="ID257" s="846"/>
      <c r="IE257" s="846"/>
      <c r="IF257" s="846"/>
      <c r="IG257" s="846"/>
      <c r="IH257" s="846"/>
      <c r="II257" s="846"/>
      <c r="IJ257" s="846"/>
      <c r="IK257" s="846"/>
      <c r="IL257" s="846"/>
      <c r="IM257" s="846"/>
      <c r="IN257" s="846"/>
      <c r="IO257" s="846"/>
      <c r="IP257" s="846"/>
      <c r="IQ257" s="846"/>
      <c r="IR257" s="846"/>
      <c r="IS257" s="846"/>
      <c r="IT257" s="846"/>
      <c r="IU257" s="846"/>
      <c r="IV257" s="846"/>
      <c r="IW257" s="846"/>
    </row>
    <row r="258" spans="1:257" s="621" customFormat="1">
      <c r="A258" s="589" t="s">
        <v>222</v>
      </c>
      <c r="B258" s="804" t="s">
        <v>252</v>
      </c>
      <c r="C258" s="589"/>
      <c r="D258" s="589"/>
      <c r="E258" s="704"/>
      <c r="F258" s="716">
        <f t="shared" ref="F258:J258" si="22">F259+F263</f>
        <v>238000000</v>
      </c>
      <c r="G258" s="716">
        <f t="shared" si="22"/>
        <v>0</v>
      </c>
      <c r="H258" s="716">
        <f t="shared" si="22"/>
        <v>0</v>
      </c>
      <c r="I258" s="716">
        <f t="shared" si="22"/>
        <v>0</v>
      </c>
      <c r="J258" s="716">
        <f t="shared" si="22"/>
        <v>166800000</v>
      </c>
      <c r="K258" s="716">
        <f>K260+K262+K263</f>
        <v>298000000</v>
      </c>
      <c r="L258" s="1316">
        <f>L260+L262+L263</f>
        <v>387000000</v>
      </c>
      <c r="M258" s="618"/>
      <c r="N258" s="890"/>
      <c r="O258" s="890"/>
      <c r="P258" s="899"/>
      <c r="Q258" s="899"/>
      <c r="R258" s="821"/>
      <c r="S258" s="900"/>
      <c r="T258" s="822"/>
      <c r="U258" s="577"/>
      <c r="V258" s="701"/>
      <c r="W258" s="722"/>
      <c r="X258" s="723"/>
      <c r="Y258" s="724"/>
      <c r="Z258" s="724"/>
      <c r="AA258" s="724"/>
      <c r="AB258" s="724"/>
      <c r="AC258" s="724"/>
      <c r="AD258" s="724"/>
      <c r="AE258" s="724"/>
      <c r="AF258" s="724"/>
      <c r="AG258" s="724"/>
      <c r="AH258" s="724"/>
      <c r="AI258" s="724"/>
      <c r="AJ258" s="724"/>
      <c r="AK258" s="724"/>
      <c r="AL258" s="724"/>
      <c r="AM258" s="724"/>
      <c r="AN258" s="724"/>
      <c r="AO258" s="724"/>
      <c r="AP258" s="724"/>
      <c r="AQ258" s="724"/>
      <c r="AR258" s="724"/>
      <c r="AS258" s="724"/>
      <c r="AT258" s="724"/>
      <c r="AU258" s="724"/>
      <c r="AV258" s="724"/>
      <c r="AW258" s="724"/>
      <c r="AX258" s="724"/>
      <c r="AY258" s="724"/>
      <c r="AZ258" s="724"/>
      <c r="BA258" s="724"/>
      <c r="BB258" s="724"/>
      <c r="BC258" s="724"/>
      <c r="BD258" s="724"/>
      <c r="BE258" s="724"/>
      <c r="BF258" s="724"/>
      <c r="BG258" s="724"/>
      <c r="BH258" s="724"/>
      <c r="BI258" s="724"/>
      <c r="BJ258" s="724"/>
      <c r="BK258" s="724"/>
      <c r="BL258" s="724"/>
      <c r="BM258" s="724"/>
      <c r="BN258" s="724"/>
      <c r="BO258" s="724"/>
      <c r="BP258" s="724"/>
      <c r="BQ258" s="724"/>
      <c r="BR258" s="724"/>
      <c r="BS258" s="724"/>
      <c r="BT258" s="724"/>
      <c r="BU258" s="724"/>
      <c r="BV258" s="724"/>
      <c r="BW258" s="724"/>
      <c r="BX258" s="724"/>
      <c r="BY258" s="724"/>
      <c r="BZ258" s="724"/>
      <c r="CA258" s="724"/>
      <c r="CB258" s="724"/>
      <c r="CC258" s="724"/>
      <c r="CD258" s="724"/>
      <c r="CE258" s="724"/>
      <c r="CF258" s="724"/>
      <c r="CG258" s="724"/>
      <c r="CH258" s="724"/>
      <c r="CI258" s="724"/>
      <c r="CJ258" s="724"/>
      <c r="CK258" s="724"/>
      <c r="CL258" s="724"/>
      <c r="CM258" s="724"/>
      <c r="CN258" s="724"/>
      <c r="CO258" s="724"/>
      <c r="CP258" s="724"/>
      <c r="CQ258" s="724"/>
      <c r="CR258" s="724"/>
      <c r="CS258" s="724"/>
      <c r="CT258" s="724"/>
      <c r="CU258" s="724"/>
      <c r="CV258" s="724"/>
      <c r="CW258" s="724"/>
      <c r="CX258" s="724"/>
      <c r="CY258" s="724"/>
      <c r="CZ258" s="724"/>
      <c r="DA258" s="724"/>
      <c r="DB258" s="724"/>
      <c r="DC258" s="724"/>
      <c r="DD258" s="724"/>
      <c r="DE258" s="724"/>
      <c r="DF258" s="724"/>
      <c r="DG258" s="724"/>
      <c r="DH258" s="724"/>
      <c r="DI258" s="724"/>
      <c r="DJ258" s="724"/>
      <c r="DK258" s="724"/>
      <c r="DL258" s="724"/>
      <c r="DM258" s="724"/>
      <c r="DN258" s="724"/>
      <c r="DO258" s="724"/>
      <c r="DP258" s="724"/>
      <c r="DQ258" s="724"/>
      <c r="DR258" s="724"/>
      <c r="DS258" s="724"/>
      <c r="DT258" s="724"/>
      <c r="DU258" s="724"/>
      <c r="DV258" s="724"/>
      <c r="DW258" s="724"/>
      <c r="DX258" s="724"/>
      <c r="DY258" s="724"/>
      <c r="DZ258" s="724"/>
      <c r="EA258" s="724"/>
      <c r="EB258" s="724"/>
      <c r="EC258" s="724"/>
      <c r="ED258" s="724"/>
      <c r="EE258" s="724"/>
      <c r="EF258" s="724"/>
      <c r="EG258" s="724"/>
      <c r="EH258" s="724"/>
      <c r="EI258" s="724"/>
      <c r="EJ258" s="724"/>
      <c r="EK258" s="724"/>
      <c r="EL258" s="724"/>
      <c r="EM258" s="724"/>
      <c r="EN258" s="724"/>
      <c r="EO258" s="724"/>
      <c r="EP258" s="724"/>
      <c r="EQ258" s="724"/>
      <c r="ER258" s="724"/>
      <c r="ES258" s="724"/>
      <c r="ET258" s="724"/>
      <c r="EU258" s="724"/>
      <c r="EV258" s="724"/>
      <c r="EW258" s="724"/>
      <c r="EX258" s="724"/>
      <c r="EY258" s="724"/>
      <c r="EZ258" s="724"/>
      <c r="FA258" s="724"/>
      <c r="FB258" s="724"/>
      <c r="FC258" s="724"/>
      <c r="FD258" s="724"/>
      <c r="FE258" s="724"/>
      <c r="FF258" s="724"/>
      <c r="FG258" s="724"/>
      <c r="FH258" s="724"/>
      <c r="FI258" s="724"/>
      <c r="FJ258" s="724"/>
      <c r="FK258" s="724"/>
      <c r="FL258" s="724"/>
      <c r="FM258" s="724"/>
      <c r="FN258" s="724"/>
      <c r="FO258" s="724"/>
      <c r="FP258" s="724"/>
      <c r="FQ258" s="724"/>
      <c r="FR258" s="724"/>
      <c r="FS258" s="724"/>
      <c r="FT258" s="724"/>
      <c r="FU258" s="724"/>
      <c r="FV258" s="724"/>
      <c r="FW258" s="724"/>
      <c r="FX258" s="724"/>
      <c r="FY258" s="724"/>
      <c r="FZ258" s="724"/>
      <c r="GA258" s="724"/>
      <c r="GB258" s="724"/>
      <c r="GC258" s="724"/>
      <c r="GD258" s="724"/>
      <c r="GE258" s="724"/>
      <c r="GF258" s="724"/>
      <c r="GG258" s="724"/>
      <c r="GH258" s="724"/>
      <c r="GI258" s="724"/>
      <c r="GJ258" s="724"/>
      <c r="GK258" s="724"/>
      <c r="GL258" s="724"/>
      <c r="GM258" s="724"/>
      <c r="GN258" s="724"/>
      <c r="GO258" s="724"/>
      <c r="GP258" s="724"/>
      <c r="GQ258" s="724"/>
      <c r="GR258" s="724"/>
      <c r="GS258" s="724"/>
      <c r="GT258" s="724"/>
      <c r="GU258" s="724"/>
      <c r="GV258" s="724"/>
      <c r="GW258" s="724"/>
      <c r="GX258" s="724"/>
      <c r="GY258" s="724"/>
      <c r="GZ258" s="724"/>
      <c r="HA258" s="724"/>
      <c r="HB258" s="724"/>
      <c r="HC258" s="724"/>
      <c r="HD258" s="724"/>
      <c r="HE258" s="724"/>
      <c r="HF258" s="724"/>
      <c r="HG258" s="724"/>
      <c r="HH258" s="724"/>
      <c r="HI258" s="724"/>
      <c r="HJ258" s="724"/>
      <c r="HK258" s="724"/>
      <c r="HL258" s="724"/>
      <c r="HM258" s="724"/>
      <c r="HN258" s="724"/>
      <c r="HO258" s="724"/>
      <c r="HP258" s="724"/>
      <c r="HQ258" s="724"/>
      <c r="HR258" s="724"/>
      <c r="HS258" s="724"/>
      <c r="HT258" s="724"/>
      <c r="HU258" s="724"/>
      <c r="HV258" s="724"/>
      <c r="HW258" s="724"/>
      <c r="HX258" s="724"/>
      <c r="HY258" s="724"/>
      <c r="HZ258" s="724"/>
      <c r="IA258" s="724"/>
      <c r="IB258" s="724"/>
      <c r="IC258" s="724"/>
      <c r="ID258" s="724"/>
      <c r="IE258" s="724"/>
      <c r="IF258" s="724"/>
      <c r="IG258" s="724"/>
      <c r="IH258" s="724"/>
      <c r="II258" s="724"/>
      <c r="IJ258" s="724"/>
      <c r="IK258" s="724"/>
      <c r="IL258" s="724"/>
      <c r="IM258" s="724"/>
      <c r="IN258" s="724"/>
      <c r="IO258" s="724"/>
      <c r="IP258" s="724"/>
      <c r="IQ258" s="724"/>
      <c r="IR258" s="724"/>
      <c r="IS258" s="724"/>
      <c r="IT258" s="724"/>
      <c r="IU258" s="724"/>
      <c r="IV258" s="724"/>
      <c r="IW258" s="724"/>
    </row>
    <row r="259" spans="1:257" s="582" customFormat="1">
      <c r="A259" s="812" t="s">
        <v>248</v>
      </c>
      <c r="B259" s="813" t="s">
        <v>255</v>
      </c>
      <c r="C259" s="699"/>
      <c r="D259" s="713"/>
      <c r="E259" s="725"/>
      <c r="F259" s="725">
        <v>198000000</v>
      </c>
      <c r="G259" s="704"/>
      <c r="H259" s="704"/>
      <c r="I259" s="704"/>
      <c r="J259" s="725">
        <v>126800000</v>
      </c>
      <c r="K259" s="725">
        <f>K260+K261</f>
        <v>281000000</v>
      </c>
      <c r="L259" s="1311">
        <f>L260+L261</f>
        <v>378000000</v>
      </c>
      <c r="M259" s="669"/>
      <c r="N259" s="782"/>
      <c r="O259" s="782"/>
      <c r="P259" s="770"/>
      <c r="Q259" s="770"/>
      <c r="R259" s="580" t="s">
        <v>957</v>
      </c>
      <c r="S259" s="866"/>
      <c r="T259" s="839"/>
      <c r="U259" s="827"/>
      <c r="V259" s="701"/>
      <c r="W259" s="581"/>
      <c r="X259" s="578"/>
    </row>
    <row r="260" spans="1:257" s="582" customFormat="1">
      <c r="A260" s="812"/>
      <c r="B260" s="684" t="s">
        <v>958</v>
      </c>
      <c r="C260" s="699"/>
      <c r="D260" s="713"/>
      <c r="E260" s="725"/>
      <c r="F260" s="725"/>
      <c r="G260" s="704"/>
      <c r="H260" s="704"/>
      <c r="I260" s="704"/>
      <c r="J260" s="725"/>
      <c r="K260" s="725">
        <f>189000000+44000000</f>
        <v>233000000</v>
      </c>
      <c r="L260" s="1311">
        <f>20000000*12</f>
        <v>240000000</v>
      </c>
      <c r="M260" s="669"/>
      <c r="N260" s="782"/>
      <c r="O260" s="782"/>
      <c r="P260" s="770"/>
      <c r="Q260" s="770"/>
      <c r="R260" s="580"/>
      <c r="S260" s="866"/>
      <c r="T260" s="839"/>
      <c r="U260" s="827"/>
      <c r="V260" s="701"/>
      <c r="W260" s="581"/>
      <c r="X260" s="578"/>
    </row>
    <row r="261" spans="1:257" s="582" customFormat="1">
      <c r="A261" s="812"/>
      <c r="B261" s="684" t="s">
        <v>1417</v>
      </c>
      <c r="C261" s="699"/>
      <c r="D261" s="713"/>
      <c r="E261" s="725"/>
      <c r="F261" s="725"/>
      <c r="G261" s="704"/>
      <c r="H261" s="704"/>
      <c r="I261" s="704"/>
      <c r="J261" s="725"/>
      <c r="K261" s="725">
        <v>48000000</v>
      </c>
      <c r="L261" s="1311">
        <f>(31500000-20000000)*12</f>
        <v>138000000</v>
      </c>
      <c r="M261" s="669"/>
      <c r="N261" s="782"/>
      <c r="O261" s="782"/>
      <c r="P261" s="770"/>
      <c r="Q261" s="770"/>
      <c r="R261" s="580"/>
      <c r="S261" s="866"/>
      <c r="T261" s="839"/>
      <c r="U261" s="827"/>
      <c r="V261" s="701"/>
      <c r="W261" s="581"/>
      <c r="X261" s="578"/>
    </row>
    <row r="262" spans="1:257" s="582" customFormat="1">
      <c r="A262" s="812"/>
      <c r="B262" s="684" t="s">
        <v>1416</v>
      </c>
      <c r="C262" s="699"/>
      <c r="D262" s="713"/>
      <c r="E262" s="725"/>
      <c r="F262" s="725"/>
      <c r="G262" s="704"/>
      <c r="H262" s="704"/>
      <c r="I262" s="704"/>
      <c r="J262" s="725"/>
      <c r="K262" s="725">
        <f>K261-K277</f>
        <v>25000000</v>
      </c>
      <c r="L262" s="1311">
        <f>L261-L277</f>
        <v>107000000</v>
      </c>
      <c r="M262" s="669"/>
      <c r="N262" s="782"/>
      <c r="O262" s="782"/>
      <c r="P262" s="770"/>
      <c r="Q262" s="770"/>
      <c r="R262" s="580"/>
      <c r="S262" s="866"/>
      <c r="T262" s="839"/>
      <c r="U262" s="827"/>
      <c r="V262" s="701"/>
      <c r="W262" s="581"/>
      <c r="X262" s="578"/>
    </row>
    <row r="263" spans="1:257" s="582" customFormat="1">
      <c r="A263" s="809" t="s">
        <v>248</v>
      </c>
      <c r="B263" s="813" t="s">
        <v>256</v>
      </c>
      <c r="C263" s="713">
        <v>2</v>
      </c>
      <c r="D263" s="713"/>
      <c r="E263" s="725">
        <v>20000000</v>
      </c>
      <c r="F263" s="725">
        <f>C263*E263</f>
        <v>40000000</v>
      </c>
      <c r="G263" s="686"/>
      <c r="H263" s="686"/>
      <c r="I263" s="686"/>
      <c r="J263" s="725">
        <v>40000000</v>
      </c>
      <c r="K263" s="725">
        <v>40000000</v>
      </c>
      <c r="L263" s="1311">
        <v>40000000</v>
      </c>
      <c r="M263" s="669" t="s">
        <v>959</v>
      </c>
      <c r="N263" s="782"/>
      <c r="O263" s="782"/>
      <c r="P263" s="688"/>
      <c r="Q263" s="688"/>
      <c r="R263" s="580"/>
      <c r="S263" s="866"/>
      <c r="T263" s="839"/>
      <c r="U263" s="670"/>
      <c r="V263" s="581"/>
      <c r="W263" s="581"/>
      <c r="X263" s="578"/>
    </row>
    <row r="264" spans="1:257" s="582" customFormat="1" ht="15.75" hidden="1" customHeight="1">
      <c r="A264" s="812" t="s">
        <v>91</v>
      </c>
      <c r="B264" s="813" t="s">
        <v>266</v>
      </c>
      <c r="C264" s="713"/>
      <c r="D264" s="713"/>
      <c r="E264" s="725"/>
      <c r="F264" s="725"/>
      <c r="G264" s="686"/>
      <c r="H264" s="686"/>
      <c r="I264" s="686"/>
      <c r="J264" s="725"/>
      <c r="K264" s="725"/>
      <c r="L264" s="1311"/>
      <c r="M264" s="669"/>
      <c r="N264" s="782"/>
      <c r="O264" s="782"/>
      <c r="P264" s="688"/>
      <c r="Q264" s="688"/>
      <c r="R264" s="580"/>
      <c r="S264" s="866"/>
      <c r="T264" s="839"/>
      <c r="U264" s="814"/>
      <c r="V264" s="581"/>
      <c r="W264" s="727"/>
      <c r="X264" s="728"/>
      <c r="Y264" s="682"/>
      <c r="Z264" s="682"/>
      <c r="AA264" s="682"/>
      <c r="AB264" s="682"/>
      <c r="AC264" s="682"/>
      <c r="AD264" s="682"/>
      <c r="AE264" s="682"/>
      <c r="AF264" s="682"/>
      <c r="AG264" s="682"/>
      <c r="AH264" s="682"/>
      <c r="AI264" s="682"/>
      <c r="AJ264" s="682"/>
      <c r="AK264" s="682"/>
      <c r="AL264" s="682"/>
      <c r="AM264" s="682"/>
      <c r="AN264" s="682"/>
      <c r="AO264" s="682"/>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c r="CB264" s="682"/>
      <c r="CC264" s="682"/>
      <c r="CD264" s="682"/>
      <c r="CE264" s="682"/>
      <c r="CF264" s="682"/>
      <c r="CG264" s="682"/>
      <c r="CH264" s="682"/>
      <c r="CI264" s="682"/>
      <c r="CJ264" s="682"/>
      <c r="CK264" s="682"/>
      <c r="CL264" s="682"/>
      <c r="CM264" s="682"/>
      <c r="CN264" s="682"/>
      <c r="CO264" s="682"/>
      <c r="CP264" s="682"/>
      <c r="CQ264" s="682"/>
      <c r="CR264" s="682"/>
      <c r="CS264" s="682"/>
      <c r="CT264" s="682"/>
      <c r="CU264" s="682"/>
      <c r="CV264" s="682"/>
      <c r="CW264" s="682"/>
      <c r="CX264" s="682"/>
      <c r="CY264" s="682"/>
      <c r="CZ264" s="682"/>
      <c r="DA264" s="682"/>
      <c r="DB264" s="682"/>
      <c r="DC264" s="682"/>
      <c r="DD264" s="682"/>
      <c r="DE264" s="682"/>
      <c r="DF264" s="682"/>
      <c r="DG264" s="682"/>
      <c r="DH264" s="682"/>
      <c r="DI264" s="682"/>
      <c r="DJ264" s="682"/>
      <c r="DK264" s="682"/>
      <c r="DL264" s="682"/>
      <c r="DM264" s="682"/>
      <c r="DN264" s="682"/>
      <c r="DO264" s="682"/>
      <c r="DP264" s="682"/>
      <c r="DQ264" s="682"/>
      <c r="DR264" s="682"/>
      <c r="DS264" s="682"/>
      <c r="DT264" s="682"/>
      <c r="DU264" s="682"/>
      <c r="DV264" s="682"/>
      <c r="DW264" s="682"/>
      <c r="DX264" s="682"/>
      <c r="DY264" s="682"/>
      <c r="DZ264" s="682"/>
      <c r="EA264" s="682"/>
      <c r="EB264" s="682"/>
      <c r="EC264" s="682"/>
      <c r="ED264" s="682"/>
      <c r="EE264" s="682"/>
      <c r="EF264" s="682"/>
      <c r="EG264" s="682"/>
      <c r="EH264" s="682"/>
      <c r="EI264" s="682"/>
      <c r="EJ264" s="682"/>
      <c r="EK264" s="682"/>
      <c r="EL264" s="682"/>
      <c r="EM264" s="682"/>
      <c r="EN264" s="682"/>
      <c r="EO264" s="682"/>
      <c r="EP264" s="682"/>
      <c r="EQ264" s="682"/>
      <c r="ER264" s="682"/>
      <c r="ES264" s="682"/>
      <c r="ET264" s="682"/>
      <c r="EU264" s="682"/>
      <c r="EV264" s="682"/>
      <c r="EW264" s="682"/>
      <c r="EX264" s="682"/>
      <c r="EY264" s="682"/>
      <c r="EZ264" s="682"/>
      <c r="FA264" s="682"/>
      <c r="FB264" s="682"/>
      <c r="FC264" s="682"/>
      <c r="FD264" s="682"/>
      <c r="FE264" s="682"/>
      <c r="FF264" s="682"/>
      <c r="FG264" s="682"/>
      <c r="FH264" s="682"/>
      <c r="FI264" s="682"/>
      <c r="FJ264" s="682"/>
      <c r="FK264" s="682"/>
      <c r="FL264" s="682"/>
      <c r="FM264" s="682"/>
      <c r="FN264" s="682"/>
      <c r="FO264" s="682"/>
      <c r="FP264" s="682"/>
      <c r="FQ264" s="682"/>
      <c r="FR264" s="682"/>
      <c r="FS264" s="682"/>
      <c r="FT264" s="682"/>
      <c r="FU264" s="682"/>
      <c r="FV264" s="682"/>
      <c r="FW264" s="682"/>
      <c r="FX264" s="682"/>
      <c r="FY264" s="682"/>
      <c r="FZ264" s="682"/>
      <c r="GA264" s="682"/>
      <c r="GB264" s="682"/>
      <c r="GC264" s="682"/>
      <c r="GD264" s="682"/>
      <c r="GE264" s="682"/>
      <c r="GF264" s="682"/>
      <c r="GG264" s="682"/>
      <c r="GH264" s="682"/>
      <c r="GI264" s="682"/>
      <c r="GJ264" s="682"/>
      <c r="GK264" s="682"/>
      <c r="GL264" s="682"/>
      <c r="GM264" s="682"/>
      <c r="GN264" s="682"/>
      <c r="GO264" s="682"/>
      <c r="GP264" s="682"/>
      <c r="GQ264" s="682"/>
      <c r="GR264" s="682"/>
      <c r="GS264" s="682"/>
      <c r="GT264" s="682"/>
      <c r="GU264" s="682"/>
      <c r="GV264" s="682"/>
      <c r="GW264" s="682"/>
      <c r="GX264" s="682"/>
      <c r="GY264" s="682"/>
      <c r="GZ264" s="682"/>
      <c r="HA264" s="682"/>
      <c r="HB264" s="682"/>
      <c r="HC264" s="682"/>
      <c r="HD264" s="682"/>
      <c r="HE264" s="682"/>
      <c r="HF264" s="682"/>
      <c r="HG264" s="682"/>
      <c r="HH264" s="682"/>
      <c r="HI264" s="682"/>
      <c r="HJ264" s="682"/>
      <c r="HK264" s="682"/>
      <c r="HL264" s="682"/>
      <c r="HM264" s="682"/>
      <c r="HN264" s="682"/>
      <c r="HO264" s="682"/>
      <c r="HP264" s="682"/>
      <c r="HQ264" s="682"/>
      <c r="HR264" s="682"/>
      <c r="HS264" s="682"/>
      <c r="HT264" s="682"/>
      <c r="HU264" s="682"/>
      <c r="HV264" s="682"/>
      <c r="HW264" s="682"/>
      <c r="HX264" s="682"/>
      <c r="HY264" s="682"/>
      <c r="HZ264" s="682"/>
      <c r="IA264" s="682"/>
      <c r="IB264" s="682"/>
      <c r="IC264" s="682"/>
      <c r="ID264" s="682"/>
      <c r="IE264" s="682"/>
      <c r="IF264" s="682"/>
      <c r="IG264" s="682"/>
      <c r="IH264" s="682"/>
      <c r="II264" s="682"/>
      <c r="IJ264" s="682"/>
      <c r="IK264" s="682"/>
      <c r="IL264" s="682"/>
      <c r="IM264" s="682"/>
      <c r="IN264" s="682"/>
      <c r="IO264" s="682"/>
      <c r="IP264" s="682"/>
      <c r="IQ264" s="682"/>
      <c r="IR264" s="682"/>
      <c r="IS264" s="682"/>
      <c r="IT264" s="682"/>
      <c r="IU264" s="682"/>
      <c r="IV264" s="682"/>
      <c r="IW264" s="682"/>
    </row>
    <row r="265" spans="1:257" s="682" customFormat="1">
      <c r="A265" s="699" t="s">
        <v>225</v>
      </c>
      <c r="B265" s="804" t="s">
        <v>257</v>
      </c>
      <c r="C265" s="699"/>
      <c r="D265" s="699"/>
      <c r="E265" s="700"/>
      <c r="F265" s="716">
        <f t="shared" ref="F265:K265" si="23">SUM(F266:F276)</f>
        <v>225000000</v>
      </c>
      <c r="G265" s="716">
        <f t="shared" si="23"/>
        <v>22000000</v>
      </c>
      <c r="H265" s="716">
        <f t="shared" si="23"/>
        <v>0</v>
      </c>
      <c r="I265" s="716">
        <f t="shared" si="23"/>
        <v>0</v>
      </c>
      <c r="J265" s="716">
        <f t="shared" si="23"/>
        <v>220000000</v>
      </c>
      <c r="K265" s="716">
        <f t="shared" si="23"/>
        <v>226000000</v>
      </c>
      <c r="L265" s="1316">
        <f>SUM(L266:L276)</f>
        <v>306000000</v>
      </c>
      <c r="M265" s="618"/>
      <c r="N265" s="890"/>
      <c r="O265" s="890"/>
      <c r="P265" s="868"/>
      <c r="Q265" s="868"/>
      <c r="R265" s="866"/>
      <c r="S265" s="866"/>
      <c r="T265" s="839"/>
      <c r="U265" s="814"/>
      <c r="V265" s="581"/>
      <c r="W265" s="619"/>
      <c r="X265" s="620"/>
      <c r="Y265" s="621"/>
      <c r="Z265" s="621"/>
      <c r="AA265" s="621"/>
      <c r="AB265" s="621"/>
      <c r="AC265" s="621"/>
      <c r="AD265" s="621"/>
      <c r="AE265" s="621"/>
      <c r="AF265" s="621"/>
      <c r="AG265" s="621"/>
      <c r="AH265" s="621"/>
      <c r="AI265" s="621"/>
      <c r="AJ265" s="621"/>
      <c r="AK265" s="621"/>
      <c r="AL265" s="621"/>
      <c r="AM265" s="621"/>
      <c r="AN265" s="621"/>
      <c r="AO265" s="621"/>
      <c r="AP265" s="621"/>
      <c r="AQ265" s="621"/>
      <c r="AR265" s="621"/>
      <c r="AS265" s="621"/>
      <c r="AT265" s="621"/>
      <c r="AU265" s="621"/>
      <c r="AV265" s="621"/>
      <c r="AW265" s="621"/>
      <c r="AX265" s="621"/>
      <c r="AY265" s="621"/>
      <c r="AZ265" s="621"/>
      <c r="BA265" s="621"/>
      <c r="BB265" s="621"/>
      <c r="BC265" s="621"/>
      <c r="BD265" s="621"/>
      <c r="BE265" s="621"/>
      <c r="BF265" s="621"/>
      <c r="BG265" s="621"/>
      <c r="BH265" s="621"/>
      <c r="BI265" s="621"/>
      <c r="BJ265" s="621"/>
      <c r="BK265" s="621"/>
      <c r="BL265" s="621"/>
      <c r="BM265" s="621"/>
      <c r="BN265" s="621"/>
      <c r="BO265" s="621"/>
      <c r="BP265" s="621"/>
      <c r="BQ265" s="621"/>
      <c r="BR265" s="621"/>
      <c r="BS265" s="621"/>
      <c r="BT265" s="621"/>
      <c r="BU265" s="621"/>
      <c r="BV265" s="621"/>
      <c r="BW265" s="621"/>
      <c r="BX265" s="621"/>
      <c r="BY265" s="621"/>
      <c r="BZ265" s="621"/>
      <c r="CA265" s="621"/>
      <c r="CB265" s="621"/>
      <c r="CC265" s="621"/>
      <c r="CD265" s="621"/>
      <c r="CE265" s="621"/>
      <c r="CF265" s="621"/>
      <c r="CG265" s="621"/>
      <c r="CH265" s="621"/>
      <c r="CI265" s="621"/>
      <c r="CJ265" s="621"/>
      <c r="CK265" s="621"/>
      <c r="CL265" s="621"/>
      <c r="CM265" s="621"/>
      <c r="CN265" s="621"/>
      <c r="CO265" s="621"/>
      <c r="CP265" s="621"/>
      <c r="CQ265" s="621"/>
      <c r="CR265" s="621"/>
      <c r="CS265" s="621"/>
      <c r="CT265" s="621"/>
      <c r="CU265" s="621"/>
      <c r="CV265" s="621"/>
      <c r="CW265" s="621"/>
      <c r="CX265" s="621"/>
      <c r="CY265" s="621"/>
      <c r="CZ265" s="621"/>
      <c r="DA265" s="621"/>
      <c r="DB265" s="621"/>
      <c r="DC265" s="621"/>
      <c r="DD265" s="621"/>
      <c r="DE265" s="621"/>
      <c r="DF265" s="621"/>
      <c r="DG265" s="621"/>
      <c r="DH265" s="621"/>
      <c r="DI265" s="621"/>
      <c r="DJ265" s="621"/>
      <c r="DK265" s="621"/>
      <c r="DL265" s="621"/>
      <c r="DM265" s="621"/>
      <c r="DN265" s="621"/>
      <c r="DO265" s="621"/>
      <c r="DP265" s="621"/>
      <c r="DQ265" s="621"/>
      <c r="DR265" s="621"/>
      <c r="DS265" s="621"/>
      <c r="DT265" s="621"/>
      <c r="DU265" s="621"/>
      <c r="DV265" s="621"/>
      <c r="DW265" s="621"/>
      <c r="DX265" s="621"/>
      <c r="DY265" s="621"/>
      <c r="DZ265" s="621"/>
      <c r="EA265" s="621"/>
      <c r="EB265" s="621"/>
      <c r="EC265" s="621"/>
      <c r="ED265" s="621"/>
      <c r="EE265" s="621"/>
      <c r="EF265" s="621"/>
      <c r="EG265" s="621"/>
      <c r="EH265" s="621"/>
      <c r="EI265" s="621"/>
      <c r="EJ265" s="621"/>
      <c r="EK265" s="621"/>
      <c r="EL265" s="621"/>
      <c r="EM265" s="621"/>
      <c r="EN265" s="621"/>
      <c r="EO265" s="621"/>
      <c r="EP265" s="621"/>
      <c r="EQ265" s="621"/>
      <c r="ER265" s="621"/>
      <c r="ES265" s="621"/>
      <c r="ET265" s="621"/>
      <c r="EU265" s="621"/>
      <c r="EV265" s="621"/>
      <c r="EW265" s="621"/>
      <c r="EX265" s="621"/>
      <c r="EY265" s="621"/>
      <c r="EZ265" s="621"/>
      <c r="FA265" s="621"/>
      <c r="FB265" s="621"/>
      <c r="FC265" s="621"/>
      <c r="FD265" s="621"/>
      <c r="FE265" s="621"/>
      <c r="FF265" s="621"/>
      <c r="FG265" s="621"/>
      <c r="FH265" s="621"/>
      <c r="FI265" s="621"/>
      <c r="FJ265" s="621"/>
      <c r="FK265" s="621"/>
      <c r="FL265" s="621"/>
      <c r="FM265" s="621"/>
      <c r="FN265" s="621"/>
      <c r="FO265" s="621"/>
      <c r="FP265" s="621"/>
      <c r="FQ265" s="621"/>
      <c r="FR265" s="621"/>
      <c r="FS265" s="621"/>
      <c r="FT265" s="621"/>
      <c r="FU265" s="621"/>
      <c r="FV265" s="621"/>
      <c r="FW265" s="621"/>
      <c r="FX265" s="621"/>
      <c r="FY265" s="621"/>
      <c r="FZ265" s="621"/>
      <c r="GA265" s="621"/>
      <c r="GB265" s="621"/>
      <c r="GC265" s="621"/>
      <c r="GD265" s="621"/>
      <c r="GE265" s="621"/>
      <c r="GF265" s="621"/>
      <c r="GG265" s="621"/>
      <c r="GH265" s="621"/>
      <c r="GI265" s="621"/>
      <c r="GJ265" s="621"/>
      <c r="GK265" s="621"/>
      <c r="GL265" s="621"/>
      <c r="GM265" s="621"/>
      <c r="GN265" s="621"/>
      <c r="GO265" s="621"/>
      <c r="GP265" s="621"/>
      <c r="GQ265" s="621"/>
      <c r="GR265" s="621"/>
      <c r="GS265" s="621"/>
      <c r="GT265" s="621"/>
      <c r="GU265" s="621"/>
      <c r="GV265" s="621"/>
      <c r="GW265" s="621"/>
      <c r="GX265" s="621"/>
      <c r="GY265" s="621"/>
      <c r="GZ265" s="621"/>
      <c r="HA265" s="621"/>
      <c r="HB265" s="621"/>
      <c r="HC265" s="621"/>
      <c r="HD265" s="621"/>
      <c r="HE265" s="621"/>
      <c r="HF265" s="621"/>
      <c r="HG265" s="621"/>
      <c r="HH265" s="621"/>
      <c r="HI265" s="621"/>
      <c r="HJ265" s="621"/>
      <c r="HK265" s="621"/>
      <c r="HL265" s="621"/>
      <c r="HM265" s="621"/>
      <c r="HN265" s="621"/>
      <c r="HO265" s="621"/>
      <c r="HP265" s="621"/>
      <c r="HQ265" s="621"/>
      <c r="HR265" s="621"/>
      <c r="HS265" s="621"/>
      <c r="HT265" s="621"/>
      <c r="HU265" s="621"/>
      <c r="HV265" s="621"/>
      <c r="HW265" s="621"/>
      <c r="HX265" s="621"/>
      <c r="HY265" s="621"/>
      <c r="HZ265" s="621"/>
      <c r="IA265" s="621"/>
      <c r="IB265" s="621"/>
      <c r="IC265" s="621"/>
      <c r="ID265" s="621"/>
      <c r="IE265" s="621"/>
      <c r="IF265" s="621"/>
      <c r="IG265" s="621"/>
      <c r="IH265" s="621"/>
      <c r="II265" s="621"/>
      <c r="IJ265" s="621"/>
      <c r="IK265" s="621"/>
      <c r="IL265" s="621"/>
      <c r="IM265" s="621"/>
      <c r="IN265" s="621"/>
      <c r="IO265" s="621"/>
      <c r="IP265" s="621"/>
      <c r="IQ265" s="621"/>
      <c r="IR265" s="621"/>
      <c r="IS265" s="621"/>
      <c r="IT265" s="621"/>
      <c r="IU265" s="621"/>
      <c r="IV265" s="621"/>
      <c r="IW265" s="621"/>
    </row>
    <row r="266" spans="1:257" s="682" customFormat="1">
      <c r="A266" s="809" t="s">
        <v>91</v>
      </c>
      <c r="B266" s="696" t="s">
        <v>77</v>
      </c>
      <c r="C266" s="699"/>
      <c r="D266" s="699"/>
      <c r="E266" s="700"/>
      <c r="F266" s="700">
        <v>40000000</v>
      </c>
      <c r="G266" s="725"/>
      <c r="H266" s="725"/>
      <c r="I266" s="725"/>
      <c r="J266" s="700">
        <v>40000000</v>
      </c>
      <c r="K266" s="700">
        <v>50000000</v>
      </c>
      <c r="L266" s="1315">
        <v>50000000</v>
      </c>
      <c r="M266" s="651"/>
      <c r="N266" s="820"/>
      <c r="O266" s="820"/>
      <c r="P266" s="868"/>
      <c r="Q266" s="868"/>
      <c r="R266" s="866"/>
      <c r="S266" s="871"/>
      <c r="T266" s="824"/>
      <c r="U266" s="726"/>
      <c r="V266" s="727"/>
      <c r="W266" s="722"/>
      <c r="X266" s="723"/>
      <c r="Y266" s="724"/>
      <c r="Z266" s="724"/>
      <c r="AA266" s="724"/>
      <c r="AB266" s="724"/>
      <c r="AC266" s="724"/>
      <c r="AD266" s="724"/>
      <c r="AE266" s="724"/>
      <c r="AF266" s="724"/>
      <c r="AG266" s="724"/>
      <c r="AH266" s="724"/>
      <c r="AI266" s="724"/>
      <c r="AJ266" s="724"/>
      <c r="AK266" s="724"/>
      <c r="AL266" s="724"/>
      <c r="AM266" s="724"/>
      <c r="AN266" s="724"/>
      <c r="AO266" s="724"/>
      <c r="AP266" s="724"/>
      <c r="AQ266" s="724"/>
      <c r="AR266" s="724"/>
      <c r="AS266" s="724"/>
      <c r="AT266" s="724"/>
      <c r="AU266" s="724"/>
      <c r="AV266" s="724"/>
      <c r="AW266" s="724"/>
      <c r="AX266" s="724"/>
      <c r="AY266" s="724"/>
      <c r="AZ266" s="724"/>
      <c r="BA266" s="724"/>
      <c r="BB266" s="724"/>
      <c r="BC266" s="724"/>
      <c r="BD266" s="724"/>
      <c r="BE266" s="724"/>
      <c r="BF266" s="724"/>
      <c r="BG266" s="724"/>
      <c r="BH266" s="724"/>
      <c r="BI266" s="724"/>
      <c r="BJ266" s="724"/>
      <c r="BK266" s="724"/>
      <c r="BL266" s="724"/>
      <c r="BM266" s="724"/>
      <c r="BN266" s="724"/>
      <c r="BO266" s="724"/>
      <c r="BP266" s="724"/>
      <c r="BQ266" s="724"/>
      <c r="BR266" s="724"/>
      <c r="BS266" s="724"/>
      <c r="BT266" s="724"/>
      <c r="BU266" s="724"/>
      <c r="BV266" s="724"/>
      <c r="BW266" s="724"/>
      <c r="BX266" s="724"/>
      <c r="BY266" s="724"/>
      <c r="BZ266" s="724"/>
      <c r="CA266" s="724"/>
      <c r="CB266" s="724"/>
      <c r="CC266" s="724"/>
      <c r="CD266" s="724"/>
      <c r="CE266" s="724"/>
      <c r="CF266" s="724"/>
      <c r="CG266" s="724"/>
      <c r="CH266" s="724"/>
      <c r="CI266" s="724"/>
      <c r="CJ266" s="724"/>
      <c r="CK266" s="724"/>
      <c r="CL266" s="724"/>
      <c r="CM266" s="724"/>
      <c r="CN266" s="724"/>
      <c r="CO266" s="724"/>
      <c r="CP266" s="724"/>
      <c r="CQ266" s="724"/>
      <c r="CR266" s="724"/>
      <c r="CS266" s="724"/>
      <c r="CT266" s="724"/>
      <c r="CU266" s="724"/>
      <c r="CV266" s="724"/>
      <c r="CW266" s="724"/>
      <c r="CX266" s="724"/>
      <c r="CY266" s="724"/>
      <c r="CZ266" s="724"/>
      <c r="DA266" s="724"/>
      <c r="DB266" s="724"/>
      <c r="DC266" s="724"/>
      <c r="DD266" s="724"/>
      <c r="DE266" s="724"/>
      <c r="DF266" s="724"/>
      <c r="DG266" s="724"/>
      <c r="DH266" s="724"/>
      <c r="DI266" s="724"/>
      <c r="DJ266" s="724"/>
      <c r="DK266" s="724"/>
      <c r="DL266" s="724"/>
      <c r="DM266" s="724"/>
      <c r="DN266" s="724"/>
      <c r="DO266" s="724"/>
      <c r="DP266" s="724"/>
      <c r="DQ266" s="724"/>
      <c r="DR266" s="724"/>
      <c r="DS266" s="724"/>
      <c r="DT266" s="724"/>
      <c r="DU266" s="724"/>
      <c r="DV266" s="724"/>
      <c r="DW266" s="724"/>
      <c r="DX266" s="724"/>
      <c r="DY266" s="724"/>
      <c r="DZ266" s="724"/>
      <c r="EA266" s="724"/>
      <c r="EB266" s="724"/>
      <c r="EC266" s="724"/>
      <c r="ED266" s="724"/>
      <c r="EE266" s="724"/>
      <c r="EF266" s="724"/>
      <c r="EG266" s="724"/>
      <c r="EH266" s="724"/>
      <c r="EI266" s="724"/>
      <c r="EJ266" s="724"/>
      <c r="EK266" s="724"/>
      <c r="EL266" s="724"/>
      <c r="EM266" s="724"/>
      <c r="EN266" s="724"/>
      <c r="EO266" s="724"/>
      <c r="EP266" s="724"/>
      <c r="EQ266" s="724"/>
      <c r="ER266" s="724"/>
      <c r="ES266" s="724"/>
      <c r="ET266" s="724"/>
      <c r="EU266" s="724"/>
      <c r="EV266" s="724"/>
      <c r="EW266" s="724"/>
      <c r="EX266" s="724"/>
      <c r="EY266" s="724"/>
      <c r="EZ266" s="724"/>
      <c r="FA266" s="724"/>
      <c r="FB266" s="724"/>
      <c r="FC266" s="724"/>
      <c r="FD266" s="724"/>
      <c r="FE266" s="724"/>
      <c r="FF266" s="724"/>
      <c r="FG266" s="724"/>
      <c r="FH266" s="724"/>
      <c r="FI266" s="724"/>
      <c r="FJ266" s="724"/>
      <c r="FK266" s="724"/>
      <c r="FL266" s="724"/>
      <c r="FM266" s="724"/>
      <c r="FN266" s="724"/>
      <c r="FO266" s="724"/>
      <c r="FP266" s="724"/>
      <c r="FQ266" s="724"/>
      <c r="FR266" s="724"/>
      <c r="FS266" s="724"/>
      <c r="FT266" s="724"/>
      <c r="FU266" s="724"/>
      <c r="FV266" s="724"/>
      <c r="FW266" s="724"/>
      <c r="FX266" s="724"/>
      <c r="FY266" s="724"/>
      <c r="FZ266" s="724"/>
      <c r="GA266" s="724"/>
      <c r="GB266" s="724"/>
      <c r="GC266" s="724"/>
      <c r="GD266" s="724"/>
      <c r="GE266" s="724"/>
      <c r="GF266" s="724"/>
      <c r="GG266" s="724"/>
      <c r="GH266" s="724"/>
      <c r="GI266" s="724"/>
      <c r="GJ266" s="724"/>
      <c r="GK266" s="724"/>
      <c r="GL266" s="724"/>
      <c r="GM266" s="724"/>
      <c r="GN266" s="724"/>
      <c r="GO266" s="724"/>
      <c r="GP266" s="724"/>
      <c r="GQ266" s="724"/>
      <c r="GR266" s="724"/>
      <c r="GS266" s="724"/>
      <c r="GT266" s="724"/>
      <c r="GU266" s="724"/>
      <c r="GV266" s="724"/>
      <c r="GW266" s="724"/>
      <c r="GX266" s="724"/>
      <c r="GY266" s="724"/>
      <c r="GZ266" s="724"/>
      <c r="HA266" s="724"/>
      <c r="HB266" s="724"/>
      <c r="HC266" s="724"/>
      <c r="HD266" s="724"/>
      <c r="HE266" s="724"/>
      <c r="HF266" s="724"/>
      <c r="HG266" s="724"/>
      <c r="HH266" s="724"/>
      <c r="HI266" s="724"/>
      <c r="HJ266" s="724"/>
      <c r="HK266" s="724"/>
      <c r="HL266" s="724"/>
      <c r="HM266" s="724"/>
      <c r="HN266" s="724"/>
      <c r="HO266" s="724"/>
      <c r="HP266" s="724"/>
      <c r="HQ266" s="724"/>
      <c r="HR266" s="724"/>
      <c r="HS266" s="724"/>
      <c r="HT266" s="724"/>
      <c r="HU266" s="724"/>
      <c r="HV266" s="724"/>
      <c r="HW266" s="724"/>
      <c r="HX266" s="724"/>
      <c r="HY266" s="724"/>
      <c r="HZ266" s="724"/>
      <c r="IA266" s="724"/>
      <c r="IB266" s="724"/>
      <c r="IC266" s="724"/>
      <c r="ID266" s="724"/>
      <c r="IE266" s="724"/>
      <c r="IF266" s="724"/>
      <c r="IG266" s="724"/>
      <c r="IH266" s="724"/>
      <c r="II266" s="724"/>
      <c r="IJ266" s="724"/>
      <c r="IK266" s="724"/>
      <c r="IL266" s="724"/>
      <c r="IM266" s="724"/>
      <c r="IN266" s="724"/>
      <c r="IO266" s="724"/>
      <c r="IP266" s="724"/>
      <c r="IQ266" s="724"/>
      <c r="IR266" s="724"/>
      <c r="IS266" s="724"/>
      <c r="IT266" s="724"/>
      <c r="IU266" s="724"/>
      <c r="IV266" s="724"/>
      <c r="IW266" s="724"/>
    </row>
    <row r="267" spans="1:257" s="695" customFormat="1">
      <c r="A267" s="901"/>
      <c r="B267" s="902" t="s">
        <v>1701</v>
      </c>
      <c r="C267" s="738"/>
      <c r="D267" s="738"/>
      <c r="E267" s="740"/>
      <c r="F267" s="740"/>
      <c r="G267" s="760"/>
      <c r="H267" s="760"/>
      <c r="I267" s="760"/>
      <c r="J267" s="740">
        <v>10000000</v>
      </c>
      <c r="K267" s="740"/>
      <c r="L267" s="1315">
        <v>20000000</v>
      </c>
      <c r="M267" s="676"/>
      <c r="N267" s="903"/>
      <c r="O267" s="903"/>
      <c r="P267" s="904"/>
      <c r="Q267" s="904"/>
      <c r="R267" s="861"/>
      <c r="S267" s="905"/>
      <c r="T267" s="906"/>
      <c r="U267" s="755"/>
      <c r="V267" s="756"/>
      <c r="W267" s="907"/>
      <c r="X267" s="769"/>
      <c r="Y267" s="889"/>
      <c r="Z267" s="889"/>
      <c r="AA267" s="889"/>
      <c r="AB267" s="889"/>
      <c r="AC267" s="889"/>
      <c r="AD267" s="889"/>
      <c r="AE267" s="889"/>
      <c r="AF267" s="889"/>
      <c r="AG267" s="889"/>
      <c r="AH267" s="889"/>
      <c r="AI267" s="889"/>
      <c r="AJ267" s="889"/>
      <c r="AK267" s="889"/>
      <c r="AL267" s="889"/>
      <c r="AM267" s="889"/>
      <c r="AN267" s="889"/>
      <c r="AO267" s="889"/>
      <c r="AP267" s="889"/>
      <c r="AQ267" s="889"/>
      <c r="AR267" s="889"/>
      <c r="AS267" s="889"/>
      <c r="AT267" s="889"/>
      <c r="AU267" s="889"/>
      <c r="AV267" s="889"/>
      <c r="AW267" s="889"/>
      <c r="AX267" s="889"/>
      <c r="AY267" s="889"/>
      <c r="AZ267" s="889"/>
      <c r="BA267" s="889"/>
      <c r="BB267" s="889"/>
      <c r="BC267" s="889"/>
      <c r="BD267" s="889"/>
      <c r="BE267" s="889"/>
      <c r="BF267" s="889"/>
      <c r="BG267" s="889"/>
      <c r="BH267" s="889"/>
      <c r="BI267" s="889"/>
      <c r="BJ267" s="889"/>
      <c r="BK267" s="889"/>
      <c r="BL267" s="889"/>
      <c r="BM267" s="889"/>
      <c r="BN267" s="889"/>
      <c r="BO267" s="889"/>
      <c r="BP267" s="889"/>
      <c r="BQ267" s="889"/>
      <c r="BR267" s="889"/>
      <c r="BS267" s="889"/>
      <c r="BT267" s="889"/>
      <c r="BU267" s="889"/>
      <c r="BV267" s="889"/>
      <c r="BW267" s="889"/>
      <c r="BX267" s="889"/>
      <c r="BY267" s="889"/>
      <c r="BZ267" s="889"/>
      <c r="CA267" s="889"/>
      <c r="CB267" s="889"/>
      <c r="CC267" s="889"/>
      <c r="CD267" s="889"/>
      <c r="CE267" s="889"/>
      <c r="CF267" s="889"/>
      <c r="CG267" s="889"/>
      <c r="CH267" s="889"/>
      <c r="CI267" s="889"/>
      <c r="CJ267" s="889"/>
      <c r="CK267" s="889"/>
      <c r="CL267" s="889"/>
      <c r="CM267" s="889"/>
      <c r="CN267" s="889"/>
      <c r="CO267" s="889"/>
      <c r="CP267" s="889"/>
      <c r="CQ267" s="889"/>
      <c r="CR267" s="889"/>
      <c r="CS267" s="889"/>
      <c r="CT267" s="889"/>
      <c r="CU267" s="889"/>
      <c r="CV267" s="889"/>
      <c r="CW267" s="889"/>
      <c r="CX267" s="889"/>
      <c r="CY267" s="889"/>
      <c r="CZ267" s="889"/>
      <c r="DA267" s="889"/>
      <c r="DB267" s="889"/>
      <c r="DC267" s="889"/>
      <c r="DD267" s="889"/>
      <c r="DE267" s="889"/>
      <c r="DF267" s="889"/>
      <c r="DG267" s="889"/>
      <c r="DH267" s="889"/>
      <c r="DI267" s="889"/>
      <c r="DJ267" s="889"/>
      <c r="DK267" s="889"/>
      <c r="DL267" s="889"/>
      <c r="DM267" s="889"/>
      <c r="DN267" s="889"/>
      <c r="DO267" s="889"/>
      <c r="DP267" s="889"/>
      <c r="DQ267" s="889"/>
      <c r="DR267" s="889"/>
      <c r="DS267" s="889"/>
      <c r="DT267" s="889"/>
      <c r="DU267" s="889"/>
      <c r="DV267" s="889"/>
      <c r="DW267" s="889"/>
      <c r="DX267" s="889"/>
      <c r="DY267" s="889"/>
      <c r="DZ267" s="889"/>
      <c r="EA267" s="889"/>
      <c r="EB267" s="889"/>
      <c r="EC267" s="889"/>
      <c r="ED267" s="889"/>
      <c r="EE267" s="889"/>
      <c r="EF267" s="889"/>
      <c r="EG267" s="889"/>
      <c r="EH267" s="889"/>
      <c r="EI267" s="889"/>
      <c r="EJ267" s="889"/>
      <c r="EK267" s="889"/>
      <c r="EL267" s="889"/>
      <c r="EM267" s="889"/>
      <c r="EN267" s="889"/>
      <c r="EO267" s="889"/>
      <c r="EP267" s="889"/>
      <c r="EQ267" s="889"/>
      <c r="ER267" s="889"/>
      <c r="ES267" s="889"/>
      <c r="ET267" s="889"/>
      <c r="EU267" s="889"/>
      <c r="EV267" s="889"/>
      <c r="EW267" s="889"/>
      <c r="EX267" s="889"/>
      <c r="EY267" s="889"/>
      <c r="EZ267" s="889"/>
      <c r="FA267" s="889"/>
      <c r="FB267" s="889"/>
      <c r="FC267" s="889"/>
      <c r="FD267" s="889"/>
      <c r="FE267" s="889"/>
      <c r="FF267" s="889"/>
      <c r="FG267" s="889"/>
      <c r="FH267" s="889"/>
      <c r="FI267" s="889"/>
      <c r="FJ267" s="889"/>
      <c r="FK267" s="889"/>
      <c r="FL267" s="889"/>
      <c r="FM267" s="889"/>
      <c r="FN267" s="889"/>
      <c r="FO267" s="889"/>
      <c r="FP267" s="889"/>
      <c r="FQ267" s="889"/>
      <c r="FR267" s="889"/>
      <c r="FS267" s="889"/>
      <c r="FT267" s="889"/>
      <c r="FU267" s="889"/>
      <c r="FV267" s="889"/>
      <c r="FW267" s="889"/>
      <c r="FX267" s="889"/>
      <c r="FY267" s="889"/>
      <c r="FZ267" s="889"/>
      <c r="GA267" s="889"/>
      <c r="GB267" s="889"/>
      <c r="GC267" s="889"/>
      <c r="GD267" s="889"/>
      <c r="GE267" s="889"/>
      <c r="GF267" s="889"/>
      <c r="GG267" s="889"/>
      <c r="GH267" s="889"/>
      <c r="GI267" s="889"/>
      <c r="GJ267" s="889"/>
      <c r="GK267" s="889"/>
      <c r="GL267" s="889"/>
      <c r="GM267" s="889"/>
      <c r="GN267" s="889"/>
      <c r="GO267" s="889"/>
      <c r="GP267" s="889"/>
      <c r="GQ267" s="889"/>
      <c r="GR267" s="889"/>
      <c r="GS267" s="889"/>
      <c r="GT267" s="889"/>
      <c r="GU267" s="889"/>
      <c r="GV267" s="889"/>
      <c r="GW267" s="889"/>
      <c r="GX267" s="889"/>
      <c r="GY267" s="889"/>
      <c r="GZ267" s="889"/>
      <c r="HA267" s="889"/>
      <c r="HB267" s="889"/>
      <c r="HC267" s="889"/>
      <c r="HD267" s="889"/>
      <c r="HE267" s="889"/>
      <c r="HF267" s="889"/>
      <c r="HG267" s="889"/>
      <c r="HH267" s="889"/>
      <c r="HI267" s="889"/>
      <c r="HJ267" s="889"/>
      <c r="HK267" s="889"/>
      <c r="HL267" s="889"/>
      <c r="HM267" s="889"/>
      <c r="HN267" s="889"/>
      <c r="HO267" s="889"/>
      <c r="HP267" s="889"/>
      <c r="HQ267" s="889"/>
      <c r="HR267" s="889"/>
      <c r="HS267" s="889"/>
      <c r="HT267" s="889"/>
      <c r="HU267" s="889"/>
      <c r="HV267" s="889"/>
      <c r="HW267" s="889"/>
      <c r="HX267" s="889"/>
      <c r="HY267" s="889"/>
      <c r="HZ267" s="889"/>
      <c r="IA267" s="889"/>
      <c r="IB267" s="889"/>
      <c r="IC267" s="889"/>
      <c r="ID267" s="889"/>
      <c r="IE267" s="889"/>
      <c r="IF267" s="889"/>
      <c r="IG267" s="889"/>
      <c r="IH267" s="889"/>
      <c r="II267" s="889"/>
      <c r="IJ267" s="889"/>
      <c r="IK267" s="889"/>
      <c r="IL267" s="889"/>
      <c r="IM267" s="889"/>
      <c r="IN267" s="889"/>
      <c r="IO267" s="889"/>
      <c r="IP267" s="889"/>
      <c r="IQ267" s="889"/>
      <c r="IR267" s="889"/>
      <c r="IS267" s="889"/>
      <c r="IT267" s="889"/>
      <c r="IU267" s="889"/>
      <c r="IV267" s="889"/>
      <c r="IW267" s="889"/>
    </row>
    <row r="268" spans="1:257" s="682" customFormat="1">
      <c r="A268" s="809" t="s">
        <v>91</v>
      </c>
      <c r="B268" s="696" t="s">
        <v>79</v>
      </c>
      <c r="C268" s="699"/>
      <c r="D268" s="699"/>
      <c r="E268" s="700"/>
      <c r="F268" s="700">
        <v>30000000</v>
      </c>
      <c r="G268" s="725"/>
      <c r="H268" s="725"/>
      <c r="I268" s="725"/>
      <c r="J268" s="700">
        <v>30000000</v>
      </c>
      <c r="K268" s="700">
        <v>36000000</v>
      </c>
      <c r="L268" s="1315">
        <v>36000000</v>
      </c>
      <c r="M268" s="651"/>
      <c r="N268" s="820"/>
      <c r="O268" s="820"/>
      <c r="P268" s="868"/>
      <c r="Q268" s="868"/>
      <c r="R268" s="866"/>
      <c r="S268" s="871"/>
      <c r="T268" s="824"/>
      <c r="U268" s="726"/>
      <c r="V268" s="727"/>
      <c r="W268" s="722"/>
      <c r="X268" s="723"/>
      <c r="Y268" s="724"/>
      <c r="Z268" s="724"/>
      <c r="AA268" s="724"/>
      <c r="AB268" s="724"/>
      <c r="AC268" s="724"/>
      <c r="AD268" s="724"/>
      <c r="AE268" s="724"/>
      <c r="AF268" s="724"/>
      <c r="AG268" s="724"/>
      <c r="AH268" s="724"/>
      <c r="AI268" s="724"/>
      <c r="AJ268" s="724"/>
      <c r="AK268" s="724"/>
      <c r="AL268" s="724"/>
      <c r="AM268" s="724"/>
      <c r="AN268" s="724"/>
      <c r="AO268" s="724"/>
      <c r="AP268" s="724"/>
      <c r="AQ268" s="724"/>
      <c r="AR268" s="724"/>
      <c r="AS268" s="724"/>
      <c r="AT268" s="724"/>
      <c r="AU268" s="724"/>
      <c r="AV268" s="724"/>
      <c r="AW268" s="724"/>
      <c r="AX268" s="724"/>
      <c r="AY268" s="724"/>
      <c r="AZ268" s="724"/>
      <c r="BA268" s="724"/>
      <c r="BB268" s="724"/>
      <c r="BC268" s="724"/>
      <c r="BD268" s="724"/>
      <c r="BE268" s="724"/>
      <c r="BF268" s="724"/>
      <c r="BG268" s="724"/>
      <c r="BH268" s="724"/>
      <c r="BI268" s="724"/>
      <c r="BJ268" s="724"/>
      <c r="BK268" s="724"/>
      <c r="BL268" s="724"/>
      <c r="BM268" s="724"/>
      <c r="BN268" s="724"/>
      <c r="BO268" s="724"/>
      <c r="BP268" s="724"/>
      <c r="BQ268" s="724"/>
      <c r="BR268" s="724"/>
      <c r="BS268" s="724"/>
      <c r="BT268" s="724"/>
      <c r="BU268" s="724"/>
      <c r="BV268" s="724"/>
      <c r="BW268" s="724"/>
      <c r="BX268" s="724"/>
      <c r="BY268" s="724"/>
      <c r="BZ268" s="724"/>
      <c r="CA268" s="724"/>
      <c r="CB268" s="724"/>
      <c r="CC268" s="724"/>
      <c r="CD268" s="724"/>
      <c r="CE268" s="724"/>
      <c r="CF268" s="724"/>
      <c r="CG268" s="724"/>
      <c r="CH268" s="724"/>
      <c r="CI268" s="724"/>
      <c r="CJ268" s="724"/>
      <c r="CK268" s="724"/>
      <c r="CL268" s="724"/>
      <c r="CM268" s="724"/>
      <c r="CN268" s="724"/>
      <c r="CO268" s="724"/>
      <c r="CP268" s="724"/>
      <c r="CQ268" s="724"/>
      <c r="CR268" s="724"/>
      <c r="CS268" s="724"/>
      <c r="CT268" s="724"/>
      <c r="CU268" s="724"/>
      <c r="CV268" s="724"/>
      <c r="CW268" s="724"/>
      <c r="CX268" s="724"/>
      <c r="CY268" s="724"/>
      <c r="CZ268" s="724"/>
      <c r="DA268" s="724"/>
      <c r="DB268" s="724"/>
      <c r="DC268" s="724"/>
      <c r="DD268" s="724"/>
      <c r="DE268" s="724"/>
      <c r="DF268" s="724"/>
      <c r="DG268" s="724"/>
      <c r="DH268" s="724"/>
      <c r="DI268" s="724"/>
      <c r="DJ268" s="724"/>
      <c r="DK268" s="724"/>
      <c r="DL268" s="724"/>
      <c r="DM268" s="724"/>
      <c r="DN268" s="724"/>
      <c r="DO268" s="724"/>
      <c r="DP268" s="724"/>
      <c r="DQ268" s="724"/>
      <c r="DR268" s="724"/>
      <c r="DS268" s="724"/>
      <c r="DT268" s="724"/>
      <c r="DU268" s="724"/>
      <c r="DV268" s="724"/>
      <c r="DW268" s="724"/>
      <c r="DX268" s="724"/>
      <c r="DY268" s="724"/>
      <c r="DZ268" s="724"/>
      <c r="EA268" s="724"/>
      <c r="EB268" s="724"/>
      <c r="EC268" s="724"/>
      <c r="ED268" s="724"/>
      <c r="EE268" s="724"/>
      <c r="EF268" s="724"/>
      <c r="EG268" s="724"/>
      <c r="EH268" s="724"/>
      <c r="EI268" s="724"/>
      <c r="EJ268" s="724"/>
      <c r="EK268" s="724"/>
      <c r="EL268" s="724"/>
      <c r="EM268" s="724"/>
      <c r="EN268" s="724"/>
      <c r="EO268" s="724"/>
      <c r="EP268" s="724"/>
      <c r="EQ268" s="724"/>
      <c r="ER268" s="724"/>
      <c r="ES268" s="724"/>
      <c r="ET268" s="724"/>
      <c r="EU268" s="724"/>
      <c r="EV268" s="724"/>
      <c r="EW268" s="724"/>
      <c r="EX268" s="724"/>
      <c r="EY268" s="724"/>
      <c r="EZ268" s="724"/>
      <c r="FA268" s="724"/>
      <c r="FB268" s="724"/>
      <c r="FC268" s="724"/>
      <c r="FD268" s="724"/>
      <c r="FE268" s="724"/>
      <c r="FF268" s="724"/>
      <c r="FG268" s="724"/>
      <c r="FH268" s="724"/>
      <c r="FI268" s="724"/>
      <c r="FJ268" s="724"/>
      <c r="FK268" s="724"/>
      <c r="FL268" s="724"/>
      <c r="FM268" s="724"/>
      <c r="FN268" s="724"/>
      <c r="FO268" s="724"/>
      <c r="FP268" s="724"/>
      <c r="FQ268" s="724"/>
      <c r="FR268" s="724"/>
      <c r="FS268" s="724"/>
      <c r="FT268" s="724"/>
      <c r="FU268" s="724"/>
      <c r="FV268" s="724"/>
      <c r="FW268" s="724"/>
      <c r="FX268" s="724"/>
      <c r="FY268" s="724"/>
      <c r="FZ268" s="724"/>
      <c r="GA268" s="724"/>
      <c r="GB268" s="724"/>
      <c r="GC268" s="724"/>
      <c r="GD268" s="724"/>
      <c r="GE268" s="724"/>
      <c r="GF268" s="724"/>
      <c r="GG268" s="724"/>
      <c r="GH268" s="724"/>
      <c r="GI268" s="724"/>
      <c r="GJ268" s="724"/>
      <c r="GK268" s="724"/>
      <c r="GL268" s="724"/>
      <c r="GM268" s="724"/>
      <c r="GN268" s="724"/>
      <c r="GO268" s="724"/>
      <c r="GP268" s="724"/>
      <c r="GQ268" s="724"/>
      <c r="GR268" s="724"/>
      <c r="GS268" s="724"/>
      <c r="GT268" s="724"/>
      <c r="GU268" s="724"/>
      <c r="GV268" s="724"/>
      <c r="GW268" s="724"/>
      <c r="GX268" s="724"/>
      <c r="GY268" s="724"/>
      <c r="GZ268" s="724"/>
      <c r="HA268" s="724"/>
      <c r="HB268" s="724"/>
      <c r="HC268" s="724"/>
      <c r="HD268" s="724"/>
      <c r="HE268" s="724"/>
      <c r="HF268" s="724"/>
      <c r="HG268" s="724"/>
      <c r="HH268" s="724"/>
      <c r="HI268" s="724"/>
      <c r="HJ268" s="724"/>
      <c r="HK268" s="724"/>
      <c r="HL268" s="724"/>
      <c r="HM268" s="724"/>
      <c r="HN268" s="724"/>
      <c r="HO268" s="724"/>
      <c r="HP268" s="724"/>
      <c r="HQ268" s="724"/>
      <c r="HR268" s="724"/>
      <c r="HS268" s="724"/>
      <c r="HT268" s="724"/>
      <c r="HU268" s="724"/>
      <c r="HV268" s="724"/>
      <c r="HW268" s="724"/>
      <c r="HX268" s="724"/>
      <c r="HY268" s="724"/>
      <c r="HZ268" s="724"/>
      <c r="IA268" s="724"/>
      <c r="IB268" s="724"/>
      <c r="IC268" s="724"/>
      <c r="ID268" s="724"/>
      <c r="IE268" s="724"/>
      <c r="IF268" s="724"/>
      <c r="IG268" s="724"/>
      <c r="IH268" s="724"/>
      <c r="II268" s="724"/>
      <c r="IJ268" s="724"/>
      <c r="IK268" s="724"/>
      <c r="IL268" s="724"/>
      <c r="IM268" s="724"/>
      <c r="IN268" s="724"/>
      <c r="IO268" s="724"/>
      <c r="IP268" s="724"/>
      <c r="IQ268" s="724"/>
      <c r="IR268" s="724"/>
      <c r="IS268" s="724"/>
      <c r="IT268" s="724"/>
      <c r="IU268" s="724"/>
      <c r="IV268" s="724"/>
      <c r="IW268" s="724"/>
    </row>
    <row r="269" spans="1:257" s="682" customFormat="1">
      <c r="A269" s="809" t="s">
        <v>91</v>
      </c>
      <c r="B269" s="696" t="s">
        <v>80</v>
      </c>
      <c r="C269" s="699"/>
      <c r="D269" s="699"/>
      <c r="E269" s="700"/>
      <c r="F269" s="700">
        <v>60000000</v>
      </c>
      <c r="G269" s="700"/>
      <c r="H269" s="700"/>
      <c r="I269" s="700"/>
      <c r="J269" s="700">
        <v>60000000</v>
      </c>
      <c r="K269" s="700">
        <f>J269</f>
        <v>60000000</v>
      </c>
      <c r="L269" s="1315">
        <v>100000000</v>
      </c>
      <c r="M269" s="651"/>
      <c r="N269" s="820"/>
      <c r="O269" s="820"/>
      <c r="P269" s="820"/>
      <c r="Q269" s="820"/>
      <c r="R269" s="866"/>
      <c r="S269" s="867"/>
      <c r="T269" s="856"/>
      <c r="U269" s="726"/>
      <c r="V269" s="619"/>
      <c r="W269" s="581"/>
      <c r="X269" s="578"/>
      <c r="Y269" s="582"/>
      <c r="Z269" s="582"/>
      <c r="AA269" s="582"/>
      <c r="AB269" s="582"/>
      <c r="AC269" s="582"/>
      <c r="AD269" s="582"/>
      <c r="AE269" s="582"/>
      <c r="AF269" s="582"/>
      <c r="AG269" s="582"/>
      <c r="AH269" s="582"/>
      <c r="AI269" s="582"/>
      <c r="AJ269" s="582"/>
      <c r="AK269" s="582"/>
      <c r="AL269" s="582"/>
      <c r="AM269" s="582"/>
      <c r="AN269" s="582"/>
      <c r="AO269" s="582"/>
      <c r="AP269" s="582"/>
      <c r="AQ269" s="582"/>
      <c r="AR269" s="582"/>
      <c r="AS269" s="582"/>
      <c r="AT269" s="582"/>
      <c r="AU269" s="582"/>
      <c r="AV269" s="582"/>
      <c r="AW269" s="582"/>
      <c r="AX269" s="582"/>
      <c r="AY269" s="582"/>
      <c r="AZ269" s="582"/>
      <c r="BA269" s="582"/>
      <c r="BB269" s="582"/>
      <c r="BC269" s="582"/>
      <c r="BD269" s="582"/>
      <c r="BE269" s="582"/>
      <c r="BF269" s="582"/>
      <c r="BG269" s="582"/>
      <c r="BH269" s="582"/>
      <c r="BI269" s="582"/>
      <c r="BJ269" s="582"/>
      <c r="BK269" s="582"/>
      <c r="BL269" s="582"/>
      <c r="BM269" s="582"/>
      <c r="BN269" s="582"/>
      <c r="BO269" s="582"/>
      <c r="BP269" s="582"/>
      <c r="BQ269" s="582"/>
      <c r="BR269" s="582"/>
      <c r="BS269" s="582"/>
      <c r="BT269" s="582"/>
      <c r="BU269" s="582"/>
      <c r="BV269" s="582"/>
      <c r="BW269" s="582"/>
      <c r="BX269" s="582"/>
      <c r="BY269" s="582"/>
      <c r="BZ269" s="582"/>
      <c r="CA269" s="582"/>
      <c r="CB269" s="582"/>
      <c r="CC269" s="582"/>
      <c r="CD269" s="582"/>
      <c r="CE269" s="582"/>
      <c r="CF269" s="582"/>
      <c r="CG269" s="582"/>
      <c r="CH269" s="582"/>
      <c r="CI269" s="582"/>
      <c r="CJ269" s="582"/>
      <c r="CK269" s="582"/>
      <c r="CL269" s="582"/>
      <c r="CM269" s="582"/>
      <c r="CN269" s="582"/>
      <c r="CO269" s="582"/>
      <c r="CP269" s="582"/>
      <c r="CQ269" s="582"/>
      <c r="CR269" s="582"/>
      <c r="CS269" s="582"/>
      <c r="CT269" s="582"/>
      <c r="CU269" s="582"/>
      <c r="CV269" s="582"/>
      <c r="CW269" s="582"/>
      <c r="CX269" s="582"/>
      <c r="CY269" s="582"/>
      <c r="CZ269" s="582"/>
      <c r="DA269" s="582"/>
      <c r="DB269" s="582"/>
      <c r="DC269" s="582"/>
      <c r="DD269" s="582"/>
      <c r="DE269" s="582"/>
      <c r="DF269" s="582"/>
      <c r="DG269" s="582"/>
      <c r="DH269" s="582"/>
      <c r="DI269" s="582"/>
      <c r="DJ269" s="582"/>
      <c r="DK269" s="582"/>
      <c r="DL269" s="582"/>
      <c r="DM269" s="582"/>
      <c r="DN269" s="582"/>
      <c r="DO269" s="582"/>
      <c r="DP269" s="582"/>
      <c r="DQ269" s="582"/>
      <c r="DR269" s="582"/>
      <c r="DS269" s="582"/>
      <c r="DT269" s="582"/>
      <c r="DU269" s="582"/>
      <c r="DV269" s="582"/>
      <c r="DW269" s="582"/>
      <c r="DX269" s="582"/>
      <c r="DY269" s="582"/>
      <c r="DZ269" s="582"/>
      <c r="EA269" s="582"/>
      <c r="EB269" s="582"/>
      <c r="EC269" s="582"/>
      <c r="ED269" s="582"/>
      <c r="EE269" s="582"/>
      <c r="EF269" s="582"/>
      <c r="EG269" s="582"/>
      <c r="EH269" s="582"/>
      <c r="EI269" s="582"/>
      <c r="EJ269" s="582"/>
      <c r="EK269" s="582"/>
      <c r="EL269" s="582"/>
      <c r="EM269" s="582"/>
      <c r="EN269" s="582"/>
      <c r="EO269" s="582"/>
      <c r="EP269" s="582"/>
      <c r="EQ269" s="582"/>
      <c r="ER269" s="582"/>
      <c r="ES269" s="582"/>
      <c r="ET269" s="582"/>
      <c r="EU269" s="582"/>
      <c r="EV269" s="582"/>
      <c r="EW269" s="582"/>
      <c r="EX269" s="582"/>
      <c r="EY269" s="582"/>
      <c r="EZ269" s="582"/>
      <c r="FA269" s="582"/>
      <c r="FB269" s="582"/>
      <c r="FC269" s="582"/>
      <c r="FD269" s="582"/>
      <c r="FE269" s="582"/>
      <c r="FF269" s="582"/>
      <c r="FG269" s="582"/>
      <c r="FH269" s="582"/>
      <c r="FI269" s="582"/>
      <c r="FJ269" s="582"/>
      <c r="FK269" s="582"/>
      <c r="FL269" s="582"/>
      <c r="FM269" s="582"/>
      <c r="FN269" s="582"/>
      <c r="FO269" s="582"/>
      <c r="FP269" s="582"/>
      <c r="FQ269" s="582"/>
      <c r="FR269" s="582"/>
      <c r="FS269" s="582"/>
      <c r="FT269" s="582"/>
      <c r="FU269" s="582"/>
      <c r="FV269" s="582"/>
      <c r="FW269" s="582"/>
      <c r="FX269" s="582"/>
      <c r="FY269" s="582"/>
      <c r="FZ269" s="582"/>
      <c r="GA269" s="582"/>
      <c r="GB269" s="582"/>
      <c r="GC269" s="582"/>
      <c r="GD269" s="582"/>
      <c r="GE269" s="582"/>
      <c r="GF269" s="582"/>
      <c r="GG269" s="582"/>
      <c r="GH269" s="582"/>
      <c r="GI269" s="582"/>
      <c r="GJ269" s="582"/>
      <c r="GK269" s="582"/>
      <c r="GL269" s="582"/>
      <c r="GM269" s="582"/>
      <c r="GN269" s="582"/>
      <c r="GO269" s="582"/>
      <c r="GP269" s="582"/>
      <c r="GQ269" s="582"/>
      <c r="GR269" s="582"/>
      <c r="GS269" s="582"/>
      <c r="GT269" s="582"/>
      <c r="GU269" s="582"/>
      <c r="GV269" s="582"/>
      <c r="GW269" s="582"/>
      <c r="GX269" s="582"/>
      <c r="GY269" s="582"/>
      <c r="GZ269" s="582"/>
      <c r="HA269" s="582"/>
      <c r="HB269" s="582"/>
      <c r="HC269" s="582"/>
      <c r="HD269" s="582"/>
      <c r="HE269" s="582"/>
      <c r="HF269" s="582"/>
      <c r="HG269" s="582"/>
      <c r="HH269" s="582"/>
      <c r="HI269" s="582"/>
      <c r="HJ269" s="582"/>
      <c r="HK269" s="582"/>
      <c r="HL269" s="582"/>
      <c r="HM269" s="582"/>
      <c r="HN269" s="582"/>
      <c r="HO269" s="582"/>
      <c r="HP269" s="582"/>
      <c r="HQ269" s="582"/>
      <c r="HR269" s="582"/>
      <c r="HS269" s="582"/>
      <c r="HT269" s="582"/>
      <c r="HU269" s="582"/>
      <c r="HV269" s="582"/>
      <c r="HW269" s="582"/>
      <c r="HX269" s="582"/>
      <c r="HY269" s="582"/>
      <c r="HZ269" s="582"/>
      <c r="IA269" s="582"/>
      <c r="IB269" s="582"/>
      <c r="IC269" s="582"/>
      <c r="ID269" s="582"/>
      <c r="IE269" s="582"/>
      <c r="IF269" s="582"/>
      <c r="IG269" s="582"/>
      <c r="IH269" s="582"/>
      <c r="II269" s="582"/>
      <c r="IJ269" s="582"/>
      <c r="IK269" s="582"/>
      <c r="IL269" s="582"/>
      <c r="IM269" s="582"/>
      <c r="IN269" s="582"/>
      <c r="IO269" s="582"/>
      <c r="IP269" s="582"/>
      <c r="IQ269" s="582"/>
      <c r="IR269" s="582"/>
      <c r="IS269" s="582"/>
      <c r="IT269" s="582"/>
      <c r="IU269" s="582"/>
      <c r="IV269" s="582"/>
      <c r="IW269" s="582"/>
    </row>
    <row r="270" spans="1:257" s="582" customFormat="1">
      <c r="A270" s="809" t="s">
        <v>91</v>
      </c>
      <c r="B270" s="696" t="s">
        <v>81</v>
      </c>
      <c r="C270" s="635"/>
      <c r="D270" s="635"/>
      <c r="E270" s="651"/>
      <c r="F270" s="651">
        <v>40000000</v>
      </c>
      <c r="G270" s="651"/>
      <c r="H270" s="651"/>
      <c r="I270" s="651"/>
      <c r="J270" s="651">
        <v>40000000</v>
      </c>
      <c r="K270" s="700">
        <v>20000000</v>
      </c>
      <c r="L270" s="1315">
        <v>10000000</v>
      </c>
      <c r="M270" s="651"/>
      <c r="N270" s="826"/>
      <c r="O270" s="826"/>
      <c r="P270" s="826"/>
      <c r="Q270" s="826"/>
      <c r="R270" s="908"/>
      <c r="S270" s="871"/>
      <c r="T270" s="824"/>
      <c r="U270" s="577"/>
      <c r="V270" s="581"/>
      <c r="W270" s="581"/>
      <c r="X270" s="578"/>
    </row>
    <row r="271" spans="1:257" s="582" customFormat="1">
      <c r="A271" s="809"/>
      <c r="B271" s="696" t="s">
        <v>82</v>
      </c>
      <c r="C271" s="635"/>
      <c r="D271" s="635"/>
      <c r="E271" s="651"/>
      <c r="F271" s="651"/>
      <c r="G271" s="651"/>
      <c r="H271" s="651"/>
      <c r="I271" s="651"/>
      <c r="J271" s="651">
        <v>10000000</v>
      </c>
      <c r="K271" s="700"/>
      <c r="L271" s="1315"/>
      <c r="M271" s="651"/>
      <c r="N271" s="826"/>
      <c r="O271" s="826"/>
      <c r="P271" s="826"/>
      <c r="Q271" s="826"/>
      <c r="R271" s="908"/>
      <c r="S271" s="871"/>
      <c r="T271" s="824"/>
      <c r="U271" s="577"/>
      <c r="V271" s="581"/>
      <c r="W271" s="581"/>
      <c r="X271" s="578"/>
    </row>
    <row r="272" spans="1:257" s="1214" customFormat="1" ht="31.5">
      <c r="A272" s="1216" t="s">
        <v>91</v>
      </c>
      <c r="B272" s="1203" t="s">
        <v>1419</v>
      </c>
      <c r="C272" s="1217"/>
      <c r="D272" s="1217"/>
      <c r="E272" s="1218"/>
      <c r="F272" s="1218"/>
      <c r="G272" s="1218">
        <v>15000000</v>
      </c>
      <c r="H272" s="1218"/>
      <c r="I272" s="1218"/>
      <c r="J272" s="1218"/>
      <c r="K272" s="1218">
        <v>10000000</v>
      </c>
      <c r="L272" s="1315">
        <v>20000000</v>
      </c>
      <c r="M272" s="1219" t="s">
        <v>1420</v>
      </c>
      <c r="N272" s="1220"/>
      <c r="O272" s="1220"/>
      <c r="P272" s="1220"/>
      <c r="Q272" s="1220"/>
      <c r="R272" s="1221"/>
      <c r="S272" s="1222"/>
      <c r="T272" s="1223"/>
      <c r="U272" s="1224"/>
      <c r="V272" s="1225"/>
      <c r="W272" s="1226"/>
      <c r="X272" s="1227"/>
      <c r="Y272" s="1228"/>
      <c r="Z272" s="1228"/>
      <c r="AA272" s="1228"/>
      <c r="AB272" s="1228"/>
      <c r="AC272" s="1228"/>
      <c r="AD272" s="1228"/>
      <c r="AE272" s="1228"/>
      <c r="AF272" s="1228"/>
      <c r="AG272" s="1228"/>
      <c r="AH272" s="1228"/>
      <c r="AI272" s="1228"/>
      <c r="AJ272" s="1228"/>
      <c r="AK272" s="1228"/>
      <c r="AL272" s="1228"/>
      <c r="AM272" s="1228"/>
      <c r="AN272" s="1228"/>
      <c r="AO272" s="1228"/>
      <c r="AP272" s="1228"/>
      <c r="AQ272" s="1228"/>
      <c r="AR272" s="1228"/>
      <c r="AS272" s="1228"/>
      <c r="AT272" s="1228"/>
      <c r="AU272" s="1228"/>
      <c r="AV272" s="1228"/>
      <c r="AW272" s="1228"/>
      <c r="AX272" s="1228"/>
      <c r="AY272" s="1228"/>
      <c r="AZ272" s="1228"/>
      <c r="BA272" s="1228"/>
      <c r="BB272" s="1228"/>
      <c r="BC272" s="1228"/>
      <c r="BD272" s="1228"/>
      <c r="BE272" s="1228"/>
      <c r="BF272" s="1228"/>
      <c r="BG272" s="1228"/>
      <c r="BH272" s="1228"/>
      <c r="BI272" s="1228"/>
      <c r="BJ272" s="1228"/>
      <c r="BK272" s="1228"/>
      <c r="BL272" s="1228"/>
      <c r="BM272" s="1228"/>
      <c r="BN272" s="1228"/>
      <c r="BO272" s="1228"/>
      <c r="BP272" s="1228"/>
      <c r="BQ272" s="1228"/>
      <c r="BR272" s="1228"/>
      <c r="BS272" s="1228"/>
      <c r="BT272" s="1228"/>
      <c r="BU272" s="1228"/>
      <c r="BV272" s="1228"/>
      <c r="BW272" s="1228"/>
      <c r="BX272" s="1228"/>
      <c r="BY272" s="1228"/>
      <c r="BZ272" s="1228"/>
      <c r="CA272" s="1228"/>
      <c r="CB272" s="1228"/>
      <c r="CC272" s="1228"/>
      <c r="CD272" s="1228"/>
      <c r="CE272" s="1228"/>
      <c r="CF272" s="1228"/>
      <c r="CG272" s="1228"/>
      <c r="CH272" s="1228"/>
      <c r="CI272" s="1228"/>
      <c r="CJ272" s="1228"/>
      <c r="CK272" s="1228"/>
      <c r="CL272" s="1228"/>
      <c r="CM272" s="1228"/>
      <c r="CN272" s="1228"/>
      <c r="CO272" s="1228"/>
      <c r="CP272" s="1228"/>
      <c r="CQ272" s="1228"/>
      <c r="CR272" s="1228"/>
      <c r="CS272" s="1228"/>
      <c r="CT272" s="1228"/>
      <c r="CU272" s="1228"/>
      <c r="CV272" s="1228"/>
      <c r="CW272" s="1228"/>
      <c r="CX272" s="1228"/>
      <c r="CY272" s="1228"/>
      <c r="CZ272" s="1228"/>
      <c r="DA272" s="1228"/>
      <c r="DB272" s="1228"/>
      <c r="DC272" s="1228"/>
      <c r="DD272" s="1228"/>
      <c r="DE272" s="1228"/>
      <c r="DF272" s="1228"/>
      <c r="DG272" s="1228"/>
      <c r="DH272" s="1228"/>
      <c r="DI272" s="1228"/>
      <c r="DJ272" s="1228"/>
      <c r="DK272" s="1228"/>
      <c r="DL272" s="1228"/>
      <c r="DM272" s="1228"/>
      <c r="DN272" s="1228"/>
      <c r="DO272" s="1228"/>
      <c r="DP272" s="1228"/>
      <c r="DQ272" s="1228"/>
      <c r="DR272" s="1228"/>
      <c r="DS272" s="1228"/>
      <c r="DT272" s="1228"/>
      <c r="DU272" s="1228"/>
      <c r="DV272" s="1228"/>
      <c r="DW272" s="1228"/>
      <c r="DX272" s="1228"/>
      <c r="DY272" s="1228"/>
      <c r="DZ272" s="1228"/>
      <c r="EA272" s="1228"/>
      <c r="EB272" s="1228"/>
      <c r="EC272" s="1228"/>
      <c r="ED272" s="1228"/>
      <c r="EE272" s="1228"/>
      <c r="EF272" s="1228"/>
      <c r="EG272" s="1228"/>
      <c r="EH272" s="1228"/>
      <c r="EI272" s="1228"/>
      <c r="EJ272" s="1228"/>
      <c r="EK272" s="1228"/>
      <c r="EL272" s="1228"/>
      <c r="EM272" s="1228"/>
      <c r="EN272" s="1228"/>
      <c r="EO272" s="1228"/>
      <c r="EP272" s="1228"/>
      <c r="EQ272" s="1228"/>
      <c r="ER272" s="1228"/>
      <c r="ES272" s="1228"/>
      <c r="ET272" s="1228"/>
      <c r="EU272" s="1228"/>
      <c r="EV272" s="1228"/>
      <c r="EW272" s="1228"/>
      <c r="EX272" s="1228"/>
      <c r="EY272" s="1228"/>
      <c r="EZ272" s="1228"/>
      <c r="FA272" s="1228"/>
      <c r="FB272" s="1228"/>
      <c r="FC272" s="1228"/>
      <c r="FD272" s="1228"/>
      <c r="FE272" s="1228"/>
      <c r="FF272" s="1228"/>
      <c r="FG272" s="1228"/>
      <c r="FH272" s="1228"/>
      <c r="FI272" s="1228"/>
      <c r="FJ272" s="1228"/>
      <c r="FK272" s="1228"/>
      <c r="FL272" s="1228"/>
      <c r="FM272" s="1228"/>
      <c r="FN272" s="1228"/>
      <c r="FO272" s="1228"/>
      <c r="FP272" s="1228"/>
      <c r="FQ272" s="1228"/>
      <c r="FR272" s="1228"/>
      <c r="FS272" s="1228"/>
      <c r="FT272" s="1228"/>
      <c r="FU272" s="1228"/>
      <c r="FV272" s="1228"/>
      <c r="FW272" s="1228"/>
      <c r="FX272" s="1228"/>
      <c r="FY272" s="1228"/>
      <c r="FZ272" s="1228"/>
      <c r="GA272" s="1228"/>
      <c r="GB272" s="1228"/>
      <c r="GC272" s="1228"/>
      <c r="GD272" s="1228"/>
      <c r="GE272" s="1228"/>
      <c r="GF272" s="1228"/>
      <c r="GG272" s="1228"/>
      <c r="GH272" s="1228"/>
      <c r="GI272" s="1228"/>
      <c r="GJ272" s="1228"/>
      <c r="GK272" s="1228"/>
      <c r="GL272" s="1228"/>
      <c r="GM272" s="1228"/>
      <c r="GN272" s="1228"/>
      <c r="GO272" s="1228"/>
      <c r="GP272" s="1228"/>
      <c r="GQ272" s="1228"/>
      <c r="GR272" s="1228"/>
      <c r="GS272" s="1228"/>
      <c r="GT272" s="1228"/>
      <c r="GU272" s="1228"/>
      <c r="GV272" s="1228"/>
      <c r="GW272" s="1228"/>
      <c r="GX272" s="1228"/>
      <c r="GY272" s="1228"/>
      <c r="GZ272" s="1228"/>
      <c r="HA272" s="1228"/>
      <c r="HB272" s="1228"/>
      <c r="HC272" s="1228"/>
      <c r="HD272" s="1228"/>
      <c r="HE272" s="1228"/>
      <c r="HF272" s="1228"/>
      <c r="HG272" s="1228"/>
      <c r="HH272" s="1228"/>
      <c r="HI272" s="1228"/>
      <c r="HJ272" s="1228"/>
      <c r="HK272" s="1228"/>
      <c r="HL272" s="1228"/>
      <c r="HM272" s="1228"/>
      <c r="HN272" s="1228"/>
      <c r="HO272" s="1228"/>
      <c r="HP272" s="1228"/>
      <c r="HQ272" s="1228"/>
      <c r="HR272" s="1228"/>
      <c r="HS272" s="1228"/>
      <c r="HT272" s="1228"/>
      <c r="HU272" s="1228"/>
      <c r="HV272" s="1228"/>
      <c r="HW272" s="1228"/>
      <c r="HX272" s="1228"/>
      <c r="HY272" s="1228"/>
      <c r="HZ272" s="1228"/>
      <c r="IA272" s="1228"/>
      <c r="IB272" s="1228"/>
      <c r="IC272" s="1228"/>
      <c r="ID272" s="1228"/>
      <c r="IE272" s="1228"/>
      <c r="IF272" s="1228"/>
      <c r="IG272" s="1228"/>
      <c r="IH272" s="1228"/>
      <c r="II272" s="1228"/>
      <c r="IJ272" s="1228"/>
      <c r="IK272" s="1228"/>
      <c r="IL272" s="1228"/>
      <c r="IM272" s="1228"/>
      <c r="IN272" s="1228"/>
      <c r="IO272" s="1228"/>
      <c r="IP272" s="1228"/>
      <c r="IQ272" s="1228"/>
      <c r="IR272" s="1228"/>
      <c r="IS272" s="1228"/>
      <c r="IT272" s="1228"/>
      <c r="IU272" s="1228"/>
      <c r="IV272" s="1228"/>
      <c r="IW272" s="1228"/>
    </row>
    <row r="273" spans="1:257" s="582" customFormat="1">
      <c r="A273" s="809" t="s">
        <v>91</v>
      </c>
      <c r="B273" s="696" t="s">
        <v>420</v>
      </c>
      <c r="C273" s="699"/>
      <c r="D273" s="699"/>
      <c r="E273" s="700"/>
      <c r="F273" s="700">
        <v>10000000</v>
      </c>
      <c r="G273" s="700">
        <v>7000000</v>
      </c>
      <c r="H273" s="700"/>
      <c r="I273" s="700"/>
      <c r="J273" s="700"/>
      <c r="K273" s="700">
        <f>J273</f>
        <v>0</v>
      </c>
      <c r="L273" s="1315">
        <f>K273</f>
        <v>0</v>
      </c>
      <c r="M273" s="651"/>
      <c r="N273" s="820"/>
      <c r="O273" s="820"/>
      <c r="P273" s="820"/>
      <c r="Q273" s="820"/>
      <c r="R273" s="871"/>
      <c r="S273" s="910"/>
      <c r="T273" s="910"/>
      <c r="U273" s="580"/>
      <c r="V273" s="727"/>
      <c r="W273" s="581"/>
      <c r="X273" s="578"/>
    </row>
    <row r="274" spans="1:257" s="582" customFormat="1">
      <c r="A274" s="809" t="s">
        <v>91</v>
      </c>
      <c r="B274" s="696" t="s">
        <v>83</v>
      </c>
      <c r="C274" s="699"/>
      <c r="D274" s="699"/>
      <c r="E274" s="700"/>
      <c r="F274" s="700">
        <v>30000000</v>
      </c>
      <c r="G274" s="725"/>
      <c r="H274" s="725"/>
      <c r="I274" s="725"/>
      <c r="J274" s="700">
        <v>30000000</v>
      </c>
      <c r="K274" s="700">
        <f>J274</f>
        <v>30000000</v>
      </c>
      <c r="L274" s="1315">
        <f>K274</f>
        <v>30000000</v>
      </c>
      <c r="M274" s="651"/>
      <c r="N274" s="820"/>
      <c r="O274" s="820"/>
      <c r="P274" s="868"/>
      <c r="Q274" s="868"/>
      <c r="R274" s="871"/>
      <c r="S274" s="910"/>
      <c r="T274" s="910"/>
      <c r="U274" s="580"/>
      <c r="V274" s="727"/>
      <c r="W274" s="581"/>
      <c r="X274" s="578"/>
    </row>
    <row r="275" spans="1:257" s="582" customFormat="1" ht="31.5">
      <c r="A275" s="809" t="s">
        <v>91</v>
      </c>
      <c r="B275" s="696" t="s">
        <v>1418</v>
      </c>
      <c r="C275" s="699"/>
      <c r="D275" s="699"/>
      <c r="E275" s="700"/>
      <c r="F275" s="700"/>
      <c r="G275" s="725"/>
      <c r="H275" s="725"/>
      <c r="I275" s="725"/>
      <c r="J275" s="700"/>
      <c r="K275" s="700">
        <v>20000000</v>
      </c>
      <c r="L275" s="1315">
        <v>20000000</v>
      </c>
      <c r="M275" s="651"/>
      <c r="N275" s="820"/>
      <c r="O275" s="820"/>
      <c r="P275" s="868"/>
      <c r="Q275" s="868"/>
      <c r="R275" s="871"/>
      <c r="S275" s="910"/>
      <c r="T275" s="910"/>
      <c r="U275" s="580"/>
      <c r="V275" s="727"/>
      <c r="W275" s="581"/>
      <c r="X275" s="578"/>
    </row>
    <row r="276" spans="1:257" s="582" customFormat="1">
      <c r="A276" s="809" t="s">
        <v>91</v>
      </c>
      <c r="B276" s="696" t="s">
        <v>1421</v>
      </c>
      <c r="C276" s="699"/>
      <c r="D276" s="699"/>
      <c r="E276" s="700"/>
      <c r="F276" s="700">
        <v>15000000</v>
      </c>
      <c r="G276" s="725"/>
      <c r="H276" s="725"/>
      <c r="I276" s="725"/>
      <c r="J276" s="700"/>
      <c r="K276" s="700">
        <f>J276</f>
        <v>0</v>
      </c>
      <c r="L276" s="1315">
        <v>20000000</v>
      </c>
      <c r="M276" s="651"/>
      <c r="N276" s="820"/>
      <c r="O276" s="820"/>
      <c r="P276" s="868"/>
      <c r="Q276" s="868"/>
      <c r="R276" s="871"/>
      <c r="S276" s="910"/>
      <c r="T276" s="910"/>
      <c r="U276" s="580"/>
      <c r="V276" s="727"/>
      <c r="W276" s="581"/>
      <c r="X276" s="578"/>
    </row>
    <row r="277" spans="1:257" s="703" customFormat="1">
      <c r="A277" s="589" t="s">
        <v>261</v>
      </c>
      <c r="B277" s="671" t="s">
        <v>290</v>
      </c>
      <c r="C277" s="589"/>
      <c r="D277" s="589"/>
      <c r="E277" s="704"/>
      <c r="F277" s="805">
        <f t="shared" ref="F277:L277" si="24">F278+F279</f>
        <v>23500000</v>
      </c>
      <c r="G277" s="805">
        <f t="shared" si="24"/>
        <v>2200000</v>
      </c>
      <c r="H277" s="805">
        <f t="shared" si="24"/>
        <v>0</v>
      </c>
      <c r="I277" s="805">
        <f t="shared" si="24"/>
        <v>0</v>
      </c>
      <c r="J277" s="805">
        <f t="shared" si="24"/>
        <v>23000000</v>
      </c>
      <c r="K277" s="805">
        <f>K278+K279</f>
        <v>23000000</v>
      </c>
      <c r="L277" s="1312">
        <f t="shared" si="24"/>
        <v>31000000</v>
      </c>
      <c r="M277" s="603"/>
      <c r="N277" s="835"/>
      <c r="O277" s="835"/>
      <c r="P277" s="829"/>
      <c r="Q277" s="829"/>
      <c r="R277" s="900"/>
      <c r="S277" s="900"/>
      <c r="T277" s="822"/>
      <c r="U277" s="721"/>
      <c r="V277" s="722"/>
      <c r="W277" s="701"/>
      <c r="X277" s="702"/>
    </row>
    <row r="278" spans="1:257" s="582" customFormat="1" ht="15.75" customHeight="1">
      <c r="A278" s="699"/>
      <c r="B278" s="668" t="s">
        <v>263</v>
      </c>
      <c r="C278" s="713"/>
      <c r="D278" s="713"/>
      <c r="E278" s="725"/>
      <c r="F278" s="669">
        <f t="shared" ref="F278:J278" si="25">(F263+F266+F269+F267+F270+F271+F272+F273+F274+F276)*10%</f>
        <v>23500000</v>
      </c>
      <c r="G278" s="669">
        <f t="shared" si="25"/>
        <v>2200000</v>
      </c>
      <c r="H278" s="669">
        <f t="shared" si="25"/>
        <v>0</v>
      </c>
      <c r="I278" s="669">
        <f t="shared" si="25"/>
        <v>0</v>
      </c>
      <c r="J278" s="669">
        <f t="shared" si="25"/>
        <v>23000000</v>
      </c>
      <c r="K278" s="669">
        <f>(K263+K265-K268)*10%</f>
        <v>23000000</v>
      </c>
      <c r="L278" s="1306">
        <f>(L263+L265-L268)*10%</f>
        <v>31000000</v>
      </c>
      <c r="M278" s="669"/>
      <c r="N278" s="837"/>
      <c r="O278" s="837"/>
      <c r="P278" s="868"/>
      <c r="Q278" s="868"/>
      <c r="R278" s="871"/>
      <c r="S278" s="866"/>
      <c r="T278" s="839"/>
      <c r="U278" s="580"/>
      <c r="V278" s="581"/>
      <c r="W278" s="581"/>
      <c r="X278" s="578"/>
    </row>
    <row r="279" spans="1:257" s="681" customFormat="1" ht="15.75" hidden="1" customHeight="1">
      <c r="A279" s="713"/>
      <c r="B279" s="669"/>
      <c r="C279" s="713"/>
      <c r="D279" s="713"/>
      <c r="E279" s="725"/>
      <c r="F279" s="669"/>
      <c r="G279" s="700"/>
      <c r="H279" s="700"/>
      <c r="I279" s="700"/>
      <c r="J279" s="669"/>
      <c r="K279" s="669"/>
      <c r="L279" s="1306"/>
      <c r="M279" s="669"/>
      <c r="N279" s="837"/>
      <c r="O279" s="837"/>
      <c r="P279" s="820"/>
      <c r="Q279" s="820"/>
      <c r="R279" s="871"/>
      <c r="S279" s="866"/>
      <c r="T279" s="839"/>
      <c r="U279" s="726"/>
      <c r="V279" s="581"/>
      <c r="W279" s="581"/>
      <c r="X279" s="578"/>
      <c r="Y279" s="582"/>
      <c r="Z279" s="582"/>
      <c r="AA279" s="582"/>
      <c r="AB279" s="582"/>
      <c r="AC279" s="582"/>
      <c r="AD279" s="582"/>
      <c r="AE279" s="582"/>
      <c r="AF279" s="582"/>
      <c r="AG279" s="582"/>
      <c r="AH279" s="582"/>
      <c r="AI279" s="582"/>
      <c r="AJ279" s="582"/>
      <c r="AK279" s="582"/>
      <c r="AL279" s="582"/>
      <c r="AM279" s="582"/>
      <c r="AN279" s="582"/>
      <c r="AO279" s="582"/>
      <c r="AP279" s="582"/>
      <c r="AQ279" s="582"/>
      <c r="AR279" s="582"/>
      <c r="AS279" s="582"/>
      <c r="AT279" s="582"/>
      <c r="AU279" s="582"/>
      <c r="AV279" s="582"/>
      <c r="AW279" s="582"/>
      <c r="AX279" s="582"/>
      <c r="AY279" s="582"/>
      <c r="AZ279" s="582"/>
      <c r="BA279" s="582"/>
      <c r="BB279" s="582"/>
      <c r="BC279" s="582"/>
      <c r="BD279" s="582"/>
      <c r="BE279" s="582"/>
      <c r="BF279" s="582"/>
      <c r="BG279" s="582"/>
      <c r="BH279" s="582"/>
      <c r="BI279" s="582"/>
      <c r="BJ279" s="582"/>
      <c r="BK279" s="582"/>
      <c r="BL279" s="582"/>
      <c r="BM279" s="582"/>
      <c r="BN279" s="582"/>
      <c r="BO279" s="582"/>
      <c r="BP279" s="582"/>
      <c r="BQ279" s="582"/>
      <c r="BR279" s="582"/>
      <c r="BS279" s="582"/>
      <c r="BT279" s="582"/>
      <c r="BU279" s="582"/>
      <c r="BV279" s="582"/>
      <c r="BW279" s="582"/>
      <c r="BX279" s="582"/>
      <c r="BY279" s="582"/>
      <c r="BZ279" s="582"/>
      <c r="CA279" s="582"/>
      <c r="CB279" s="582"/>
      <c r="CC279" s="582"/>
      <c r="CD279" s="582"/>
      <c r="CE279" s="582"/>
      <c r="CF279" s="582"/>
      <c r="CG279" s="582"/>
      <c r="CH279" s="582"/>
      <c r="CI279" s="582"/>
      <c r="CJ279" s="582"/>
      <c r="CK279" s="582"/>
      <c r="CL279" s="582"/>
      <c r="CM279" s="582"/>
      <c r="CN279" s="582"/>
      <c r="CO279" s="582"/>
      <c r="CP279" s="582"/>
      <c r="CQ279" s="582"/>
      <c r="CR279" s="582"/>
      <c r="CS279" s="582"/>
      <c r="CT279" s="582"/>
      <c r="CU279" s="582"/>
      <c r="CV279" s="582"/>
      <c r="CW279" s="582"/>
      <c r="CX279" s="582"/>
      <c r="CY279" s="582"/>
      <c r="CZ279" s="582"/>
      <c r="DA279" s="582"/>
      <c r="DB279" s="582"/>
      <c r="DC279" s="582"/>
      <c r="DD279" s="582"/>
      <c r="DE279" s="582"/>
      <c r="DF279" s="582"/>
      <c r="DG279" s="582"/>
      <c r="DH279" s="582"/>
      <c r="DI279" s="582"/>
      <c r="DJ279" s="582"/>
      <c r="DK279" s="582"/>
      <c r="DL279" s="582"/>
      <c r="DM279" s="582"/>
      <c r="DN279" s="582"/>
      <c r="DO279" s="582"/>
      <c r="DP279" s="582"/>
      <c r="DQ279" s="582"/>
      <c r="DR279" s="582"/>
      <c r="DS279" s="582"/>
      <c r="DT279" s="582"/>
      <c r="DU279" s="582"/>
      <c r="DV279" s="582"/>
      <c r="DW279" s="582"/>
      <c r="DX279" s="582"/>
      <c r="DY279" s="582"/>
      <c r="DZ279" s="582"/>
      <c r="EA279" s="582"/>
      <c r="EB279" s="582"/>
      <c r="EC279" s="582"/>
      <c r="ED279" s="582"/>
      <c r="EE279" s="582"/>
      <c r="EF279" s="582"/>
      <c r="EG279" s="582"/>
      <c r="EH279" s="582"/>
      <c r="EI279" s="582"/>
      <c r="EJ279" s="582"/>
      <c r="EK279" s="582"/>
      <c r="EL279" s="582"/>
      <c r="EM279" s="582"/>
      <c r="EN279" s="582"/>
      <c r="EO279" s="582"/>
      <c r="EP279" s="582"/>
      <c r="EQ279" s="582"/>
      <c r="ER279" s="582"/>
      <c r="ES279" s="582"/>
      <c r="ET279" s="582"/>
      <c r="EU279" s="582"/>
      <c r="EV279" s="582"/>
      <c r="EW279" s="582"/>
      <c r="EX279" s="582"/>
      <c r="EY279" s="582"/>
      <c r="EZ279" s="582"/>
      <c r="FA279" s="582"/>
      <c r="FB279" s="582"/>
      <c r="FC279" s="582"/>
      <c r="FD279" s="582"/>
      <c r="FE279" s="582"/>
      <c r="FF279" s="582"/>
      <c r="FG279" s="582"/>
      <c r="FH279" s="582"/>
      <c r="FI279" s="582"/>
      <c r="FJ279" s="582"/>
      <c r="FK279" s="582"/>
      <c r="FL279" s="582"/>
      <c r="FM279" s="582"/>
      <c r="FN279" s="582"/>
      <c r="FO279" s="582"/>
      <c r="FP279" s="582"/>
      <c r="FQ279" s="582"/>
      <c r="FR279" s="582"/>
      <c r="FS279" s="582"/>
      <c r="FT279" s="582"/>
      <c r="FU279" s="582"/>
      <c r="FV279" s="582"/>
      <c r="FW279" s="582"/>
      <c r="FX279" s="582"/>
      <c r="FY279" s="582"/>
      <c r="FZ279" s="582"/>
      <c r="GA279" s="582"/>
      <c r="GB279" s="582"/>
      <c r="GC279" s="582"/>
      <c r="GD279" s="582"/>
      <c r="GE279" s="582"/>
      <c r="GF279" s="582"/>
      <c r="GG279" s="582"/>
      <c r="GH279" s="582"/>
      <c r="GI279" s="582"/>
      <c r="GJ279" s="582"/>
      <c r="GK279" s="582"/>
      <c r="GL279" s="582"/>
      <c r="GM279" s="582"/>
      <c r="GN279" s="582"/>
      <c r="GO279" s="582"/>
      <c r="GP279" s="582"/>
      <c r="GQ279" s="582"/>
      <c r="GR279" s="582"/>
      <c r="GS279" s="582"/>
      <c r="GT279" s="582"/>
      <c r="GU279" s="582"/>
      <c r="GV279" s="582"/>
      <c r="GW279" s="582"/>
      <c r="GX279" s="582"/>
      <c r="GY279" s="582"/>
      <c r="GZ279" s="582"/>
      <c r="HA279" s="582"/>
      <c r="HB279" s="582"/>
      <c r="HC279" s="582"/>
      <c r="HD279" s="582"/>
      <c r="HE279" s="582"/>
      <c r="HF279" s="582"/>
      <c r="HG279" s="582"/>
      <c r="HH279" s="582"/>
      <c r="HI279" s="582"/>
      <c r="HJ279" s="582"/>
      <c r="HK279" s="582"/>
      <c r="HL279" s="582"/>
      <c r="HM279" s="582"/>
      <c r="HN279" s="582"/>
      <c r="HO279" s="582"/>
      <c r="HP279" s="582"/>
      <c r="HQ279" s="582"/>
      <c r="HR279" s="582"/>
      <c r="HS279" s="582"/>
      <c r="HT279" s="582"/>
      <c r="HU279" s="582"/>
      <c r="HV279" s="582"/>
      <c r="HW279" s="582"/>
      <c r="HX279" s="582"/>
      <c r="HY279" s="582"/>
      <c r="HZ279" s="582"/>
      <c r="IA279" s="582"/>
      <c r="IB279" s="582"/>
      <c r="IC279" s="582"/>
      <c r="ID279" s="582"/>
      <c r="IE279" s="582"/>
      <c r="IF279" s="582"/>
      <c r="IG279" s="582"/>
      <c r="IH279" s="582"/>
      <c r="II279" s="582"/>
      <c r="IJ279" s="582"/>
      <c r="IK279" s="582"/>
      <c r="IL279" s="582"/>
      <c r="IM279" s="582"/>
      <c r="IN279" s="582"/>
      <c r="IO279" s="582"/>
      <c r="IP279" s="582"/>
      <c r="IQ279" s="582"/>
      <c r="IR279" s="582"/>
      <c r="IS279" s="582"/>
      <c r="IT279" s="582"/>
      <c r="IU279" s="582"/>
      <c r="IV279" s="582"/>
      <c r="IW279" s="582"/>
    </row>
    <row r="280" spans="1:257" s="898" customFormat="1">
      <c r="A280" s="911">
        <v>2</v>
      </c>
      <c r="B280" s="912" t="s">
        <v>291</v>
      </c>
      <c r="C280" s="912"/>
      <c r="D280" s="912"/>
      <c r="E280" s="912"/>
      <c r="F280" s="913">
        <f t="shared" ref="F280:J280" si="26">F282+F292+F293+F315</f>
        <v>2099000000</v>
      </c>
      <c r="G280" s="913">
        <f t="shared" si="26"/>
        <v>0</v>
      </c>
      <c r="H280" s="913">
        <f t="shared" si="26"/>
        <v>0</v>
      </c>
      <c r="I280" s="913">
        <f t="shared" si="26"/>
        <v>0</v>
      </c>
      <c r="J280" s="913">
        <f t="shared" si="26"/>
        <v>6804122000</v>
      </c>
      <c r="K280" s="913">
        <f>K281+K293</f>
        <v>7217000000</v>
      </c>
      <c r="L280" s="1317">
        <f>L281+L293</f>
        <v>7587000000</v>
      </c>
      <c r="M280" s="914" t="s">
        <v>960</v>
      </c>
      <c r="N280" s="915">
        <f>L280+Sheet2!AE15*1000</f>
        <v>11657467500</v>
      </c>
      <c r="O280" s="915" t="s">
        <v>1976</v>
      </c>
      <c r="P280" s="915"/>
      <c r="Q280" s="915"/>
      <c r="R280" s="916"/>
      <c r="S280" s="917"/>
      <c r="T280" s="918"/>
      <c r="U280" s="919"/>
      <c r="V280" s="920"/>
      <c r="W280" s="920"/>
      <c r="X280" s="921"/>
      <c r="Y280" s="922"/>
      <c r="Z280" s="922"/>
      <c r="AA280" s="922"/>
      <c r="AB280" s="922"/>
      <c r="AC280" s="922"/>
      <c r="AD280" s="922"/>
      <c r="AE280" s="922"/>
      <c r="AF280" s="922"/>
      <c r="AG280" s="922"/>
      <c r="AH280" s="922"/>
      <c r="AI280" s="922"/>
      <c r="AJ280" s="922"/>
      <c r="AK280" s="922"/>
      <c r="AL280" s="922"/>
      <c r="AM280" s="922"/>
      <c r="AN280" s="922"/>
      <c r="AO280" s="922"/>
      <c r="AP280" s="922"/>
      <c r="AQ280" s="922"/>
      <c r="AR280" s="922"/>
      <c r="AS280" s="922"/>
      <c r="AT280" s="922"/>
      <c r="AU280" s="922"/>
      <c r="AV280" s="922"/>
      <c r="AW280" s="922"/>
      <c r="AX280" s="922"/>
      <c r="AY280" s="922"/>
      <c r="AZ280" s="922"/>
      <c r="BA280" s="922"/>
      <c r="BB280" s="922"/>
      <c r="BC280" s="922"/>
      <c r="BD280" s="922"/>
      <c r="BE280" s="922"/>
      <c r="BF280" s="922"/>
      <c r="BG280" s="922"/>
      <c r="BH280" s="922"/>
      <c r="BI280" s="922"/>
      <c r="BJ280" s="922"/>
      <c r="BK280" s="922"/>
      <c r="BL280" s="922"/>
      <c r="BM280" s="922"/>
      <c r="BN280" s="922"/>
      <c r="BO280" s="922"/>
      <c r="BP280" s="922"/>
      <c r="BQ280" s="922"/>
      <c r="BR280" s="922"/>
      <c r="BS280" s="922"/>
      <c r="BT280" s="922"/>
      <c r="BU280" s="922"/>
      <c r="BV280" s="922"/>
      <c r="BW280" s="922"/>
      <c r="BX280" s="922"/>
      <c r="BY280" s="922"/>
      <c r="BZ280" s="922"/>
      <c r="CA280" s="922"/>
      <c r="CB280" s="922"/>
      <c r="CC280" s="922"/>
      <c r="CD280" s="922"/>
      <c r="CE280" s="922"/>
      <c r="CF280" s="922"/>
      <c r="CG280" s="922"/>
      <c r="CH280" s="922"/>
      <c r="CI280" s="922"/>
      <c r="CJ280" s="922"/>
      <c r="CK280" s="922"/>
      <c r="CL280" s="922"/>
      <c r="CM280" s="922"/>
      <c r="CN280" s="922"/>
      <c r="CO280" s="922"/>
      <c r="CP280" s="922"/>
      <c r="CQ280" s="922"/>
      <c r="CR280" s="922"/>
      <c r="CS280" s="922"/>
      <c r="CT280" s="922"/>
      <c r="CU280" s="922"/>
      <c r="CV280" s="922"/>
      <c r="CW280" s="922"/>
      <c r="CX280" s="922"/>
      <c r="CY280" s="922"/>
      <c r="CZ280" s="922"/>
      <c r="DA280" s="922"/>
      <c r="DB280" s="922"/>
      <c r="DC280" s="922"/>
      <c r="DD280" s="922"/>
      <c r="DE280" s="922"/>
      <c r="DF280" s="922"/>
      <c r="DG280" s="922"/>
      <c r="DH280" s="922"/>
      <c r="DI280" s="922"/>
      <c r="DJ280" s="922"/>
      <c r="DK280" s="922"/>
      <c r="DL280" s="922"/>
      <c r="DM280" s="922"/>
      <c r="DN280" s="922"/>
      <c r="DO280" s="922"/>
      <c r="DP280" s="922"/>
      <c r="DQ280" s="922"/>
      <c r="DR280" s="922"/>
      <c r="DS280" s="922"/>
      <c r="DT280" s="922"/>
      <c r="DU280" s="922"/>
      <c r="DV280" s="922"/>
      <c r="DW280" s="922"/>
      <c r="DX280" s="922"/>
      <c r="DY280" s="922"/>
      <c r="DZ280" s="922"/>
      <c r="EA280" s="922"/>
      <c r="EB280" s="922"/>
      <c r="EC280" s="922"/>
      <c r="ED280" s="922"/>
      <c r="EE280" s="922"/>
      <c r="EF280" s="922"/>
      <c r="EG280" s="922"/>
      <c r="EH280" s="922"/>
      <c r="EI280" s="922"/>
      <c r="EJ280" s="922"/>
      <c r="EK280" s="922"/>
      <c r="EL280" s="922"/>
      <c r="EM280" s="922"/>
      <c r="EN280" s="922"/>
      <c r="EO280" s="922"/>
      <c r="EP280" s="922"/>
      <c r="EQ280" s="922"/>
      <c r="ER280" s="922"/>
      <c r="ES280" s="922"/>
      <c r="ET280" s="922"/>
      <c r="EU280" s="922"/>
      <c r="EV280" s="922"/>
      <c r="EW280" s="922"/>
      <c r="EX280" s="922"/>
      <c r="EY280" s="922"/>
      <c r="EZ280" s="922"/>
      <c r="FA280" s="922"/>
      <c r="FB280" s="922"/>
      <c r="FC280" s="922"/>
      <c r="FD280" s="922"/>
      <c r="FE280" s="922"/>
      <c r="FF280" s="922"/>
      <c r="FG280" s="922"/>
      <c r="FH280" s="922"/>
      <c r="FI280" s="922"/>
      <c r="FJ280" s="922"/>
      <c r="FK280" s="922"/>
      <c r="FL280" s="922"/>
      <c r="FM280" s="922"/>
      <c r="FN280" s="922"/>
      <c r="FO280" s="922"/>
      <c r="FP280" s="922"/>
      <c r="FQ280" s="922"/>
      <c r="FR280" s="922"/>
      <c r="FS280" s="922"/>
      <c r="FT280" s="922"/>
      <c r="FU280" s="922"/>
      <c r="FV280" s="922"/>
      <c r="FW280" s="922"/>
      <c r="FX280" s="922"/>
      <c r="FY280" s="922"/>
      <c r="FZ280" s="922"/>
      <c r="GA280" s="922"/>
      <c r="GB280" s="922"/>
      <c r="GC280" s="922"/>
      <c r="GD280" s="922"/>
      <c r="GE280" s="922"/>
      <c r="GF280" s="922"/>
      <c r="GG280" s="922"/>
      <c r="GH280" s="922"/>
      <c r="GI280" s="922"/>
      <c r="GJ280" s="922"/>
      <c r="GK280" s="922"/>
      <c r="GL280" s="922"/>
      <c r="GM280" s="922"/>
      <c r="GN280" s="922"/>
      <c r="GO280" s="922"/>
      <c r="GP280" s="922"/>
      <c r="GQ280" s="922"/>
      <c r="GR280" s="922"/>
      <c r="GS280" s="922"/>
      <c r="GT280" s="922"/>
      <c r="GU280" s="922"/>
      <c r="GV280" s="922"/>
      <c r="GW280" s="922"/>
      <c r="GX280" s="922"/>
      <c r="GY280" s="922"/>
      <c r="GZ280" s="922"/>
      <c r="HA280" s="922"/>
      <c r="HB280" s="922"/>
      <c r="HC280" s="922"/>
      <c r="HD280" s="922"/>
      <c r="HE280" s="922"/>
      <c r="HF280" s="922"/>
      <c r="HG280" s="922"/>
      <c r="HH280" s="922"/>
      <c r="HI280" s="922"/>
      <c r="HJ280" s="922"/>
      <c r="HK280" s="922"/>
      <c r="HL280" s="922"/>
      <c r="HM280" s="922"/>
      <c r="HN280" s="922"/>
      <c r="HO280" s="922"/>
      <c r="HP280" s="922"/>
      <c r="HQ280" s="922"/>
      <c r="HR280" s="922"/>
      <c r="HS280" s="922"/>
      <c r="HT280" s="922"/>
      <c r="HU280" s="922"/>
      <c r="HV280" s="922"/>
      <c r="HW280" s="922"/>
      <c r="HX280" s="922"/>
      <c r="HY280" s="922"/>
      <c r="HZ280" s="922"/>
      <c r="IA280" s="922"/>
      <c r="IB280" s="922"/>
      <c r="IC280" s="922"/>
      <c r="ID280" s="922"/>
      <c r="IE280" s="922"/>
      <c r="IF280" s="922"/>
      <c r="IG280" s="922"/>
      <c r="IH280" s="922"/>
      <c r="II280" s="922"/>
      <c r="IJ280" s="922"/>
      <c r="IK280" s="922"/>
      <c r="IL280" s="922"/>
      <c r="IM280" s="922"/>
      <c r="IN280" s="922"/>
      <c r="IO280" s="922"/>
      <c r="IP280" s="922"/>
      <c r="IQ280" s="922"/>
      <c r="IR280" s="922"/>
      <c r="IS280" s="922"/>
      <c r="IT280" s="922"/>
      <c r="IU280" s="922"/>
      <c r="IV280" s="922"/>
      <c r="IW280" s="922"/>
    </row>
    <row r="281" spans="1:257" s="621" customFormat="1">
      <c r="A281" s="589" t="s">
        <v>222</v>
      </c>
      <c r="B281" s="804" t="s">
        <v>252</v>
      </c>
      <c r="C281" s="589"/>
      <c r="D281" s="589"/>
      <c r="E281" s="704"/>
      <c r="F281" s="805">
        <f t="shared" ref="F281:J281" si="27">F282</f>
        <v>316000000</v>
      </c>
      <c r="G281" s="805">
        <f t="shared" si="27"/>
        <v>0</v>
      </c>
      <c r="H281" s="805">
        <f t="shared" si="27"/>
        <v>0</v>
      </c>
      <c r="I281" s="805">
        <f t="shared" si="27"/>
        <v>0</v>
      </c>
      <c r="J281" s="805">
        <f t="shared" si="27"/>
        <v>476325000</v>
      </c>
      <c r="K281" s="805">
        <f>K288+K291</f>
        <v>466000000</v>
      </c>
      <c r="L281" s="1312">
        <f>L288+L291</f>
        <v>405000000</v>
      </c>
      <c r="M281" s="603" t="s">
        <v>1578</v>
      </c>
      <c r="N281" s="835">
        <v>8884000000</v>
      </c>
      <c r="O281" s="835" t="s">
        <v>1977</v>
      </c>
      <c r="P281" s="923"/>
      <c r="Q281" s="923"/>
      <c r="R281" s="909"/>
      <c r="S281" s="900"/>
      <c r="T281" s="822"/>
      <c r="U281" s="577"/>
      <c r="V281" s="701"/>
      <c r="W281" s="722"/>
      <c r="X281" s="723"/>
      <c r="Y281" s="724"/>
      <c r="Z281" s="724"/>
      <c r="AA281" s="724"/>
      <c r="AB281" s="724"/>
      <c r="AC281" s="724"/>
      <c r="AD281" s="724"/>
      <c r="AE281" s="724"/>
      <c r="AF281" s="724"/>
      <c r="AG281" s="724"/>
      <c r="AH281" s="724"/>
      <c r="AI281" s="724"/>
      <c r="AJ281" s="724"/>
      <c r="AK281" s="724"/>
      <c r="AL281" s="724"/>
      <c r="AM281" s="724"/>
      <c r="AN281" s="724"/>
      <c r="AO281" s="724"/>
      <c r="AP281" s="724"/>
      <c r="AQ281" s="724"/>
      <c r="AR281" s="724"/>
      <c r="AS281" s="724"/>
      <c r="AT281" s="724"/>
      <c r="AU281" s="724"/>
      <c r="AV281" s="724"/>
      <c r="AW281" s="724"/>
      <c r="AX281" s="724"/>
      <c r="AY281" s="724"/>
      <c r="AZ281" s="724"/>
      <c r="BA281" s="724"/>
      <c r="BB281" s="724"/>
      <c r="BC281" s="724"/>
      <c r="BD281" s="724"/>
      <c r="BE281" s="724"/>
      <c r="BF281" s="724"/>
      <c r="BG281" s="724"/>
      <c r="BH281" s="724"/>
      <c r="BI281" s="724"/>
      <c r="BJ281" s="724"/>
      <c r="BK281" s="724"/>
      <c r="BL281" s="724"/>
      <c r="BM281" s="724"/>
      <c r="BN281" s="724"/>
      <c r="BO281" s="724"/>
      <c r="BP281" s="724"/>
      <c r="BQ281" s="724"/>
      <c r="BR281" s="724"/>
      <c r="BS281" s="724"/>
      <c r="BT281" s="724"/>
      <c r="BU281" s="724"/>
      <c r="BV281" s="724"/>
      <c r="BW281" s="724"/>
      <c r="BX281" s="724"/>
      <c r="BY281" s="724"/>
      <c r="BZ281" s="724"/>
      <c r="CA281" s="724"/>
      <c r="CB281" s="724"/>
      <c r="CC281" s="724"/>
      <c r="CD281" s="724"/>
      <c r="CE281" s="724"/>
      <c r="CF281" s="724"/>
      <c r="CG281" s="724"/>
      <c r="CH281" s="724"/>
      <c r="CI281" s="724"/>
      <c r="CJ281" s="724"/>
      <c r="CK281" s="724"/>
      <c r="CL281" s="724"/>
      <c r="CM281" s="724"/>
      <c r="CN281" s="724"/>
      <c r="CO281" s="724"/>
      <c r="CP281" s="724"/>
      <c r="CQ281" s="724"/>
      <c r="CR281" s="724"/>
      <c r="CS281" s="724"/>
      <c r="CT281" s="724"/>
      <c r="CU281" s="724"/>
      <c r="CV281" s="724"/>
      <c r="CW281" s="724"/>
      <c r="CX281" s="724"/>
      <c r="CY281" s="724"/>
      <c r="CZ281" s="724"/>
      <c r="DA281" s="724"/>
      <c r="DB281" s="724"/>
      <c r="DC281" s="724"/>
      <c r="DD281" s="724"/>
      <c r="DE281" s="724"/>
      <c r="DF281" s="724"/>
      <c r="DG281" s="724"/>
      <c r="DH281" s="724"/>
      <c r="DI281" s="724"/>
      <c r="DJ281" s="724"/>
      <c r="DK281" s="724"/>
      <c r="DL281" s="724"/>
      <c r="DM281" s="724"/>
      <c r="DN281" s="724"/>
      <c r="DO281" s="724"/>
      <c r="DP281" s="724"/>
      <c r="DQ281" s="724"/>
      <c r="DR281" s="724"/>
      <c r="DS281" s="724"/>
      <c r="DT281" s="724"/>
      <c r="DU281" s="724"/>
      <c r="DV281" s="724"/>
      <c r="DW281" s="724"/>
      <c r="DX281" s="724"/>
      <c r="DY281" s="724"/>
      <c r="DZ281" s="724"/>
      <c r="EA281" s="724"/>
      <c r="EB281" s="724"/>
      <c r="EC281" s="724"/>
      <c r="ED281" s="724"/>
      <c r="EE281" s="724"/>
      <c r="EF281" s="724"/>
      <c r="EG281" s="724"/>
      <c r="EH281" s="724"/>
      <c r="EI281" s="724"/>
      <c r="EJ281" s="724"/>
      <c r="EK281" s="724"/>
      <c r="EL281" s="724"/>
      <c r="EM281" s="724"/>
      <c r="EN281" s="724"/>
      <c r="EO281" s="724"/>
      <c r="EP281" s="724"/>
      <c r="EQ281" s="724"/>
      <c r="ER281" s="724"/>
      <c r="ES281" s="724"/>
      <c r="ET281" s="724"/>
      <c r="EU281" s="724"/>
      <c r="EV281" s="724"/>
      <c r="EW281" s="724"/>
      <c r="EX281" s="724"/>
      <c r="EY281" s="724"/>
      <c r="EZ281" s="724"/>
      <c r="FA281" s="724"/>
      <c r="FB281" s="724"/>
      <c r="FC281" s="724"/>
      <c r="FD281" s="724"/>
      <c r="FE281" s="724"/>
      <c r="FF281" s="724"/>
      <c r="FG281" s="724"/>
      <c r="FH281" s="724"/>
      <c r="FI281" s="724"/>
      <c r="FJ281" s="724"/>
      <c r="FK281" s="724"/>
      <c r="FL281" s="724"/>
      <c r="FM281" s="724"/>
      <c r="FN281" s="724"/>
      <c r="FO281" s="724"/>
      <c r="FP281" s="724"/>
      <c r="FQ281" s="724"/>
      <c r="FR281" s="724"/>
      <c r="FS281" s="724"/>
      <c r="FT281" s="724"/>
      <c r="FU281" s="724"/>
      <c r="FV281" s="724"/>
      <c r="FW281" s="724"/>
      <c r="FX281" s="724"/>
      <c r="FY281" s="724"/>
      <c r="FZ281" s="724"/>
      <c r="GA281" s="724"/>
      <c r="GB281" s="724"/>
      <c r="GC281" s="724"/>
      <c r="GD281" s="724"/>
      <c r="GE281" s="724"/>
      <c r="GF281" s="724"/>
      <c r="GG281" s="724"/>
      <c r="GH281" s="724"/>
      <c r="GI281" s="724"/>
      <c r="GJ281" s="724"/>
      <c r="GK281" s="724"/>
      <c r="GL281" s="724"/>
      <c r="GM281" s="724"/>
      <c r="GN281" s="724"/>
      <c r="GO281" s="724"/>
      <c r="GP281" s="724"/>
      <c r="GQ281" s="724"/>
      <c r="GR281" s="724"/>
      <c r="GS281" s="724"/>
      <c r="GT281" s="724"/>
      <c r="GU281" s="724"/>
      <c r="GV281" s="724"/>
      <c r="GW281" s="724"/>
      <c r="GX281" s="724"/>
      <c r="GY281" s="724"/>
      <c r="GZ281" s="724"/>
      <c r="HA281" s="724"/>
      <c r="HB281" s="724"/>
      <c r="HC281" s="724"/>
      <c r="HD281" s="724"/>
      <c r="HE281" s="724"/>
      <c r="HF281" s="724"/>
      <c r="HG281" s="724"/>
      <c r="HH281" s="724"/>
      <c r="HI281" s="724"/>
      <c r="HJ281" s="724"/>
      <c r="HK281" s="724"/>
      <c r="HL281" s="724"/>
      <c r="HM281" s="724"/>
      <c r="HN281" s="724"/>
      <c r="HO281" s="724"/>
      <c r="HP281" s="724"/>
      <c r="HQ281" s="724"/>
      <c r="HR281" s="724"/>
      <c r="HS281" s="724"/>
      <c r="HT281" s="724"/>
      <c r="HU281" s="724"/>
      <c r="HV281" s="724"/>
      <c r="HW281" s="724"/>
      <c r="HX281" s="724"/>
      <c r="HY281" s="724"/>
      <c r="HZ281" s="724"/>
      <c r="IA281" s="724"/>
      <c r="IB281" s="724"/>
      <c r="IC281" s="724"/>
      <c r="ID281" s="724"/>
      <c r="IE281" s="724"/>
      <c r="IF281" s="724"/>
      <c r="IG281" s="724"/>
      <c r="IH281" s="724"/>
      <c r="II281" s="724"/>
      <c r="IJ281" s="724"/>
      <c r="IK281" s="724"/>
      <c r="IL281" s="724"/>
      <c r="IM281" s="724"/>
      <c r="IN281" s="724"/>
      <c r="IO281" s="724"/>
      <c r="IP281" s="724"/>
      <c r="IQ281" s="724"/>
      <c r="IR281" s="724"/>
      <c r="IS281" s="724"/>
      <c r="IT281" s="724"/>
      <c r="IU281" s="724"/>
      <c r="IV281" s="724"/>
      <c r="IW281" s="724"/>
    </row>
    <row r="282" spans="1:257" s="621" customFormat="1" ht="15.75" customHeight="1">
      <c r="A282" s="699" t="s">
        <v>192</v>
      </c>
      <c r="B282" s="808" t="s">
        <v>292</v>
      </c>
      <c r="C282" s="699"/>
      <c r="D282" s="699"/>
      <c r="E282" s="700"/>
      <c r="F282" s="700">
        <f t="shared" ref="F282:J282" si="28">F286+F292</f>
        <v>316000000</v>
      </c>
      <c r="G282" s="700">
        <f t="shared" si="28"/>
        <v>0</v>
      </c>
      <c r="H282" s="700">
        <f t="shared" si="28"/>
        <v>0</v>
      </c>
      <c r="I282" s="700">
        <f t="shared" si="28"/>
        <v>0</v>
      </c>
      <c r="J282" s="700">
        <f t="shared" si="28"/>
        <v>476325000</v>
      </c>
      <c r="K282" s="700"/>
      <c r="L282" s="1315"/>
      <c r="M282" s="651"/>
      <c r="N282" s="820">
        <f>N280-N281</f>
        <v>2773467500</v>
      </c>
      <c r="O282" s="820"/>
      <c r="P282" s="924"/>
      <c r="Q282" s="924"/>
      <c r="R282" s="925"/>
      <c r="S282" s="900"/>
      <c r="T282" s="822"/>
      <c r="U282" s="580"/>
      <c r="V282" s="581"/>
      <c r="W282" s="722"/>
      <c r="X282" s="723"/>
      <c r="Y282" s="724"/>
      <c r="Z282" s="724"/>
      <c r="AA282" s="724"/>
      <c r="AB282" s="724"/>
      <c r="AC282" s="724"/>
      <c r="AD282" s="724"/>
      <c r="AE282" s="724"/>
      <c r="AF282" s="724"/>
      <c r="AG282" s="724"/>
      <c r="AH282" s="724"/>
      <c r="AI282" s="724"/>
      <c r="AJ282" s="724"/>
      <c r="AK282" s="724"/>
      <c r="AL282" s="724"/>
      <c r="AM282" s="724"/>
      <c r="AN282" s="724"/>
      <c r="AO282" s="724"/>
      <c r="AP282" s="724"/>
      <c r="AQ282" s="724"/>
      <c r="AR282" s="724"/>
      <c r="AS282" s="724"/>
      <c r="AT282" s="724"/>
      <c r="AU282" s="724"/>
      <c r="AV282" s="724"/>
      <c r="AW282" s="724"/>
      <c r="AX282" s="724"/>
      <c r="AY282" s="724"/>
      <c r="AZ282" s="724"/>
      <c r="BA282" s="724"/>
      <c r="BB282" s="724"/>
      <c r="BC282" s="724"/>
      <c r="BD282" s="724"/>
      <c r="BE282" s="724"/>
      <c r="BF282" s="724"/>
      <c r="BG282" s="724"/>
      <c r="BH282" s="724"/>
      <c r="BI282" s="724"/>
      <c r="BJ282" s="724"/>
      <c r="BK282" s="724"/>
      <c r="BL282" s="724"/>
      <c r="BM282" s="724"/>
      <c r="BN282" s="724"/>
      <c r="BO282" s="724"/>
      <c r="BP282" s="724"/>
      <c r="BQ282" s="724"/>
      <c r="BR282" s="724"/>
      <c r="BS282" s="724"/>
      <c r="BT282" s="724"/>
      <c r="BU282" s="724"/>
      <c r="BV282" s="724"/>
      <c r="BW282" s="724"/>
      <c r="BX282" s="724"/>
      <c r="BY282" s="724"/>
      <c r="BZ282" s="724"/>
      <c r="CA282" s="724"/>
      <c r="CB282" s="724"/>
      <c r="CC282" s="724"/>
      <c r="CD282" s="724"/>
      <c r="CE282" s="724"/>
      <c r="CF282" s="724"/>
      <c r="CG282" s="724"/>
      <c r="CH282" s="724"/>
      <c r="CI282" s="724"/>
      <c r="CJ282" s="724"/>
      <c r="CK282" s="724"/>
      <c r="CL282" s="724"/>
      <c r="CM282" s="724"/>
      <c r="CN282" s="724"/>
      <c r="CO282" s="724"/>
      <c r="CP282" s="724"/>
      <c r="CQ282" s="724"/>
      <c r="CR282" s="724"/>
      <c r="CS282" s="724"/>
      <c r="CT282" s="724"/>
      <c r="CU282" s="724"/>
      <c r="CV282" s="724"/>
      <c r="CW282" s="724"/>
      <c r="CX282" s="724"/>
      <c r="CY282" s="724"/>
      <c r="CZ282" s="724"/>
      <c r="DA282" s="724"/>
      <c r="DB282" s="724"/>
      <c r="DC282" s="724"/>
      <c r="DD282" s="724"/>
      <c r="DE282" s="724"/>
      <c r="DF282" s="724"/>
      <c r="DG282" s="724"/>
      <c r="DH282" s="724"/>
      <c r="DI282" s="724"/>
      <c r="DJ282" s="724"/>
      <c r="DK282" s="724"/>
      <c r="DL282" s="724"/>
      <c r="DM282" s="724"/>
      <c r="DN282" s="724"/>
      <c r="DO282" s="724"/>
      <c r="DP282" s="724"/>
      <c r="DQ282" s="724"/>
      <c r="DR282" s="724"/>
      <c r="DS282" s="724"/>
      <c r="DT282" s="724"/>
      <c r="DU282" s="724"/>
      <c r="DV282" s="724"/>
      <c r="DW282" s="724"/>
      <c r="DX282" s="724"/>
      <c r="DY282" s="724"/>
      <c r="DZ282" s="724"/>
      <c r="EA282" s="724"/>
      <c r="EB282" s="724"/>
      <c r="EC282" s="724"/>
      <c r="ED282" s="724"/>
      <c r="EE282" s="724"/>
      <c r="EF282" s="724"/>
      <c r="EG282" s="724"/>
      <c r="EH282" s="724"/>
      <c r="EI282" s="724"/>
      <c r="EJ282" s="724"/>
      <c r="EK282" s="724"/>
      <c r="EL282" s="724"/>
      <c r="EM282" s="724"/>
      <c r="EN282" s="724"/>
      <c r="EO282" s="724"/>
      <c r="EP282" s="724"/>
      <c r="EQ282" s="724"/>
      <c r="ER282" s="724"/>
      <c r="ES282" s="724"/>
      <c r="ET282" s="724"/>
      <c r="EU282" s="724"/>
      <c r="EV282" s="724"/>
      <c r="EW282" s="724"/>
      <c r="EX282" s="724"/>
      <c r="EY282" s="724"/>
      <c r="EZ282" s="724"/>
      <c r="FA282" s="724"/>
      <c r="FB282" s="724"/>
      <c r="FC282" s="724"/>
      <c r="FD282" s="724"/>
      <c r="FE282" s="724"/>
      <c r="FF282" s="724"/>
      <c r="FG282" s="724"/>
      <c r="FH282" s="724"/>
      <c r="FI282" s="724"/>
      <c r="FJ282" s="724"/>
      <c r="FK282" s="724"/>
      <c r="FL282" s="724"/>
      <c r="FM282" s="724"/>
      <c r="FN282" s="724"/>
      <c r="FO282" s="724"/>
      <c r="FP282" s="724"/>
      <c r="FQ282" s="724"/>
      <c r="FR282" s="724"/>
      <c r="FS282" s="724"/>
      <c r="FT282" s="724"/>
      <c r="FU282" s="724"/>
      <c r="FV282" s="724"/>
      <c r="FW282" s="724"/>
      <c r="FX282" s="724"/>
      <c r="FY282" s="724"/>
      <c r="FZ282" s="724"/>
      <c r="GA282" s="724"/>
      <c r="GB282" s="724"/>
      <c r="GC282" s="724"/>
      <c r="GD282" s="724"/>
      <c r="GE282" s="724"/>
      <c r="GF282" s="724"/>
      <c r="GG282" s="724"/>
      <c r="GH282" s="724"/>
      <c r="GI282" s="724"/>
      <c r="GJ282" s="724"/>
      <c r="GK282" s="724"/>
      <c r="GL282" s="724"/>
      <c r="GM282" s="724"/>
      <c r="GN282" s="724"/>
      <c r="GO282" s="724"/>
      <c r="GP282" s="724"/>
      <c r="GQ282" s="724"/>
      <c r="GR282" s="724"/>
      <c r="GS282" s="724"/>
      <c r="GT282" s="724"/>
      <c r="GU282" s="724"/>
      <c r="GV282" s="724"/>
      <c r="GW282" s="724"/>
      <c r="GX282" s="724"/>
      <c r="GY282" s="724"/>
      <c r="GZ282" s="724"/>
      <c r="HA282" s="724"/>
      <c r="HB282" s="724"/>
      <c r="HC282" s="724"/>
      <c r="HD282" s="724"/>
      <c r="HE282" s="724"/>
      <c r="HF282" s="724"/>
      <c r="HG282" s="724"/>
      <c r="HH282" s="724"/>
      <c r="HI282" s="724"/>
      <c r="HJ282" s="724"/>
      <c r="HK282" s="724"/>
      <c r="HL282" s="724"/>
      <c r="HM282" s="724"/>
      <c r="HN282" s="724"/>
      <c r="HO282" s="724"/>
      <c r="HP282" s="724"/>
      <c r="HQ282" s="724"/>
      <c r="HR282" s="724"/>
      <c r="HS282" s="724"/>
      <c r="HT282" s="724"/>
      <c r="HU282" s="724"/>
      <c r="HV282" s="724"/>
      <c r="HW282" s="724"/>
      <c r="HX282" s="724"/>
      <c r="HY282" s="724"/>
      <c r="HZ282" s="724"/>
      <c r="IA282" s="724"/>
      <c r="IB282" s="724"/>
      <c r="IC282" s="724"/>
      <c r="ID282" s="724"/>
      <c r="IE282" s="724"/>
      <c r="IF282" s="724"/>
      <c r="IG282" s="724"/>
      <c r="IH282" s="724"/>
      <c r="II282" s="724"/>
      <c r="IJ282" s="724"/>
      <c r="IK282" s="724"/>
      <c r="IL282" s="724"/>
      <c r="IM282" s="724"/>
      <c r="IN282" s="724"/>
      <c r="IO282" s="724"/>
      <c r="IP282" s="724"/>
      <c r="IQ282" s="724"/>
      <c r="IR282" s="724"/>
      <c r="IS282" s="724"/>
      <c r="IT282" s="724"/>
      <c r="IU282" s="724"/>
      <c r="IV282" s="724"/>
      <c r="IW282" s="724"/>
    </row>
    <row r="283" spans="1:257" s="621" customFormat="1">
      <c r="A283" s="713"/>
      <c r="B283" s="669" t="s">
        <v>293</v>
      </c>
      <c r="C283" s="713"/>
      <c r="D283" s="713"/>
      <c r="E283" s="926" t="s">
        <v>961</v>
      </c>
      <c r="F283" s="725">
        <v>3180000000</v>
      </c>
      <c r="G283" s="725">
        <v>3180000001</v>
      </c>
      <c r="H283" s="725">
        <v>3180000002</v>
      </c>
      <c r="I283" s="725">
        <v>3180000003</v>
      </c>
      <c r="J283" s="725">
        <v>3180000004</v>
      </c>
      <c r="K283" s="725"/>
      <c r="L283" s="1311"/>
      <c r="M283" s="669"/>
      <c r="N283" s="868"/>
      <c r="O283" s="868"/>
      <c r="P283" s="927"/>
      <c r="Q283" s="927"/>
      <c r="R283" s="910">
        <f>F283-G283</f>
        <v>-1</v>
      </c>
      <c r="S283" s="900"/>
      <c r="T283" s="822"/>
      <c r="U283" s="577"/>
      <c r="V283" s="722"/>
      <c r="W283" s="722"/>
      <c r="X283" s="723"/>
      <c r="Y283" s="724"/>
      <c r="Z283" s="724"/>
      <c r="AA283" s="724"/>
      <c r="AB283" s="724"/>
      <c r="AC283" s="724"/>
      <c r="AD283" s="724"/>
      <c r="AE283" s="724"/>
      <c r="AF283" s="724"/>
      <c r="AG283" s="724"/>
      <c r="AH283" s="724"/>
      <c r="AI283" s="724"/>
      <c r="AJ283" s="724"/>
      <c r="AK283" s="724"/>
      <c r="AL283" s="724"/>
      <c r="AM283" s="724"/>
      <c r="AN283" s="724"/>
      <c r="AO283" s="724"/>
      <c r="AP283" s="724"/>
      <c r="AQ283" s="724"/>
      <c r="AR283" s="724"/>
      <c r="AS283" s="724"/>
      <c r="AT283" s="724"/>
      <c r="AU283" s="724"/>
      <c r="AV283" s="724"/>
      <c r="AW283" s="724"/>
      <c r="AX283" s="724"/>
      <c r="AY283" s="724"/>
      <c r="AZ283" s="724"/>
      <c r="BA283" s="724"/>
      <c r="BB283" s="724"/>
      <c r="BC283" s="724"/>
      <c r="BD283" s="724"/>
      <c r="BE283" s="724"/>
      <c r="BF283" s="724"/>
      <c r="BG283" s="724"/>
      <c r="BH283" s="724"/>
      <c r="BI283" s="724"/>
      <c r="BJ283" s="724"/>
      <c r="BK283" s="724"/>
      <c r="BL283" s="724"/>
      <c r="BM283" s="724"/>
      <c r="BN283" s="724"/>
      <c r="BO283" s="724"/>
      <c r="BP283" s="724"/>
      <c r="BQ283" s="724"/>
      <c r="BR283" s="724"/>
      <c r="BS283" s="724"/>
      <c r="BT283" s="724"/>
      <c r="BU283" s="724"/>
      <c r="BV283" s="724"/>
      <c r="BW283" s="724"/>
      <c r="BX283" s="724"/>
      <c r="BY283" s="724"/>
      <c r="BZ283" s="724"/>
      <c r="CA283" s="724"/>
      <c r="CB283" s="724"/>
      <c r="CC283" s="724"/>
      <c r="CD283" s="724"/>
      <c r="CE283" s="724"/>
      <c r="CF283" s="724"/>
      <c r="CG283" s="724"/>
      <c r="CH283" s="724"/>
      <c r="CI283" s="724"/>
      <c r="CJ283" s="724"/>
      <c r="CK283" s="724"/>
      <c r="CL283" s="724"/>
      <c r="CM283" s="724"/>
      <c r="CN283" s="724"/>
      <c r="CO283" s="724"/>
      <c r="CP283" s="724"/>
      <c r="CQ283" s="724"/>
      <c r="CR283" s="724"/>
      <c r="CS283" s="724"/>
      <c r="CT283" s="724"/>
      <c r="CU283" s="724"/>
      <c r="CV283" s="724"/>
      <c r="CW283" s="724"/>
      <c r="CX283" s="724"/>
      <c r="CY283" s="724"/>
      <c r="CZ283" s="724"/>
      <c r="DA283" s="724"/>
      <c r="DB283" s="724"/>
      <c r="DC283" s="724"/>
      <c r="DD283" s="724"/>
      <c r="DE283" s="724"/>
      <c r="DF283" s="724"/>
      <c r="DG283" s="724"/>
      <c r="DH283" s="724"/>
      <c r="DI283" s="724"/>
      <c r="DJ283" s="724"/>
      <c r="DK283" s="724"/>
      <c r="DL283" s="724"/>
      <c r="DM283" s="724"/>
      <c r="DN283" s="724"/>
      <c r="DO283" s="724"/>
      <c r="DP283" s="724"/>
      <c r="DQ283" s="724"/>
      <c r="DR283" s="724"/>
      <c r="DS283" s="724"/>
      <c r="DT283" s="724"/>
      <c r="DU283" s="724"/>
      <c r="DV283" s="724"/>
      <c r="DW283" s="724"/>
      <c r="DX283" s="724"/>
      <c r="DY283" s="724"/>
      <c r="DZ283" s="724"/>
      <c r="EA283" s="724"/>
      <c r="EB283" s="724"/>
      <c r="EC283" s="724"/>
      <c r="ED283" s="724"/>
      <c r="EE283" s="724"/>
      <c r="EF283" s="724"/>
      <c r="EG283" s="724"/>
      <c r="EH283" s="724"/>
      <c r="EI283" s="724"/>
      <c r="EJ283" s="724"/>
      <c r="EK283" s="724"/>
      <c r="EL283" s="724"/>
      <c r="EM283" s="724"/>
      <c r="EN283" s="724"/>
      <c r="EO283" s="724"/>
      <c r="EP283" s="724"/>
      <c r="EQ283" s="724"/>
      <c r="ER283" s="724"/>
      <c r="ES283" s="724"/>
      <c r="ET283" s="724"/>
      <c r="EU283" s="724"/>
      <c r="EV283" s="724"/>
      <c r="EW283" s="724"/>
      <c r="EX283" s="724"/>
      <c r="EY283" s="724"/>
      <c r="EZ283" s="724"/>
      <c r="FA283" s="724"/>
      <c r="FB283" s="724"/>
      <c r="FC283" s="724"/>
      <c r="FD283" s="724"/>
      <c r="FE283" s="724"/>
      <c r="FF283" s="724"/>
      <c r="FG283" s="724"/>
      <c r="FH283" s="724"/>
      <c r="FI283" s="724"/>
      <c r="FJ283" s="724"/>
      <c r="FK283" s="724"/>
      <c r="FL283" s="724"/>
      <c r="FM283" s="724"/>
      <c r="FN283" s="724"/>
      <c r="FO283" s="724"/>
      <c r="FP283" s="724"/>
      <c r="FQ283" s="724"/>
      <c r="FR283" s="724"/>
      <c r="FS283" s="724"/>
      <c r="FT283" s="724"/>
      <c r="FU283" s="724"/>
      <c r="FV283" s="724"/>
      <c r="FW283" s="724"/>
      <c r="FX283" s="724"/>
      <c r="FY283" s="724"/>
      <c r="FZ283" s="724"/>
      <c r="GA283" s="724"/>
      <c r="GB283" s="724"/>
      <c r="GC283" s="724"/>
      <c r="GD283" s="724"/>
      <c r="GE283" s="724"/>
      <c r="GF283" s="724"/>
      <c r="GG283" s="724"/>
      <c r="GH283" s="724"/>
      <c r="GI283" s="724"/>
      <c r="GJ283" s="724"/>
      <c r="GK283" s="724"/>
      <c r="GL283" s="724"/>
      <c r="GM283" s="724"/>
      <c r="GN283" s="724"/>
      <c r="GO283" s="724"/>
      <c r="GP283" s="724"/>
      <c r="GQ283" s="724"/>
      <c r="GR283" s="724"/>
      <c r="GS283" s="724"/>
      <c r="GT283" s="724"/>
      <c r="GU283" s="724"/>
      <c r="GV283" s="724"/>
      <c r="GW283" s="724"/>
      <c r="GX283" s="724"/>
      <c r="GY283" s="724"/>
      <c r="GZ283" s="724"/>
      <c r="HA283" s="724"/>
      <c r="HB283" s="724"/>
      <c r="HC283" s="724"/>
      <c r="HD283" s="724"/>
      <c r="HE283" s="724"/>
      <c r="HF283" s="724"/>
      <c r="HG283" s="724"/>
      <c r="HH283" s="724"/>
      <c r="HI283" s="724"/>
      <c r="HJ283" s="724"/>
      <c r="HK283" s="724"/>
      <c r="HL283" s="724"/>
      <c r="HM283" s="724"/>
      <c r="HN283" s="724"/>
      <c r="HO283" s="724"/>
      <c r="HP283" s="724"/>
      <c r="HQ283" s="724"/>
      <c r="HR283" s="724"/>
      <c r="HS283" s="724"/>
      <c r="HT283" s="724"/>
      <c r="HU283" s="724"/>
      <c r="HV283" s="724"/>
      <c r="HW283" s="724"/>
      <c r="HX283" s="724"/>
      <c r="HY283" s="724"/>
      <c r="HZ283" s="724"/>
      <c r="IA283" s="724"/>
      <c r="IB283" s="724"/>
      <c r="IC283" s="724"/>
      <c r="ID283" s="724"/>
      <c r="IE283" s="724"/>
      <c r="IF283" s="724"/>
      <c r="IG283" s="724"/>
      <c r="IH283" s="724"/>
      <c r="II283" s="724"/>
      <c r="IJ283" s="724"/>
      <c r="IK283" s="724"/>
      <c r="IL283" s="724"/>
      <c r="IM283" s="724"/>
      <c r="IN283" s="724"/>
      <c r="IO283" s="724"/>
      <c r="IP283" s="724"/>
      <c r="IQ283" s="724"/>
      <c r="IR283" s="724"/>
      <c r="IS283" s="724"/>
      <c r="IT283" s="724"/>
      <c r="IU283" s="724"/>
      <c r="IV283" s="724"/>
      <c r="IW283" s="724"/>
    </row>
    <row r="284" spans="1:257" s="621" customFormat="1">
      <c r="A284" s="713"/>
      <c r="B284" s="813" t="s">
        <v>294</v>
      </c>
      <c r="C284" s="713"/>
      <c r="D284" s="713"/>
      <c r="E284" s="926"/>
      <c r="F284" s="725"/>
      <c r="G284" s="725"/>
      <c r="H284" s="725"/>
      <c r="I284" s="725"/>
      <c r="J284" s="725"/>
      <c r="K284" s="725"/>
      <c r="L284" s="1311"/>
      <c r="M284" s="669"/>
      <c r="N284" s="868"/>
      <c r="O284" s="868"/>
      <c r="P284" s="928"/>
      <c r="Q284" s="928"/>
      <c r="R284" s="929"/>
      <c r="S284" s="900"/>
      <c r="T284" s="822"/>
      <c r="U284" s="577"/>
      <c r="V284" s="722"/>
      <c r="W284" s="722"/>
      <c r="X284" s="723"/>
      <c r="Y284" s="724"/>
      <c r="Z284" s="724"/>
      <c r="AA284" s="724"/>
      <c r="AB284" s="724"/>
      <c r="AC284" s="724"/>
      <c r="AD284" s="724"/>
      <c r="AE284" s="724"/>
      <c r="AF284" s="724"/>
      <c r="AG284" s="724"/>
      <c r="AH284" s="724"/>
      <c r="AI284" s="724"/>
      <c r="AJ284" s="724"/>
      <c r="AK284" s="724"/>
      <c r="AL284" s="724"/>
      <c r="AM284" s="724"/>
      <c r="AN284" s="724"/>
      <c r="AO284" s="724"/>
      <c r="AP284" s="724"/>
      <c r="AQ284" s="724"/>
      <c r="AR284" s="724"/>
      <c r="AS284" s="724"/>
      <c r="AT284" s="724"/>
      <c r="AU284" s="724"/>
      <c r="AV284" s="724"/>
      <c r="AW284" s="724"/>
      <c r="AX284" s="724"/>
      <c r="AY284" s="724"/>
      <c r="AZ284" s="724"/>
      <c r="BA284" s="724"/>
      <c r="BB284" s="724"/>
      <c r="BC284" s="724"/>
      <c r="BD284" s="724"/>
      <c r="BE284" s="724"/>
      <c r="BF284" s="724"/>
      <c r="BG284" s="724"/>
      <c r="BH284" s="724"/>
      <c r="BI284" s="724"/>
      <c r="BJ284" s="724"/>
      <c r="BK284" s="724"/>
      <c r="BL284" s="724"/>
      <c r="BM284" s="724"/>
      <c r="BN284" s="724"/>
      <c r="BO284" s="724"/>
      <c r="BP284" s="724"/>
      <c r="BQ284" s="724"/>
      <c r="BR284" s="724"/>
      <c r="BS284" s="724"/>
      <c r="BT284" s="724"/>
      <c r="BU284" s="724"/>
      <c r="BV284" s="724"/>
      <c r="BW284" s="724"/>
      <c r="BX284" s="724"/>
      <c r="BY284" s="724"/>
      <c r="BZ284" s="724"/>
      <c r="CA284" s="724"/>
      <c r="CB284" s="724"/>
      <c r="CC284" s="724"/>
      <c r="CD284" s="724"/>
      <c r="CE284" s="724"/>
      <c r="CF284" s="724"/>
      <c r="CG284" s="724"/>
      <c r="CH284" s="724"/>
      <c r="CI284" s="724"/>
      <c r="CJ284" s="724"/>
      <c r="CK284" s="724"/>
      <c r="CL284" s="724"/>
      <c r="CM284" s="724"/>
      <c r="CN284" s="724"/>
      <c r="CO284" s="724"/>
      <c r="CP284" s="724"/>
      <c r="CQ284" s="724"/>
      <c r="CR284" s="724"/>
      <c r="CS284" s="724"/>
      <c r="CT284" s="724"/>
      <c r="CU284" s="724"/>
      <c r="CV284" s="724"/>
      <c r="CW284" s="724"/>
      <c r="CX284" s="724"/>
      <c r="CY284" s="724"/>
      <c r="CZ284" s="724"/>
      <c r="DA284" s="724"/>
      <c r="DB284" s="724"/>
      <c r="DC284" s="724"/>
      <c r="DD284" s="724"/>
      <c r="DE284" s="724"/>
      <c r="DF284" s="724"/>
      <c r="DG284" s="724"/>
      <c r="DH284" s="724"/>
      <c r="DI284" s="724"/>
      <c r="DJ284" s="724"/>
      <c r="DK284" s="724"/>
      <c r="DL284" s="724"/>
      <c r="DM284" s="724"/>
      <c r="DN284" s="724"/>
      <c r="DO284" s="724"/>
      <c r="DP284" s="724"/>
      <c r="DQ284" s="724"/>
      <c r="DR284" s="724"/>
      <c r="DS284" s="724"/>
      <c r="DT284" s="724"/>
      <c r="DU284" s="724"/>
      <c r="DV284" s="724"/>
      <c r="DW284" s="724"/>
      <c r="DX284" s="724"/>
      <c r="DY284" s="724"/>
      <c r="DZ284" s="724"/>
      <c r="EA284" s="724"/>
      <c r="EB284" s="724"/>
      <c r="EC284" s="724"/>
      <c r="ED284" s="724"/>
      <c r="EE284" s="724"/>
      <c r="EF284" s="724"/>
      <c r="EG284" s="724"/>
      <c r="EH284" s="724"/>
      <c r="EI284" s="724"/>
      <c r="EJ284" s="724"/>
      <c r="EK284" s="724"/>
      <c r="EL284" s="724"/>
      <c r="EM284" s="724"/>
      <c r="EN284" s="724"/>
      <c r="EO284" s="724"/>
      <c r="EP284" s="724"/>
      <c r="EQ284" s="724"/>
      <c r="ER284" s="724"/>
      <c r="ES284" s="724"/>
      <c r="ET284" s="724"/>
      <c r="EU284" s="724"/>
      <c r="EV284" s="724"/>
      <c r="EW284" s="724"/>
      <c r="EX284" s="724"/>
      <c r="EY284" s="724"/>
      <c r="EZ284" s="724"/>
      <c r="FA284" s="724"/>
      <c r="FB284" s="724"/>
      <c r="FC284" s="724"/>
      <c r="FD284" s="724"/>
      <c r="FE284" s="724"/>
      <c r="FF284" s="724"/>
      <c r="FG284" s="724"/>
      <c r="FH284" s="724"/>
      <c r="FI284" s="724"/>
      <c r="FJ284" s="724"/>
      <c r="FK284" s="724"/>
      <c r="FL284" s="724"/>
      <c r="FM284" s="724"/>
      <c r="FN284" s="724"/>
      <c r="FO284" s="724"/>
      <c r="FP284" s="724"/>
      <c r="FQ284" s="724"/>
      <c r="FR284" s="724"/>
      <c r="FS284" s="724"/>
      <c r="FT284" s="724"/>
      <c r="FU284" s="724"/>
      <c r="FV284" s="724"/>
      <c r="FW284" s="724"/>
      <c r="FX284" s="724"/>
      <c r="FY284" s="724"/>
      <c r="FZ284" s="724"/>
      <c r="GA284" s="724"/>
      <c r="GB284" s="724"/>
      <c r="GC284" s="724"/>
      <c r="GD284" s="724"/>
      <c r="GE284" s="724"/>
      <c r="GF284" s="724"/>
      <c r="GG284" s="724"/>
      <c r="GH284" s="724"/>
      <c r="GI284" s="724"/>
      <c r="GJ284" s="724"/>
      <c r="GK284" s="724"/>
      <c r="GL284" s="724"/>
      <c r="GM284" s="724"/>
      <c r="GN284" s="724"/>
      <c r="GO284" s="724"/>
      <c r="GP284" s="724"/>
      <c r="GQ284" s="724"/>
      <c r="GR284" s="724"/>
      <c r="GS284" s="724"/>
      <c r="GT284" s="724"/>
      <c r="GU284" s="724"/>
      <c r="GV284" s="724"/>
      <c r="GW284" s="724"/>
      <c r="GX284" s="724"/>
      <c r="GY284" s="724"/>
      <c r="GZ284" s="724"/>
      <c r="HA284" s="724"/>
      <c r="HB284" s="724"/>
      <c r="HC284" s="724"/>
      <c r="HD284" s="724"/>
      <c r="HE284" s="724"/>
      <c r="HF284" s="724"/>
      <c r="HG284" s="724"/>
      <c r="HH284" s="724"/>
      <c r="HI284" s="724"/>
      <c r="HJ284" s="724"/>
      <c r="HK284" s="724"/>
      <c r="HL284" s="724"/>
      <c r="HM284" s="724"/>
      <c r="HN284" s="724"/>
      <c r="HO284" s="724"/>
      <c r="HP284" s="724"/>
      <c r="HQ284" s="724"/>
      <c r="HR284" s="724"/>
      <c r="HS284" s="724"/>
      <c r="HT284" s="724"/>
      <c r="HU284" s="724"/>
      <c r="HV284" s="724"/>
      <c r="HW284" s="724"/>
      <c r="HX284" s="724"/>
      <c r="HY284" s="724"/>
      <c r="HZ284" s="724"/>
      <c r="IA284" s="724"/>
      <c r="IB284" s="724"/>
      <c r="IC284" s="724"/>
      <c r="ID284" s="724"/>
      <c r="IE284" s="724"/>
      <c r="IF284" s="724"/>
      <c r="IG284" s="724"/>
      <c r="IH284" s="724"/>
      <c r="II284" s="724"/>
      <c r="IJ284" s="724"/>
      <c r="IK284" s="724"/>
      <c r="IL284" s="724"/>
      <c r="IM284" s="724"/>
      <c r="IN284" s="724"/>
      <c r="IO284" s="724"/>
      <c r="IP284" s="724"/>
      <c r="IQ284" s="724"/>
      <c r="IR284" s="724"/>
      <c r="IS284" s="724"/>
      <c r="IT284" s="724"/>
      <c r="IU284" s="724"/>
      <c r="IV284" s="724"/>
      <c r="IW284" s="724"/>
    </row>
    <row r="285" spans="1:257" s="621" customFormat="1" ht="18" customHeight="1">
      <c r="A285" s="713" t="s">
        <v>192</v>
      </c>
      <c r="B285" s="607" t="s">
        <v>295</v>
      </c>
      <c r="C285" s="713"/>
      <c r="D285" s="713"/>
      <c r="E285" s="930"/>
      <c r="F285" s="931">
        <f t="shared" ref="F285:J285" si="29">F286+F292</f>
        <v>316000000</v>
      </c>
      <c r="G285" s="931">
        <f t="shared" si="29"/>
        <v>0</v>
      </c>
      <c r="H285" s="931">
        <f t="shared" si="29"/>
        <v>0</v>
      </c>
      <c r="I285" s="931">
        <f t="shared" si="29"/>
        <v>0</v>
      </c>
      <c r="J285" s="931">
        <f t="shared" si="29"/>
        <v>476325000</v>
      </c>
      <c r="K285" s="931"/>
      <c r="L285" s="1318"/>
      <c r="M285" s="932"/>
      <c r="N285" s="933"/>
      <c r="O285" s="933"/>
      <c r="P285" s="928"/>
      <c r="Q285" s="928"/>
      <c r="R285" s="929"/>
      <c r="S285" s="900"/>
      <c r="T285" s="822"/>
      <c r="U285" s="577"/>
      <c r="V285" s="722"/>
      <c r="W285" s="722"/>
      <c r="X285" s="723"/>
      <c r="Y285" s="724"/>
      <c r="Z285" s="724"/>
      <c r="AA285" s="724"/>
      <c r="AB285" s="724"/>
      <c r="AC285" s="724"/>
      <c r="AD285" s="724"/>
      <c r="AE285" s="724"/>
      <c r="AF285" s="724"/>
      <c r="AG285" s="724"/>
      <c r="AH285" s="724"/>
      <c r="AI285" s="724"/>
      <c r="AJ285" s="724"/>
      <c r="AK285" s="724"/>
      <c r="AL285" s="724"/>
      <c r="AM285" s="724"/>
      <c r="AN285" s="724"/>
      <c r="AO285" s="724"/>
      <c r="AP285" s="724"/>
      <c r="AQ285" s="724"/>
      <c r="AR285" s="724"/>
      <c r="AS285" s="724"/>
      <c r="AT285" s="724"/>
      <c r="AU285" s="724"/>
      <c r="AV285" s="724"/>
      <c r="AW285" s="724"/>
      <c r="AX285" s="724"/>
      <c r="AY285" s="724"/>
      <c r="AZ285" s="724"/>
      <c r="BA285" s="724"/>
      <c r="BB285" s="724"/>
      <c r="BC285" s="724"/>
      <c r="BD285" s="724"/>
      <c r="BE285" s="724"/>
      <c r="BF285" s="724"/>
      <c r="BG285" s="724"/>
      <c r="BH285" s="724"/>
      <c r="BI285" s="724"/>
      <c r="BJ285" s="724"/>
      <c r="BK285" s="724"/>
      <c r="BL285" s="724"/>
      <c r="BM285" s="724"/>
      <c r="BN285" s="724"/>
      <c r="BO285" s="724"/>
      <c r="BP285" s="724"/>
      <c r="BQ285" s="724"/>
      <c r="BR285" s="724"/>
      <c r="BS285" s="724"/>
      <c r="BT285" s="724"/>
      <c r="BU285" s="724"/>
      <c r="BV285" s="724"/>
      <c r="BW285" s="724"/>
      <c r="BX285" s="724"/>
      <c r="BY285" s="724"/>
      <c r="BZ285" s="724"/>
      <c r="CA285" s="724"/>
      <c r="CB285" s="724"/>
      <c r="CC285" s="724"/>
      <c r="CD285" s="724"/>
      <c r="CE285" s="724"/>
      <c r="CF285" s="724"/>
      <c r="CG285" s="724"/>
      <c r="CH285" s="724"/>
      <c r="CI285" s="724"/>
      <c r="CJ285" s="724"/>
      <c r="CK285" s="724"/>
      <c r="CL285" s="724"/>
      <c r="CM285" s="724"/>
      <c r="CN285" s="724"/>
      <c r="CO285" s="724"/>
      <c r="CP285" s="724"/>
      <c r="CQ285" s="724"/>
      <c r="CR285" s="724"/>
      <c r="CS285" s="724"/>
      <c r="CT285" s="724"/>
      <c r="CU285" s="724"/>
      <c r="CV285" s="724"/>
      <c r="CW285" s="724"/>
      <c r="CX285" s="724"/>
      <c r="CY285" s="724"/>
      <c r="CZ285" s="724"/>
      <c r="DA285" s="724"/>
      <c r="DB285" s="724"/>
      <c r="DC285" s="724"/>
      <c r="DD285" s="724"/>
      <c r="DE285" s="724"/>
      <c r="DF285" s="724"/>
      <c r="DG285" s="724"/>
      <c r="DH285" s="724"/>
      <c r="DI285" s="724"/>
      <c r="DJ285" s="724"/>
      <c r="DK285" s="724"/>
      <c r="DL285" s="724"/>
      <c r="DM285" s="724"/>
      <c r="DN285" s="724"/>
      <c r="DO285" s="724"/>
      <c r="DP285" s="724"/>
      <c r="DQ285" s="724"/>
      <c r="DR285" s="724"/>
      <c r="DS285" s="724"/>
      <c r="DT285" s="724"/>
      <c r="DU285" s="724"/>
      <c r="DV285" s="724"/>
      <c r="DW285" s="724"/>
      <c r="DX285" s="724"/>
      <c r="DY285" s="724"/>
      <c r="DZ285" s="724"/>
      <c r="EA285" s="724"/>
      <c r="EB285" s="724"/>
      <c r="EC285" s="724"/>
      <c r="ED285" s="724"/>
      <c r="EE285" s="724"/>
      <c r="EF285" s="724"/>
      <c r="EG285" s="724"/>
      <c r="EH285" s="724"/>
      <c r="EI285" s="724"/>
      <c r="EJ285" s="724"/>
      <c r="EK285" s="724"/>
      <c r="EL285" s="724"/>
      <c r="EM285" s="724"/>
      <c r="EN285" s="724"/>
      <c r="EO285" s="724"/>
      <c r="EP285" s="724"/>
      <c r="EQ285" s="724"/>
      <c r="ER285" s="724"/>
      <c r="ES285" s="724"/>
      <c r="ET285" s="724"/>
      <c r="EU285" s="724"/>
      <c r="EV285" s="724"/>
      <c r="EW285" s="724"/>
      <c r="EX285" s="724"/>
      <c r="EY285" s="724"/>
      <c r="EZ285" s="724"/>
      <c r="FA285" s="724"/>
      <c r="FB285" s="724"/>
      <c r="FC285" s="724"/>
      <c r="FD285" s="724"/>
      <c r="FE285" s="724"/>
      <c r="FF285" s="724"/>
      <c r="FG285" s="724"/>
      <c r="FH285" s="724"/>
      <c r="FI285" s="724"/>
      <c r="FJ285" s="724"/>
      <c r="FK285" s="724"/>
      <c r="FL285" s="724"/>
      <c r="FM285" s="724"/>
      <c r="FN285" s="724"/>
      <c r="FO285" s="724"/>
      <c r="FP285" s="724"/>
      <c r="FQ285" s="724"/>
      <c r="FR285" s="724"/>
      <c r="FS285" s="724"/>
      <c r="FT285" s="724"/>
      <c r="FU285" s="724"/>
      <c r="FV285" s="724"/>
      <c r="FW285" s="724"/>
      <c r="FX285" s="724"/>
      <c r="FY285" s="724"/>
      <c r="FZ285" s="724"/>
      <c r="GA285" s="724"/>
      <c r="GB285" s="724"/>
      <c r="GC285" s="724"/>
      <c r="GD285" s="724"/>
      <c r="GE285" s="724"/>
      <c r="GF285" s="724"/>
      <c r="GG285" s="724"/>
      <c r="GH285" s="724"/>
      <c r="GI285" s="724"/>
      <c r="GJ285" s="724"/>
      <c r="GK285" s="724"/>
      <c r="GL285" s="724"/>
      <c r="GM285" s="724"/>
      <c r="GN285" s="724"/>
      <c r="GO285" s="724"/>
      <c r="GP285" s="724"/>
      <c r="GQ285" s="724"/>
      <c r="GR285" s="724"/>
      <c r="GS285" s="724"/>
      <c r="GT285" s="724"/>
      <c r="GU285" s="724"/>
      <c r="GV285" s="724"/>
      <c r="GW285" s="724"/>
      <c r="GX285" s="724"/>
      <c r="GY285" s="724"/>
      <c r="GZ285" s="724"/>
      <c r="HA285" s="724"/>
      <c r="HB285" s="724"/>
      <c r="HC285" s="724"/>
      <c r="HD285" s="724"/>
      <c r="HE285" s="724"/>
      <c r="HF285" s="724"/>
      <c r="HG285" s="724"/>
      <c r="HH285" s="724"/>
      <c r="HI285" s="724"/>
      <c r="HJ285" s="724"/>
      <c r="HK285" s="724"/>
      <c r="HL285" s="724"/>
      <c r="HM285" s="724"/>
      <c r="HN285" s="724"/>
      <c r="HO285" s="724"/>
      <c r="HP285" s="724"/>
      <c r="HQ285" s="724"/>
      <c r="HR285" s="724"/>
      <c r="HS285" s="724"/>
      <c r="HT285" s="724"/>
      <c r="HU285" s="724"/>
      <c r="HV285" s="724"/>
      <c r="HW285" s="724"/>
      <c r="HX285" s="724"/>
      <c r="HY285" s="724"/>
      <c r="HZ285" s="724"/>
      <c r="IA285" s="724"/>
      <c r="IB285" s="724"/>
      <c r="IC285" s="724"/>
      <c r="ID285" s="724"/>
      <c r="IE285" s="724"/>
      <c r="IF285" s="724"/>
      <c r="IG285" s="724"/>
      <c r="IH285" s="724"/>
      <c r="II285" s="724"/>
      <c r="IJ285" s="724"/>
      <c r="IK285" s="724"/>
      <c r="IL285" s="724"/>
      <c r="IM285" s="724"/>
      <c r="IN285" s="724"/>
      <c r="IO285" s="724"/>
      <c r="IP285" s="724"/>
      <c r="IQ285" s="724"/>
      <c r="IR285" s="724"/>
      <c r="IS285" s="724"/>
      <c r="IT285" s="724"/>
      <c r="IU285" s="724"/>
      <c r="IV285" s="724"/>
      <c r="IW285" s="724"/>
    </row>
    <row r="286" spans="1:257" s="621" customFormat="1" ht="16.5" customHeight="1">
      <c r="A286" s="809" t="s">
        <v>91</v>
      </c>
      <c r="B286" s="808"/>
      <c r="C286" s="713"/>
      <c r="D286" s="713"/>
      <c r="E286" s="725"/>
      <c r="F286" s="810">
        <f t="shared" ref="F286:J286" si="30">F287+F291</f>
        <v>316000000</v>
      </c>
      <c r="G286" s="810">
        <f t="shared" si="30"/>
        <v>0</v>
      </c>
      <c r="H286" s="810">
        <f t="shared" si="30"/>
        <v>0</v>
      </c>
      <c r="I286" s="810">
        <f t="shared" si="30"/>
        <v>0</v>
      </c>
      <c r="J286" s="810">
        <f t="shared" si="30"/>
        <v>476325000</v>
      </c>
      <c r="K286" s="810"/>
      <c r="L286" s="1313"/>
      <c r="M286" s="707"/>
      <c r="N286" s="934"/>
      <c r="O286" s="934"/>
      <c r="P286" s="868"/>
      <c r="Q286" s="868"/>
      <c r="R286" s="871"/>
      <c r="S286" s="900"/>
      <c r="T286" s="822"/>
      <c r="U286" s="577"/>
      <c r="V286" s="722"/>
      <c r="W286" s="722"/>
      <c r="X286" s="723"/>
      <c r="Y286" s="724"/>
      <c r="Z286" s="724"/>
      <c r="AA286" s="724"/>
      <c r="AB286" s="724"/>
      <c r="AC286" s="724"/>
      <c r="AD286" s="724"/>
      <c r="AE286" s="724"/>
      <c r="AF286" s="724"/>
      <c r="AG286" s="724"/>
      <c r="AH286" s="724"/>
      <c r="AI286" s="724"/>
      <c r="AJ286" s="724"/>
      <c r="AK286" s="724"/>
      <c r="AL286" s="724"/>
      <c r="AM286" s="724"/>
      <c r="AN286" s="724"/>
      <c r="AO286" s="724"/>
      <c r="AP286" s="724"/>
      <c r="AQ286" s="724"/>
      <c r="AR286" s="724"/>
      <c r="AS286" s="724"/>
      <c r="AT286" s="724"/>
      <c r="AU286" s="724"/>
      <c r="AV286" s="724"/>
      <c r="AW286" s="724"/>
      <c r="AX286" s="724"/>
      <c r="AY286" s="724"/>
      <c r="AZ286" s="724"/>
      <c r="BA286" s="724"/>
      <c r="BB286" s="724"/>
      <c r="BC286" s="724"/>
      <c r="BD286" s="724"/>
      <c r="BE286" s="724"/>
      <c r="BF286" s="724"/>
      <c r="BG286" s="724"/>
      <c r="BH286" s="724"/>
      <c r="BI286" s="724"/>
      <c r="BJ286" s="724"/>
      <c r="BK286" s="724"/>
      <c r="BL286" s="724"/>
      <c r="BM286" s="724"/>
      <c r="BN286" s="724"/>
      <c r="BO286" s="724"/>
      <c r="BP286" s="724"/>
      <c r="BQ286" s="724"/>
      <c r="BR286" s="724"/>
      <c r="BS286" s="724"/>
      <c r="BT286" s="724"/>
      <c r="BU286" s="724"/>
      <c r="BV286" s="724"/>
      <c r="BW286" s="724"/>
      <c r="BX286" s="724"/>
      <c r="BY286" s="724"/>
      <c r="BZ286" s="724"/>
      <c r="CA286" s="724"/>
      <c r="CB286" s="724"/>
      <c r="CC286" s="724"/>
      <c r="CD286" s="724"/>
      <c r="CE286" s="724"/>
      <c r="CF286" s="724"/>
      <c r="CG286" s="724"/>
      <c r="CH286" s="724"/>
      <c r="CI286" s="724"/>
      <c r="CJ286" s="724"/>
      <c r="CK286" s="724"/>
      <c r="CL286" s="724"/>
      <c r="CM286" s="724"/>
      <c r="CN286" s="724"/>
      <c r="CO286" s="724"/>
      <c r="CP286" s="724"/>
      <c r="CQ286" s="724"/>
      <c r="CR286" s="724"/>
      <c r="CS286" s="724"/>
      <c r="CT286" s="724"/>
      <c r="CU286" s="724"/>
      <c r="CV286" s="724"/>
      <c r="CW286" s="724"/>
      <c r="CX286" s="724"/>
      <c r="CY286" s="724"/>
      <c r="CZ286" s="724"/>
      <c r="DA286" s="724"/>
      <c r="DB286" s="724"/>
      <c r="DC286" s="724"/>
      <c r="DD286" s="724"/>
      <c r="DE286" s="724"/>
      <c r="DF286" s="724"/>
      <c r="DG286" s="724"/>
      <c r="DH286" s="724"/>
      <c r="DI286" s="724"/>
      <c r="DJ286" s="724"/>
      <c r="DK286" s="724"/>
      <c r="DL286" s="724"/>
      <c r="DM286" s="724"/>
      <c r="DN286" s="724"/>
      <c r="DO286" s="724"/>
      <c r="DP286" s="724"/>
      <c r="DQ286" s="724"/>
      <c r="DR286" s="724"/>
      <c r="DS286" s="724"/>
      <c r="DT286" s="724"/>
      <c r="DU286" s="724"/>
      <c r="DV286" s="724"/>
      <c r="DW286" s="724"/>
      <c r="DX286" s="724"/>
      <c r="DY286" s="724"/>
      <c r="DZ286" s="724"/>
      <c r="EA286" s="724"/>
      <c r="EB286" s="724"/>
      <c r="EC286" s="724"/>
      <c r="ED286" s="724"/>
      <c r="EE286" s="724"/>
      <c r="EF286" s="724"/>
      <c r="EG286" s="724"/>
      <c r="EH286" s="724"/>
      <c r="EI286" s="724"/>
      <c r="EJ286" s="724"/>
      <c r="EK286" s="724"/>
      <c r="EL286" s="724"/>
      <c r="EM286" s="724"/>
      <c r="EN286" s="724"/>
      <c r="EO286" s="724"/>
      <c r="EP286" s="724"/>
      <c r="EQ286" s="724"/>
      <c r="ER286" s="724"/>
      <c r="ES286" s="724"/>
      <c r="ET286" s="724"/>
      <c r="EU286" s="724"/>
      <c r="EV286" s="724"/>
      <c r="EW286" s="724"/>
      <c r="EX286" s="724"/>
      <c r="EY286" s="724"/>
      <c r="EZ286" s="724"/>
      <c r="FA286" s="724"/>
      <c r="FB286" s="724"/>
      <c r="FC286" s="724"/>
      <c r="FD286" s="724"/>
      <c r="FE286" s="724"/>
      <c r="FF286" s="724"/>
      <c r="FG286" s="724"/>
      <c r="FH286" s="724"/>
      <c r="FI286" s="724"/>
      <c r="FJ286" s="724"/>
      <c r="FK286" s="724"/>
      <c r="FL286" s="724"/>
      <c r="FM286" s="724"/>
      <c r="FN286" s="724"/>
      <c r="FO286" s="724"/>
      <c r="FP286" s="724"/>
      <c r="FQ286" s="724"/>
      <c r="FR286" s="724"/>
      <c r="FS286" s="724"/>
      <c r="FT286" s="724"/>
      <c r="FU286" s="724"/>
      <c r="FV286" s="724"/>
      <c r="FW286" s="724"/>
      <c r="FX286" s="724"/>
      <c r="FY286" s="724"/>
      <c r="FZ286" s="724"/>
      <c r="GA286" s="724"/>
      <c r="GB286" s="724"/>
      <c r="GC286" s="724"/>
      <c r="GD286" s="724"/>
      <c r="GE286" s="724"/>
      <c r="GF286" s="724"/>
      <c r="GG286" s="724"/>
      <c r="GH286" s="724"/>
      <c r="GI286" s="724"/>
      <c r="GJ286" s="724"/>
      <c r="GK286" s="724"/>
      <c r="GL286" s="724"/>
      <c r="GM286" s="724"/>
      <c r="GN286" s="724"/>
      <c r="GO286" s="724"/>
      <c r="GP286" s="724"/>
      <c r="GQ286" s="724"/>
      <c r="GR286" s="724"/>
      <c r="GS286" s="724"/>
      <c r="GT286" s="724"/>
      <c r="GU286" s="724"/>
      <c r="GV286" s="724"/>
      <c r="GW286" s="724"/>
      <c r="GX286" s="724"/>
      <c r="GY286" s="724"/>
      <c r="GZ286" s="724"/>
      <c r="HA286" s="724"/>
      <c r="HB286" s="724"/>
      <c r="HC286" s="724"/>
      <c r="HD286" s="724"/>
      <c r="HE286" s="724"/>
      <c r="HF286" s="724"/>
      <c r="HG286" s="724"/>
      <c r="HH286" s="724"/>
      <c r="HI286" s="724"/>
      <c r="HJ286" s="724"/>
      <c r="HK286" s="724"/>
      <c r="HL286" s="724"/>
      <c r="HM286" s="724"/>
      <c r="HN286" s="724"/>
      <c r="HO286" s="724"/>
      <c r="HP286" s="724"/>
      <c r="HQ286" s="724"/>
      <c r="HR286" s="724"/>
      <c r="HS286" s="724"/>
      <c r="HT286" s="724"/>
      <c r="HU286" s="724"/>
      <c r="HV286" s="724"/>
      <c r="HW286" s="724"/>
      <c r="HX286" s="724"/>
      <c r="HY286" s="724"/>
      <c r="HZ286" s="724"/>
      <c r="IA286" s="724"/>
      <c r="IB286" s="724"/>
      <c r="IC286" s="724"/>
      <c r="ID286" s="724"/>
      <c r="IE286" s="724"/>
      <c r="IF286" s="724"/>
      <c r="IG286" s="724"/>
      <c r="IH286" s="724"/>
      <c r="II286" s="724"/>
      <c r="IJ286" s="724"/>
      <c r="IK286" s="724"/>
      <c r="IL286" s="724"/>
      <c r="IM286" s="724"/>
      <c r="IN286" s="724"/>
      <c r="IO286" s="724"/>
      <c r="IP286" s="724"/>
      <c r="IQ286" s="724"/>
      <c r="IR286" s="724"/>
      <c r="IS286" s="724"/>
      <c r="IT286" s="724"/>
      <c r="IU286" s="724"/>
      <c r="IV286" s="724"/>
      <c r="IW286" s="724"/>
    </row>
    <row r="287" spans="1:257" s="621" customFormat="1">
      <c r="A287" s="812" t="s">
        <v>248</v>
      </c>
      <c r="B287" s="813" t="s">
        <v>962</v>
      </c>
      <c r="C287" s="699"/>
      <c r="D287" s="713"/>
      <c r="E287" s="725"/>
      <c r="F287" s="725">
        <v>256000000</v>
      </c>
      <c r="G287" s="704"/>
      <c r="H287" s="704"/>
      <c r="I287" s="704"/>
      <c r="J287" s="725">
        <v>396325000</v>
      </c>
      <c r="K287" s="725">
        <f>K288+K289</f>
        <v>442000000</v>
      </c>
      <c r="L287" s="1311">
        <f>L288+L289</f>
        <v>515000000</v>
      </c>
      <c r="M287" s="669"/>
      <c r="N287" s="868"/>
      <c r="O287" s="868"/>
      <c r="P287" s="829"/>
      <c r="Q287" s="829"/>
      <c r="R287" s="866"/>
      <c r="S287" s="900"/>
      <c r="T287" s="822"/>
      <c r="U287" s="577"/>
      <c r="V287" s="722"/>
      <c r="W287" s="722"/>
      <c r="X287" s="723"/>
      <c r="Y287" s="724"/>
      <c r="Z287" s="724"/>
      <c r="AA287" s="724"/>
      <c r="AB287" s="724"/>
      <c r="AC287" s="724"/>
      <c r="AD287" s="724"/>
      <c r="AE287" s="724"/>
      <c r="AF287" s="724"/>
      <c r="AG287" s="724"/>
      <c r="AH287" s="724"/>
      <c r="AI287" s="724"/>
      <c r="AJ287" s="724"/>
      <c r="AK287" s="724"/>
      <c r="AL287" s="724"/>
      <c r="AM287" s="724"/>
      <c r="AN287" s="724"/>
      <c r="AO287" s="724"/>
      <c r="AP287" s="724"/>
      <c r="AQ287" s="724"/>
      <c r="AR287" s="724"/>
      <c r="AS287" s="724"/>
      <c r="AT287" s="724"/>
      <c r="AU287" s="724"/>
      <c r="AV287" s="724"/>
      <c r="AW287" s="724"/>
      <c r="AX287" s="724"/>
      <c r="AY287" s="724"/>
      <c r="AZ287" s="724"/>
      <c r="BA287" s="724"/>
      <c r="BB287" s="724"/>
      <c r="BC287" s="724"/>
      <c r="BD287" s="724"/>
      <c r="BE287" s="724"/>
      <c r="BF287" s="724"/>
      <c r="BG287" s="724"/>
      <c r="BH287" s="724"/>
      <c r="BI287" s="724"/>
      <c r="BJ287" s="724"/>
      <c r="BK287" s="724"/>
      <c r="BL287" s="724"/>
      <c r="BM287" s="724"/>
      <c r="BN287" s="724"/>
      <c r="BO287" s="724"/>
      <c r="BP287" s="724"/>
      <c r="BQ287" s="724"/>
      <c r="BR287" s="724"/>
      <c r="BS287" s="724"/>
      <c r="BT287" s="724"/>
      <c r="BU287" s="724"/>
      <c r="BV287" s="724"/>
      <c r="BW287" s="724"/>
      <c r="BX287" s="724"/>
      <c r="BY287" s="724"/>
      <c r="BZ287" s="724"/>
      <c r="CA287" s="724"/>
      <c r="CB287" s="724"/>
      <c r="CC287" s="724"/>
      <c r="CD287" s="724"/>
      <c r="CE287" s="724"/>
      <c r="CF287" s="724"/>
      <c r="CG287" s="724"/>
      <c r="CH287" s="724"/>
      <c r="CI287" s="724"/>
      <c r="CJ287" s="724"/>
      <c r="CK287" s="724"/>
      <c r="CL287" s="724"/>
      <c r="CM287" s="724"/>
      <c r="CN287" s="724"/>
      <c r="CO287" s="724"/>
      <c r="CP287" s="724"/>
      <c r="CQ287" s="724"/>
      <c r="CR287" s="724"/>
      <c r="CS287" s="724"/>
      <c r="CT287" s="724"/>
      <c r="CU287" s="724"/>
      <c r="CV287" s="724"/>
      <c r="CW287" s="724"/>
      <c r="CX287" s="724"/>
      <c r="CY287" s="724"/>
      <c r="CZ287" s="724"/>
      <c r="DA287" s="724"/>
      <c r="DB287" s="724"/>
      <c r="DC287" s="724"/>
      <c r="DD287" s="724"/>
      <c r="DE287" s="724"/>
      <c r="DF287" s="724"/>
      <c r="DG287" s="724"/>
      <c r="DH287" s="724"/>
      <c r="DI287" s="724"/>
      <c r="DJ287" s="724"/>
      <c r="DK287" s="724"/>
      <c r="DL287" s="724"/>
      <c r="DM287" s="724"/>
      <c r="DN287" s="724"/>
      <c r="DO287" s="724"/>
      <c r="DP287" s="724"/>
      <c r="DQ287" s="724"/>
      <c r="DR287" s="724"/>
      <c r="DS287" s="724"/>
      <c r="DT287" s="724"/>
      <c r="DU287" s="724"/>
      <c r="DV287" s="724"/>
      <c r="DW287" s="724"/>
      <c r="DX287" s="724"/>
      <c r="DY287" s="724"/>
      <c r="DZ287" s="724"/>
      <c r="EA287" s="724"/>
      <c r="EB287" s="724"/>
      <c r="EC287" s="724"/>
      <c r="ED287" s="724"/>
      <c r="EE287" s="724"/>
      <c r="EF287" s="724"/>
      <c r="EG287" s="724"/>
      <c r="EH287" s="724"/>
      <c r="EI287" s="724"/>
      <c r="EJ287" s="724"/>
      <c r="EK287" s="724"/>
      <c r="EL287" s="724"/>
      <c r="EM287" s="724"/>
      <c r="EN287" s="724"/>
      <c r="EO287" s="724"/>
      <c r="EP287" s="724"/>
      <c r="EQ287" s="724"/>
      <c r="ER287" s="724"/>
      <c r="ES287" s="724"/>
      <c r="ET287" s="724"/>
      <c r="EU287" s="724"/>
      <c r="EV287" s="724"/>
      <c r="EW287" s="724"/>
      <c r="EX287" s="724"/>
      <c r="EY287" s="724"/>
      <c r="EZ287" s="724"/>
      <c r="FA287" s="724"/>
      <c r="FB287" s="724"/>
      <c r="FC287" s="724"/>
      <c r="FD287" s="724"/>
      <c r="FE287" s="724"/>
      <c r="FF287" s="724"/>
      <c r="FG287" s="724"/>
      <c r="FH287" s="724"/>
      <c r="FI287" s="724"/>
      <c r="FJ287" s="724"/>
      <c r="FK287" s="724"/>
      <c r="FL287" s="724"/>
      <c r="FM287" s="724"/>
      <c r="FN287" s="724"/>
      <c r="FO287" s="724"/>
      <c r="FP287" s="724"/>
      <c r="FQ287" s="724"/>
      <c r="FR287" s="724"/>
      <c r="FS287" s="724"/>
      <c r="FT287" s="724"/>
      <c r="FU287" s="724"/>
      <c r="FV287" s="724"/>
      <c r="FW287" s="724"/>
      <c r="FX287" s="724"/>
      <c r="FY287" s="724"/>
      <c r="FZ287" s="724"/>
      <c r="GA287" s="724"/>
      <c r="GB287" s="724"/>
      <c r="GC287" s="724"/>
      <c r="GD287" s="724"/>
      <c r="GE287" s="724"/>
      <c r="GF287" s="724"/>
      <c r="GG287" s="724"/>
      <c r="GH287" s="724"/>
      <c r="GI287" s="724"/>
      <c r="GJ287" s="724"/>
      <c r="GK287" s="724"/>
      <c r="GL287" s="724"/>
      <c r="GM287" s="724"/>
      <c r="GN287" s="724"/>
      <c r="GO287" s="724"/>
      <c r="GP287" s="724"/>
      <c r="GQ287" s="724"/>
      <c r="GR287" s="724"/>
      <c r="GS287" s="724"/>
      <c r="GT287" s="724"/>
      <c r="GU287" s="724"/>
      <c r="GV287" s="724"/>
      <c r="GW287" s="724"/>
      <c r="GX287" s="724"/>
      <c r="GY287" s="724"/>
      <c r="GZ287" s="724"/>
      <c r="HA287" s="724"/>
      <c r="HB287" s="724"/>
      <c r="HC287" s="724"/>
      <c r="HD287" s="724"/>
      <c r="HE287" s="724"/>
      <c r="HF287" s="724"/>
      <c r="HG287" s="724"/>
      <c r="HH287" s="724"/>
      <c r="HI287" s="724"/>
      <c r="HJ287" s="724"/>
      <c r="HK287" s="724"/>
      <c r="HL287" s="724"/>
      <c r="HM287" s="724"/>
      <c r="HN287" s="724"/>
      <c r="HO287" s="724"/>
      <c r="HP287" s="724"/>
      <c r="HQ287" s="724"/>
      <c r="HR287" s="724"/>
      <c r="HS287" s="724"/>
      <c r="HT287" s="724"/>
      <c r="HU287" s="724"/>
      <c r="HV287" s="724"/>
      <c r="HW287" s="724"/>
      <c r="HX287" s="724"/>
      <c r="HY287" s="724"/>
      <c r="HZ287" s="724"/>
      <c r="IA287" s="724"/>
      <c r="IB287" s="724"/>
      <c r="IC287" s="724"/>
      <c r="ID287" s="724"/>
      <c r="IE287" s="724"/>
      <c r="IF287" s="724"/>
      <c r="IG287" s="724"/>
      <c r="IH287" s="724"/>
      <c r="II287" s="724"/>
      <c r="IJ287" s="724"/>
      <c r="IK287" s="724"/>
      <c r="IL287" s="724"/>
      <c r="IM287" s="724"/>
      <c r="IN287" s="724"/>
      <c r="IO287" s="724"/>
      <c r="IP287" s="724"/>
      <c r="IQ287" s="724"/>
      <c r="IR287" s="724"/>
      <c r="IS287" s="724"/>
      <c r="IT287" s="724"/>
      <c r="IU287" s="724"/>
      <c r="IV287" s="724"/>
      <c r="IW287" s="724"/>
    </row>
    <row r="288" spans="1:257" s="621" customFormat="1">
      <c r="A288" s="812"/>
      <c r="B288" s="813" t="s">
        <v>963</v>
      </c>
      <c r="C288" s="699"/>
      <c r="D288" s="713"/>
      <c r="E288" s="725"/>
      <c r="F288" s="725"/>
      <c r="G288" s="704"/>
      <c r="H288" s="704"/>
      <c r="I288" s="704"/>
      <c r="J288" s="725"/>
      <c r="K288" s="725">
        <v>366000000</v>
      </c>
      <c r="L288" s="1311">
        <v>325000000</v>
      </c>
      <c r="M288" s="669"/>
      <c r="N288" s="868"/>
      <c r="O288" s="868"/>
      <c r="P288" s="829"/>
      <c r="Q288" s="829"/>
      <c r="R288" s="866"/>
      <c r="S288" s="900"/>
      <c r="T288" s="822"/>
      <c r="U288" s="577"/>
      <c r="V288" s="722"/>
      <c r="W288" s="722"/>
      <c r="X288" s="723"/>
      <c r="Y288" s="724"/>
      <c r="Z288" s="724"/>
      <c r="AA288" s="724"/>
      <c r="AB288" s="724"/>
      <c r="AC288" s="724"/>
      <c r="AD288" s="724"/>
      <c r="AE288" s="724"/>
      <c r="AF288" s="724"/>
      <c r="AG288" s="724"/>
      <c r="AH288" s="724"/>
      <c r="AI288" s="724"/>
      <c r="AJ288" s="724"/>
      <c r="AK288" s="724"/>
      <c r="AL288" s="724"/>
      <c r="AM288" s="724"/>
      <c r="AN288" s="724"/>
      <c r="AO288" s="724"/>
      <c r="AP288" s="724"/>
      <c r="AQ288" s="724"/>
      <c r="AR288" s="724"/>
      <c r="AS288" s="724"/>
      <c r="AT288" s="724"/>
      <c r="AU288" s="724"/>
      <c r="AV288" s="724"/>
      <c r="AW288" s="724"/>
      <c r="AX288" s="724"/>
      <c r="AY288" s="724"/>
      <c r="AZ288" s="724"/>
      <c r="BA288" s="724"/>
      <c r="BB288" s="724"/>
      <c r="BC288" s="724"/>
      <c r="BD288" s="724"/>
      <c r="BE288" s="724"/>
      <c r="BF288" s="724"/>
      <c r="BG288" s="724"/>
      <c r="BH288" s="724"/>
      <c r="BI288" s="724"/>
      <c r="BJ288" s="724"/>
      <c r="BK288" s="724"/>
      <c r="BL288" s="724"/>
      <c r="BM288" s="724"/>
      <c r="BN288" s="724"/>
      <c r="BO288" s="724"/>
      <c r="BP288" s="724"/>
      <c r="BQ288" s="724"/>
      <c r="BR288" s="724"/>
      <c r="BS288" s="724"/>
      <c r="BT288" s="724"/>
      <c r="BU288" s="724"/>
      <c r="BV288" s="724"/>
      <c r="BW288" s="724"/>
      <c r="BX288" s="724"/>
      <c r="BY288" s="724"/>
      <c r="BZ288" s="724"/>
      <c r="CA288" s="724"/>
      <c r="CB288" s="724"/>
      <c r="CC288" s="724"/>
      <c r="CD288" s="724"/>
      <c r="CE288" s="724"/>
      <c r="CF288" s="724"/>
      <c r="CG288" s="724"/>
      <c r="CH288" s="724"/>
      <c r="CI288" s="724"/>
      <c r="CJ288" s="724"/>
      <c r="CK288" s="724"/>
      <c r="CL288" s="724"/>
      <c r="CM288" s="724"/>
      <c r="CN288" s="724"/>
      <c r="CO288" s="724"/>
      <c r="CP288" s="724"/>
      <c r="CQ288" s="724"/>
      <c r="CR288" s="724"/>
      <c r="CS288" s="724"/>
      <c r="CT288" s="724"/>
      <c r="CU288" s="724"/>
      <c r="CV288" s="724"/>
      <c r="CW288" s="724"/>
      <c r="CX288" s="724"/>
      <c r="CY288" s="724"/>
      <c r="CZ288" s="724"/>
      <c r="DA288" s="724"/>
      <c r="DB288" s="724"/>
      <c r="DC288" s="724"/>
      <c r="DD288" s="724"/>
      <c r="DE288" s="724"/>
      <c r="DF288" s="724"/>
      <c r="DG288" s="724"/>
      <c r="DH288" s="724"/>
      <c r="DI288" s="724"/>
      <c r="DJ288" s="724"/>
      <c r="DK288" s="724"/>
      <c r="DL288" s="724"/>
      <c r="DM288" s="724"/>
      <c r="DN288" s="724"/>
      <c r="DO288" s="724"/>
      <c r="DP288" s="724"/>
      <c r="DQ288" s="724"/>
      <c r="DR288" s="724"/>
      <c r="DS288" s="724"/>
      <c r="DT288" s="724"/>
      <c r="DU288" s="724"/>
      <c r="DV288" s="724"/>
      <c r="DW288" s="724"/>
      <c r="DX288" s="724"/>
      <c r="DY288" s="724"/>
      <c r="DZ288" s="724"/>
      <c r="EA288" s="724"/>
      <c r="EB288" s="724"/>
      <c r="EC288" s="724"/>
      <c r="ED288" s="724"/>
      <c r="EE288" s="724"/>
      <c r="EF288" s="724"/>
      <c r="EG288" s="724"/>
      <c r="EH288" s="724"/>
      <c r="EI288" s="724"/>
      <c r="EJ288" s="724"/>
      <c r="EK288" s="724"/>
      <c r="EL288" s="724"/>
      <c r="EM288" s="724"/>
      <c r="EN288" s="724"/>
      <c r="EO288" s="724"/>
      <c r="EP288" s="724"/>
      <c r="EQ288" s="724"/>
      <c r="ER288" s="724"/>
      <c r="ES288" s="724"/>
      <c r="ET288" s="724"/>
      <c r="EU288" s="724"/>
      <c r="EV288" s="724"/>
      <c r="EW288" s="724"/>
      <c r="EX288" s="724"/>
      <c r="EY288" s="724"/>
      <c r="EZ288" s="724"/>
      <c r="FA288" s="724"/>
      <c r="FB288" s="724"/>
      <c r="FC288" s="724"/>
      <c r="FD288" s="724"/>
      <c r="FE288" s="724"/>
      <c r="FF288" s="724"/>
      <c r="FG288" s="724"/>
      <c r="FH288" s="724"/>
      <c r="FI288" s="724"/>
      <c r="FJ288" s="724"/>
      <c r="FK288" s="724"/>
      <c r="FL288" s="724"/>
      <c r="FM288" s="724"/>
      <c r="FN288" s="724"/>
      <c r="FO288" s="724"/>
      <c r="FP288" s="724"/>
      <c r="FQ288" s="724"/>
      <c r="FR288" s="724"/>
      <c r="FS288" s="724"/>
      <c r="FT288" s="724"/>
      <c r="FU288" s="724"/>
      <c r="FV288" s="724"/>
      <c r="FW288" s="724"/>
      <c r="FX288" s="724"/>
      <c r="FY288" s="724"/>
      <c r="FZ288" s="724"/>
      <c r="GA288" s="724"/>
      <c r="GB288" s="724"/>
      <c r="GC288" s="724"/>
      <c r="GD288" s="724"/>
      <c r="GE288" s="724"/>
      <c r="GF288" s="724"/>
      <c r="GG288" s="724"/>
      <c r="GH288" s="724"/>
      <c r="GI288" s="724"/>
      <c r="GJ288" s="724"/>
      <c r="GK288" s="724"/>
      <c r="GL288" s="724"/>
      <c r="GM288" s="724"/>
      <c r="GN288" s="724"/>
      <c r="GO288" s="724"/>
      <c r="GP288" s="724"/>
      <c r="GQ288" s="724"/>
      <c r="GR288" s="724"/>
      <c r="GS288" s="724"/>
      <c r="GT288" s="724"/>
      <c r="GU288" s="724"/>
      <c r="GV288" s="724"/>
      <c r="GW288" s="724"/>
      <c r="GX288" s="724"/>
      <c r="GY288" s="724"/>
      <c r="GZ288" s="724"/>
      <c r="HA288" s="724"/>
      <c r="HB288" s="724"/>
      <c r="HC288" s="724"/>
      <c r="HD288" s="724"/>
      <c r="HE288" s="724"/>
      <c r="HF288" s="724"/>
      <c r="HG288" s="724"/>
      <c r="HH288" s="724"/>
      <c r="HI288" s="724"/>
      <c r="HJ288" s="724"/>
      <c r="HK288" s="724"/>
      <c r="HL288" s="724"/>
      <c r="HM288" s="724"/>
      <c r="HN288" s="724"/>
      <c r="HO288" s="724"/>
      <c r="HP288" s="724"/>
      <c r="HQ288" s="724"/>
      <c r="HR288" s="724"/>
      <c r="HS288" s="724"/>
      <c r="HT288" s="724"/>
      <c r="HU288" s="724"/>
      <c r="HV288" s="724"/>
      <c r="HW288" s="724"/>
      <c r="HX288" s="724"/>
      <c r="HY288" s="724"/>
      <c r="HZ288" s="724"/>
      <c r="IA288" s="724"/>
      <c r="IB288" s="724"/>
      <c r="IC288" s="724"/>
      <c r="ID288" s="724"/>
      <c r="IE288" s="724"/>
      <c r="IF288" s="724"/>
      <c r="IG288" s="724"/>
      <c r="IH288" s="724"/>
      <c r="II288" s="724"/>
      <c r="IJ288" s="724"/>
      <c r="IK288" s="724"/>
      <c r="IL288" s="724"/>
      <c r="IM288" s="724"/>
      <c r="IN288" s="724"/>
      <c r="IO288" s="724"/>
      <c r="IP288" s="724"/>
      <c r="IQ288" s="724"/>
      <c r="IR288" s="724"/>
      <c r="IS288" s="724"/>
      <c r="IT288" s="724"/>
      <c r="IU288" s="724"/>
      <c r="IV288" s="724"/>
      <c r="IW288" s="724"/>
    </row>
    <row r="289" spans="1:257" s="621" customFormat="1">
      <c r="A289" s="812"/>
      <c r="B289" s="813" t="s">
        <v>1576</v>
      </c>
      <c r="C289" s="699"/>
      <c r="D289" s="713"/>
      <c r="E289" s="725"/>
      <c r="F289" s="725"/>
      <c r="G289" s="704"/>
      <c r="H289" s="704"/>
      <c r="I289" s="704"/>
      <c r="J289" s="725"/>
      <c r="K289" s="725">
        <v>76000000</v>
      </c>
      <c r="L289" s="1311">
        <v>190000000</v>
      </c>
      <c r="M289" s="669"/>
      <c r="N289" s="868"/>
      <c r="O289" s="868"/>
      <c r="P289" s="829"/>
      <c r="Q289" s="829"/>
      <c r="R289" s="866"/>
      <c r="S289" s="900"/>
      <c r="T289" s="822"/>
      <c r="U289" s="577"/>
      <c r="V289" s="722"/>
      <c r="W289" s="722"/>
      <c r="X289" s="723"/>
      <c r="Y289" s="724"/>
      <c r="Z289" s="724"/>
      <c r="AA289" s="724"/>
      <c r="AB289" s="724"/>
      <c r="AC289" s="724"/>
      <c r="AD289" s="724"/>
      <c r="AE289" s="724"/>
      <c r="AF289" s="724"/>
      <c r="AG289" s="724"/>
      <c r="AH289" s="724"/>
      <c r="AI289" s="724"/>
      <c r="AJ289" s="724"/>
      <c r="AK289" s="724"/>
      <c r="AL289" s="724"/>
      <c r="AM289" s="724"/>
      <c r="AN289" s="724"/>
      <c r="AO289" s="724"/>
      <c r="AP289" s="724"/>
      <c r="AQ289" s="724"/>
      <c r="AR289" s="724"/>
      <c r="AS289" s="724"/>
      <c r="AT289" s="724"/>
      <c r="AU289" s="724"/>
      <c r="AV289" s="724"/>
      <c r="AW289" s="724"/>
      <c r="AX289" s="724"/>
      <c r="AY289" s="724"/>
      <c r="AZ289" s="724"/>
      <c r="BA289" s="724"/>
      <c r="BB289" s="724"/>
      <c r="BC289" s="724"/>
      <c r="BD289" s="724"/>
      <c r="BE289" s="724"/>
      <c r="BF289" s="724"/>
      <c r="BG289" s="724"/>
      <c r="BH289" s="724"/>
      <c r="BI289" s="724"/>
      <c r="BJ289" s="724"/>
      <c r="BK289" s="724"/>
      <c r="BL289" s="724"/>
      <c r="BM289" s="724"/>
      <c r="BN289" s="724"/>
      <c r="BO289" s="724"/>
      <c r="BP289" s="724"/>
      <c r="BQ289" s="724"/>
      <c r="BR289" s="724"/>
      <c r="BS289" s="724"/>
      <c r="BT289" s="724"/>
      <c r="BU289" s="724"/>
      <c r="BV289" s="724"/>
      <c r="BW289" s="724"/>
      <c r="BX289" s="724"/>
      <c r="BY289" s="724"/>
      <c r="BZ289" s="724"/>
      <c r="CA289" s="724"/>
      <c r="CB289" s="724"/>
      <c r="CC289" s="724"/>
      <c r="CD289" s="724"/>
      <c r="CE289" s="724"/>
      <c r="CF289" s="724"/>
      <c r="CG289" s="724"/>
      <c r="CH289" s="724"/>
      <c r="CI289" s="724"/>
      <c r="CJ289" s="724"/>
      <c r="CK289" s="724"/>
      <c r="CL289" s="724"/>
      <c r="CM289" s="724"/>
      <c r="CN289" s="724"/>
      <c r="CO289" s="724"/>
      <c r="CP289" s="724"/>
      <c r="CQ289" s="724"/>
      <c r="CR289" s="724"/>
      <c r="CS289" s="724"/>
      <c r="CT289" s="724"/>
      <c r="CU289" s="724"/>
      <c r="CV289" s="724"/>
      <c r="CW289" s="724"/>
      <c r="CX289" s="724"/>
      <c r="CY289" s="724"/>
      <c r="CZ289" s="724"/>
      <c r="DA289" s="724"/>
      <c r="DB289" s="724"/>
      <c r="DC289" s="724"/>
      <c r="DD289" s="724"/>
      <c r="DE289" s="724"/>
      <c r="DF289" s="724"/>
      <c r="DG289" s="724"/>
      <c r="DH289" s="724"/>
      <c r="DI289" s="724"/>
      <c r="DJ289" s="724"/>
      <c r="DK289" s="724"/>
      <c r="DL289" s="724"/>
      <c r="DM289" s="724"/>
      <c r="DN289" s="724"/>
      <c r="DO289" s="724"/>
      <c r="DP289" s="724"/>
      <c r="DQ289" s="724"/>
      <c r="DR289" s="724"/>
      <c r="DS289" s="724"/>
      <c r="DT289" s="724"/>
      <c r="DU289" s="724"/>
      <c r="DV289" s="724"/>
      <c r="DW289" s="724"/>
      <c r="DX289" s="724"/>
      <c r="DY289" s="724"/>
      <c r="DZ289" s="724"/>
      <c r="EA289" s="724"/>
      <c r="EB289" s="724"/>
      <c r="EC289" s="724"/>
      <c r="ED289" s="724"/>
      <c r="EE289" s="724"/>
      <c r="EF289" s="724"/>
      <c r="EG289" s="724"/>
      <c r="EH289" s="724"/>
      <c r="EI289" s="724"/>
      <c r="EJ289" s="724"/>
      <c r="EK289" s="724"/>
      <c r="EL289" s="724"/>
      <c r="EM289" s="724"/>
      <c r="EN289" s="724"/>
      <c r="EO289" s="724"/>
      <c r="EP289" s="724"/>
      <c r="EQ289" s="724"/>
      <c r="ER289" s="724"/>
      <c r="ES289" s="724"/>
      <c r="ET289" s="724"/>
      <c r="EU289" s="724"/>
      <c r="EV289" s="724"/>
      <c r="EW289" s="724"/>
      <c r="EX289" s="724"/>
      <c r="EY289" s="724"/>
      <c r="EZ289" s="724"/>
      <c r="FA289" s="724"/>
      <c r="FB289" s="724"/>
      <c r="FC289" s="724"/>
      <c r="FD289" s="724"/>
      <c r="FE289" s="724"/>
      <c r="FF289" s="724"/>
      <c r="FG289" s="724"/>
      <c r="FH289" s="724"/>
      <c r="FI289" s="724"/>
      <c r="FJ289" s="724"/>
      <c r="FK289" s="724"/>
      <c r="FL289" s="724"/>
      <c r="FM289" s="724"/>
      <c r="FN289" s="724"/>
      <c r="FO289" s="724"/>
      <c r="FP289" s="724"/>
      <c r="FQ289" s="724"/>
      <c r="FR289" s="724"/>
      <c r="FS289" s="724"/>
      <c r="FT289" s="724"/>
      <c r="FU289" s="724"/>
      <c r="FV289" s="724"/>
      <c r="FW289" s="724"/>
      <c r="FX289" s="724"/>
      <c r="FY289" s="724"/>
      <c r="FZ289" s="724"/>
      <c r="GA289" s="724"/>
      <c r="GB289" s="724"/>
      <c r="GC289" s="724"/>
      <c r="GD289" s="724"/>
      <c r="GE289" s="724"/>
      <c r="GF289" s="724"/>
      <c r="GG289" s="724"/>
      <c r="GH289" s="724"/>
      <c r="GI289" s="724"/>
      <c r="GJ289" s="724"/>
      <c r="GK289" s="724"/>
      <c r="GL289" s="724"/>
      <c r="GM289" s="724"/>
      <c r="GN289" s="724"/>
      <c r="GO289" s="724"/>
      <c r="GP289" s="724"/>
      <c r="GQ289" s="724"/>
      <c r="GR289" s="724"/>
      <c r="GS289" s="724"/>
      <c r="GT289" s="724"/>
      <c r="GU289" s="724"/>
      <c r="GV289" s="724"/>
      <c r="GW289" s="724"/>
      <c r="GX289" s="724"/>
      <c r="GY289" s="724"/>
      <c r="GZ289" s="724"/>
      <c r="HA289" s="724"/>
      <c r="HB289" s="724"/>
      <c r="HC289" s="724"/>
      <c r="HD289" s="724"/>
      <c r="HE289" s="724"/>
      <c r="HF289" s="724"/>
      <c r="HG289" s="724"/>
      <c r="HH289" s="724"/>
      <c r="HI289" s="724"/>
      <c r="HJ289" s="724"/>
      <c r="HK289" s="724"/>
      <c r="HL289" s="724"/>
      <c r="HM289" s="724"/>
      <c r="HN289" s="724"/>
      <c r="HO289" s="724"/>
      <c r="HP289" s="724"/>
      <c r="HQ289" s="724"/>
      <c r="HR289" s="724"/>
      <c r="HS289" s="724"/>
      <c r="HT289" s="724"/>
      <c r="HU289" s="724"/>
      <c r="HV289" s="724"/>
      <c r="HW289" s="724"/>
      <c r="HX289" s="724"/>
      <c r="HY289" s="724"/>
      <c r="HZ289" s="724"/>
      <c r="IA289" s="724"/>
      <c r="IB289" s="724"/>
      <c r="IC289" s="724"/>
      <c r="ID289" s="724"/>
      <c r="IE289" s="724"/>
      <c r="IF289" s="724"/>
      <c r="IG289" s="724"/>
      <c r="IH289" s="724"/>
      <c r="II289" s="724"/>
      <c r="IJ289" s="724"/>
      <c r="IK289" s="724"/>
      <c r="IL289" s="724"/>
      <c r="IM289" s="724"/>
      <c r="IN289" s="724"/>
      <c r="IO289" s="724"/>
      <c r="IP289" s="724"/>
      <c r="IQ289" s="724"/>
      <c r="IR289" s="724"/>
      <c r="IS289" s="724"/>
      <c r="IT289" s="724"/>
      <c r="IU289" s="724"/>
      <c r="IV289" s="724"/>
      <c r="IW289" s="724"/>
    </row>
    <row r="290" spans="1:257" s="621" customFormat="1">
      <c r="A290" s="812"/>
      <c r="B290" s="813" t="s">
        <v>1357</v>
      </c>
      <c r="C290" s="699"/>
      <c r="D290" s="713"/>
      <c r="E290" s="725"/>
      <c r="F290" s="725"/>
      <c r="G290" s="704"/>
      <c r="H290" s="704"/>
      <c r="I290" s="704"/>
      <c r="J290" s="725"/>
      <c r="K290" s="725">
        <v>0</v>
      </c>
      <c r="L290" s="1311">
        <v>0</v>
      </c>
      <c r="M290" s="669"/>
      <c r="N290" s="868"/>
      <c r="O290" s="868"/>
      <c r="P290" s="829"/>
      <c r="Q290" s="829"/>
      <c r="R290" s="866"/>
      <c r="S290" s="900"/>
      <c r="T290" s="822"/>
      <c r="U290" s="577"/>
      <c r="V290" s="722"/>
      <c r="W290" s="722"/>
      <c r="X290" s="723"/>
      <c r="Y290" s="724"/>
      <c r="Z290" s="724"/>
      <c r="AA290" s="724"/>
      <c r="AB290" s="724"/>
      <c r="AC290" s="724"/>
      <c r="AD290" s="724"/>
      <c r="AE290" s="724"/>
      <c r="AF290" s="724"/>
      <c r="AG290" s="724"/>
      <c r="AH290" s="724"/>
      <c r="AI290" s="724"/>
      <c r="AJ290" s="724"/>
      <c r="AK290" s="724"/>
      <c r="AL290" s="724"/>
      <c r="AM290" s="724"/>
      <c r="AN290" s="724"/>
      <c r="AO290" s="724"/>
      <c r="AP290" s="724"/>
      <c r="AQ290" s="724"/>
      <c r="AR290" s="724"/>
      <c r="AS290" s="724"/>
      <c r="AT290" s="724"/>
      <c r="AU290" s="724"/>
      <c r="AV290" s="724"/>
      <c r="AW290" s="724"/>
      <c r="AX290" s="724"/>
      <c r="AY290" s="724"/>
      <c r="AZ290" s="724"/>
      <c r="BA290" s="724"/>
      <c r="BB290" s="724"/>
      <c r="BC290" s="724"/>
      <c r="BD290" s="724"/>
      <c r="BE290" s="724"/>
      <c r="BF290" s="724"/>
      <c r="BG290" s="724"/>
      <c r="BH290" s="724"/>
      <c r="BI290" s="724"/>
      <c r="BJ290" s="724"/>
      <c r="BK290" s="724"/>
      <c r="BL290" s="724"/>
      <c r="BM290" s="724"/>
      <c r="BN290" s="724"/>
      <c r="BO290" s="724"/>
      <c r="BP290" s="724"/>
      <c r="BQ290" s="724"/>
      <c r="BR290" s="724"/>
      <c r="BS290" s="724"/>
      <c r="BT290" s="724"/>
      <c r="BU290" s="724"/>
      <c r="BV290" s="724"/>
      <c r="BW290" s="724"/>
      <c r="BX290" s="724"/>
      <c r="BY290" s="724"/>
      <c r="BZ290" s="724"/>
      <c r="CA290" s="724"/>
      <c r="CB290" s="724"/>
      <c r="CC290" s="724"/>
      <c r="CD290" s="724"/>
      <c r="CE290" s="724"/>
      <c r="CF290" s="724"/>
      <c r="CG290" s="724"/>
      <c r="CH290" s="724"/>
      <c r="CI290" s="724"/>
      <c r="CJ290" s="724"/>
      <c r="CK290" s="724"/>
      <c r="CL290" s="724"/>
      <c r="CM290" s="724"/>
      <c r="CN290" s="724"/>
      <c r="CO290" s="724"/>
      <c r="CP290" s="724"/>
      <c r="CQ290" s="724"/>
      <c r="CR290" s="724"/>
      <c r="CS290" s="724"/>
      <c r="CT290" s="724"/>
      <c r="CU290" s="724"/>
      <c r="CV290" s="724"/>
      <c r="CW290" s="724"/>
      <c r="CX290" s="724"/>
      <c r="CY290" s="724"/>
      <c r="CZ290" s="724"/>
      <c r="DA290" s="724"/>
      <c r="DB290" s="724"/>
      <c r="DC290" s="724"/>
      <c r="DD290" s="724"/>
      <c r="DE290" s="724"/>
      <c r="DF290" s="724"/>
      <c r="DG290" s="724"/>
      <c r="DH290" s="724"/>
      <c r="DI290" s="724"/>
      <c r="DJ290" s="724"/>
      <c r="DK290" s="724"/>
      <c r="DL290" s="724"/>
      <c r="DM290" s="724"/>
      <c r="DN290" s="724"/>
      <c r="DO290" s="724"/>
      <c r="DP290" s="724"/>
      <c r="DQ290" s="724"/>
      <c r="DR290" s="724"/>
      <c r="DS290" s="724"/>
      <c r="DT290" s="724"/>
      <c r="DU290" s="724"/>
      <c r="DV290" s="724"/>
      <c r="DW290" s="724"/>
      <c r="DX290" s="724"/>
      <c r="DY290" s="724"/>
      <c r="DZ290" s="724"/>
      <c r="EA290" s="724"/>
      <c r="EB290" s="724"/>
      <c r="EC290" s="724"/>
      <c r="ED290" s="724"/>
      <c r="EE290" s="724"/>
      <c r="EF290" s="724"/>
      <c r="EG290" s="724"/>
      <c r="EH290" s="724"/>
      <c r="EI290" s="724"/>
      <c r="EJ290" s="724"/>
      <c r="EK290" s="724"/>
      <c r="EL290" s="724"/>
      <c r="EM290" s="724"/>
      <c r="EN290" s="724"/>
      <c r="EO290" s="724"/>
      <c r="EP290" s="724"/>
      <c r="EQ290" s="724"/>
      <c r="ER290" s="724"/>
      <c r="ES290" s="724"/>
      <c r="ET290" s="724"/>
      <c r="EU290" s="724"/>
      <c r="EV290" s="724"/>
      <c r="EW290" s="724"/>
      <c r="EX290" s="724"/>
      <c r="EY290" s="724"/>
      <c r="EZ290" s="724"/>
      <c r="FA290" s="724"/>
      <c r="FB290" s="724"/>
      <c r="FC290" s="724"/>
      <c r="FD290" s="724"/>
      <c r="FE290" s="724"/>
      <c r="FF290" s="724"/>
      <c r="FG290" s="724"/>
      <c r="FH290" s="724"/>
      <c r="FI290" s="724"/>
      <c r="FJ290" s="724"/>
      <c r="FK290" s="724"/>
      <c r="FL290" s="724"/>
      <c r="FM290" s="724"/>
      <c r="FN290" s="724"/>
      <c r="FO290" s="724"/>
      <c r="FP290" s="724"/>
      <c r="FQ290" s="724"/>
      <c r="FR290" s="724"/>
      <c r="FS290" s="724"/>
      <c r="FT290" s="724"/>
      <c r="FU290" s="724"/>
      <c r="FV290" s="724"/>
      <c r="FW290" s="724"/>
      <c r="FX290" s="724"/>
      <c r="FY290" s="724"/>
      <c r="FZ290" s="724"/>
      <c r="GA290" s="724"/>
      <c r="GB290" s="724"/>
      <c r="GC290" s="724"/>
      <c r="GD290" s="724"/>
      <c r="GE290" s="724"/>
      <c r="GF290" s="724"/>
      <c r="GG290" s="724"/>
      <c r="GH290" s="724"/>
      <c r="GI290" s="724"/>
      <c r="GJ290" s="724"/>
      <c r="GK290" s="724"/>
      <c r="GL290" s="724"/>
      <c r="GM290" s="724"/>
      <c r="GN290" s="724"/>
      <c r="GO290" s="724"/>
      <c r="GP290" s="724"/>
      <c r="GQ290" s="724"/>
      <c r="GR290" s="724"/>
      <c r="GS290" s="724"/>
      <c r="GT290" s="724"/>
      <c r="GU290" s="724"/>
      <c r="GV290" s="724"/>
      <c r="GW290" s="724"/>
      <c r="GX290" s="724"/>
      <c r="GY290" s="724"/>
      <c r="GZ290" s="724"/>
      <c r="HA290" s="724"/>
      <c r="HB290" s="724"/>
      <c r="HC290" s="724"/>
      <c r="HD290" s="724"/>
      <c r="HE290" s="724"/>
      <c r="HF290" s="724"/>
      <c r="HG290" s="724"/>
      <c r="HH290" s="724"/>
      <c r="HI290" s="724"/>
      <c r="HJ290" s="724"/>
      <c r="HK290" s="724"/>
      <c r="HL290" s="724"/>
      <c r="HM290" s="724"/>
      <c r="HN290" s="724"/>
      <c r="HO290" s="724"/>
      <c r="HP290" s="724"/>
      <c r="HQ290" s="724"/>
      <c r="HR290" s="724"/>
      <c r="HS290" s="724"/>
      <c r="HT290" s="724"/>
      <c r="HU290" s="724"/>
      <c r="HV290" s="724"/>
      <c r="HW290" s="724"/>
      <c r="HX290" s="724"/>
      <c r="HY290" s="724"/>
      <c r="HZ290" s="724"/>
      <c r="IA290" s="724"/>
      <c r="IB290" s="724"/>
      <c r="IC290" s="724"/>
      <c r="ID290" s="724"/>
      <c r="IE290" s="724"/>
      <c r="IF290" s="724"/>
      <c r="IG290" s="724"/>
      <c r="IH290" s="724"/>
      <c r="II290" s="724"/>
      <c r="IJ290" s="724"/>
      <c r="IK290" s="724"/>
      <c r="IL290" s="724"/>
      <c r="IM290" s="724"/>
      <c r="IN290" s="724"/>
      <c r="IO290" s="724"/>
      <c r="IP290" s="724"/>
      <c r="IQ290" s="724"/>
      <c r="IR290" s="724"/>
      <c r="IS290" s="724"/>
      <c r="IT290" s="724"/>
      <c r="IU290" s="724"/>
      <c r="IV290" s="724"/>
      <c r="IW290" s="724"/>
    </row>
    <row r="291" spans="1:257" s="621" customFormat="1">
      <c r="A291" s="809" t="s">
        <v>248</v>
      </c>
      <c r="B291" s="813" t="s">
        <v>256</v>
      </c>
      <c r="C291" s="713">
        <v>3</v>
      </c>
      <c r="D291" s="713"/>
      <c r="E291" s="725">
        <v>20000000</v>
      </c>
      <c r="F291" s="725">
        <f>C291*E291</f>
        <v>60000000</v>
      </c>
      <c r="G291" s="686"/>
      <c r="H291" s="686"/>
      <c r="I291" s="686"/>
      <c r="J291" s="725">
        <v>80000000</v>
      </c>
      <c r="K291" s="725">
        <f>5*20000000</f>
        <v>100000000</v>
      </c>
      <c r="L291" s="1311">
        <f>4*20000000</f>
        <v>80000000</v>
      </c>
      <c r="M291" s="669"/>
      <c r="N291" s="868"/>
      <c r="O291" s="868"/>
      <c r="P291" s="935"/>
      <c r="Q291" s="935"/>
      <c r="R291" s="866"/>
      <c r="S291" s="900"/>
      <c r="T291" s="822"/>
      <c r="U291" s="577"/>
      <c r="V291" s="722"/>
      <c r="W291" s="619"/>
      <c r="X291" s="620"/>
    </row>
    <row r="292" spans="1:257" s="582" customFormat="1" ht="15.75" hidden="1" customHeight="1">
      <c r="A292" s="809" t="s">
        <v>91</v>
      </c>
      <c r="B292" s="936" t="s">
        <v>266</v>
      </c>
      <c r="C292" s="589"/>
      <c r="D292" s="589"/>
      <c r="E292" s="704"/>
      <c r="F292" s="704"/>
      <c r="G292" s="686"/>
      <c r="H292" s="686"/>
      <c r="I292" s="686"/>
      <c r="J292" s="704"/>
      <c r="K292" s="704"/>
      <c r="L292" s="1310"/>
      <c r="M292" s="609"/>
      <c r="N292" s="829"/>
      <c r="O292" s="829"/>
      <c r="P292" s="935"/>
      <c r="Q292" s="935"/>
      <c r="R292" s="900"/>
      <c r="S292" s="900"/>
      <c r="T292" s="822"/>
      <c r="U292" s="577"/>
      <c r="V292" s="639"/>
      <c r="W292" s="639"/>
      <c r="X292" s="640"/>
      <c r="Y292" s="641"/>
      <c r="Z292" s="641"/>
      <c r="AA292" s="641"/>
      <c r="AB292" s="641"/>
      <c r="AC292" s="641"/>
      <c r="AD292" s="641"/>
      <c r="AE292" s="641"/>
      <c r="AF292" s="641"/>
      <c r="AG292" s="641"/>
      <c r="AH292" s="641"/>
      <c r="AI292" s="641"/>
      <c r="AJ292" s="641"/>
      <c r="AK292" s="641"/>
      <c r="AL292" s="641"/>
      <c r="AM292" s="641"/>
      <c r="AN292" s="641"/>
      <c r="AO292" s="641"/>
      <c r="AP292" s="641"/>
      <c r="AQ292" s="641"/>
      <c r="AR292" s="641"/>
      <c r="AS292" s="641"/>
      <c r="AT292" s="641"/>
      <c r="AU292" s="641"/>
      <c r="AV292" s="641"/>
      <c r="AW292" s="641"/>
      <c r="AX292" s="641"/>
      <c r="AY292" s="641"/>
      <c r="AZ292" s="641"/>
      <c r="BA292" s="641"/>
      <c r="BB292" s="641"/>
      <c r="BC292" s="641"/>
      <c r="BD292" s="641"/>
      <c r="BE292" s="641"/>
      <c r="BF292" s="641"/>
      <c r="BG292" s="641"/>
      <c r="BH292" s="641"/>
      <c r="BI292" s="641"/>
      <c r="BJ292" s="641"/>
      <c r="BK292" s="641"/>
      <c r="BL292" s="641"/>
      <c r="BM292" s="641"/>
      <c r="BN292" s="641"/>
      <c r="BO292" s="641"/>
      <c r="BP292" s="641"/>
      <c r="BQ292" s="641"/>
      <c r="BR292" s="641"/>
      <c r="BS292" s="641"/>
      <c r="BT292" s="641"/>
      <c r="BU292" s="641"/>
      <c r="BV292" s="641"/>
      <c r="BW292" s="641"/>
      <c r="BX292" s="641"/>
      <c r="BY292" s="641"/>
      <c r="BZ292" s="641"/>
      <c r="CA292" s="641"/>
      <c r="CB292" s="641"/>
      <c r="CC292" s="641"/>
      <c r="CD292" s="641"/>
      <c r="CE292" s="641"/>
      <c r="CF292" s="641"/>
      <c r="CG292" s="641"/>
      <c r="CH292" s="641"/>
      <c r="CI292" s="641"/>
      <c r="CJ292" s="641"/>
      <c r="CK292" s="641"/>
      <c r="CL292" s="641"/>
      <c r="CM292" s="641"/>
      <c r="CN292" s="641"/>
      <c r="CO292" s="641"/>
      <c r="CP292" s="641"/>
      <c r="CQ292" s="641"/>
      <c r="CR292" s="641"/>
      <c r="CS292" s="641"/>
      <c r="CT292" s="641"/>
      <c r="CU292" s="641"/>
      <c r="CV292" s="641"/>
      <c r="CW292" s="641"/>
      <c r="CX292" s="641"/>
      <c r="CY292" s="641"/>
      <c r="CZ292" s="641"/>
      <c r="DA292" s="641"/>
      <c r="DB292" s="641"/>
      <c r="DC292" s="641"/>
      <c r="DD292" s="641"/>
      <c r="DE292" s="641"/>
      <c r="DF292" s="641"/>
      <c r="DG292" s="641"/>
      <c r="DH292" s="641"/>
      <c r="DI292" s="641"/>
      <c r="DJ292" s="641"/>
      <c r="DK292" s="641"/>
      <c r="DL292" s="641"/>
      <c r="DM292" s="641"/>
      <c r="DN292" s="641"/>
      <c r="DO292" s="641"/>
      <c r="DP292" s="641"/>
      <c r="DQ292" s="641"/>
      <c r="DR292" s="641"/>
      <c r="DS292" s="641"/>
      <c r="DT292" s="641"/>
      <c r="DU292" s="641"/>
      <c r="DV292" s="641"/>
      <c r="DW292" s="641"/>
      <c r="DX292" s="641"/>
      <c r="DY292" s="641"/>
      <c r="DZ292" s="641"/>
      <c r="EA292" s="641"/>
      <c r="EB292" s="641"/>
      <c r="EC292" s="641"/>
      <c r="ED292" s="641"/>
      <c r="EE292" s="641"/>
      <c r="EF292" s="641"/>
      <c r="EG292" s="641"/>
      <c r="EH292" s="641"/>
      <c r="EI292" s="641"/>
      <c r="EJ292" s="641"/>
      <c r="EK292" s="641"/>
      <c r="EL292" s="641"/>
      <c r="EM292" s="641"/>
      <c r="EN292" s="641"/>
      <c r="EO292" s="641"/>
      <c r="EP292" s="641"/>
      <c r="EQ292" s="641"/>
      <c r="ER292" s="641"/>
      <c r="ES292" s="641"/>
      <c r="ET292" s="641"/>
      <c r="EU292" s="641"/>
      <c r="EV292" s="641"/>
      <c r="EW292" s="641"/>
      <c r="EX292" s="641"/>
      <c r="EY292" s="641"/>
      <c r="EZ292" s="641"/>
      <c r="FA292" s="641"/>
      <c r="FB292" s="641"/>
      <c r="FC292" s="641"/>
      <c r="FD292" s="641"/>
      <c r="FE292" s="641"/>
      <c r="FF292" s="641"/>
      <c r="FG292" s="641"/>
      <c r="FH292" s="641"/>
      <c r="FI292" s="641"/>
      <c r="FJ292" s="641"/>
      <c r="FK292" s="641"/>
      <c r="FL292" s="641"/>
      <c r="FM292" s="641"/>
      <c r="FN292" s="641"/>
      <c r="FO292" s="641"/>
      <c r="FP292" s="641"/>
      <c r="FQ292" s="641"/>
      <c r="FR292" s="641"/>
      <c r="FS292" s="641"/>
      <c r="FT292" s="641"/>
      <c r="FU292" s="641"/>
      <c r="FV292" s="641"/>
      <c r="FW292" s="641"/>
      <c r="FX292" s="641"/>
      <c r="FY292" s="641"/>
      <c r="FZ292" s="641"/>
      <c r="GA292" s="641"/>
      <c r="GB292" s="641"/>
      <c r="GC292" s="641"/>
      <c r="GD292" s="641"/>
      <c r="GE292" s="641"/>
      <c r="GF292" s="641"/>
      <c r="GG292" s="641"/>
      <c r="GH292" s="641"/>
      <c r="GI292" s="641"/>
      <c r="GJ292" s="641"/>
      <c r="GK292" s="641"/>
      <c r="GL292" s="641"/>
      <c r="GM292" s="641"/>
      <c r="GN292" s="641"/>
      <c r="GO292" s="641"/>
      <c r="GP292" s="641"/>
      <c r="GQ292" s="641"/>
      <c r="GR292" s="641"/>
      <c r="GS292" s="641"/>
      <c r="GT292" s="641"/>
      <c r="GU292" s="641"/>
      <c r="GV292" s="641"/>
      <c r="GW292" s="641"/>
      <c r="GX292" s="641"/>
      <c r="GY292" s="641"/>
      <c r="GZ292" s="641"/>
      <c r="HA292" s="641"/>
      <c r="HB292" s="641"/>
      <c r="HC292" s="641"/>
      <c r="HD292" s="641"/>
      <c r="HE292" s="641"/>
      <c r="HF292" s="641"/>
      <c r="HG292" s="641"/>
      <c r="HH292" s="641"/>
      <c r="HI292" s="641"/>
      <c r="HJ292" s="641"/>
      <c r="HK292" s="641"/>
      <c r="HL292" s="641"/>
      <c r="HM292" s="641"/>
      <c r="HN292" s="641"/>
      <c r="HO292" s="641"/>
      <c r="HP292" s="641"/>
      <c r="HQ292" s="641"/>
      <c r="HR292" s="641"/>
      <c r="HS292" s="641"/>
      <c r="HT292" s="641"/>
      <c r="HU292" s="641"/>
      <c r="HV292" s="641"/>
      <c r="HW292" s="641"/>
      <c r="HX292" s="641"/>
      <c r="HY292" s="641"/>
      <c r="HZ292" s="641"/>
      <c r="IA292" s="641"/>
      <c r="IB292" s="641"/>
      <c r="IC292" s="641"/>
      <c r="ID292" s="641"/>
      <c r="IE292" s="641"/>
      <c r="IF292" s="641"/>
      <c r="IG292" s="641"/>
      <c r="IH292" s="641"/>
      <c r="II292" s="641"/>
      <c r="IJ292" s="641"/>
      <c r="IK292" s="641"/>
      <c r="IL292" s="641"/>
      <c r="IM292" s="641"/>
      <c r="IN292" s="641"/>
      <c r="IO292" s="641"/>
      <c r="IP292" s="641"/>
      <c r="IQ292" s="641"/>
      <c r="IR292" s="641"/>
      <c r="IS292" s="641"/>
      <c r="IT292" s="641"/>
      <c r="IU292" s="641"/>
      <c r="IV292" s="641"/>
      <c r="IW292" s="641"/>
    </row>
    <row r="293" spans="1:257" s="582" customFormat="1">
      <c r="A293" s="589" t="s">
        <v>225</v>
      </c>
      <c r="B293" s="804" t="s">
        <v>257</v>
      </c>
      <c r="C293" s="589"/>
      <c r="D293" s="589"/>
      <c r="E293" s="704"/>
      <c r="F293" s="609">
        <f>SUM(F294:F310)</f>
        <v>1783000000</v>
      </c>
      <c r="G293" s="609">
        <f>SUM(G294:G310)</f>
        <v>0</v>
      </c>
      <c r="H293" s="609">
        <f>SUM(H294:H310)</f>
        <v>0</v>
      </c>
      <c r="I293" s="609">
        <f>SUM(I294:I310)</f>
        <v>0</v>
      </c>
      <c r="J293" s="609">
        <f>SUM(J294:J314)</f>
        <v>6327797000</v>
      </c>
      <c r="K293" s="609">
        <f>SUM(K294:K314)</f>
        <v>6751000000</v>
      </c>
      <c r="L293" s="1303">
        <f>SUM(L294:L314)</f>
        <v>7182000000</v>
      </c>
      <c r="M293" s="609"/>
      <c r="N293" s="830">
        <f>L280+L319+L344</f>
        <v>11704000000</v>
      </c>
      <c r="O293" s="830"/>
      <c r="P293" s="925"/>
      <c r="Q293" s="925"/>
      <c r="R293" s="925"/>
      <c r="S293" s="925"/>
      <c r="T293" s="925"/>
      <c r="U293" s="577"/>
      <c r="V293" s="639"/>
      <c r="W293" s="639"/>
      <c r="X293" s="640"/>
      <c r="Y293" s="641"/>
      <c r="Z293" s="641"/>
      <c r="AA293" s="641"/>
      <c r="AB293" s="641"/>
      <c r="AC293" s="641"/>
      <c r="AD293" s="641"/>
      <c r="AE293" s="641"/>
      <c r="AF293" s="641"/>
      <c r="AG293" s="641"/>
      <c r="AH293" s="641"/>
      <c r="AI293" s="641"/>
      <c r="AJ293" s="641"/>
      <c r="AK293" s="641"/>
      <c r="AL293" s="641"/>
      <c r="AM293" s="641"/>
      <c r="AN293" s="641"/>
      <c r="AO293" s="641"/>
      <c r="AP293" s="641"/>
      <c r="AQ293" s="641"/>
      <c r="AR293" s="641"/>
      <c r="AS293" s="641"/>
      <c r="AT293" s="641"/>
      <c r="AU293" s="641"/>
      <c r="AV293" s="641"/>
      <c r="AW293" s="641"/>
      <c r="AX293" s="641"/>
      <c r="AY293" s="641"/>
      <c r="AZ293" s="641"/>
      <c r="BA293" s="641"/>
      <c r="BB293" s="641"/>
      <c r="BC293" s="641"/>
      <c r="BD293" s="641"/>
      <c r="BE293" s="641"/>
      <c r="BF293" s="641"/>
      <c r="BG293" s="641"/>
      <c r="BH293" s="641"/>
      <c r="BI293" s="641"/>
      <c r="BJ293" s="641"/>
      <c r="BK293" s="641"/>
      <c r="BL293" s="641"/>
      <c r="BM293" s="641"/>
      <c r="BN293" s="641"/>
      <c r="BO293" s="641"/>
      <c r="BP293" s="641"/>
      <c r="BQ293" s="641"/>
      <c r="BR293" s="641"/>
      <c r="BS293" s="641"/>
      <c r="BT293" s="641"/>
      <c r="BU293" s="641"/>
      <c r="BV293" s="641"/>
      <c r="BW293" s="641"/>
      <c r="BX293" s="641"/>
      <c r="BY293" s="641"/>
      <c r="BZ293" s="641"/>
      <c r="CA293" s="641"/>
      <c r="CB293" s="641"/>
      <c r="CC293" s="641"/>
      <c r="CD293" s="641"/>
      <c r="CE293" s="641"/>
      <c r="CF293" s="641"/>
      <c r="CG293" s="641"/>
      <c r="CH293" s="641"/>
      <c r="CI293" s="641"/>
      <c r="CJ293" s="641"/>
      <c r="CK293" s="641"/>
      <c r="CL293" s="641"/>
      <c r="CM293" s="641"/>
      <c r="CN293" s="641"/>
      <c r="CO293" s="641"/>
      <c r="CP293" s="641"/>
      <c r="CQ293" s="641"/>
      <c r="CR293" s="641"/>
      <c r="CS293" s="641"/>
      <c r="CT293" s="641"/>
      <c r="CU293" s="641"/>
      <c r="CV293" s="641"/>
      <c r="CW293" s="641"/>
      <c r="CX293" s="641"/>
      <c r="CY293" s="641"/>
      <c r="CZ293" s="641"/>
      <c r="DA293" s="641"/>
      <c r="DB293" s="641"/>
      <c r="DC293" s="641"/>
      <c r="DD293" s="641"/>
      <c r="DE293" s="641"/>
      <c r="DF293" s="641"/>
      <c r="DG293" s="641"/>
      <c r="DH293" s="641"/>
      <c r="DI293" s="641"/>
      <c r="DJ293" s="641"/>
      <c r="DK293" s="641"/>
      <c r="DL293" s="641"/>
      <c r="DM293" s="641"/>
      <c r="DN293" s="641"/>
      <c r="DO293" s="641"/>
      <c r="DP293" s="641"/>
      <c r="DQ293" s="641"/>
      <c r="DR293" s="641"/>
      <c r="DS293" s="641"/>
      <c r="DT293" s="641"/>
      <c r="DU293" s="641"/>
      <c r="DV293" s="641"/>
      <c r="DW293" s="641"/>
      <c r="DX293" s="641"/>
      <c r="DY293" s="641"/>
      <c r="DZ293" s="641"/>
      <c r="EA293" s="641"/>
      <c r="EB293" s="641"/>
      <c r="EC293" s="641"/>
      <c r="ED293" s="641"/>
      <c r="EE293" s="641"/>
      <c r="EF293" s="641"/>
      <c r="EG293" s="641"/>
      <c r="EH293" s="641"/>
      <c r="EI293" s="641"/>
      <c r="EJ293" s="641"/>
      <c r="EK293" s="641"/>
      <c r="EL293" s="641"/>
      <c r="EM293" s="641"/>
      <c r="EN293" s="641"/>
      <c r="EO293" s="641"/>
      <c r="EP293" s="641"/>
      <c r="EQ293" s="641"/>
      <c r="ER293" s="641"/>
      <c r="ES293" s="641"/>
      <c r="ET293" s="641"/>
      <c r="EU293" s="641"/>
      <c r="EV293" s="641"/>
      <c r="EW293" s="641"/>
      <c r="EX293" s="641"/>
      <c r="EY293" s="641"/>
      <c r="EZ293" s="641"/>
      <c r="FA293" s="641"/>
      <c r="FB293" s="641"/>
      <c r="FC293" s="641"/>
      <c r="FD293" s="641"/>
      <c r="FE293" s="641"/>
      <c r="FF293" s="641"/>
      <c r="FG293" s="641"/>
      <c r="FH293" s="641"/>
      <c r="FI293" s="641"/>
      <c r="FJ293" s="641"/>
      <c r="FK293" s="641"/>
      <c r="FL293" s="641"/>
      <c r="FM293" s="641"/>
      <c r="FN293" s="641"/>
      <c r="FO293" s="641"/>
      <c r="FP293" s="641"/>
      <c r="FQ293" s="641"/>
      <c r="FR293" s="641"/>
      <c r="FS293" s="641"/>
      <c r="FT293" s="641"/>
      <c r="FU293" s="641"/>
      <c r="FV293" s="641"/>
      <c r="FW293" s="641"/>
      <c r="FX293" s="641"/>
      <c r="FY293" s="641"/>
      <c r="FZ293" s="641"/>
      <c r="GA293" s="641"/>
      <c r="GB293" s="641"/>
      <c r="GC293" s="641"/>
      <c r="GD293" s="641"/>
      <c r="GE293" s="641"/>
      <c r="GF293" s="641"/>
      <c r="GG293" s="641"/>
      <c r="GH293" s="641"/>
      <c r="GI293" s="641"/>
      <c r="GJ293" s="641"/>
      <c r="GK293" s="641"/>
      <c r="GL293" s="641"/>
      <c r="GM293" s="641"/>
      <c r="GN293" s="641"/>
      <c r="GO293" s="641"/>
      <c r="GP293" s="641"/>
      <c r="GQ293" s="641"/>
      <c r="GR293" s="641"/>
      <c r="GS293" s="641"/>
      <c r="GT293" s="641"/>
      <c r="GU293" s="641"/>
      <c r="GV293" s="641"/>
      <c r="GW293" s="641"/>
      <c r="GX293" s="641"/>
      <c r="GY293" s="641"/>
      <c r="GZ293" s="641"/>
      <c r="HA293" s="641"/>
      <c r="HB293" s="641"/>
      <c r="HC293" s="641"/>
      <c r="HD293" s="641"/>
      <c r="HE293" s="641"/>
      <c r="HF293" s="641"/>
      <c r="HG293" s="641"/>
      <c r="HH293" s="641"/>
      <c r="HI293" s="641"/>
      <c r="HJ293" s="641"/>
      <c r="HK293" s="641"/>
      <c r="HL293" s="641"/>
      <c r="HM293" s="641"/>
      <c r="HN293" s="641"/>
      <c r="HO293" s="641"/>
      <c r="HP293" s="641"/>
      <c r="HQ293" s="641"/>
      <c r="HR293" s="641"/>
      <c r="HS293" s="641"/>
      <c r="HT293" s="641"/>
      <c r="HU293" s="641"/>
      <c r="HV293" s="641"/>
      <c r="HW293" s="641"/>
      <c r="HX293" s="641"/>
      <c r="HY293" s="641"/>
      <c r="HZ293" s="641"/>
      <c r="IA293" s="641"/>
      <c r="IB293" s="641"/>
      <c r="IC293" s="641"/>
      <c r="ID293" s="641"/>
      <c r="IE293" s="641"/>
      <c r="IF293" s="641"/>
      <c r="IG293" s="641"/>
      <c r="IH293" s="641"/>
      <c r="II293" s="641"/>
      <c r="IJ293" s="641"/>
      <c r="IK293" s="641"/>
      <c r="IL293" s="641"/>
      <c r="IM293" s="641"/>
      <c r="IN293" s="641"/>
      <c r="IO293" s="641"/>
      <c r="IP293" s="641"/>
      <c r="IQ293" s="641"/>
      <c r="IR293" s="641"/>
      <c r="IS293" s="641"/>
      <c r="IT293" s="641"/>
      <c r="IU293" s="641"/>
      <c r="IV293" s="641"/>
      <c r="IW293" s="641"/>
    </row>
    <row r="294" spans="1:257" s="582" customFormat="1" ht="47.25">
      <c r="A294" s="672" t="s">
        <v>91</v>
      </c>
      <c r="B294" s="696" t="s">
        <v>2044</v>
      </c>
      <c r="C294" s="635"/>
      <c r="D294" s="635"/>
      <c r="E294" s="651"/>
      <c r="F294" s="651">
        <v>550000000</v>
      </c>
      <c r="G294" s="651"/>
      <c r="H294" s="651"/>
      <c r="I294" s="651"/>
      <c r="J294" s="651">
        <v>1500000000</v>
      </c>
      <c r="K294" s="651">
        <f>ROUND(3950000000/0.9+110000000,-6)</f>
        <v>4499000000</v>
      </c>
      <c r="L294" s="1305">
        <v>5100000000</v>
      </c>
      <c r="M294" s="651" t="s">
        <v>1601</v>
      </c>
      <c r="N294" s="826"/>
      <c r="O294" s="826"/>
      <c r="P294" s="826"/>
      <c r="Q294" s="826"/>
      <c r="R294" s="826"/>
      <c r="S294" s="869"/>
      <c r="T294" s="850"/>
      <c r="U294" s="827"/>
      <c r="V294" s="639"/>
      <c r="W294" s="639"/>
      <c r="X294" s="640"/>
      <c r="Y294" s="641"/>
      <c r="Z294" s="641"/>
      <c r="AA294" s="641"/>
      <c r="AB294" s="641"/>
      <c r="AC294" s="641"/>
      <c r="AD294" s="641"/>
      <c r="AE294" s="641"/>
      <c r="AF294" s="641"/>
      <c r="AG294" s="641"/>
      <c r="AH294" s="641"/>
      <c r="AI294" s="641"/>
      <c r="AJ294" s="641"/>
      <c r="AK294" s="641"/>
      <c r="AL294" s="641"/>
      <c r="AM294" s="641"/>
      <c r="AN294" s="641"/>
      <c r="AO294" s="641"/>
      <c r="AP294" s="641"/>
      <c r="AQ294" s="641"/>
      <c r="AR294" s="641"/>
      <c r="AS294" s="641"/>
      <c r="AT294" s="641"/>
      <c r="AU294" s="641"/>
      <c r="AV294" s="641"/>
      <c r="AW294" s="641"/>
      <c r="AX294" s="641"/>
      <c r="AY294" s="641"/>
      <c r="AZ294" s="641"/>
      <c r="BA294" s="641"/>
      <c r="BB294" s="641"/>
      <c r="BC294" s="641"/>
      <c r="BD294" s="641"/>
      <c r="BE294" s="641"/>
      <c r="BF294" s="641"/>
      <c r="BG294" s="641"/>
      <c r="BH294" s="641"/>
      <c r="BI294" s="641"/>
      <c r="BJ294" s="641"/>
      <c r="BK294" s="641"/>
      <c r="BL294" s="641"/>
      <c r="BM294" s="641"/>
      <c r="BN294" s="641"/>
      <c r="BO294" s="641"/>
      <c r="BP294" s="641"/>
      <c r="BQ294" s="641"/>
      <c r="BR294" s="641"/>
      <c r="BS294" s="641"/>
      <c r="BT294" s="641"/>
      <c r="BU294" s="641"/>
      <c r="BV294" s="641"/>
      <c r="BW294" s="641"/>
      <c r="BX294" s="641"/>
      <c r="BY294" s="641"/>
      <c r="BZ294" s="641"/>
      <c r="CA294" s="641"/>
      <c r="CB294" s="641"/>
      <c r="CC294" s="641"/>
      <c r="CD294" s="641"/>
      <c r="CE294" s="641"/>
      <c r="CF294" s="641"/>
      <c r="CG294" s="641"/>
      <c r="CH294" s="641"/>
      <c r="CI294" s="641"/>
      <c r="CJ294" s="641"/>
      <c r="CK294" s="641"/>
      <c r="CL294" s="641"/>
      <c r="CM294" s="641"/>
      <c r="CN294" s="641"/>
      <c r="CO294" s="641"/>
      <c r="CP294" s="641"/>
      <c r="CQ294" s="641"/>
      <c r="CR294" s="641"/>
      <c r="CS294" s="641"/>
      <c r="CT294" s="641"/>
      <c r="CU294" s="641"/>
      <c r="CV294" s="641"/>
      <c r="CW294" s="641"/>
      <c r="CX294" s="641"/>
      <c r="CY294" s="641"/>
      <c r="CZ294" s="641"/>
      <c r="DA294" s="641"/>
      <c r="DB294" s="641"/>
      <c r="DC294" s="641"/>
      <c r="DD294" s="641"/>
      <c r="DE294" s="641"/>
      <c r="DF294" s="641"/>
      <c r="DG294" s="641"/>
      <c r="DH294" s="641"/>
      <c r="DI294" s="641"/>
      <c r="DJ294" s="641"/>
      <c r="DK294" s="641"/>
      <c r="DL294" s="641"/>
      <c r="DM294" s="641"/>
      <c r="DN294" s="641"/>
      <c r="DO294" s="641"/>
      <c r="DP294" s="641"/>
      <c r="DQ294" s="641"/>
      <c r="DR294" s="641"/>
      <c r="DS294" s="641"/>
      <c r="DT294" s="641"/>
      <c r="DU294" s="641"/>
      <c r="DV294" s="641"/>
      <c r="DW294" s="641"/>
      <c r="DX294" s="641"/>
      <c r="DY294" s="641"/>
      <c r="DZ294" s="641"/>
      <c r="EA294" s="641"/>
      <c r="EB294" s="641"/>
      <c r="EC294" s="641"/>
      <c r="ED294" s="641"/>
      <c r="EE294" s="641"/>
      <c r="EF294" s="641"/>
      <c r="EG294" s="641"/>
      <c r="EH294" s="641"/>
      <c r="EI294" s="641"/>
      <c r="EJ294" s="641"/>
      <c r="EK294" s="641"/>
      <c r="EL294" s="641"/>
      <c r="EM294" s="641"/>
      <c r="EN294" s="641"/>
      <c r="EO294" s="641"/>
      <c r="EP294" s="641"/>
      <c r="EQ294" s="641"/>
      <c r="ER294" s="641"/>
      <c r="ES294" s="641"/>
      <c r="ET294" s="641"/>
      <c r="EU294" s="641"/>
      <c r="EV294" s="641"/>
      <c r="EW294" s="641"/>
      <c r="EX294" s="641"/>
      <c r="EY294" s="641"/>
      <c r="EZ294" s="641"/>
      <c r="FA294" s="641"/>
      <c r="FB294" s="641"/>
      <c r="FC294" s="641"/>
      <c r="FD294" s="641"/>
      <c r="FE294" s="641"/>
      <c r="FF294" s="641"/>
      <c r="FG294" s="641"/>
      <c r="FH294" s="641"/>
      <c r="FI294" s="641"/>
      <c r="FJ294" s="641"/>
      <c r="FK294" s="641"/>
      <c r="FL294" s="641"/>
      <c r="FM294" s="641"/>
      <c r="FN294" s="641"/>
      <c r="FO294" s="641"/>
      <c r="FP294" s="641"/>
      <c r="FQ294" s="641"/>
      <c r="FR294" s="641"/>
      <c r="FS294" s="641"/>
      <c r="FT294" s="641"/>
      <c r="FU294" s="641"/>
      <c r="FV294" s="641"/>
      <c r="FW294" s="641"/>
      <c r="FX294" s="641"/>
      <c r="FY294" s="641"/>
      <c r="FZ294" s="641"/>
      <c r="GA294" s="641"/>
      <c r="GB294" s="641"/>
      <c r="GC294" s="641"/>
      <c r="GD294" s="641"/>
      <c r="GE294" s="641"/>
      <c r="GF294" s="641"/>
      <c r="GG294" s="641"/>
      <c r="GH294" s="641"/>
      <c r="GI294" s="641"/>
      <c r="GJ294" s="641"/>
      <c r="GK294" s="641"/>
      <c r="GL294" s="641"/>
      <c r="GM294" s="641"/>
      <c r="GN294" s="641"/>
      <c r="GO294" s="641"/>
      <c r="GP294" s="641"/>
      <c r="GQ294" s="641"/>
      <c r="GR294" s="641"/>
      <c r="GS294" s="641"/>
      <c r="GT294" s="641"/>
      <c r="GU294" s="641"/>
      <c r="GV294" s="641"/>
      <c r="GW294" s="641"/>
      <c r="GX294" s="641"/>
      <c r="GY294" s="641"/>
      <c r="GZ294" s="641"/>
      <c r="HA294" s="641"/>
      <c r="HB294" s="641"/>
      <c r="HC294" s="641"/>
      <c r="HD294" s="641"/>
      <c r="HE294" s="641"/>
      <c r="HF294" s="641"/>
      <c r="HG294" s="641"/>
      <c r="HH294" s="641"/>
      <c r="HI294" s="641"/>
      <c r="HJ294" s="641"/>
      <c r="HK294" s="641"/>
      <c r="HL294" s="641"/>
      <c r="HM294" s="641"/>
      <c r="HN294" s="641"/>
      <c r="HO294" s="641"/>
      <c r="HP294" s="641"/>
      <c r="HQ294" s="641"/>
      <c r="HR294" s="641"/>
      <c r="HS294" s="641"/>
      <c r="HT294" s="641"/>
      <c r="HU294" s="641"/>
      <c r="HV294" s="641"/>
      <c r="HW294" s="641"/>
      <c r="HX294" s="641"/>
      <c r="HY294" s="641"/>
      <c r="HZ294" s="641"/>
      <c r="IA294" s="641"/>
      <c r="IB294" s="641"/>
      <c r="IC294" s="641"/>
      <c r="ID294" s="641"/>
      <c r="IE294" s="641"/>
      <c r="IF294" s="641"/>
      <c r="IG294" s="641"/>
      <c r="IH294" s="641"/>
      <c r="II294" s="641"/>
      <c r="IJ294" s="641"/>
      <c r="IK294" s="641"/>
      <c r="IL294" s="641"/>
      <c r="IM294" s="641"/>
      <c r="IN294" s="641"/>
      <c r="IO294" s="641"/>
      <c r="IP294" s="641"/>
      <c r="IQ294" s="641"/>
      <c r="IR294" s="641"/>
      <c r="IS294" s="641"/>
      <c r="IT294" s="641"/>
      <c r="IU294" s="641"/>
      <c r="IV294" s="641"/>
      <c r="IW294" s="641"/>
    </row>
    <row r="295" spans="1:257" s="582" customFormat="1" ht="31.5">
      <c r="A295" s="672" t="s">
        <v>91</v>
      </c>
      <c r="B295" s="696" t="s">
        <v>2036</v>
      </c>
      <c r="C295" s="635"/>
      <c r="D295" s="635"/>
      <c r="E295" s="651"/>
      <c r="F295" s="651"/>
      <c r="G295" s="651"/>
      <c r="H295" s="651"/>
      <c r="I295" s="651"/>
      <c r="J295" s="651">
        <v>1000000000</v>
      </c>
      <c r="K295" s="651">
        <f>ROUND(770000000/0.9,-6)</f>
        <v>856000000</v>
      </c>
      <c r="L295" s="1305">
        <v>700000000</v>
      </c>
      <c r="M295" s="651" t="s">
        <v>1980</v>
      </c>
      <c r="N295" s="826"/>
      <c r="O295" s="826"/>
      <c r="P295" s="826"/>
      <c r="Q295" s="826"/>
      <c r="R295" s="826">
        <f>L295*10%</f>
        <v>70000000</v>
      </c>
      <c r="S295" s="869">
        <f>L295-R295</f>
        <v>630000000</v>
      </c>
      <c r="T295" s="850"/>
      <c r="U295" s="827"/>
      <c r="V295" s="639"/>
      <c r="W295" s="639"/>
      <c r="X295" s="640"/>
      <c r="Y295" s="641"/>
      <c r="Z295" s="641"/>
      <c r="AA295" s="641"/>
      <c r="AB295" s="641"/>
      <c r="AC295" s="641"/>
      <c r="AD295" s="641"/>
      <c r="AE295" s="641"/>
      <c r="AF295" s="641"/>
      <c r="AG295" s="641"/>
      <c r="AH295" s="641"/>
      <c r="AI295" s="641"/>
      <c r="AJ295" s="641"/>
      <c r="AK295" s="641"/>
      <c r="AL295" s="641"/>
      <c r="AM295" s="641"/>
      <c r="AN295" s="641"/>
      <c r="AO295" s="641"/>
      <c r="AP295" s="641"/>
      <c r="AQ295" s="641"/>
      <c r="AR295" s="641"/>
      <c r="AS295" s="641"/>
      <c r="AT295" s="641"/>
      <c r="AU295" s="641"/>
      <c r="AV295" s="641"/>
      <c r="AW295" s="641"/>
      <c r="AX295" s="641"/>
      <c r="AY295" s="641"/>
      <c r="AZ295" s="641"/>
      <c r="BA295" s="641"/>
      <c r="BB295" s="641"/>
      <c r="BC295" s="641"/>
      <c r="BD295" s="641"/>
      <c r="BE295" s="641"/>
      <c r="BF295" s="641"/>
      <c r="BG295" s="641"/>
      <c r="BH295" s="641"/>
      <c r="BI295" s="641"/>
      <c r="BJ295" s="641"/>
      <c r="BK295" s="641"/>
      <c r="BL295" s="641"/>
      <c r="BM295" s="641"/>
      <c r="BN295" s="641"/>
      <c r="BO295" s="641"/>
      <c r="BP295" s="641"/>
      <c r="BQ295" s="641"/>
      <c r="BR295" s="641"/>
      <c r="BS295" s="641"/>
      <c r="BT295" s="641"/>
      <c r="BU295" s="641"/>
      <c r="BV295" s="641"/>
      <c r="BW295" s="641"/>
      <c r="BX295" s="641"/>
      <c r="BY295" s="641"/>
      <c r="BZ295" s="641"/>
      <c r="CA295" s="641"/>
      <c r="CB295" s="641"/>
      <c r="CC295" s="641"/>
      <c r="CD295" s="641"/>
      <c r="CE295" s="641"/>
      <c r="CF295" s="641"/>
      <c r="CG295" s="641"/>
      <c r="CH295" s="641"/>
      <c r="CI295" s="641"/>
      <c r="CJ295" s="641"/>
      <c r="CK295" s="641"/>
      <c r="CL295" s="641"/>
      <c r="CM295" s="641"/>
      <c r="CN295" s="641"/>
      <c r="CO295" s="641"/>
      <c r="CP295" s="641"/>
      <c r="CQ295" s="641"/>
      <c r="CR295" s="641"/>
      <c r="CS295" s="641"/>
      <c r="CT295" s="641"/>
      <c r="CU295" s="641"/>
      <c r="CV295" s="641"/>
      <c r="CW295" s="641"/>
      <c r="CX295" s="641"/>
      <c r="CY295" s="641"/>
      <c r="CZ295" s="641"/>
      <c r="DA295" s="641"/>
      <c r="DB295" s="641"/>
      <c r="DC295" s="641"/>
      <c r="DD295" s="641"/>
      <c r="DE295" s="641"/>
      <c r="DF295" s="641"/>
      <c r="DG295" s="641"/>
      <c r="DH295" s="641"/>
      <c r="DI295" s="641"/>
      <c r="DJ295" s="641"/>
      <c r="DK295" s="641"/>
      <c r="DL295" s="641"/>
      <c r="DM295" s="641"/>
      <c r="DN295" s="641"/>
      <c r="DO295" s="641"/>
      <c r="DP295" s="641"/>
      <c r="DQ295" s="641"/>
      <c r="DR295" s="641"/>
      <c r="DS295" s="641"/>
      <c r="DT295" s="641"/>
      <c r="DU295" s="641"/>
      <c r="DV295" s="641"/>
      <c r="DW295" s="641"/>
      <c r="DX295" s="641"/>
      <c r="DY295" s="641"/>
      <c r="DZ295" s="641"/>
      <c r="EA295" s="641"/>
      <c r="EB295" s="641"/>
      <c r="EC295" s="641"/>
      <c r="ED295" s="641"/>
      <c r="EE295" s="641"/>
      <c r="EF295" s="641"/>
      <c r="EG295" s="641"/>
      <c r="EH295" s="641"/>
      <c r="EI295" s="641"/>
      <c r="EJ295" s="641"/>
      <c r="EK295" s="641"/>
      <c r="EL295" s="641"/>
      <c r="EM295" s="641"/>
      <c r="EN295" s="641"/>
      <c r="EO295" s="641"/>
      <c r="EP295" s="641"/>
      <c r="EQ295" s="641"/>
      <c r="ER295" s="641"/>
      <c r="ES295" s="641"/>
      <c r="ET295" s="641"/>
      <c r="EU295" s="641"/>
      <c r="EV295" s="641"/>
      <c r="EW295" s="641"/>
      <c r="EX295" s="641"/>
      <c r="EY295" s="641"/>
      <c r="EZ295" s="641"/>
      <c r="FA295" s="641"/>
      <c r="FB295" s="641"/>
      <c r="FC295" s="641"/>
      <c r="FD295" s="641"/>
      <c r="FE295" s="641"/>
      <c r="FF295" s="641"/>
      <c r="FG295" s="641"/>
      <c r="FH295" s="641"/>
      <c r="FI295" s="641"/>
      <c r="FJ295" s="641"/>
      <c r="FK295" s="641"/>
      <c r="FL295" s="641"/>
      <c r="FM295" s="641"/>
      <c r="FN295" s="641"/>
      <c r="FO295" s="641"/>
      <c r="FP295" s="641"/>
      <c r="FQ295" s="641"/>
      <c r="FR295" s="641"/>
      <c r="FS295" s="641"/>
      <c r="FT295" s="641"/>
      <c r="FU295" s="641"/>
      <c r="FV295" s="641"/>
      <c r="FW295" s="641"/>
      <c r="FX295" s="641"/>
      <c r="FY295" s="641"/>
      <c r="FZ295" s="641"/>
      <c r="GA295" s="641"/>
      <c r="GB295" s="641"/>
      <c r="GC295" s="641"/>
      <c r="GD295" s="641"/>
      <c r="GE295" s="641"/>
      <c r="GF295" s="641"/>
      <c r="GG295" s="641"/>
      <c r="GH295" s="641"/>
      <c r="GI295" s="641"/>
      <c r="GJ295" s="641"/>
      <c r="GK295" s="641"/>
      <c r="GL295" s="641"/>
      <c r="GM295" s="641"/>
      <c r="GN295" s="641"/>
      <c r="GO295" s="641"/>
      <c r="GP295" s="641"/>
      <c r="GQ295" s="641"/>
      <c r="GR295" s="641"/>
      <c r="GS295" s="641"/>
      <c r="GT295" s="641"/>
      <c r="GU295" s="641"/>
      <c r="GV295" s="641"/>
      <c r="GW295" s="641"/>
      <c r="GX295" s="641"/>
      <c r="GY295" s="641"/>
      <c r="GZ295" s="641"/>
      <c r="HA295" s="641"/>
      <c r="HB295" s="641"/>
      <c r="HC295" s="641"/>
      <c r="HD295" s="641"/>
      <c r="HE295" s="641"/>
      <c r="HF295" s="641"/>
      <c r="HG295" s="641"/>
      <c r="HH295" s="641"/>
      <c r="HI295" s="641"/>
      <c r="HJ295" s="641"/>
      <c r="HK295" s="641"/>
      <c r="HL295" s="641"/>
      <c r="HM295" s="641"/>
      <c r="HN295" s="641"/>
      <c r="HO295" s="641"/>
      <c r="HP295" s="641"/>
      <c r="HQ295" s="641"/>
      <c r="HR295" s="641"/>
      <c r="HS295" s="641"/>
      <c r="HT295" s="641"/>
      <c r="HU295" s="641"/>
      <c r="HV295" s="641"/>
      <c r="HW295" s="641"/>
      <c r="HX295" s="641"/>
      <c r="HY295" s="641"/>
      <c r="HZ295" s="641"/>
      <c r="IA295" s="641"/>
      <c r="IB295" s="641"/>
      <c r="IC295" s="641"/>
      <c r="ID295" s="641"/>
      <c r="IE295" s="641"/>
      <c r="IF295" s="641"/>
      <c r="IG295" s="641"/>
      <c r="IH295" s="641"/>
      <c r="II295" s="641"/>
      <c r="IJ295" s="641"/>
      <c r="IK295" s="641"/>
      <c r="IL295" s="641"/>
      <c r="IM295" s="641"/>
      <c r="IN295" s="641"/>
      <c r="IO295" s="641"/>
      <c r="IP295" s="641"/>
      <c r="IQ295" s="641"/>
      <c r="IR295" s="641"/>
      <c r="IS295" s="641"/>
      <c r="IT295" s="641"/>
      <c r="IU295" s="641"/>
      <c r="IV295" s="641"/>
      <c r="IW295" s="641"/>
    </row>
    <row r="296" spans="1:257" s="582" customFormat="1" ht="50.25" customHeight="1">
      <c r="A296" s="672" t="s">
        <v>91</v>
      </c>
      <c r="B296" s="696" t="s">
        <v>1611</v>
      </c>
      <c r="C296" s="635"/>
      <c r="D296" s="635"/>
      <c r="E296" s="651"/>
      <c r="F296" s="651">
        <v>645000000</v>
      </c>
      <c r="G296" s="705" t="s">
        <v>964</v>
      </c>
      <c r="H296" s="705"/>
      <c r="I296" s="705"/>
      <c r="J296" s="651">
        <v>200000000</v>
      </c>
      <c r="K296" s="651"/>
      <c r="L296" s="1305">
        <v>200000000</v>
      </c>
      <c r="M296" s="651" t="s">
        <v>1612</v>
      </c>
      <c r="N296" s="826"/>
      <c r="O296" s="826"/>
      <c r="P296" s="937"/>
      <c r="Q296" s="937"/>
      <c r="R296" s="938">
        <f>645*0.9-405</f>
        <v>175.5</v>
      </c>
      <c r="S296" s="869"/>
      <c r="T296" s="850"/>
      <c r="U296" s="655"/>
      <c r="V296" s="639"/>
      <c r="W296" s="639"/>
      <c r="X296" s="640"/>
      <c r="Y296" s="641"/>
      <c r="Z296" s="641"/>
      <c r="AA296" s="641"/>
      <c r="AB296" s="641"/>
      <c r="AC296" s="641"/>
      <c r="AD296" s="641"/>
      <c r="AE296" s="641"/>
      <c r="AF296" s="641"/>
      <c r="AG296" s="641"/>
      <c r="AH296" s="641"/>
      <c r="AI296" s="641"/>
      <c r="AJ296" s="641"/>
      <c r="AK296" s="641"/>
      <c r="AL296" s="641"/>
      <c r="AM296" s="641"/>
      <c r="AN296" s="641"/>
      <c r="AO296" s="641"/>
      <c r="AP296" s="641"/>
      <c r="AQ296" s="641"/>
      <c r="AR296" s="641"/>
      <c r="AS296" s="641"/>
      <c r="AT296" s="641"/>
      <c r="AU296" s="641"/>
      <c r="AV296" s="641"/>
      <c r="AW296" s="641"/>
      <c r="AX296" s="641"/>
      <c r="AY296" s="641"/>
      <c r="AZ296" s="641"/>
      <c r="BA296" s="641"/>
      <c r="BB296" s="641"/>
      <c r="BC296" s="641"/>
      <c r="BD296" s="641"/>
      <c r="BE296" s="641"/>
      <c r="BF296" s="641"/>
      <c r="BG296" s="641"/>
      <c r="BH296" s="641"/>
      <c r="BI296" s="641"/>
      <c r="BJ296" s="641"/>
      <c r="BK296" s="641"/>
      <c r="BL296" s="641"/>
      <c r="BM296" s="641"/>
      <c r="BN296" s="641"/>
      <c r="BO296" s="641"/>
      <c r="BP296" s="641"/>
      <c r="BQ296" s="641"/>
      <c r="BR296" s="641"/>
      <c r="BS296" s="641"/>
      <c r="BT296" s="641"/>
      <c r="BU296" s="641"/>
      <c r="BV296" s="641"/>
      <c r="BW296" s="641"/>
      <c r="BX296" s="641"/>
      <c r="BY296" s="641"/>
      <c r="BZ296" s="641"/>
      <c r="CA296" s="641"/>
      <c r="CB296" s="641"/>
      <c r="CC296" s="641"/>
      <c r="CD296" s="641"/>
      <c r="CE296" s="641"/>
      <c r="CF296" s="641"/>
      <c r="CG296" s="641"/>
      <c r="CH296" s="641"/>
      <c r="CI296" s="641"/>
      <c r="CJ296" s="641"/>
      <c r="CK296" s="641"/>
      <c r="CL296" s="641"/>
      <c r="CM296" s="641"/>
      <c r="CN296" s="641"/>
      <c r="CO296" s="641"/>
      <c r="CP296" s="641"/>
      <c r="CQ296" s="641"/>
      <c r="CR296" s="641"/>
      <c r="CS296" s="641"/>
      <c r="CT296" s="641"/>
      <c r="CU296" s="641"/>
      <c r="CV296" s="641"/>
      <c r="CW296" s="641"/>
      <c r="CX296" s="641"/>
      <c r="CY296" s="641"/>
      <c r="CZ296" s="641"/>
      <c r="DA296" s="641"/>
      <c r="DB296" s="641"/>
      <c r="DC296" s="641"/>
      <c r="DD296" s="641"/>
      <c r="DE296" s="641"/>
      <c r="DF296" s="641"/>
      <c r="DG296" s="641"/>
      <c r="DH296" s="641"/>
      <c r="DI296" s="641"/>
      <c r="DJ296" s="641"/>
      <c r="DK296" s="641"/>
      <c r="DL296" s="641"/>
      <c r="DM296" s="641"/>
      <c r="DN296" s="641"/>
      <c r="DO296" s="641"/>
      <c r="DP296" s="641"/>
      <c r="DQ296" s="641"/>
      <c r="DR296" s="641"/>
      <c r="DS296" s="641"/>
      <c r="DT296" s="641"/>
      <c r="DU296" s="641"/>
      <c r="DV296" s="641"/>
      <c r="DW296" s="641"/>
      <c r="DX296" s="641"/>
      <c r="DY296" s="641"/>
      <c r="DZ296" s="641"/>
      <c r="EA296" s="641"/>
      <c r="EB296" s="641"/>
      <c r="EC296" s="641"/>
      <c r="ED296" s="641"/>
      <c r="EE296" s="641"/>
      <c r="EF296" s="641"/>
      <c r="EG296" s="641"/>
      <c r="EH296" s="641"/>
      <c r="EI296" s="641"/>
      <c r="EJ296" s="641"/>
      <c r="EK296" s="641"/>
      <c r="EL296" s="641"/>
      <c r="EM296" s="641"/>
      <c r="EN296" s="641"/>
      <c r="EO296" s="641"/>
      <c r="EP296" s="641"/>
      <c r="EQ296" s="641"/>
      <c r="ER296" s="641"/>
      <c r="ES296" s="641"/>
      <c r="ET296" s="641"/>
      <c r="EU296" s="641"/>
      <c r="EV296" s="641"/>
      <c r="EW296" s="641"/>
      <c r="EX296" s="641"/>
      <c r="EY296" s="641"/>
      <c r="EZ296" s="641"/>
      <c r="FA296" s="641"/>
      <c r="FB296" s="641"/>
      <c r="FC296" s="641"/>
      <c r="FD296" s="641"/>
      <c r="FE296" s="641"/>
      <c r="FF296" s="641"/>
      <c r="FG296" s="641"/>
      <c r="FH296" s="641"/>
      <c r="FI296" s="641"/>
      <c r="FJ296" s="641"/>
      <c r="FK296" s="641"/>
      <c r="FL296" s="641"/>
      <c r="FM296" s="641"/>
      <c r="FN296" s="641"/>
      <c r="FO296" s="641"/>
      <c r="FP296" s="641"/>
      <c r="FQ296" s="641"/>
      <c r="FR296" s="641"/>
      <c r="FS296" s="641"/>
      <c r="FT296" s="641"/>
      <c r="FU296" s="641"/>
      <c r="FV296" s="641"/>
      <c r="FW296" s="641"/>
      <c r="FX296" s="641"/>
      <c r="FY296" s="641"/>
      <c r="FZ296" s="641"/>
      <c r="GA296" s="641"/>
      <c r="GB296" s="641"/>
      <c r="GC296" s="641"/>
      <c r="GD296" s="641"/>
      <c r="GE296" s="641"/>
      <c r="GF296" s="641"/>
      <c r="GG296" s="641"/>
      <c r="GH296" s="641"/>
      <c r="GI296" s="641"/>
      <c r="GJ296" s="641"/>
      <c r="GK296" s="641"/>
      <c r="GL296" s="641"/>
      <c r="GM296" s="641"/>
      <c r="GN296" s="641"/>
      <c r="GO296" s="641"/>
      <c r="GP296" s="641"/>
      <c r="GQ296" s="641"/>
      <c r="GR296" s="641"/>
      <c r="GS296" s="641"/>
      <c r="GT296" s="641"/>
      <c r="GU296" s="641"/>
      <c r="GV296" s="641"/>
      <c r="GW296" s="641"/>
      <c r="GX296" s="641"/>
      <c r="GY296" s="641"/>
      <c r="GZ296" s="641"/>
      <c r="HA296" s="641"/>
      <c r="HB296" s="641"/>
      <c r="HC296" s="641"/>
      <c r="HD296" s="641"/>
      <c r="HE296" s="641"/>
      <c r="HF296" s="641"/>
      <c r="HG296" s="641"/>
      <c r="HH296" s="641"/>
      <c r="HI296" s="641"/>
      <c r="HJ296" s="641"/>
      <c r="HK296" s="641"/>
      <c r="HL296" s="641"/>
      <c r="HM296" s="641"/>
      <c r="HN296" s="641"/>
      <c r="HO296" s="641"/>
      <c r="HP296" s="641"/>
      <c r="HQ296" s="641"/>
      <c r="HR296" s="641"/>
      <c r="HS296" s="641"/>
      <c r="HT296" s="641"/>
      <c r="HU296" s="641"/>
      <c r="HV296" s="641"/>
      <c r="HW296" s="641"/>
      <c r="HX296" s="641"/>
      <c r="HY296" s="641"/>
      <c r="HZ296" s="641"/>
      <c r="IA296" s="641"/>
      <c r="IB296" s="641"/>
      <c r="IC296" s="641"/>
      <c r="ID296" s="641"/>
      <c r="IE296" s="641"/>
      <c r="IF296" s="641"/>
      <c r="IG296" s="641"/>
      <c r="IH296" s="641"/>
      <c r="II296" s="641"/>
      <c r="IJ296" s="641"/>
      <c r="IK296" s="641"/>
      <c r="IL296" s="641"/>
      <c r="IM296" s="641"/>
      <c r="IN296" s="641"/>
      <c r="IO296" s="641"/>
      <c r="IP296" s="641"/>
      <c r="IQ296" s="641"/>
      <c r="IR296" s="641"/>
      <c r="IS296" s="641"/>
      <c r="IT296" s="641"/>
      <c r="IU296" s="641"/>
      <c r="IV296" s="641"/>
      <c r="IW296" s="641"/>
    </row>
    <row r="297" spans="1:257" s="748" customFormat="1" ht="63">
      <c r="A297" s="939" t="s">
        <v>91</v>
      </c>
      <c r="B297" s="902" t="s">
        <v>1599</v>
      </c>
      <c r="C297" s="774"/>
      <c r="D297" s="774"/>
      <c r="E297" s="676"/>
      <c r="F297" s="676">
        <v>350000000</v>
      </c>
      <c r="G297" s="676"/>
      <c r="H297" s="676"/>
      <c r="I297" s="676"/>
      <c r="J297" s="676">
        <v>450000000</v>
      </c>
      <c r="K297" s="676">
        <v>550000000</v>
      </c>
      <c r="L297" s="1305">
        <v>550000000</v>
      </c>
      <c r="M297" s="676" t="s">
        <v>1600</v>
      </c>
      <c r="N297" s="940"/>
      <c r="O297" s="940"/>
      <c r="P297" s="940"/>
      <c r="Q297" s="940"/>
      <c r="R297" s="941"/>
      <c r="S297" s="941"/>
      <c r="T297" s="942"/>
      <c r="U297" s="776"/>
      <c r="V297" s="784"/>
      <c r="W297" s="784"/>
      <c r="X297" s="663"/>
      <c r="Y297" s="749"/>
      <c r="Z297" s="749"/>
      <c r="AA297" s="749"/>
      <c r="AB297" s="749"/>
      <c r="AC297" s="749"/>
      <c r="AD297" s="749"/>
      <c r="AE297" s="749"/>
      <c r="AF297" s="749"/>
      <c r="AG297" s="749"/>
      <c r="AH297" s="749"/>
      <c r="AI297" s="749"/>
      <c r="AJ297" s="749"/>
      <c r="AK297" s="749"/>
      <c r="AL297" s="749"/>
      <c r="AM297" s="749"/>
      <c r="AN297" s="749"/>
      <c r="AO297" s="749"/>
      <c r="AP297" s="749"/>
      <c r="AQ297" s="749"/>
      <c r="AR297" s="749"/>
      <c r="AS297" s="749"/>
      <c r="AT297" s="749"/>
      <c r="AU297" s="749"/>
      <c r="AV297" s="749"/>
      <c r="AW297" s="749"/>
      <c r="AX297" s="749"/>
      <c r="AY297" s="749"/>
      <c r="AZ297" s="749"/>
      <c r="BA297" s="749"/>
      <c r="BB297" s="749"/>
      <c r="BC297" s="749"/>
      <c r="BD297" s="749"/>
      <c r="BE297" s="749"/>
      <c r="BF297" s="749"/>
      <c r="BG297" s="749"/>
      <c r="BH297" s="749"/>
      <c r="BI297" s="749"/>
      <c r="BJ297" s="749"/>
      <c r="BK297" s="749"/>
      <c r="BL297" s="749"/>
      <c r="BM297" s="749"/>
      <c r="BN297" s="749"/>
      <c r="BO297" s="749"/>
      <c r="BP297" s="749"/>
      <c r="BQ297" s="749"/>
      <c r="BR297" s="749"/>
      <c r="BS297" s="749"/>
      <c r="BT297" s="749"/>
      <c r="BU297" s="749"/>
      <c r="BV297" s="749"/>
      <c r="BW297" s="749"/>
      <c r="BX297" s="749"/>
      <c r="BY297" s="749"/>
      <c r="BZ297" s="749"/>
      <c r="CA297" s="749"/>
      <c r="CB297" s="749"/>
      <c r="CC297" s="749"/>
      <c r="CD297" s="749"/>
      <c r="CE297" s="749"/>
      <c r="CF297" s="749"/>
      <c r="CG297" s="749"/>
      <c r="CH297" s="749"/>
      <c r="CI297" s="749"/>
      <c r="CJ297" s="749"/>
      <c r="CK297" s="749"/>
      <c r="CL297" s="749"/>
      <c r="CM297" s="749"/>
      <c r="CN297" s="749"/>
      <c r="CO297" s="749"/>
      <c r="CP297" s="749"/>
      <c r="CQ297" s="749"/>
      <c r="CR297" s="749"/>
      <c r="CS297" s="749"/>
      <c r="CT297" s="749"/>
      <c r="CU297" s="749"/>
      <c r="CV297" s="749"/>
      <c r="CW297" s="749"/>
      <c r="CX297" s="749"/>
      <c r="CY297" s="749"/>
      <c r="CZ297" s="749"/>
      <c r="DA297" s="749"/>
      <c r="DB297" s="749"/>
      <c r="DC297" s="749"/>
      <c r="DD297" s="749"/>
      <c r="DE297" s="749"/>
      <c r="DF297" s="749"/>
      <c r="DG297" s="749"/>
      <c r="DH297" s="749"/>
      <c r="DI297" s="749"/>
      <c r="DJ297" s="749"/>
      <c r="DK297" s="749"/>
      <c r="DL297" s="749"/>
      <c r="DM297" s="749"/>
      <c r="DN297" s="749"/>
      <c r="DO297" s="749"/>
      <c r="DP297" s="749"/>
      <c r="DQ297" s="749"/>
      <c r="DR297" s="749"/>
      <c r="DS297" s="749"/>
      <c r="DT297" s="749"/>
      <c r="DU297" s="749"/>
      <c r="DV297" s="749"/>
      <c r="DW297" s="749"/>
      <c r="DX297" s="749"/>
      <c r="DY297" s="749"/>
      <c r="DZ297" s="749"/>
      <c r="EA297" s="749"/>
      <c r="EB297" s="749"/>
      <c r="EC297" s="749"/>
      <c r="ED297" s="749"/>
      <c r="EE297" s="749"/>
      <c r="EF297" s="749"/>
      <c r="EG297" s="749"/>
      <c r="EH297" s="749"/>
      <c r="EI297" s="749"/>
      <c r="EJ297" s="749"/>
      <c r="EK297" s="749"/>
      <c r="EL297" s="749"/>
      <c r="EM297" s="749"/>
      <c r="EN297" s="749"/>
      <c r="EO297" s="749"/>
      <c r="EP297" s="749"/>
      <c r="EQ297" s="749"/>
      <c r="ER297" s="749"/>
      <c r="ES297" s="749"/>
      <c r="ET297" s="749"/>
      <c r="EU297" s="749"/>
      <c r="EV297" s="749"/>
      <c r="EW297" s="749"/>
      <c r="EX297" s="749"/>
      <c r="EY297" s="749"/>
      <c r="EZ297" s="749"/>
      <c r="FA297" s="749"/>
      <c r="FB297" s="749"/>
      <c r="FC297" s="749"/>
      <c r="FD297" s="749"/>
      <c r="FE297" s="749"/>
      <c r="FF297" s="749"/>
      <c r="FG297" s="749"/>
      <c r="FH297" s="749"/>
      <c r="FI297" s="749"/>
      <c r="FJ297" s="749"/>
      <c r="FK297" s="749"/>
      <c r="FL297" s="749"/>
      <c r="FM297" s="749"/>
      <c r="FN297" s="749"/>
      <c r="FO297" s="749"/>
      <c r="FP297" s="749"/>
      <c r="FQ297" s="749"/>
      <c r="FR297" s="749"/>
      <c r="FS297" s="749"/>
      <c r="FT297" s="749"/>
      <c r="FU297" s="749"/>
      <c r="FV297" s="749"/>
      <c r="FW297" s="749"/>
      <c r="FX297" s="749"/>
      <c r="FY297" s="749"/>
      <c r="FZ297" s="749"/>
      <c r="GA297" s="749"/>
      <c r="GB297" s="749"/>
      <c r="GC297" s="749"/>
      <c r="GD297" s="749"/>
      <c r="GE297" s="749"/>
      <c r="GF297" s="749"/>
      <c r="GG297" s="749"/>
      <c r="GH297" s="749"/>
      <c r="GI297" s="749"/>
      <c r="GJ297" s="749"/>
      <c r="GK297" s="749"/>
      <c r="GL297" s="749"/>
      <c r="GM297" s="749"/>
      <c r="GN297" s="749"/>
      <c r="GO297" s="749"/>
      <c r="GP297" s="749"/>
      <c r="GQ297" s="749"/>
      <c r="GR297" s="749"/>
      <c r="GS297" s="749"/>
      <c r="GT297" s="749"/>
      <c r="GU297" s="749"/>
      <c r="GV297" s="749"/>
      <c r="GW297" s="749"/>
      <c r="GX297" s="749"/>
      <c r="GY297" s="749"/>
      <c r="GZ297" s="749"/>
      <c r="HA297" s="749"/>
      <c r="HB297" s="749"/>
      <c r="HC297" s="749"/>
      <c r="HD297" s="749"/>
      <c r="HE297" s="749"/>
      <c r="HF297" s="749"/>
      <c r="HG297" s="749"/>
      <c r="HH297" s="749"/>
      <c r="HI297" s="749"/>
      <c r="HJ297" s="749"/>
      <c r="HK297" s="749"/>
      <c r="HL297" s="749"/>
      <c r="HM297" s="749"/>
      <c r="HN297" s="749"/>
      <c r="HO297" s="749"/>
      <c r="HP297" s="749"/>
      <c r="HQ297" s="749"/>
      <c r="HR297" s="749"/>
      <c r="HS297" s="749"/>
      <c r="HT297" s="749"/>
      <c r="HU297" s="749"/>
      <c r="HV297" s="749"/>
      <c r="HW297" s="749"/>
      <c r="HX297" s="749"/>
      <c r="HY297" s="749"/>
      <c r="HZ297" s="749"/>
      <c r="IA297" s="749"/>
      <c r="IB297" s="749"/>
      <c r="IC297" s="749"/>
      <c r="ID297" s="749"/>
      <c r="IE297" s="749"/>
      <c r="IF297" s="749"/>
      <c r="IG297" s="749"/>
      <c r="IH297" s="749"/>
      <c r="II297" s="749"/>
      <c r="IJ297" s="749"/>
      <c r="IK297" s="749"/>
      <c r="IL297" s="749"/>
      <c r="IM297" s="749"/>
      <c r="IN297" s="749"/>
      <c r="IO297" s="749"/>
      <c r="IP297" s="749"/>
      <c r="IQ297" s="749"/>
      <c r="IR297" s="749"/>
      <c r="IS297" s="749"/>
      <c r="IT297" s="749"/>
      <c r="IU297" s="749"/>
      <c r="IV297" s="749"/>
      <c r="IW297" s="749"/>
    </row>
    <row r="298" spans="1:257" s="582" customFormat="1" ht="31.5">
      <c r="A298" s="672" t="s">
        <v>91</v>
      </c>
      <c r="B298" s="696" t="s">
        <v>965</v>
      </c>
      <c r="C298" s="635"/>
      <c r="D298" s="635"/>
      <c r="E298" s="651"/>
      <c r="F298" s="651"/>
      <c r="G298" s="651"/>
      <c r="H298" s="651"/>
      <c r="I298" s="651"/>
      <c r="J298" s="651">
        <v>500000000</v>
      </c>
      <c r="K298" s="651">
        <v>200000000</v>
      </c>
      <c r="L298" s="1305">
        <v>250000000</v>
      </c>
      <c r="M298" s="651" t="s">
        <v>1604</v>
      </c>
      <c r="N298" s="826"/>
      <c r="O298" s="826"/>
      <c r="P298" s="826"/>
      <c r="Q298" s="826"/>
      <c r="R298" s="869"/>
      <c r="S298" s="869"/>
      <c r="T298" s="850"/>
      <c r="U298" s="655"/>
      <c r="V298" s="639"/>
      <c r="W298" s="639"/>
      <c r="X298" s="640"/>
      <c r="Y298" s="641"/>
      <c r="Z298" s="641"/>
      <c r="AA298" s="641"/>
      <c r="AB298" s="641"/>
      <c r="AC298" s="641"/>
      <c r="AD298" s="641"/>
      <c r="AE298" s="641"/>
      <c r="AF298" s="641"/>
      <c r="AG298" s="641"/>
      <c r="AH298" s="641"/>
      <c r="AI298" s="641"/>
      <c r="AJ298" s="641"/>
      <c r="AK298" s="641"/>
      <c r="AL298" s="641"/>
      <c r="AM298" s="641"/>
      <c r="AN298" s="641"/>
      <c r="AO298" s="641"/>
      <c r="AP298" s="641"/>
      <c r="AQ298" s="641"/>
      <c r="AR298" s="641"/>
      <c r="AS298" s="641"/>
      <c r="AT298" s="641"/>
      <c r="AU298" s="641"/>
      <c r="AV298" s="641"/>
      <c r="AW298" s="641"/>
      <c r="AX298" s="641"/>
      <c r="AY298" s="641"/>
      <c r="AZ298" s="641"/>
      <c r="BA298" s="641"/>
      <c r="BB298" s="641"/>
      <c r="BC298" s="641"/>
      <c r="BD298" s="641"/>
      <c r="BE298" s="641"/>
      <c r="BF298" s="641"/>
      <c r="BG298" s="641"/>
      <c r="BH298" s="641"/>
      <c r="BI298" s="641"/>
      <c r="BJ298" s="641"/>
      <c r="BK298" s="641"/>
      <c r="BL298" s="641"/>
      <c r="BM298" s="641"/>
      <c r="BN298" s="641"/>
      <c r="BO298" s="641"/>
      <c r="BP298" s="641"/>
      <c r="BQ298" s="641"/>
      <c r="BR298" s="641"/>
      <c r="BS298" s="641"/>
      <c r="BT298" s="641"/>
      <c r="BU298" s="641"/>
      <c r="BV298" s="641"/>
      <c r="BW298" s="641"/>
      <c r="BX298" s="641"/>
      <c r="BY298" s="641"/>
      <c r="BZ298" s="641"/>
      <c r="CA298" s="641"/>
      <c r="CB298" s="641"/>
      <c r="CC298" s="641"/>
      <c r="CD298" s="641"/>
      <c r="CE298" s="641"/>
      <c r="CF298" s="641"/>
      <c r="CG298" s="641"/>
      <c r="CH298" s="641"/>
      <c r="CI298" s="641"/>
      <c r="CJ298" s="641"/>
      <c r="CK298" s="641"/>
      <c r="CL298" s="641"/>
      <c r="CM298" s="641"/>
      <c r="CN298" s="641"/>
      <c r="CO298" s="641"/>
      <c r="CP298" s="641"/>
      <c r="CQ298" s="641"/>
      <c r="CR298" s="641"/>
      <c r="CS298" s="641"/>
      <c r="CT298" s="641"/>
      <c r="CU298" s="641"/>
      <c r="CV298" s="641"/>
      <c r="CW298" s="641"/>
      <c r="CX298" s="641"/>
      <c r="CY298" s="641"/>
      <c r="CZ298" s="641"/>
      <c r="DA298" s="641"/>
      <c r="DB298" s="641"/>
      <c r="DC298" s="641"/>
      <c r="DD298" s="641"/>
      <c r="DE298" s="641"/>
      <c r="DF298" s="641"/>
      <c r="DG298" s="641"/>
      <c r="DH298" s="641"/>
      <c r="DI298" s="641"/>
      <c r="DJ298" s="641"/>
      <c r="DK298" s="641"/>
      <c r="DL298" s="641"/>
      <c r="DM298" s="641"/>
      <c r="DN298" s="641"/>
      <c r="DO298" s="641"/>
      <c r="DP298" s="641"/>
      <c r="DQ298" s="641"/>
      <c r="DR298" s="641"/>
      <c r="DS298" s="641"/>
      <c r="DT298" s="641"/>
      <c r="DU298" s="641"/>
      <c r="DV298" s="641"/>
      <c r="DW298" s="641"/>
      <c r="DX298" s="641"/>
      <c r="DY298" s="641"/>
      <c r="DZ298" s="641"/>
      <c r="EA298" s="641"/>
      <c r="EB298" s="641"/>
      <c r="EC298" s="641"/>
      <c r="ED298" s="641"/>
      <c r="EE298" s="641"/>
      <c r="EF298" s="641"/>
      <c r="EG298" s="641"/>
      <c r="EH298" s="641"/>
      <c r="EI298" s="641"/>
      <c r="EJ298" s="641"/>
      <c r="EK298" s="641"/>
      <c r="EL298" s="641"/>
      <c r="EM298" s="641"/>
      <c r="EN298" s="641"/>
      <c r="EO298" s="641"/>
      <c r="EP298" s="641"/>
      <c r="EQ298" s="641"/>
      <c r="ER298" s="641"/>
      <c r="ES298" s="641"/>
      <c r="ET298" s="641"/>
      <c r="EU298" s="641"/>
      <c r="EV298" s="641"/>
      <c r="EW298" s="641"/>
      <c r="EX298" s="641"/>
      <c r="EY298" s="641"/>
      <c r="EZ298" s="641"/>
      <c r="FA298" s="641"/>
      <c r="FB298" s="641"/>
      <c r="FC298" s="641"/>
      <c r="FD298" s="641"/>
      <c r="FE298" s="641"/>
      <c r="FF298" s="641"/>
      <c r="FG298" s="641"/>
      <c r="FH298" s="641"/>
      <c r="FI298" s="641"/>
      <c r="FJ298" s="641"/>
      <c r="FK298" s="641"/>
      <c r="FL298" s="641"/>
      <c r="FM298" s="641"/>
      <c r="FN298" s="641"/>
      <c r="FO298" s="641"/>
      <c r="FP298" s="641"/>
      <c r="FQ298" s="641"/>
      <c r="FR298" s="641"/>
      <c r="FS298" s="641"/>
      <c r="FT298" s="641"/>
      <c r="FU298" s="641"/>
      <c r="FV298" s="641"/>
      <c r="FW298" s="641"/>
      <c r="FX298" s="641"/>
      <c r="FY298" s="641"/>
      <c r="FZ298" s="641"/>
      <c r="GA298" s="641"/>
      <c r="GB298" s="641"/>
      <c r="GC298" s="641"/>
      <c r="GD298" s="641"/>
      <c r="GE298" s="641"/>
      <c r="GF298" s="641"/>
      <c r="GG298" s="641"/>
      <c r="GH298" s="641"/>
      <c r="GI298" s="641"/>
      <c r="GJ298" s="641"/>
      <c r="GK298" s="641"/>
      <c r="GL298" s="641"/>
      <c r="GM298" s="641"/>
      <c r="GN298" s="641"/>
      <c r="GO298" s="641"/>
      <c r="GP298" s="641"/>
      <c r="GQ298" s="641"/>
      <c r="GR298" s="641"/>
      <c r="GS298" s="641"/>
      <c r="GT298" s="641"/>
      <c r="GU298" s="641"/>
      <c r="GV298" s="641"/>
      <c r="GW298" s="641"/>
      <c r="GX298" s="641"/>
      <c r="GY298" s="641"/>
      <c r="GZ298" s="641"/>
      <c r="HA298" s="641"/>
      <c r="HB298" s="641"/>
      <c r="HC298" s="641"/>
      <c r="HD298" s="641"/>
      <c r="HE298" s="641"/>
      <c r="HF298" s="641"/>
      <c r="HG298" s="641"/>
      <c r="HH298" s="641"/>
      <c r="HI298" s="641"/>
      <c r="HJ298" s="641"/>
      <c r="HK298" s="641"/>
      <c r="HL298" s="641"/>
      <c r="HM298" s="641"/>
      <c r="HN298" s="641"/>
      <c r="HO298" s="641"/>
      <c r="HP298" s="641"/>
      <c r="HQ298" s="641"/>
      <c r="HR298" s="641"/>
      <c r="HS298" s="641"/>
      <c r="HT298" s="641"/>
      <c r="HU298" s="641"/>
      <c r="HV298" s="641"/>
      <c r="HW298" s="641"/>
      <c r="HX298" s="641"/>
      <c r="HY298" s="641"/>
      <c r="HZ298" s="641"/>
      <c r="IA298" s="641"/>
      <c r="IB298" s="641"/>
      <c r="IC298" s="641"/>
      <c r="ID298" s="641"/>
      <c r="IE298" s="641"/>
      <c r="IF298" s="641"/>
      <c r="IG298" s="641"/>
      <c r="IH298" s="641"/>
      <c r="II298" s="641"/>
      <c r="IJ298" s="641"/>
      <c r="IK298" s="641"/>
      <c r="IL298" s="641"/>
      <c r="IM298" s="641"/>
      <c r="IN298" s="641"/>
      <c r="IO298" s="641"/>
      <c r="IP298" s="641"/>
      <c r="IQ298" s="641"/>
      <c r="IR298" s="641"/>
      <c r="IS298" s="641"/>
      <c r="IT298" s="641"/>
      <c r="IU298" s="641"/>
      <c r="IV298" s="641"/>
      <c r="IW298" s="641"/>
    </row>
    <row r="299" spans="1:257" s="582" customFormat="1">
      <c r="A299" s="672" t="s">
        <v>91</v>
      </c>
      <c r="B299" s="696" t="s">
        <v>966</v>
      </c>
      <c r="C299" s="635"/>
      <c r="D299" s="635"/>
      <c r="E299" s="651"/>
      <c r="F299" s="651"/>
      <c r="G299" s="651"/>
      <c r="H299" s="651"/>
      <c r="I299" s="651"/>
      <c r="J299" s="651">
        <v>200000000</v>
      </c>
      <c r="K299" s="651">
        <v>490000000</v>
      </c>
      <c r="L299" s="1305"/>
      <c r="M299" s="651"/>
      <c r="N299" s="826"/>
      <c r="O299" s="826"/>
      <c r="P299" s="826"/>
      <c r="Q299" s="826"/>
      <c r="R299" s="869"/>
      <c r="S299" s="869"/>
      <c r="T299" s="850"/>
      <c r="U299" s="655"/>
      <c r="V299" s="639"/>
      <c r="W299" s="639"/>
      <c r="X299" s="640"/>
      <c r="Y299" s="641"/>
      <c r="Z299" s="641"/>
      <c r="AA299" s="641"/>
      <c r="AB299" s="641"/>
      <c r="AC299" s="641"/>
      <c r="AD299" s="641"/>
      <c r="AE299" s="641"/>
      <c r="AF299" s="641"/>
      <c r="AG299" s="641"/>
      <c r="AH299" s="641"/>
      <c r="AI299" s="641"/>
      <c r="AJ299" s="641"/>
      <c r="AK299" s="641"/>
      <c r="AL299" s="641"/>
      <c r="AM299" s="641"/>
      <c r="AN299" s="641"/>
      <c r="AO299" s="641"/>
      <c r="AP299" s="641"/>
      <c r="AQ299" s="641"/>
      <c r="AR299" s="641"/>
      <c r="AS299" s="641"/>
      <c r="AT299" s="641"/>
      <c r="AU299" s="641"/>
      <c r="AV299" s="641"/>
      <c r="AW299" s="641"/>
      <c r="AX299" s="641"/>
      <c r="AY299" s="641"/>
      <c r="AZ299" s="641"/>
      <c r="BA299" s="641"/>
      <c r="BB299" s="641"/>
      <c r="BC299" s="641"/>
      <c r="BD299" s="641"/>
      <c r="BE299" s="641"/>
      <c r="BF299" s="641"/>
      <c r="BG299" s="641"/>
      <c r="BH299" s="641"/>
      <c r="BI299" s="641"/>
      <c r="BJ299" s="641"/>
      <c r="BK299" s="641"/>
      <c r="BL299" s="641"/>
      <c r="BM299" s="641"/>
      <c r="BN299" s="641"/>
      <c r="BO299" s="641"/>
      <c r="BP299" s="641"/>
      <c r="BQ299" s="641"/>
      <c r="BR299" s="641"/>
      <c r="BS299" s="641"/>
      <c r="BT299" s="641"/>
      <c r="BU299" s="641"/>
      <c r="BV299" s="641"/>
      <c r="BW299" s="641"/>
      <c r="BX299" s="641"/>
      <c r="BY299" s="641"/>
      <c r="BZ299" s="641"/>
      <c r="CA299" s="641"/>
      <c r="CB299" s="641"/>
      <c r="CC299" s="641"/>
      <c r="CD299" s="641"/>
      <c r="CE299" s="641"/>
      <c r="CF299" s="641"/>
      <c r="CG299" s="641"/>
      <c r="CH299" s="641"/>
      <c r="CI299" s="641"/>
      <c r="CJ299" s="641"/>
      <c r="CK299" s="641"/>
      <c r="CL299" s="641"/>
      <c r="CM299" s="641"/>
      <c r="CN299" s="641"/>
      <c r="CO299" s="641"/>
      <c r="CP299" s="641"/>
      <c r="CQ299" s="641"/>
      <c r="CR299" s="641"/>
      <c r="CS299" s="641"/>
      <c r="CT299" s="641"/>
      <c r="CU299" s="641"/>
      <c r="CV299" s="641"/>
      <c r="CW299" s="641"/>
      <c r="CX299" s="641"/>
      <c r="CY299" s="641"/>
      <c r="CZ299" s="641"/>
      <c r="DA299" s="641"/>
      <c r="DB299" s="641"/>
      <c r="DC299" s="641"/>
      <c r="DD299" s="641"/>
      <c r="DE299" s="641"/>
      <c r="DF299" s="641"/>
      <c r="DG299" s="641"/>
      <c r="DH299" s="641"/>
      <c r="DI299" s="641"/>
      <c r="DJ299" s="641"/>
      <c r="DK299" s="641"/>
      <c r="DL299" s="641"/>
      <c r="DM299" s="641"/>
      <c r="DN299" s="641"/>
      <c r="DO299" s="641"/>
      <c r="DP299" s="641"/>
      <c r="DQ299" s="641"/>
      <c r="DR299" s="641"/>
      <c r="DS299" s="641"/>
      <c r="DT299" s="641"/>
      <c r="DU299" s="641"/>
      <c r="DV299" s="641"/>
      <c r="DW299" s="641"/>
      <c r="DX299" s="641"/>
      <c r="DY299" s="641"/>
      <c r="DZ299" s="641"/>
      <c r="EA299" s="641"/>
      <c r="EB299" s="641"/>
      <c r="EC299" s="641"/>
      <c r="ED299" s="641"/>
      <c r="EE299" s="641"/>
      <c r="EF299" s="641"/>
      <c r="EG299" s="641"/>
      <c r="EH299" s="641"/>
      <c r="EI299" s="641"/>
      <c r="EJ299" s="641"/>
      <c r="EK299" s="641"/>
      <c r="EL299" s="641"/>
      <c r="EM299" s="641"/>
      <c r="EN299" s="641"/>
      <c r="EO299" s="641"/>
      <c r="EP299" s="641"/>
      <c r="EQ299" s="641"/>
      <c r="ER299" s="641"/>
      <c r="ES299" s="641"/>
      <c r="ET299" s="641"/>
      <c r="EU299" s="641"/>
      <c r="EV299" s="641"/>
      <c r="EW299" s="641"/>
      <c r="EX299" s="641"/>
      <c r="EY299" s="641"/>
      <c r="EZ299" s="641"/>
      <c r="FA299" s="641"/>
      <c r="FB299" s="641"/>
      <c r="FC299" s="641"/>
      <c r="FD299" s="641"/>
      <c r="FE299" s="641"/>
      <c r="FF299" s="641"/>
      <c r="FG299" s="641"/>
      <c r="FH299" s="641"/>
      <c r="FI299" s="641"/>
      <c r="FJ299" s="641"/>
      <c r="FK299" s="641"/>
      <c r="FL299" s="641"/>
      <c r="FM299" s="641"/>
      <c r="FN299" s="641"/>
      <c r="FO299" s="641"/>
      <c r="FP299" s="641"/>
      <c r="FQ299" s="641"/>
      <c r="FR299" s="641"/>
      <c r="FS299" s="641"/>
      <c r="FT299" s="641"/>
      <c r="FU299" s="641"/>
      <c r="FV299" s="641"/>
      <c r="FW299" s="641"/>
      <c r="FX299" s="641"/>
      <c r="FY299" s="641"/>
      <c r="FZ299" s="641"/>
      <c r="GA299" s="641"/>
      <c r="GB299" s="641"/>
      <c r="GC299" s="641"/>
      <c r="GD299" s="641"/>
      <c r="GE299" s="641"/>
      <c r="GF299" s="641"/>
      <c r="GG299" s="641"/>
      <c r="GH299" s="641"/>
      <c r="GI299" s="641"/>
      <c r="GJ299" s="641"/>
      <c r="GK299" s="641"/>
      <c r="GL299" s="641"/>
      <c r="GM299" s="641"/>
      <c r="GN299" s="641"/>
      <c r="GO299" s="641"/>
      <c r="GP299" s="641"/>
      <c r="GQ299" s="641"/>
      <c r="GR299" s="641"/>
      <c r="GS299" s="641"/>
      <c r="GT299" s="641"/>
      <c r="GU299" s="641"/>
      <c r="GV299" s="641"/>
      <c r="GW299" s="641"/>
      <c r="GX299" s="641"/>
      <c r="GY299" s="641"/>
      <c r="GZ299" s="641"/>
      <c r="HA299" s="641"/>
      <c r="HB299" s="641"/>
      <c r="HC299" s="641"/>
      <c r="HD299" s="641"/>
      <c r="HE299" s="641"/>
      <c r="HF299" s="641"/>
      <c r="HG299" s="641"/>
      <c r="HH299" s="641"/>
      <c r="HI299" s="641"/>
      <c r="HJ299" s="641"/>
      <c r="HK299" s="641"/>
      <c r="HL299" s="641"/>
      <c r="HM299" s="641"/>
      <c r="HN299" s="641"/>
      <c r="HO299" s="641"/>
      <c r="HP299" s="641"/>
      <c r="HQ299" s="641"/>
      <c r="HR299" s="641"/>
      <c r="HS299" s="641"/>
      <c r="HT299" s="641"/>
      <c r="HU299" s="641"/>
      <c r="HV299" s="641"/>
      <c r="HW299" s="641"/>
      <c r="HX299" s="641"/>
      <c r="HY299" s="641"/>
      <c r="HZ299" s="641"/>
      <c r="IA299" s="641"/>
      <c r="IB299" s="641"/>
      <c r="IC299" s="641"/>
      <c r="ID299" s="641"/>
      <c r="IE299" s="641"/>
      <c r="IF299" s="641"/>
      <c r="IG299" s="641"/>
      <c r="IH299" s="641"/>
      <c r="II299" s="641"/>
      <c r="IJ299" s="641"/>
      <c r="IK299" s="641"/>
      <c r="IL299" s="641"/>
      <c r="IM299" s="641"/>
      <c r="IN299" s="641"/>
      <c r="IO299" s="641"/>
      <c r="IP299" s="641"/>
      <c r="IQ299" s="641"/>
      <c r="IR299" s="641"/>
      <c r="IS299" s="641"/>
      <c r="IT299" s="641"/>
      <c r="IU299" s="641"/>
      <c r="IV299" s="641"/>
      <c r="IW299" s="641"/>
    </row>
    <row r="300" spans="1:257" s="582" customFormat="1" ht="31.5">
      <c r="A300" s="672" t="s">
        <v>842</v>
      </c>
      <c r="B300" s="696" t="s">
        <v>1602</v>
      </c>
      <c r="C300" s="635"/>
      <c r="D300" s="635"/>
      <c r="E300" s="651"/>
      <c r="F300" s="651"/>
      <c r="G300" s="651"/>
      <c r="H300" s="651"/>
      <c r="I300" s="651"/>
      <c r="J300" s="651">
        <v>200000000</v>
      </c>
      <c r="K300" s="651"/>
      <c r="L300" s="1305">
        <v>100000000</v>
      </c>
      <c r="M300" s="651" t="s">
        <v>1603</v>
      </c>
      <c r="N300" s="826"/>
      <c r="O300" s="826"/>
      <c r="P300" s="826"/>
      <c r="Q300" s="826"/>
      <c r="R300" s="869"/>
      <c r="S300" s="869"/>
      <c r="T300" s="850"/>
      <c r="U300" s="655"/>
      <c r="V300" s="639"/>
      <c r="W300" s="639"/>
      <c r="X300" s="640"/>
      <c r="Y300" s="641"/>
      <c r="Z300" s="641"/>
      <c r="AA300" s="641"/>
      <c r="AB300" s="641"/>
      <c r="AC300" s="641"/>
      <c r="AD300" s="641"/>
      <c r="AE300" s="641"/>
      <c r="AF300" s="641"/>
      <c r="AG300" s="641"/>
      <c r="AH300" s="641"/>
      <c r="AI300" s="641"/>
      <c r="AJ300" s="641"/>
      <c r="AK300" s="641"/>
      <c r="AL300" s="641"/>
      <c r="AM300" s="641"/>
      <c r="AN300" s="641"/>
      <c r="AO300" s="641"/>
      <c r="AP300" s="641"/>
      <c r="AQ300" s="641"/>
      <c r="AR300" s="641"/>
      <c r="AS300" s="641"/>
      <c r="AT300" s="641"/>
      <c r="AU300" s="641"/>
      <c r="AV300" s="641"/>
      <c r="AW300" s="641"/>
      <c r="AX300" s="641"/>
      <c r="AY300" s="641"/>
      <c r="AZ300" s="641"/>
      <c r="BA300" s="641"/>
      <c r="BB300" s="641"/>
      <c r="BC300" s="641"/>
      <c r="BD300" s="641"/>
      <c r="BE300" s="641"/>
      <c r="BF300" s="641"/>
      <c r="BG300" s="641"/>
      <c r="BH300" s="641"/>
      <c r="BI300" s="641"/>
      <c r="BJ300" s="641"/>
      <c r="BK300" s="641"/>
      <c r="BL300" s="641"/>
      <c r="BM300" s="641"/>
      <c r="BN300" s="641"/>
      <c r="BO300" s="641"/>
      <c r="BP300" s="641"/>
      <c r="BQ300" s="641"/>
      <c r="BR300" s="641"/>
      <c r="BS300" s="641"/>
      <c r="BT300" s="641"/>
      <c r="BU300" s="641"/>
      <c r="BV300" s="641"/>
      <c r="BW300" s="641"/>
      <c r="BX300" s="641"/>
      <c r="BY300" s="641"/>
      <c r="BZ300" s="641"/>
      <c r="CA300" s="641"/>
      <c r="CB300" s="641"/>
      <c r="CC300" s="641"/>
      <c r="CD300" s="641"/>
      <c r="CE300" s="641"/>
      <c r="CF300" s="641"/>
      <c r="CG300" s="641"/>
      <c r="CH300" s="641"/>
      <c r="CI300" s="641"/>
      <c r="CJ300" s="641"/>
      <c r="CK300" s="641"/>
      <c r="CL300" s="641"/>
      <c r="CM300" s="641"/>
      <c r="CN300" s="641"/>
      <c r="CO300" s="641"/>
      <c r="CP300" s="641"/>
      <c r="CQ300" s="641"/>
      <c r="CR300" s="641"/>
      <c r="CS300" s="641"/>
      <c r="CT300" s="641"/>
      <c r="CU300" s="641"/>
      <c r="CV300" s="641"/>
      <c r="CW300" s="641"/>
      <c r="CX300" s="641"/>
      <c r="CY300" s="641"/>
      <c r="CZ300" s="641"/>
      <c r="DA300" s="641"/>
      <c r="DB300" s="641"/>
      <c r="DC300" s="641"/>
      <c r="DD300" s="641"/>
      <c r="DE300" s="641"/>
      <c r="DF300" s="641"/>
      <c r="DG300" s="641"/>
      <c r="DH300" s="641"/>
      <c r="DI300" s="641"/>
      <c r="DJ300" s="641"/>
      <c r="DK300" s="641"/>
      <c r="DL300" s="641"/>
      <c r="DM300" s="641"/>
      <c r="DN300" s="641"/>
      <c r="DO300" s="641"/>
      <c r="DP300" s="641"/>
      <c r="DQ300" s="641"/>
      <c r="DR300" s="641"/>
      <c r="DS300" s="641"/>
      <c r="DT300" s="641"/>
      <c r="DU300" s="641"/>
      <c r="DV300" s="641"/>
      <c r="DW300" s="641"/>
      <c r="DX300" s="641"/>
      <c r="DY300" s="641"/>
      <c r="DZ300" s="641"/>
      <c r="EA300" s="641"/>
      <c r="EB300" s="641"/>
      <c r="EC300" s="641"/>
      <c r="ED300" s="641"/>
      <c r="EE300" s="641"/>
      <c r="EF300" s="641"/>
      <c r="EG300" s="641"/>
      <c r="EH300" s="641"/>
      <c r="EI300" s="641"/>
      <c r="EJ300" s="641"/>
      <c r="EK300" s="641"/>
      <c r="EL300" s="641"/>
      <c r="EM300" s="641"/>
      <c r="EN300" s="641"/>
      <c r="EO300" s="641"/>
      <c r="EP300" s="641"/>
      <c r="EQ300" s="641"/>
      <c r="ER300" s="641"/>
      <c r="ES300" s="641"/>
      <c r="ET300" s="641"/>
      <c r="EU300" s="641"/>
      <c r="EV300" s="641"/>
      <c r="EW300" s="641"/>
      <c r="EX300" s="641"/>
      <c r="EY300" s="641"/>
      <c r="EZ300" s="641"/>
      <c r="FA300" s="641"/>
      <c r="FB300" s="641"/>
      <c r="FC300" s="641"/>
      <c r="FD300" s="641"/>
      <c r="FE300" s="641"/>
      <c r="FF300" s="641"/>
      <c r="FG300" s="641"/>
      <c r="FH300" s="641"/>
      <c r="FI300" s="641"/>
      <c r="FJ300" s="641"/>
      <c r="FK300" s="641"/>
      <c r="FL300" s="641"/>
      <c r="FM300" s="641"/>
      <c r="FN300" s="641"/>
      <c r="FO300" s="641"/>
      <c r="FP300" s="641"/>
      <c r="FQ300" s="641"/>
      <c r="FR300" s="641"/>
      <c r="FS300" s="641"/>
      <c r="FT300" s="641"/>
      <c r="FU300" s="641"/>
      <c r="FV300" s="641"/>
      <c r="FW300" s="641"/>
      <c r="FX300" s="641"/>
      <c r="FY300" s="641"/>
      <c r="FZ300" s="641"/>
      <c r="GA300" s="641"/>
      <c r="GB300" s="641"/>
      <c r="GC300" s="641"/>
      <c r="GD300" s="641"/>
      <c r="GE300" s="641"/>
      <c r="GF300" s="641"/>
      <c r="GG300" s="641"/>
      <c r="GH300" s="641"/>
      <c r="GI300" s="641"/>
      <c r="GJ300" s="641"/>
      <c r="GK300" s="641"/>
      <c r="GL300" s="641"/>
      <c r="GM300" s="641"/>
      <c r="GN300" s="641"/>
      <c r="GO300" s="641"/>
      <c r="GP300" s="641"/>
      <c r="GQ300" s="641"/>
      <c r="GR300" s="641"/>
      <c r="GS300" s="641"/>
      <c r="GT300" s="641"/>
      <c r="GU300" s="641"/>
      <c r="GV300" s="641"/>
      <c r="GW300" s="641"/>
      <c r="GX300" s="641"/>
      <c r="GY300" s="641"/>
      <c r="GZ300" s="641"/>
      <c r="HA300" s="641"/>
      <c r="HB300" s="641"/>
      <c r="HC300" s="641"/>
      <c r="HD300" s="641"/>
      <c r="HE300" s="641"/>
      <c r="HF300" s="641"/>
      <c r="HG300" s="641"/>
      <c r="HH300" s="641"/>
      <c r="HI300" s="641"/>
      <c r="HJ300" s="641"/>
      <c r="HK300" s="641"/>
      <c r="HL300" s="641"/>
      <c r="HM300" s="641"/>
      <c r="HN300" s="641"/>
      <c r="HO300" s="641"/>
      <c r="HP300" s="641"/>
      <c r="HQ300" s="641"/>
      <c r="HR300" s="641"/>
      <c r="HS300" s="641"/>
      <c r="HT300" s="641"/>
      <c r="HU300" s="641"/>
      <c r="HV300" s="641"/>
      <c r="HW300" s="641"/>
      <c r="HX300" s="641"/>
      <c r="HY300" s="641"/>
      <c r="HZ300" s="641"/>
      <c r="IA300" s="641"/>
      <c r="IB300" s="641"/>
      <c r="IC300" s="641"/>
      <c r="ID300" s="641"/>
      <c r="IE300" s="641"/>
      <c r="IF300" s="641"/>
      <c r="IG300" s="641"/>
      <c r="IH300" s="641"/>
      <c r="II300" s="641"/>
      <c r="IJ300" s="641"/>
      <c r="IK300" s="641"/>
      <c r="IL300" s="641"/>
      <c r="IM300" s="641"/>
      <c r="IN300" s="641"/>
      <c r="IO300" s="641"/>
      <c r="IP300" s="641"/>
      <c r="IQ300" s="641"/>
      <c r="IR300" s="641"/>
      <c r="IS300" s="641"/>
      <c r="IT300" s="641"/>
      <c r="IU300" s="641"/>
      <c r="IV300" s="641"/>
      <c r="IW300" s="641"/>
    </row>
    <row r="301" spans="1:257" s="582" customFormat="1" ht="15.75" hidden="1" customHeight="1">
      <c r="A301" s="672" t="s">
        <v>91</v>
      </c>
      <c r="B301" s="696" t="s">
        <v>967</v>
      </c>
      <c r="C301" s="635"/>
      <c r="D301" s="635"/>
      <c r="E301" s="651"/>
      <c r="F301" s="651"/>
      <c r="G301" s="651"/>
      <c r="H301" s="651"/>
      <c r="I301" s="651"/>
      <c r="J301" s="651">
        <v>60000000</v>
      </c>
      <c r="K301" s="651"/>
      <c r="L301" s="1305"/>
      <c r="M301" s="651"/>
      <c r="N301" s="826"/>
      <c r="O301" s="826"/>
      <c r="P301" s="826"/>
      <c r="Q301" s="826"/>
      <c r="R301" s="869"/>
      <c r="S301" s="869"/>
      <c r="T301" s="850"/>
      <c r="U301" s="655"/>
      <c r="V301" s="639"/>
      <c r="W301" s="639"/>
      <c r="X301" s="640"/>
      <c r="Y301" s="641"/>
      <c r="Z301" s="641"/>
      <c r="AA301" s="641"/>
      <c r="AB301" s="641"/>
      <c r="AC301" s="641"/>
      <c r="AD301" s="641"/>
      <c r="AE301" s="641"/>
      <c r="AF301" s="641"/>
      <c r="AG301" s="641"/>
      <c r="AH301" s="641"/>
      <c r="AI301" s="641"/>
      <c r="AJ301" s="641"/>
      <c r="AK301" s="641"/>
      <c r="AL301" s="641"/>
      <c r="AM301" s="641"/>
      <c r="AN301" s="641"/>
      <c r="AO301" s="641"/>
      <c r="AP301" s="641"/>
      <c r="AQ301" s="641"/>
      <c r="AR301" s="641"/>
      <c r="AS301" s="641"/>
      <c r="AT301" s="641"/>
      <c r="AU301" s="641"/>
      <c r="AV301" s="641"/>
      <c r="AW301" s="641"/>
      <c r="AX301" s="641"/>
      <c r="AY301" s="641"/>
      <c r="AZ301" s="641"/>
      <c r="BA301" s="641"/>
      <c r="BB301" s="641"/>
      <c r="BC301" s="641"/>
      <c r="BD301" s="641"/>
      <c r="BE301" s="641"/>
      <c r="BF301" s="641"/>
      <c r="BG301" s="641"/>
      <c r="BH301" s="641"/>
      <c r="BI301" s="641"/>
      <c r="BJ301" s="641"/>
      <c r="BK301" s="641"/>
      <c r="BL301" s="641"/>
      <c r="BM301" s="641"/>
      <c r="BN301" s="641"/>
      <c r="BO301" s="641"/>
      <c r="BP301" s="641"/>
      <c r="BQ301" s="641"/>
      <c r="BR301" s="641"/>
      <c r="BS301" s="641"/>
      <c r="BT301" s="641"/>
      <c r="BU301" s="641"/>
      <c r="BV301" s="641"/>
      <c r="BW301" s="641"/>
      <c r="BX301" s="641"/>
      <c r="BY301" s="641"/>
      <c r="BZ301" s="641"/>
      <c r="CA301" s="641"/>
      <c r="CB301" s="641"/>
      <c r="CC301" s="641"/>
      <c r="CD301" s="641"/>
      <c r="CE301" s="641"/>
      <c r="CF301" s="641"/>
      <c r="CG301" s="641"/>
      <c r="CH301" s="641"/>
      <c r="CI301" s="641"/>
      <c r="CJ301" s="641"/>
      <c r="CK301" s="641"/>
      <c r="CL301" s="641"/>
      <c r="CM301" s="641"/>
      <c r="CN301" s="641"/>
      <c r="CO301" s="641"/>
      <c r="CP301" s="641"/>
      <c r="CQ301" s="641"/>
      <c r="CR301" s="641"/>
      <c r="CS301" s="641"/>
      <c r="CT301" s="641"/>
      <c r="CU301" s="641"/>
      <c r="CV301" s="641"/>
      <c r="CW301" s="641"/>
      <c r="CX301" s="641"/>
      <c r="CY301" s="641"/>
      <c r="CZ301" s="641"/>
      <c r="DA301" s="641"/>
      <c r="DB301" s="641"/>
      <c r="DC301" s="641"/>
      <c r="DD301" s="641"/>
      <c r="DE301" s="641"/>
      <c r="DF301" s="641"/>
      <c r="DG301" s="641"/>
      <c r="DH301" s="641"/>
      <c r="DI301" s="641"/>
      <c r="DJ301" s="641"/>
      <c r="DK301" s="641"/>
      <c r="DL301" s="641"/>
      <c r="DM301" s="641"/>
      <c r="DN301" s="641"/>
      <c r="DO301" s="641"/>
      <c r="DP301" s="641"/>
      <c r="DQ301" s="641"/>
      <c r="DR301" s="641"/>
      <c r="DS301" s="641"/>
      <c r="DT301" s="641"/>
      <c r="DU301" s="641"/>
      <c r="DV301" s="641"/>
      <c r="DW301" s="641"/>
      <c r="DX301" s="641"/>
      <c r="DY301" s="641"/>
      <c r="DZ301" s="641"/>
      <c r="EA301" s="641"/>
      <c r="EB301" s="641"/>
      <c r="EC301" s="641"/>
      <c r="ED301" s="641"/>
      <c r="EE301" s="641"/>
      <c r="EF301" s="641"/>
      <c r="EG301" s="641"/>
      <c r="EH301" s="641"/>
      <c r="EI301" s="641"/>
      <c r="EJ301" s="641"/>
      <c r="EK301" s="641"/>
      <c r="EL301" s="641"/>
      <c r="EM301" s="641"/>
      <c r="EN301" s="641"/>
      <c r="EO301" s="641"/>
      <c r="EP301" s="641"/>
      <c r="EQ301" s="641"/>
      <c r="ER301" s="641"/>
      <c r="ES301" s="641"/>
      <c r="ET301" s="641"/>
      <c r="EU301" s="641"/>
      <c r="EV301" s="641"/>
      <c r="EW301" s="641"/>
      <c r="EX301" s="641"/>
      <c r="EY301" s="641"/>
      <c r="EZ301" s="641"/>
      <c r="FA301" s="641"/>
      <c r="FB301" s="641"/>
      <c r="FC301" s="641"/>
      <c r="FD301" s="641"/>
      <c r="FE301" s="641"/>
      <c r="FF301" s="641"/>
      <c r="FG301" s="641"/>
      <c r="FH301" s="641"/>
      <c r="FI301" s="641"/>
      <c r="FJ301" s="641"/>
      <c r="FK301" s="641"/>
      <c r="FL301" s="641"/>
      <c r="FM301" s="641"/>
      <c r="FN301" s="641"/>
      <c r="FO301" s="641"/>
      <c r="FP301" s="641"/>
      <c r="FQ301" s="641"/>
      <c r="FR301" s="641"/>
      <c r="FS301" s="641"/>
      <c r="FT301" s="641"/>
      <c r="FU301" s="641"/>
      <c r="FV301" s="641"/>
      <c r="FW301" s="641"/>
      <c r="FX301" s="641"/>
      <c r="FY301" s="641"/>
      <c r="FZ301" s="641"/>
      <c r="GA301" s="641"/>
      <c r="GB301" s="641"/>
      <c r="GC301" s="641"/>
      <c r="GD301" s="641"/>
      <c r="GE301" s="641"/>
      <c r="GF301" s="641"/>
      <c r="GG301" s="641"/>
      <c r="GH301" s="641"/>
      <c r="GI301" s="641"/>
      <c r="GJ301" s="641"/>
      <c r="GK301" s="641"/>
      <c r="GL301" s="641"/>
      <c r="GM301" s="641"/>
      <c r="GN301" s="641"/>
      <c r="GO301" s="641"/>
      <c r="GP301" s="641"/>
      <c r="GQ301" s="641"/>
      <c r="GR301" s="641"/>
      <c r="GS301" s="641"/>
      <c r="GT301" s="641"/>
      <c r="GU301" s="641"/>
      <c r="GV301" s="641"/>
      <c r="GW301" s="641"/>
      <c r="GX301" s="641"/>
      <c r="GY301" s="641"/>
      <c r="GZ301" s="641"/>
      <c r="HA301" s="641"/>
      <c r="HB301" s="641"/>
      <c r="HC301" s="641"/>
      <c r="HD301" s="641"/>
      <c r="HE301" s="641"/>
      <c r="HF301" s="641"/>
      <c r="HG301" s="641"/>
      <c r="HH301" s="641"/>
      <c r="HI301" s="641"/>
      <c r="HJ301" s="641"/>
      <c r="HK301" s="641"/>
      <c r="HL301" s="641"/>
      <c r="HM301" s="641"/>
      <c r="HN301" s="641"/>
      <c r="HO301" s="641"/>
      <c r="HP301" s="641"/>
      <c r="HQ301" s="641"/>
      <c r="HR301" s="641"/>
      <c r="HS301" s="641"/>
      <c r="HT301" s="641"/>
      <c r="HU301" s="641"/>
      <c r="HV301" s="641"/>
      <c r="HW301" s="641"/>
      <c r="HX301" s="641"/>
      <c r="HY301" s="641"/>
      <c r="HZ301" s="641"/>
      <c r="IA301" s="641"/>
      <c r="IB301" s="641"/>
      <c r="IC301" s="641"/>
      <c r="ID301" s="641"/>
      <c r="IE301" s="641"/>
      <c r="IF301" s="641"/>
      <c r="IG301" s="641"/>
      <c r="IH301" s="641"/>
      <c r="II301" s="641"/>
      <c r="IJ301" s="641"/>
      <c r="IK301" s="641"/>
      <c r="IL301" s="641"/>
      <c r="IM301" s="641"/>
      <c r="IN301" s="641"/>
      <c r="IO301" s="641"/>
      <c r="IP301" s="641"/>
      <c r="IQ301" s="641"/>
      <c r="IR301" s="641"/>
      <c r="IS301" s="641"/>
      <c r="IT301" s="641"/>
      <c r="IU301" s="641"/>
      <c r="IV301" s="641"/>
      <c r="IW301" s="641"/>
    </row>
    <row r="302" spans="1:257" s="582" customFormat="1" ht="15.75" hidden="1" customHeight="1">
      <c r="A302" s="672" t="s">
        <v>91</v>
      </c>
      <c r="B302" s="696" t="s">
        <v>968</v>
      </c>
      <c r="C302" s="635"/>
      <c r="D302" s="635"/>
      <c r="E302" s="651"/>
      <c r="F302" s="651"/>
      <c r="G302" s="651"/>
      <c r="H302" s="651"/>
      <c r="I302" s="651"/>
      <c r="J302" s="651">
        <v>200000000</v>
      </c>
      <c r="K302" s="651"/>
      <c r="L302" s="1305"/>
      <c r="M302" s="651" t="s">
        <v>969</v>
      </c>
      <c r="N302" s="826"/>
      <c r="O302" s="826"/>
      <c r="P302" s="826"/>
      <c r="Q302" s="826"/>
      <c r="R302" s="869"/>
      <c r="S302" s="869"/>
      <c r="T302" s="850"/>
      <c r="U302" s="655"/>
      <c r="V302" s="639"/>
      <c r="W302" s="639"/>
      <c r="X302" s="640"/>
      <c r="Y302" s="641"/>
      <c r="Z302" s="641"/>
      <c r="AA302" s="641"/>
      <c r="AB302" s="641"/>
      <c r="AC302" s="641"/>
      <c r="AD302" s="641"/>
      <c r="AE302" s="641"/>
      <c r="AF302" s="641"/>
      <c r="AG302" s="641"/>
      <c r="AH302" s="641"/>
      <c r="AI302" s="641"/>
      <c r="AJ302" s="641"/>
      <c r="AK302" s="641"/>
      <c r="AL302" s="641"/>
      <c r="AM302" s="641"/>
      <c r="AN302" s="641"/>
      <c r="AO302" s="641"/>
      <c r="AP302" s="641"/>
      <c r="AQ302" s="641"/>
      <c r="AR302" s="641"/>
      <c r="AS302" s="641"/>
      <c r="AT302" s="641"/>
      <c r="AU302" s="641"/>
      <c r="AV302" s="641"/>
      <c r="AW302" s="641"/>
      <c r="AX302" s="641"/>
      <c r="AY302" s="641"/>
      <c r="AZ302" s="641"/>
      <c r="BA302" s="641"/>
      <c r="BB302" s="641"/>
      <c r="BC302" s="641"/>
      <c r="BD302" s="641"/>
      <c r="BE302" s="641"/>
      <c r="BF302" s="641"/>
      <c r="BG302" s="641"/>
      <c r="BH302" s="641"/>
      <c r="BI302" s="641"/>
      <c r="BJ302" s="641"/>
      <c r="BK302" s="641"/>
      <c r="BL302" s="641"/>
      <c r="BM302" s="641"/>
      <c r="BN302" s="641"/>
      <c r="BO302" s="641"/>
      <c r="BP302" s="641"/>
      <c r="BQ302" s="641"/>
      <c r="BR302" s="641"/>
      <c r="BS302" s="641"/>
      <c r="BT302" s="641"/>
      <c r="BU302" s="641"/>
      <c r="BV302" s="641"/>
      <c r="BW302" s="641"/>
      <c r="BX302" s="641"/>
      <c r="BY302" s="641"/>
      <c r="BZ302" s="641"/>
      <c r="CA302" s="641"/>
      <c r="CB302" s="641"/>
      <c r="CC302" s="641"/>
      <c r="CD302" s="641"/>
      <c r="CE302" s="641"/>
      <c r="CF302" s="641"/>
      <c r="CG302" s="641"/>
      <c r="CH302" s="641"/>
      <c r="CI302" s="641"/>
      <c r="CJ302" s="641"/>
      <c r="CK302" s="641"/>
      <c r="CL302" s="641"/>
      <c r="CM302" s="641"/>
      <c r="CN302" s="641"/>
      <c r="CO302" s="641"/>
      <c r="CP302" s="641"/>
      <c r="CQ302" s="641"/>
      <c r="CR302" s="641"/>
      <c r="CS302" s="641"/>
      <c r="CT302" s="641"/>
      <c r="CU302" s="641"/>
      <c r="CV302" s="641"/>
      <c r="CW302" s="641"/>
      <c r="CX302" s="641"/>
      <c r="CY302" s="641"/>
      <c r="CZ302" s="641"/>
      <c r="DA302" s="641"/>
      <c r="DB302" s="641"/>
      <c r="DC302" s="641"/>
      <c r="DD302" s="641"/>
      <c r="DE302" s="641"/>
      <c r="DF302" s="641"/>
      <c r="DG302" s="641"/>
      <c r="DH302" s="641"/>
      <c r="DI302" s="641"/>
      <c r="DJ302" s="641"/>
      <c r="DK302" s="641"/>
      <c r="DL302" s="641"/>
      <c r="DM302" s="641"/>
      <c r="DN302" s="641"/>
      <c r="DO302" s="641"/>
      <c r="DP302" s="641"/>
      <c r="DQ302" s="641"/>
      <c r="DR302" s="641"/>
      <c r="DS302" s="641"/>
      <c r="DT302" s="641"/>
      <c r="DU302" s="641"/>
      <c r="DV302" s="641"/>
      <c r="DW302" s="641"/>
      <c r="DX302" s="641"/>
      <c r="DY302" s="641"/>
      <c r="DZ302" s="641"/>
      <c r="EA302" s="641"/>
      <c r="EB302" s="641"/>
      <c r="EC302" s="641"/>
      <c r="ED302" s="641"/>
      <c r="EE302" s="641"/>
      <c r="EF302" s="641"/>
      <c r="EG302" s="641"/>
      <c r="EH302" s="641"/>
      <c r="EI302" s="641"/>
      <c r="EJ302" s="641"/>
      <c r="EK302" s="641"/>
      <c r="EL302" s="641"/>
      <c r="EM302" s="641"/>
      <c r="EN302" s="641"/>
      <c r="EO302" s="641"/>
      <c r="EP302" s="641"/>
      <c r="EQ302" s="641"/>
      <c r="ER302" s="641"/>
      <c r="ES302" s="641"/>
      <c r="ET302" s="641"/>
      <c r="EU302" s="641"/>
      <c r="EV302" s="641"/>
      <c r="EW302" s="641"/>
      <c r="EX302" s="641"/>
      <c r="EY302" s="641"/>
      <c r="EZ302" s="641"/>
      <c r="FA302" s="641"/>
      <c r="FB302" s="641"/>
      <c r="FC302" s="641"/>
      <c r="FD302" s="641"/>
      <c r="FE302" s="641"/>
      <c r="FF302" s="641"/>
      <c r="FG302" s="641"/>
      <c r="FH302" s="641"/>
      <c r="FI302" s="641"/>
      <c r="FJ302" s="641"/>
      <c r="FK302" s="641"/>
      <c r="FL302" s="641"/>
      <c r="FM302" s="641"/>
      <c r="FN302" s="641"/>
      <c r="FO302" s="641"/>
      <c r="FP302" s="641"/>
      <c r="FQ302" s="641"/>
      <c r="FR302" s="641"/>
      <c r="FS302" s="641"/>
      <c r="FT302" s="641"/>
      <c r="FU302" s="641"/>
      <c r="FV302" s="641"/>
      <c r="FW302" s="641"/>
      <c r="FX302" s="641"/>
      <c r="FY302" s="641"/>
      <c r="FZ302" s="641"/>
      <c r="GA302" s="641"/>
      <c r="GB302" s="641"/>
      <c r="GC302" s="641"/>
      <c r="GD302" s="641"/>
      <c r="GE302" s="641"/>
      <c r="GF302" s="641"/>
      <c r="GG302" s="641"/>
      <c r="GH302" s="641"/>
      <c r="GI302" s="641"/>
      <c r="GJ302" s="641"/>
      <c r="GK302" s="641"/>
      <c r="GL302" s="641"/>
      <c r="GM302" s="641"/>
      <c r="GN302" s="641"/>
      <c r="GO302" s="641"/>
      <c r="GP302" s="641"/>
      <c r="GQ302" s="641"/>
      <c r="GR302" s="641"/>
      <c r="GS302" s="641"/>
      <c r="GT302" s="641"/>
      <c r="GU302" s="641"/>
      <c r="GV302" s="641"/>
      <c r="GW302" s="641"/>
      <c r="GX302" s="641"/>
      <c r="GY302" s="641"/>
      <c r="GZ302" s="641"/>
      <c r="HA302" s="641"/>
      <c r="HB302" s="641"/>
      <c r="HC302" s="641"/>
      <c r="HD302" s="641"/>
      <c r="HE302" s="641"/>
      <c r="HF302" s="641"/>
      <c r="HG302" s="641"/>
      <c r="HH302" s="641"/>
      <c r="HI302" s="641"/>
      <c r="HJ302" s="641"/>
      <c r="HK302" s="641"/>
      <c r="HL302" s="641"/>
      <c r="HM302" s="641"/>
      <c r="HN302" s="641"/>
      <c r="HO302" s="641"/>
      <c r="HP302" s="641"/>
      <c r="HQ302" s="641"/>
      <c r="HR302" s="641"/>
      <c r="HS302" s="641"/>
      <c r="HT302" s="641"/>
      <c r="HU302" s="641"/>
      <c r="HV302" s="641"/>
      <c r="HW302" s="641"/>
      <c r="HX302" s="641"/>
      <c r="HY302" s="641"/>
      <c r="HZ302" s="641"/>
      <c r="IA302" s="641"/>
      <c r="IB302" s="641"/>
      <c r="IC302" s="641"/>
      <c r="ID302" s="641"/>
      <c r="IE302" s="641"/>
      <c r="IF302" s="641"/>
      <c r="IG302" s="641"/>
      <c r="IH302" s="641"/>
      <c r="II302" s="641"/>
      <c r="IJ302" s="641"/>
      <c r="IK302" s="641"/>
      <c r="IL302" s="641"/>
      <c r="IM302" s="641"/>
      <c r="IN302" s="641"/>
      <c r="IO302" s="641"/>
      <c r="IP302" s="641"/>
      <c r="IQ302" s="641"/>
      <c r="IR302" s="641"/>
      <c r="IS302" s="641"/>
      <c r="IT302" s="641"/>
      <c r="IU302" s="641"/>
      <c r="IV302" s="641"/>
      <c r="IW302" s="641"/>
    </row>
    <row r="303" spans="1:257" s="582" customFormat="1" ht="15.75" hidden="1" customHeight="1">
      <c r="A303" s="672" t="s">
        <v>91</v>
      </c>
      <c r="B303" s="696" t="s">
        <v>970</v>
      </c>
      <c r="C303" s="635"/>
      <c r="D303" s="635"/>
      <c r="E303" s="651"/>
      <c r="F303" s="651"/>
      <c r="G303" s="651"/>
      <c r="H303" s="651"/>
      <c r="I303" s="651"/>
      <c r="J303" s="651">
        <v>30000000</v>
      </c>
      <c r="K303" s="651"/>
      <c r="L303" s="1305"/>
      <c r="M303" s="651" t="s">
        <v>971</v>
      </c>
      <c r="N303" s="826"/>
      <c r="O303" s="826"/>
      <c r="P303" s="826"/>
      <c r="Q303" s="826"/>
      <c r="R303" s="869"/>
      <c r="S303" s="869"/>
      <c r="T303" s="850"/>
      <c r="U303" s="655"/>
      <c r="V303" s="639"/>
      <c r="W303" s="639"/>
      <c r="X303" s="640"/>
      <c r="Y303" s="641"/>
      <c r="Z303" s="641"/>
      <c r="AA303" s="641"/>
      <c r="AB303" s="641"/>
      <c r="AC303" s="641"/>
      <c r="AD303" s="641"/>
      <c r="AE303" s="641"/>
      <c r="AF303" s="641"/>
      <c r="AG303" s="641"/>
      <c r="AH303" s="641"/>
      <c r="AI303" s="641"/>
      <c r="AJ303" s="641"/>
      <c r="AK303" s="641"/>
      <c r="AL303" s="641"/>
      <c r="AM303" s="641"/>
      <c r="AN303" s="641"/>
      <c r="AO303" s="641"/>
      <c r="AP303" s="641"/>
      <c r="AQ303" s="641"/>
      <c r="AR303" s="641"/>
      <c r="AS303" s="641"/>
      <c r="AT303" s="641"/>
      <c r="AU303" s="641"/>
      <c r="AV303" s="641"/>
      <c r="AW303" s="641"/>
      <c r="AX303" s="641"/>
      <c r="AY303" s="641"/>
      <c r="AZ303" s="641"/>
      <c r="BA303" s="641"/>
      <c r="BB303" s="641"/>
      <c r="BC303" s="641"/>
      <c r="BD303" s="641"/>
      <c r="BE303" s="641"/>
      <c r="BF303" s="641"/>
      <c r="BG303" s="641"/>
      <c r="BH303" s="641"/>
      <c r="BI303" s="641"/>
      <c r="BJ303" s="641"/>
      <c r="BK303" s="641"/>
      <c r="BL303" s="641"/>
      <c r="BM303" s="641"/>
      <c r="BN303" s="641"/>
      <c r="BO303" s="641"/>
      <c r="BP303" s="641"/>
      <c r="BQ303" s="641"/>
      <c r="BR303" s="641"/>
      <c r="BS303" s="641"/>
      <c r="BT303" s="641"/>
      <c r="BU303" s="641"/>
      <c r="BV303" s="641"/>
      <c r="BW303" s="641"/>
      <c r="BX303" s="641"/>
      <c r="BY303" s="641"/>
      <c r="BZ303" s="641"/>
      <c r="CA303" s="641"/>
      <c r="CB303" s="641"/>
      <c r="CC303" s="641"/>
      <c r="CD303" s="641"/>
      <c r="CE303" s="641"/>
      <c r="CF303" s="641"/>
      <c r="CG303" s="641"/>
      <c r="CH303" s="641"/>
      <c r="CI303" s="641"/>
      <c r="CJ303" s="641"/>
      <c r="CK303" s="641"/>
      <c r="CL303" s="641"/>
      <c r="CM303" s="641"/>
      <c r="CN303" s="641"/>
      <c r="CO303" s="641"/>
      <c r="CP303" s="641"/>
      <c r="CQ303" s="641"/>
      <c r="CR303" s="641"/>
      <c r="CS303" s="641"/>
      <c r="CT303" s="641"/>
      <c r="CU303" s="641"/>
      <c r="CV303" s="641"/>
      <c r="CW303" s="641"/>
      <c r="CX303" s="641"/>
      <c r="CY303" s="641"/>
      <c r="CZ303" s="641"/>
      <c r="DA303" s="641"/>
      <c r="DB303" s="641"/>
      <c r="DC303" s="641"/>
      <c r="DD303" s="641"/>
      <c r="DE303" s="641"/>
      <c r="DF303" s="641"/>
      <c r="DG303" s="641"/>
      <c r="DH303" s="641"/>
      <c r="DI303" s="641"/>
      <c r="DJ303" s="641"/>
      <c r="DK303" s="641"/>
      <c r="DL303" s="641"/>
      <c r="DM303" s="641"/>
      <c r="DN303" s="641"/>
      <c r="DO303" s="641"/>
      <c r="DP303" s="641"/>
      <c r="DQ303" s="641"/>
      <c r="DR303" s="641"/>
      <c r="DS303" s="641"/>
      <c r="DT303" s="641"/>
      <c r="DU303" s="641"/>
      <c r="DV303" s="641"/>
      <c r="DW303" s="641"/>
      <c r="DX303" s="641"/>
      <c r="DY303" s="641"/>
      <c r="DZ303" s="641"/>
      <c r="EA303" s="641"/>
      <c r="EB303" s="641"/>
      <c r="EC303" s="641"/>
      <c r="ED303" s="641"/>
      <c r="EE303" s="641"/>
      <c r="EF303" s="641"/>
      <c r="EG303" s="641"/>
      <c r="EH303" s="641"/>
      <c r="EI303" s="641"/>
      <c r="EJ303" s="641"/>
      <c r="EK303" s="641"/>
      <c r="EL303" s="641"/>
      <c r="EM303" s="641"/>
      <c r="EN303" s="641"/>
      <c r="EO303" s="641"/>
      <c r="EP303" s="641"/>
      <c r="EQ303" s="641"/>
      <c r="ER303" s="641"/>
      <c r="ES303" s="641"/>
      <c r="ET303" s="641"/>
      <c r="EU303" s="641"/>
      <c r="EV303" s="641"/>
      <c r="EW303" s="641"/>
      <c r="EX303" s="641"/>
      <c r="EY303" s="641"/>
      <c r="EZ303" s="641"/>
      <c r="FA303" s="641"/>
      <c r="FB303" s="641"/>
      <c r="FC303" s="641"/>
      <c r="FD303" s="641"/>
      <c r="FE303" s="641"/>
      <c r="FF303" s="641"/>
      <c r="FG303" s="641"/>
      <c r="FH303" s="641"/>
      <c r="FI303" s="641"/>
      <c r="FJ303" s="641"/>
      <c r="FK303" s="641"/>
      <c r="FL303" s="641"/>
      <c r="FM303" s="641"/>
      <c r="FN303" s="641"/>
      <c r="FO303" s="641"/>
      <c r="FP303" s="641"/>
      <c r="FQ303" s="641"/>
      <c r="FR303" s="641"/>
      <c r="FS303" s="641"/>
      <c r="FT303" s="641"/>
      <c r="FU303" s="641"/>
      <c r="FV303" s="641"/>
      <c r="FW303" s="641"/>
      <c r="FX303" s="641"/>
      <c r="FY303" s="641"/>
      <c r="FZ303" s="641"/>
      <c r="GA303" s="641"/>
      <c r="GB303" s="641"/>
      <c r="GC303" s="641"/>
      <c r="GD303" s="641"/>
      <c r="GE303" s="641"/>
      <c r="GF303" s="641"/>
      <c r="GG303" s="641"/>
      <c r="GH303" s="641"/>
      <c r="GI303" s="641"/>
      <c r="GJ303" s="641"/>
      <c r="GK303" s="641"/>
      <c r="GL303" s="641"/>
      <c r="GM303" s="641"/>
      <c r="GN303" s="641"/>
      <c r="GO303" s="641"/>
      <c r="GP303" s="641"/>
      <c r="GQ303" s="641"/>
      <c r="GR303" s="641"/>
      <c r="GS303" s="641"/>
      <c r="GT303" s="641"/>
      <c r="GU303" s="641"/>
      <c r="GV303" s="641"/>
      <c r="GW303" s="641"/>
      <c r="GX303" s="641"/>
      <c r="GY303" s="641"/>
      <c r="GZ303" s="641"/>
      <c r="HA303" s="641"/>
      <c r="HB303" s="641"/>
      <c r="HC303" s="641"/>
      <c r="HD303" s="641"/>
      <c r="HE303" s="641"/>
      <c r="HF303" s="641"/>
      <c r="HG303" s="641"/>
      <c r="HH303" s="641"/>
      <c r="HI303" s="641"/>
      <c r="HJ303" s="641"/>
      <c r="HK303" s="641"/>
      <c r="HL303" s="641"/>
      <c r="HM303" s="641"/>
      <c r="HN303" s="641"/>
      <c r="HO303" s="641"/>
      <c r="HP303" s="641"/>
      <c r="HQ303" s="641"/>
      <c r="HR303" s="641"/>
      <c r="HS303" s="641"/>
      <c r="HT303" s="641"/>
      <c r="HU303" s="641"/>
      <c r="HV303" s="641"/>
      <c r="HW303" s="641"/>
      <c r="HX303" s="641"/>
      <c r="HY303" s="641"/>
      <c r="HZ303" s="641"/>
      <c r="IA303" s="641"/>
      <c r="IB303" s="641"/>
      <c r="IC303" s="641"/>
      <c r="ID303" s="641"/>
      <c r="IE303" s="641"/>
      <c r="IF303" s="641"/>
      <c r="IG303" s="641"/>
      <c r="IH303" s="641"/>
      <c r="II303" s="641"/>
      <c r="IJ303" s="641"/>
      <c r="IK303" s="641"/>
      <c r="IL303" s="641"/>
      <c r="IM303" s="641"/>
      <c r="IN303" s="641"/>
      <c r="IO303" s="641"/>
      <c r="IP303" s="641"/>
      <c r="IQ303" s="641"/>
      <c r="IR303" s="641"/>
      <c r="IS303" s="641"/>
      <c r="IT303" s="641"/>
      <c r="IU303" s="641"/>
      <c r="IV303" s="641"/>
      <c r="IW303" s="641"/>
    </row>
    <row r="304" spans="1:257" s="582" customFormat="1" ht="15.75" hidden="1" customHeight="1">
      <c r="A304" s="672" t="s">
        <v>91</v>
      </c>
      <c r="B304" s="696" t="s">
        <v>972</v>
      </c>
      <c r="C304" s="635"/>
      <c r="D304" s="635"/>
      <c r="E304" s="651"/>
      <c r="F304" s="651"/>
      <c r="G304" s="651"/>
      <c r="H304" s="651"/>
      <c r="I304" s="651"/>
      <c r="J304" s="651">
        <v>100000000</v>
      </c>
      <c r="K304" s="651"/>
      <c r="L304" s="1305"/>
      <c r="M304" s="651"/>
      <c r="N304" s="826"/>
      <c r="O304" s="826"/>
      <c r="P304" s="826"/>
      <c r="Q304" s="826"/>
      <c r="R304" s="869"/>
      <c r="S304" s="869"/>
      <c r="T304" s="850"/>
      <c r="U304" s="655"/>
      <c r="V304" s="639"/>
      <c r="W304" s="639"/>
      <c r="X304" s="640"/>
      <c r="Y304" s="641"/>
      <c r="Z304" s="641"/>
      <c r="AA304" s="641"/>
      <c r="AB304" s="641"/>
      <c r="AC304" s="641"/>
      <c r="AD304" s="641"/>
      <c r="AE304" s="641"/>
      <c r="AF304" s="641"/>
      <c r="AG304" s="641"/>
      <c r="AH304" s="641"/>
      <c r="AI304" s="641"/>
      <c r="AJ304" s="641"/>
      <c r="AK304" s="641"/>
      <c r="AL304" s="641"/>
      <c r="AM304" s="641"/>
      <c r="AN304" s="641"/>
      <c r="AO304" s="641"/>
      <c r="AP304" s="641"/>
      <c r="AQ304" s="641"/>
      <c r="AR304" s="641"/>
      <c r="AS304" s="641"/>
      <c r="AT304" s="641"/>
      <c r="AU304" s="641"/>
      <c r="AV304" s="641"/>
      <c r="AW304" s="641"/>
      <c r="AX304" s="641"/>
      <c r="AY304" s="641"/>
      <c r="AZ304" s="641"/>
      <c r="BA304" s="641"/>
      <c r="BB304" s="641"/>
      <c r="BC304" s="641"/>
      <c r="BD304" s="641"/>
      <c r="BE304" s="641"/>
      <c r="BF304" s="641"/>
      <c r="BG304" s="641"/>
      <c r="BH304" s="641"/>
      <c r="BI304" s="641"/>
      <c r="BJ304" s="641"/>
      <c r="BK304" s="641"/>
      <c r="BL304" s="641"/>
      <c r="BM304" s="641"/>
      <c r="BN304" s="641"/>
      <c r="BO304" s="641"/>
      <c r="BP304" s="641"/>
      <c r="BQ304" s="641"/>
      <c r="BR304" s="641"/>
      <c r="BS304" s="641"/>
      <c r="BT304" s="641"/>
      <c r="BU304" s="641"/>
      <c r="BV304" s="641"/>
      <c r="BW304" s="641"/>
      <c r="BX304" s="641"/>
      <c r="BY304" s="641"/>
      <c r="BZ304" s="641"/>
      <c r="CA304" s="641"/>
      <c r="CB304" s="641"/>
      <c r="CC304" s="641"/>
      <c r="CD304" s="641"/>
      <c r="CE304" s="641"/>
      <c r="CF304" s="641"/>
      <c r="CG304" s="641"/>
      <c r="CH304" s="641"/>
      <c r="CI304" s="641"/>
      <c r="CJ304" s="641"/>
      <c r="CK304" s="641"/>
      <c r="CL304" s="641"/>
      <c r="CM304" s="641"/>
      <c r="CN304" s="641"/>
      <c r="CO304" s="641"/>
      <c r="CP304" s="641"/>
      <c r="CQ304" s="641"/>
      <c r="CR304" s="641"/>
      <c r="CS304" s="641"/>
      <c r="CT304" s="641"/>
      <c r="CU304" s="641"/>
      <c r="CV304" s="641"/>
      <c r="CW304" s="641"/>
      <c r="CX304" s="641"/>
      <c r="CY304" s="641"/>
      <c r="CZ304" s="641"/>
      <c r="DA304" s="641"/>
      <c r="DB304" s="641"/>
      <c r="DC304" s="641"/>
      <c r="DD304" s="641"/>
      <c r="DE304" s="641"/>
      <c r="DF304" s="641"/>
      <c r="DG304" s="641"/>
      <c r="DH304" s="641"/>
      <c r="DI304" s="641"/>
      <c r="DJ304" s="641"/>
      <c r="DK304" s="641"/>
      <c r="DL304" s="641"/>
      <c r="DM304" s="641"/>
      <c r="DN304" s="641"/>
      <c r="DO304" s="641"/>
      <c r="DP304" s="641"/>
      <c r="DQ304" s="641"/>
      <c r="DR304" s="641"/>
      <c r="DS304" s="641"/>
      <c r="DT304" s="641"/>
      <c r="DU304" s="641"/>
      <c r="DV304" s="641"/>
      <c r="DW304" s="641"/>
      <c r="DX304" s="641"/>
      <c r="DY304" s="641"/>
      <c r="DZ304" s="641"/>
      <c r="EA304" s="641"/>
      <c r="EB304" s="641"/>
      <c r="EC304" s="641"/>
      <c r="ED304" s="641"/>
      <c r="EE304" s="641"/>
      <c r="EF304" s="641"/>
      <c r="EG304" s="641"/>
      <c r="EH304" s="641"/>
      <c r="EI304" s="641"/>
      <c r="EJ304" s="641"/>
      <c r="EK304" s="641"/>
      <c r="EL304" s="641"/>
      <c r="EM304" s="641"/>
      <c r="EN304" s="641"/>
      <c r="EO304" s="641"/>
      <c r="EP304" s="641"/>
      <c r="EQ304" s="641"/>
      <c r="ER304" s="641"/>
      <c r="ES304" s="641"/>
      <c r="ET304" s="641"/>
      <c r="EU304" s="641"/>
      <c r="EV304" s="641"/>
      <c r="EW304" s="641"/>
      <c r="EX304" s="641"/>
      <c r="EY304" s="641"/>
      <c r="EZ304" s="641"/>
      <c r="FA304" s="641"/>
      <c r="FB304" s="641"/>
      <c r="FC304" s="641"/>
      <c r="FD304" s="641"/>
      <c r="FE304" s="641"/>
      <c r="FF304" s="641"/>
      <c r="FG304" s="641"/>
      <c r="FH304" s="641"/>
      <c r="FI304" s="641"/>
      <c r="FJ304" s="641"/>
      <c r="FK304" s="641"/>
      <c r="FL304" s="641"/>
      <c r="FM304" s="641"/>
      <c r="FN304" s="641"/>
      <c r="FO304" s="641"/>
      <c r="FP304" s="641"/>
      <c r="FQ304" s="641"/>
      <c r="FR304" s="641"/>
      <c r="FS304" s="641"/>
      <c r="FT304" s="641"/>
      <c r="FU304" s="641"/>
      <c r="FV304" s="641"/>
      <c r="FW304" s="641"/>
      <c r="FX304" s="641"/>
      <c r="FY304" s="641"/>
      <c r="FZ304" s="641"/>
      <c r="GA304" s="641"/>
      <c r="GB304" s="641"/>
      <c r="GC304" s="641"/>
      <c r="GD304" s="641"/>
      <c r="GE304" s="641"/>
      <c r="GF304" s="641"/>
      <c r="GG304" s="641"/>
      <c r="GH304" s="641"/>
      <c r="GI304" s="641"/>
      <c r="GJ304" s="641"/>
      <c r="GK304" s="641"/>
      <c r="GL304" s="641"/>
      <c r="GM304" s="641"/>
      <c r="GN304" s="641"/>
      <c r="GO304" s="641"/>
      <c r="GP304" s="641"/>
      <c r="GQ304" s="641"/>
      <c r="GR304" s="641"/>
      <c r="GS304" s="641"/>
      <c r="GT304" s="641"/>
      <c r="GU304" s="641"/>
      <c r="GV304" s="641"/>
      <c r="GW304" s="641"/>
      <c r="GX304" s="641"/>
      <c r="GY304" s="641"/>
      <c r="GZ304" s="641"/>
      <c r="HA304" s="641"/>
      <c r="HB304" s="641"/>
      <c r="HC304" s="641"/>
      <c r="HD304" s="641"/>
      <c r="HE304" s="641"/>
      <c r="HF304" s="641"/>
      <c r="HG304" s="641"/>
      <c r="HH304" s="641"/>
      <c r="HI304" s="641"/>
      <c r="HJ304" s="641"/>
      <c r="HK304" s="641"/>
      <c r="HL304" s="641"/>
      <c r="HM304" s="641"/>
      <c r="HN304" s="641"/>
      <c r="HO304" s="641"/>
      <c r="HP304" s="641"/>
      <c r="HQ304" s="641"/>
      <c r="HR304" s="641"/>
      <c r="HS304" s="641"/>
      <c r="HT304" s="641"/>
      <c r="HU304" s="641"/>
      <c r="HV304" s="641"/>
      <c r="HW304" s="641"/>
      <c r="HX304" s="641"/>
      <c r="HY304" s="641"/>
      <c r="HZ304" s="641"/>
      <c r="IA304" s="641"/>
      <c r="IB304" s="641"/>
      <c r="IC304" s="641"/>
      <c r="ID304" s="641"/>
      <c r="IE304" s="641"/>
      <c r="IF304" s="641"/>
      <c r="IG304" s="641"/>
      <c r="IH304" s="641"/>
      <c r="II304" s="641"/>
      <c r="IJ304" s="641"/>
      <c r="IK304" s="641"/>
      <c r="IL304" s="641"/>
      <c r="IM304" s="641"/>
      <c r="IN304" s="641"/>
      <c r="IO304" s="641"/>
      <c r="IP304" s="641"/>
      <c r="IQ304" s="641"/>
      <c r="IR304" s="641"/>
      <c r="IS304" s="641"/>
      <c r="IT304" s="641"/>
      <c r="IU304" s="641"/>
      <c r="IV304" s="641"/>
      <c r="IW304" s="641"/>
    </row>
    <row r="305" spans="1:257" s="582" customFormat="1">
      <c r="A305" s="672" t="s">
        <v>91</v>
      </c>
      <c r="B305" s="696" t="s">
        <v>1991</v>
      </c>
      <c r="C305" s="635"/>
      <c r="D305" s="635"/>
      <c r="E305" s="651"/>
      <c r="F305" s="651">
        <v>160000000</v>
      </c>
      <c r="G305" s="651"/>
      <c r="H305" s="651"/>
      <c r="I305" s="651"/>
      <c r="J305" s="651">
        <v>80000000</v>
      </c>
      <c r="K305" s="651"/>
      <c r="L305" s="1305">
        <f>140000000</f>
        <v>140000000</v>
      </c>
      <c r="M305" s="651"/>
      <c r="N305" s="826"/>
      <c r="O305" s="826"/>
      <c r="P305" s="826"/>
      <c r="Q305" s="826"/>
      <c r="R305" s="869"/>
      <c r="S305" s="869"/>
      <c r="T305" s="850"/>
      <c r="U305" s="655"/>
      <c r="V305" s="581"/>
      <c r="W305" s="581"/>
      <c r="X305" s="578"/>
    </row>
    <row r="306" spans="1:257" s="582" customFormat="1" ht="31.5" hidden="1" customHeight="1">
      <c r="A306" s="672" t="s">
        <v>91</v>
      </c>
      <c r="B306" s="696" t="s">
        <v>973</v>
      </c>
      <c r="C306" s="635"/>
      <c r="D306" s="635"/>
      <c r="E306" s="651"/>
      <c r="F306" s="651"/>
      <c r="G306" s="651"/>
      <c r="H306" s="651"/>
      <c r="I306" s="651"/>
      <c r="J306" s="651">
        <v>100000000</v>
      </c>
      <c r="K306" s="651"/>
      <c r="L306" s="1305"/>
      <c r="M306" s="651" t="s">
        <v>974</v>
      </c>
      <c r="N306" s="826"/>
      <c r="O306" s="826"/>
      <c r="P306" s="826"/>
      <c r="Q306" s="826"/>
      <c r="R306" s="869"/>
      <c r="S306" s="869"/>
      <c r="T306" s="850"/>
      <c r="U306" s="655"/>
      <c r="V306" s="581"/>
      <c r="W306" s="581"/>
      <c r="X306" s="578"/>
    </row>
    <row r="307" spans="1:257" s="582" customFormat="1" ht="15.75" hidden="1" customHeight="1">
      <c r="A307" s="672" t="s">
        <v>91</v>
      </c>
      <c r="B307" s="696" t="s">
        <v>975</v>
      </c>
      <c r="C307" s="635"/>
      <c r="D307" s="635"/>
      <c r="E307" s="651"/>
      <c r="F307" s="651"/>
      <c r="G307" s="651"/>
      <c r="H307" s="651"/>
      <c r="I307" s="651"/>
      <c r="J307" s="651">
        <v>50000000</v>
      </c>
      <c r="K307" s="651"/>
      <c r="L307" s="1305"/>
      <c r="M307" s="651"/>
      <c r="N307" s="826"/>
      <c r="O307" s="826"/>
      <c r="P307" s="826"/>
      <c r="Q307" s="826"/>
      <c r="R307" s="869"/>
      <c r="S307" s="869"/>
      <c r="T307" s="850"/>
      <c r="U307" s="655"/>
      <c r="V307" s="581"/>
      <c r="W307" s="581"/>
      <c r="X307" s="578"/>
    </row>
    <row r="308" spans="1:257" s="582" customFormat="1">
      <c r="A308" s="672" t="s">
        <v>91</v>
      </c>
      <c r="B308" s="696" t="s">
        <v>1609</v>
      </c>
      <c r="C308" s="635"/>
      <c r="D308" s="635"/>
      <c r="E308" s="651"/>
      <c r="F308" s="651">
        <v>30000000</v>
      </c>
      <c r="G308" s="651"/>
      <c r="H308" s="651"/>
      <c r="I308" s="651"/>
      <c r="J308" s="651">
        <v>48000000</v>
      </c>
      <c r="K308" s="651"/>
      <c r="L308" s="1305">
        <v>60000000</v>
      </c>
      <c r="M308" s="651" t="s">
        <v>1582</v>
      </c>
      <c r="N308" s="826"/>
      <c r="O308" s="826"/>
      <c r="P308" s="826"/>
      <c r="Q308" s="826"/>
      <c r="R308" s="869"/>
      <c r="S308" s="869"/>
      <c r="T308" s="850"/>
      <c r="U308" s="655"/>
      <c r="V308" s="581"/>
      <c r="W308" s="581"/>
      <c r="X308" s="578"/>
    </row>
    <row r="309" spans="1:257" s="582" customFormat="1">
      <c r="A309" s="672" t="s">
        <v>91</v>
      </c>
      <c r="B309" s="696" t="s">
        <v>976</v>
      </c>
      <c r="C309" s="635"/>
      <c r="D309" s="635"/>
      <c r="E309" s="651"/>
      <c r="F309" s="651"/>
      <c r="G309" s="651"/>
      <c r="H309" s="651"/>
      <c r="I309" s="651"/>
      <c r="J309" s="651">
        <v>170000000</v>
      </c>
      <c r="K309" s="651">
        <f>16500000*2</f>
        <v>33000000</v>
      </c>
      <c r="L309" s="1305">
        <v>0</v>
      </c>
      <c r="M309" s="651"/>
      <c r="N309" s="826"/>
      <c r="O309" s="826"/>
      <c r="P309" s="826"/>
      <c r="Q309" s="826"/>
      <c r="R309" s="869"/>
      <c r="S309" s="869"/>
      <c r="T309" s="850"/>
      <c r="U309" s="655"/>
      <c r="V309" s="581"/>
      <c r="W309" s="581"/>
      <c r="X309" s="578"/>
    </row>
    <row r="310" spans="1:257" s="1215" customFormat="1" ht="31.5">
      <c r="A310" s="1202" t="s">
        <v>91</v>
      </c>
      <c r="B310" s="1203" t="s">
        <v>1992</v>
      </c>
      <c r="C310" s="1204"/>
      <c r="D310" s="1204"/>
      <c r="E310" s="1205"/>
      <c r="F310" s="1206">
        <v>48000000</v>
      </c>
      <c r="G310" s="1205"/>
      <c r="H310" s="1205"/>
      <c r="I310" s="1205"/>
      <c r="J310" s="1206">
        <v>48000000</v>
      </c>
      <c r="K310" s="1206">
        <v>60000000</v>
      </c>
      <c r="L310" s="1305">
        <v>20000000</v>
      </c>
      <c r="M310" s="1206" t="s">
        <v>1610</v>
      </c>
      <c r="N310" s="1207"/>
      <c r="O310" s="1207"/>
      <c r="P310" s="1208"/>
      <c r="Q310" s="1208"/>
      <c r="R310" s="1209"/>
      <c r="S310" s="1209"/>
      <c r="T310" s="1210"/>
      <c r="U310" s="1211"/>
      <c r="V310" s="1212"/>
      <c r="W310" s="1212"/>
      <c r="X310" s="1213"/>
      <c r="Y310" s="1214"/>
      <c r="Z310" s="1214"/>
      <c r="AA310" s="1214"/>
      <c r="AB310" s="1214"/>
      <c r="AC310" s="1214"/>
      <c r="AD310" s="1214"/>
      <c r="AE310" s="1214"/>
      <c r="AF310" s="1214"/>
      <c r="AG310" s="1214"/>
      <c r="AH310" s="1214"/>
      <c r="AI310" s="1214"/>
      <c r="AJ310" s="1214"/>
      <c r="AK310" s="1214"/>
      <c r="AL310" s="1214"/>
      <c r="AM310" s="1214"/>
      <c r="AN310" s="1214"/>
      <c r="AO310" s="1214"/>
      <c r="AP310" s="1214"/>
      <c r="AQ310" s="1214"/>
      <c r="AR310" s="1214"/>
      <c r="AS310" s="1214"/>
      <c r="AT310" s="1214"/>
      <c r="AU310" s="1214"/>
      <c r="AV310" s="1214"/>
      <c r="AW310" s="1214"/>
      <c r="AX310" s="1214"/>
      <c r="AY310" s="1214"/>
      <c r="AZ310" s="1214"/>
      <c r="BA310" s="1214"/>
      <c r="BB310" s="1214"/>
      <c r="BC310" s="1214"/>
      <c r="BD310" s="1214"/>
      <c r="BE310" s="1214"/>
      <c r="BF310" s="1214"/>
      <c r="BG310" s="1214"/>
      <c r="BH310" s="1214"/>
      <c r="BI310" s="1214"/>
      <c r="BJ310" s="1214"/>
      <c r="BK310" s="1214"/>
      <c r="BL310" s="1214"/>
      <c r="BM310" s="1214"/>
      <c r="BN310" s="1214"/>
      <c r="BO310" s="1214"/>
      <c r="BP310" s="1214"/>
      <c r="BQ310" s="1214"/>
      <c r="BR310" s="1214"/>
      <c r="BS310" s="1214"/>
      <c r="BT310" s="1214"/>
      <c r="BU310" s="1214"/>
      <c r="BV310" s="1214"/>
      <c r="BW310" s="1214"/>
      <c r="BX310" s="1214"/>
      <c r="BY310" s="1214"/>
      <c r="BZ310" s="1214"/>
      <c r="CA310" s="1214"/>
      <c r="CB310" s="1214"/>
      <c r="CC310" s="1214"/>
      <c r="CD310" s="1214"/>
      <c r="CE310" s="1214"/>
      <c r="CF310" s="1214"/>
      <c r="CG310" s="1214"/>
      <c r="CH310" s="1214"/>
      <c r="CI310" s="1214"/>
      <c r="CJ310" s="1214"/>
      <c r="CK310" s="1214"/>
      <c r="CL310" s="1214"/>
      <c r="CM310" s="1214"/>
      <c r="CN310" s="1214"/>
      <c r="CO310" s="1214"/>
      <c r="CP310" s="1214"/>
      <c r="CQ310" s="1214"/>
      <c r="CR310" s="1214"/>
      <c r="CS310" s="1214"/>
      <c r="CT310" s="1214"/>
      <c r="CU310" s="1214"/>
      <c r="CV310" s="1214"/>
      <c r="CW310" s="1214"/>
      <c r="CX310" s="1214"/>
      <c r="CY310" s="1214"/>
      <c r="CZ310" s="1214"/>
      <c r="DA310" s="1214"/>
      <c r="DB310" s="1214"/>
      <c r="DC310" s="1214"/>
      <c r="DD310" s="1214"/>
      <c r="DE310" s="1214"/>
      <c r="DF310" s="1214"/>
      <c r="DG310" s="1214"/>
      <c r="DH310" s="1214"/>
      <c r="DI310" s="1214"/>
      <c r="DJ310" s="1214"/>
      <c r="DK310" s="1214"/>
      <c r="DL310" s="1214"/>
      <c r="DM310" s="1214"/>
      <c r="DN310" s="1214"/>
      <c r="DO310" s="1214"/>
      <c r="DP310" s="1214"/>
      <c r="DQ310" s="1214"/>
      <c r="DR310" s="1214"/>
      <c r="DS310" s="1214"/>
      <c r="DT310" s="1214"/>
      <c r="DU310" s="1214"/>
      <c r="DV310" s="1214"/>
      <c r="DW310" s="1214"/>
      <c r="DX310" s="1214"/>
      <c r="DY310" s="1214"/>
      <c r="DZ310" s="1214"/>
      <c r="EA310" s="1214"/>
      <c r="EB310" s="1214"/>
      <c r="EC310" s="1214"/>
      <c r="ED310" s="1214"/>
      <c r="EE310" s="1214"/>
      <c r="EF310" s="1214"/>
      <c r="EG310" s="1214"/>
      <c r="EH310" s="1214"/>
      <c r="EI310" s="1214"/>
      <c r="EJ310" s="1214"/>
      <c r="EK310" s="1214"/>
      <c r="EL310" s="1214"/>
      <c r="EM310" s="1214"/>
      <c r="EN310" s="1214"/>
      <c r="EO310" s="1214"/>
      <c r="EP310" s="1214"/>
      <c r="EQ310" s="1214"/>
      <c r="ER310" s="1214"/>
      <c r="ES310" s="1214"/>
      <c r="ET310" s="1214"/>
      <c r="EU310" s="1214"/>
      <c r="EV310" s="1214"/>
      <c r="EW310" s="1214"/>
      <c r="EX310" s="1214"/>
      <c r="EY310" s="1214"/>
      <c r="EZ310" s="1214"/>
      <c r="FA310" s="1214"/>
      <c r="FB310" s="1214"/>
      <c r="FC310" s="1214"/>
      <c r="FD310" s="1214"/>
      <c r="FE310" s="1214"/>
      <c r="FF310" s="1214"/>
      <c r="FG310" s="1214"/>
      <c r="FH310" s="1214"/>
      <c r="FI310" s="1214"/>
      <c r="FJ310" s="1214"/>
      <c r="FK310" s="1214"/>
      <c r="FL310" s="1214"/>
      <c r="FM310" s="1214"/>
      <c r="FN310" s="1214"/>
      <c r="FO310" s="1214"/>
      <c r="FP310" s="1214"/>
      <c r="FQ310" s="1214"/>
      <c r="FR310" s="1214"/>
      <c r="FS310" s="1214"/>
      <c r="FT310" s="1214"/>
      <c r="FU310" s="1214"/>
      <c r="FV310" s="1214"/>
      <c r="FW310" s="1214"/>
      <c r="FX310" s="1214"/>
      <c r="FY310" s="1214"/>
      <c r="FZ310" s="1214"/>
      <c r="GA310" s="1214"/>
      <c r="GB310" s="1214"/>
      <c r="GC310" s="1214"/>
      <c r="GD310" s="1214"/>
      <c r="GE310" s="1214"/>
      <c r="GF310" s="1214"/>
      <c r="GG310" s="1214"/>
      <c r="GH310" s="1214"/>
      <c r="GI310" s="1214"/>
      <c r="GJ310" s="1214"/>
      <c r="GK310" s="1214"/>
      <c r="GL310" s="1214"/>
      <c r="GM310" s="1214"/>
      <c r="GN310" s="1214"/>
      <c r="GO310" s="1214"/>
      <c r="GP310" s="1214"/>
      <c r="GQ310" s="1214"/>
      <c r="GR310" s="1214"/>
      <c r="GS310" s="1214"/>
      <c r="GT310" s="1214"/>
      <c r="GU310" s="1214"/>
      <c r="GV310" s="1214"/>
      <c r="GW310" s="1214"/>
      <c r="GX310" s="1214"/>
      <c r="GY310" s="1214"/>
      <c r="GZ310" s="1214"/>
      <c r="HA310" s="1214"/>
      <c r="HB310" s="1214"/>
      <c r="HC310" s="1214"/>
      <c r="HD310" s="1214"/>
      <c r="HE310" s="1214"/>
      <c r="HF310" s="1214"/>
      <c r="HG310" s="1214"/>
      <c r="HH310" s="1214"/>
      <c r="HI310" s="1214"/>
      <c r="HJ310" s="1214"/>
      <c r="HK310" s="1214"/>
      <c r="HL310" s="1214"/>
      <c r="HM310" s="1214"/>
      <c r="HN310" s="1214"/>
      <c r="HO310" s="1214"/>
      <c r="HP310" s="1214"/>
      <c r="HQ310" s="1214"/>
      <c r="HR310" s="1214"/>
      <c r="HS310" s="1214"/>
      <c r="HT310" s="1214"/>
      <c r="HU310" s="1214"/>
      <c r="HV310" s="1214"/>
      <c r="HW310" s="1214"/>
      <c r="HX310" s="1214"/>
      <c r="HY310" s="1214"/>
      <c r="HZ310" s="1214"/>
      <c r="IA310" s="1214"/>
      <c r="IB310" s="1214"/>
      <c r="IC310" s="1214"/>
      <c r="ID310" s="1214"/>
      <c r="IE310" s="1214"/>
      <c r="IF310" s="1214"/>
      <c r="IG310" s="1214"/>
      <c r="IH310" s="1214"/>
      <c r="II310" s="1214"/>
      <c r="IJ310" s="1214"/>
      <c r="IK310" s="1214"/>
      <c r="IL310" s="1214"/>
      <c r="IM310" s="1214"/>
      <c r="IN310" s="1214"/>
      <c r="IO310" s="1214"/>
      <c r="IP310" s="1214"/>
      <c r="IQ310" s="1214"/>
      <c r="IR310" s="1214"/>
      <c r="IS310" s="1214"/>
      <c r="IT310" s="1214"/>
      <c r="IU310" s="1214"/>
      <c r="IV310" s="1214"/>
      <c r="IW310" s="1214"/>
    </row>
    <row r="311" spans="1:257" s="621" customFormat="1" ht="31.5">
      <c r="A311" s="672" t="s">
        <v>91</v>
      </c>
      <c r="B311" s="696" t="s">
        <v>1605</v>
      </c>
      <c r="C311" s="683"/>
      <c r="D311" s="683"/>
      <c r="E311" s="669"/>
      <c r="F311" s="651"/>
      <c r="G311" s="669"/>
      <c r="H311" s="669"/>
      <c r="I311" s="669"/>
      <c r="J311" s="651">
        <v>120000000</v>
      </c>
      <c r="K311" s="651"/>
      <c r="L311" s="1305">
        <v>20000000</v>
      </c>
      <c r="M311" s="651" t="s">
        <v>1606</v>
      </c>
      <c r="N311" s="826"/>
      <c r="O311" s="826"/>
      <c r="P311" s="837"/>
      <c r="Q311" s="837"/>
      <c r="R311" s="869"/>
      <c r="S311" s="869"/>
      <c r="T311" s="850"/>
      <c r="U311" s="655"/>
      <c r="V311" s="581"/>
      <c r="W311" s="581"/>
      <c r="X311" s="578"/>
      <c r="Y311" s="582"/>
      <c r="Z311" s="582"/>
      <c r="AA311" s="582"/>
      <c r="AB311" s="582"/>
      <c r="AC311" s="582"/>
      <c r="AD311" s="582"/>
      <c r="AE311" s="582"/>
      <c r="AF311" s="582"/>
      <c r="AG311" s="582"/>
      <c r="AH311" s="582"/>
      <c r="AI311" s="582"/>
      <c r="AJ311" s="582"/>
      <c r="AK311" s="582"/>
      <c r="AL311" s="582"/>
      <c r="AM311" s="582"/>
      <c r="AN311" s="582"/>
      <c r="AO311" s="582"/>
      <c r="AP311" s="582"/>
      <c r="AQ311" s="582"/>
      <c r="AR311" s="582"/>
      <c r="AS311" s="582"/>
      <c r="AT311" s="582"/>
      <c r="AU311" s="582"/>
      <c r="AV311" s="582"/>
      <c r="AW311" s="582"/>
      <c r="AX311" s="582"/>
      <c r="AY311" s="582"/>
      <c r="AZ311" s="582"/>
      <c r="BA311" s="582"/>
      <c r="BB311" s="582"/>
      <c r="BC311" s="582"/>
      <c r="BD311" s="582"/>
      <c r="BE311" s="582"/>
      <c r="BF311" s="582"/>
      <c r="BG311" s="582"/>
      <c r="BH311" s="582"/>
      <c r="BI311" s="582"/>
      <c r="BJ311" s="582"/>
      <c r="BK311" s="582"/>
      <c r="BL311" s="582"/>
      <c r="BM311" s="582"/>
      <c r="BN311" s="582"/>
      <c r="BO311" s="582"/>
      <c r="BP311" s="582"/>
      <c r="BQ311" s="582"/>
      <c r="BR311" s="582"/>
      <c r="BS311" s="582"/>
      <c r="BT311" s="582"/>
      <c r="BU311" s="582"/>
      <c r="BV311" s="582"/>
      <c r="BW311" s="582"/>
      <c r="BX311" s="582"/>
      <c r="BY311" s="582"/>
      <c r="BZ311" s="582"/>
      <c r="CA311" s="582"/>
      <c r="CB311" s="582"/>
      <c r="CC311" s="582"/>
      <c r="CD311" s="582"/>
      <c r="CE311" s="582"/>
      <c r="CF311" s="582"/>
      <c r="CG311" s="582"/>
      <c r="CH311" s="582"/>
      <c r="CI311" s="582"/>
      <c r="CJ311" s="582"/>
      <c r="CK311" s="582"/>
      <c r="CL311" s="582"/>
      <c r="CM311" s="582"/>
      <c r="CN311" s="582"/>
      <c r="CO311" s="582"/>
      <c r="CP311" s="582"/>
      <c r="CQ311" s="582"/>
      <c r="CR311" s="582"/>
      <c r="CS311" s="582"/>
      <c r="CT311" s="582"/>
      <c r="CU311" s="582"/>
      <c r="CV311" s="582"/>
      <c r="CW311" s="582"/>
      <c r="CX311" s="582"/>
      <c r="CY311" s="582"/>
      <c r="CZ311" s="582"/>
      <c r="DA311" s="582"/>
      <c r="DB311" s="582"/>
      <c r="DC311" s="582"/>
      <c r="DD311" s="582"/>
      <c r="DE311" s="582"/>
      <c r="DF311" s="582"/>
      <c r="DG311" s="582"/>
      <c r="DH311" s="582"/>
      <c r="DI311" s="582"/>
      <c r="DJ311" s="582"/>
      <c r="DK311" s="582"/>
      <c r="DL311" s="582"/>
      <c r="DM311" s="582"/>
      <c r="DN311" s="582"/>
      <c r="DO311" s="582"/>
      <c r="DP311" s="582"/>
      <c r="DQ311" s="582"/>
      <c r="DR311" s="582"/>
      <c r="DS311" s="582"/>
      <c r="DT311" s="582"/>
      <c r="DU311" s="582"/>
      <c r="DV311" s="582"/>
      <c r="DW311" s="582"/>
      <c r="DX311" s="582"/>
      <c r="DY311" s="582"/>
      <c r="DZ311" s="582"/>
      <c r="EA311" s="582"/>
      <c r="EB311" s="582"/>
      <c r="EC311" s="582"/>
      <c r="ED311" s="582"/>
      <c r="EE311" s="582"/>
      <c r="EF311" s="582"/>
      <c r="EG311" s="582"/>
      <c r="EH311" s="582"/>
      <c r="EI311" s="582"/>
      <c r="EJ311" s="582"/>
      <c r="EK311" s="582"/>
      <c r="EL311" s="582"/>
      <c r="EM311" s="582"/>
      <c r="EN311" s="582"/>
      <c r="EO311" s="582"/>
      <c r="EP311" s="582"/>
      <c r="EQ311" s="582"/>
      <c r="ER311" s="582"/>
      <c r="ES311" s="582"/>
      <c r="ET311" s="582"/>
      <c r="EU311" s="582"/>
      <c r="EV311" s="582"/>
      <c r="EW311" s="582"/>
      <c r="EX311" s="582"/>
      <c r="EY311" s="582"/>
      <c r="EZ311" s="582"/>
      <c r="FA311" s="582"/>
      <c r="FB311" s="582"/>
      <c r="FC311" s="582"/>
      <c r="FD311" s="582"/>
      <c r="FE311" s="582"/>
      <c r="FF311" s="582"/>
      <c r="FG311" s="582"/>
      <c r="FH311" s="582"/>
      <c r="FI311" s="582"/>
      <c r="FJ311" s="582"/>
      <c r="FK311" s="582"/>
      <c r="FL311" s="582"/>
      <c r="FM311" s="582"/>
      <c r="FN311" s="582"/>
      <c r="FO311" s="582"/>
      <c r="FP311" s="582"/>
      <c r="FQ311" s="582"/>
      <c r="FR311" s="582"/>
      <c r="FS311" s="582"/>
      <c r="FT311" s="582"/>
      <c r="FU311" s="582"/>
      <c r="FV311" s="582"/>
      <c r="FW311" s="582"/>
      <c r="FX311" s="582"/>
      <c r="FY311" s="582"/>
      <c r="FZ311" s="582"/>
      <c r="GA311" s="582"/>
      <c r="GB311" s="582"/>
      <c r="GC311" s="582"/>
      <c r="GD311" s="582"/>
      <c r="GE311" s="582"/>
      <c r="GF311" s="582"/>
      <c r="GG311" s="582"/>
      <c r="GH311" s="582"/>
      <c r="GI311" s="582"/>
      <c r="GJ311" s="582"/>
      <c r="GK311" s="582"/>
      <c r="GL311" s="582"/>
      <c r="GM311" s="582"/>
      <c r="GN311" s="582"/>
      <c r="GO311" s="582"/>
      <c r="GP311" s="582"/>
      <c r="GQ311" s="582"/>
      <c r="GR311" s="582"/>
      <c r="GS311" s="582"/>
      <c r="GT311" s="582"/>
      <c r="GU311" s="582"/>
      <c r="GV311" s="582"/>
      <c r="GW311" s="582"/>
      <c r="GX311" s="582"/>
      <c r="GY311" s="582"/>
      <c r="GZ311" s="582"/>
      <c r="HA311" s="582"/>
      <c r="HB311" s="582"/>
      <c r="HC311" s="582"/>
      <c r="HD311" s="582"/>
      <c r="HE311" s="582"/>
      <c r="HF311" s="582"/>
      <c r="HG311" s="582"/>
      <c r="HH311" s="582"/>
      <c r="HI311" s="582"/>
      <c r="HJ311" s="582"/>
      <c r="HK311" s="582"/>
      <c r="HL311" s="582"/>
      <c r="HM311" s="582"/>
      <c r="HN311" s="582"/>
      <c r="HO311" s="582"/>
      <c r="HP311" s="582"/>
      <c r="HQ311" s="582"/>
      <c r="HR311" s="582"/>
      <c r="HS311" s="582"/>
      <c r="HT311" s="582"/>
      <c r="HU311" s="582"/>
      <c r="HV311" s="582"/>
      <c r="HW311" s="582"/>
      <c r="HX311" s="582"/>
      <c r="HY311" s="582"/>
      <c r="HZ311" s="582"/>
      <c r="IA311" s="582"/>
      <c r="IB311" s="582"/>
      <c r="IC311" s="582"/>
      <c r="ID311" s="582"/>
      <c r="IE311" s="582"/>
      <c r="IF311" s="582"/>
      <c r="IG311" s="582"/>
      <c r="IH311" s="582"/>
      <c r="II311" s="582"/>
      <c r="IJ311" s="582"/>
      <c r="IK311" s="582"/>
      <c r="IL311" s="582"/>
      <c r="IM311" s="582"/>
      <c r="IN311" s="582"/>
      <c r="IO311" s="582"/>
      <c r="IP311" s="582"/>
      <c r="IQ311" s="582"/>
      <c r="IR311" s="582"/>
      <c r="IS311" s="582"/>
      <c r="IT311" s="582"/>
      <c r="IU311" s="582"/>
      <c r="IV311" s="582"/>
      <c r="IW311" s="582"/>
    </row>
    <row r="312" spans="1:257" s="621" customFormat="1" ht="15.75" hidden="1" customHeight="1">
      <c r="A312" s="672" t="s">
        <v>91</v>
      </c>
      <c r="B312" s="696" t="s">
        <v>977</v>
      </c>
      <c r="C312" s="683"/>
      <c r="D312" s="683"/>
      <c r="E312" s="669"/>
      <c r="F312" s="651"/>
      <c r="G312" s="669"/>
      <c r="H312" s="669"/>
      <c r="I312" s="669"/>
      <c r="J312" s="651">
        <v>10000000</v>
      </c>
      <c r="K312" s="651"/>
      <c r="L312" s="1305"/>
      <c r="M312" s="651"/>
      <c r="N312" s="826"/>
      <c r="O312" s="826"/>
      <c r="P312" s="837"/>
      <c r="Q312" s="837"/>
      <c r="R312" s="869"/>
      <c r="S312" s="869"/>
      <c r="T312" s="850"/>
      <c r="U312" s="655"/>
      <c r="V312" s="581"/>
      <c r="W312" s="581"/>
      <c r="X312" s="578"/>
      <c r="Y312" s="582"/>
      <c r="Z312" s="582"/>
      <c r="AA312" s="582"/>
      <c r="AB312" s="582"/>
      <c r="AC312" s="582"/>
      <c r="AD312" s="582"/>
      <c r="AE312" s="582"/>
      <c r="AF312" s="582"/>
      <c r="AG312" s="582"/>
      <c r="AH312" s="582"/>
      <c r="AI312" s="582"/>
      <c r="AJ312" s="582"/>
      <c r="AK312" s="582"/>
      <c r="AL312" s="582"/>
      <c r="AM312" s="582"/>
      <c r="AN312" s="582"/>
      <c r="AO312" s="582"/>
      <c r="AP312" s="582"/>
      <c r="AQ312" s="582"/>
      <c r="AR312" s="582"/>
      <c r="AS312" s="582"/>
      <c r="AT312" s="582"/>
      <c r="AU312" s="582"/>
      <c r="AV312" s="582"/>
      <c r="AW312" s="582"/>
      <c r="AX312" s="582"/>
      <c r="AY312" s="582"/>
      <c r="AZ312" s="582"/>
      <c r="BA312" s="582"/>
      <c r="BB312" s="582"/>
      <c r="BC312" s="582"/>
      <c r="BD312" s="582"/>
      <c r="BE312" s="582"/>
      <c r="BF312" s="582"/>
      <c r="BG312" s="582"/>
      <c r="BH312" s="582"/>
      <c r="BI312" s="582"/>
      <c r="BJ312" s="582"/>
      <c r="BK312" s="582"/>
      <c r="BL312" s="582"/>
      <c r="BM312" s="582"/>
      <c r="BN312" s="582"/>
      <c r="BO312" s="582"/>
      <c r="BP312" s="582"/>
      <c r="BQ312" s="582"/>
      <c r="BR312" s="582"/>
      <c r="BS312" s="582"/>
      <c r="BT312" s="582"/>
      <c r="BU312" s="582"/>
      <c r="BV312" s="582"/>
      <c r="BW312" s="582"/>
      <c r="BX312" s="582"/>
      <c r="BY312" s="582"/>
      <c r="BZ312" s="582"/>
      <c r="CA312" s="582"/>
      <c r="CB312" s="582"/>
      <c r="CC312" s="582"/>
      <c r="CD312" s="582"/>
      <c r="CE312" s="582"/>
      <c r="CF312" s="582"/>
      <c r="CG312" s="582"/>
      <c r="CH312" s="582"/>
      <c r="CI312" s="582"/>
      <c r="CJ312" s="582"/>
      <c r="CK312" s="582"/>
      <c r="CL312" s="582"/>
      <c r="CM312" s="582"/>
      <c r="CN312" s="582"/>
      <c r="CO312" s="582"/>
      <c r="CP312" s="582"/>
      <c r="CQ312" s="582"/>
      <c r="CR312" s="582"/>
      <c r="CS312" s="582"/>
      <c r="CT312" s="582"/>
      <c r="CU312" s="582"/>
      <c r="CV312" s="582"/>
      <c r="CW312" s="582"/>
      <c r="CX312" s="582"/>
      <c r="CY312" s="582"/>
      <c r="CZ312" s="582"/>
      <c r="DA312" s="582"/>
      <c r="DB312" s="582"/>
      <c r="DC312" s="582"/>
      <c r="DD312" s="582"/>
      <c r="DE312" s="582"/>
      <c r="DF312" s="582"/>
      <c r="DG312" s="582"/>
      <c r="DH312" s="582"/>
      <c r="DI312" s="582"/>
      <c r="DJ312" s="582"/>
      <c r="DK312" s="582"/>
      <c r="DL312" s="582"/>
      <c r="DM312" s="582"/>
      <c r="DN312" s="582"/>
      <c r="DO312" s="582"/>
      <c r="DP312" s="582"/>
      <c r="DQ312" s="582"/>
      <c r="DR312" s="582"/>
      <c r="DS312" s="582"/>
      <c r="DT312" s="582"/>
      <c r="DU312" s="582"/>
      <c r="DV312" s="582"/>
      <c r="DW312" s="582"/>
      <c r="DX312" s="582"/>
      <c r="DY312" s="582"/>
      <c r="DZ312" s="582"/>
      <c r="EA312" s="582"/>
      <c r="EB312" s="582"/>
      <c r="EC312" s="582"/>
      <c r="ED312" s="582"/>
      <c r="EE312" s="582"/>
      <c r="EF312" s="582"/>
      <c r="EG312" s="582"/>
      <c r="EH312" s="582"/>
      <c r="EI312" s="582"/>
      <c r="EJ312" s="582"/>
      <c r="EK312" s="582"/>
      <c r="EL312" s="582"/>
      <c r="EM312" s="582"/>
      <c r="EN312" s="582"/>
      <c r="EO312" s="582"/>
      <c r="EP312" s="582"/>
      <c r="EQ312" s="582"/>
      <c r="ER312" s="582"/>
      <c r="ES312" s="582"/>
      <c r="ET312" s="582"/>
      <c r="EU312" s="582"/>
      <c r="EV312" s="582"/>
      <c r="EW312" s="582"/>
      <c r="EX312" s="582"/>
      <c r="EY312" s="582"/>
      <c r="EZ312" s="582"/>
      <c r="FA312" s="582"/>
      <c r="FB312" s="582"/>
      <c r="FC312" s="582"/>
      <c r="FD312" s="582"/>
      <c r="FE312" s="582"/>
      <c r="FF312" s="582"/>
      <c r="FG312" s="582"/>
      <c r="FH312" s="582"/>
      <c r="FI312" s="582"/>
      <c r="FJ312" s="582"/>
      <c r="FK312" s="582"/>
      <c r="FL312" s="582"/>
      <c r="FM312" s="582"/>
      <c r="FN312" s="582"/>
      <c r="FO312" s="582"/>
      <c r="FP312" s="582"/>
      <c r="FQ312" s="582"/>
      <c r="FR312" s="582"/>
      <c r="FS312" s="582"/>
      <c r="FT312" s="582"/>
      <c r="FU312" s="582"/>
      <c r="FV312" s="582"/>
      <c r="FW312" s="582"/>
      <c r="FX312" s="582"/>
      <c r="FY312" s="582"/>
      <c r="FZ312" s="582"/>
      <c r="GA312" s="582"/>
      <c r="GB312" s="582"/>
      <c r="GC312" s="582"/>
      <c r="GD312" s="582"/>
      <c r="GE312" s="582"/>
      <c r="GF312" s="582"/>
      <c r="GG312" s="582"/>
      <c r="GH312" s="582"/>
      <c r="GI312" s="582"/>
      <c r="GJ312" s="582"/>
      <c r="GK312" s="582"/>
      <c r="GL312" s="582"/>
      <c r="GM312" s="582"/>
      <c r="GN312" s="582"/>
      <c r="GO312" s="582"/>
      <c r="GP312" s="582"/>
      <c r="GQ312" s="582"/>
      <c r="GR312" s="582"/>
      <c r="GS312" s="582"/>
      <c r="GT312" s="582"/>
      <c r="GU312" s="582"/>
      <c r="GV312" s="582"/>
      <c r="GW312" s="582"/>
      <c r="GX312" s="582"/>
      <c r="GY312" s="582"/>
      <c r="GZ312" s="582"/>
      <c r="HA312" s="582"/>
      <c r="HB312" s="582"/>
      <c r="HC312" s="582"/>
      <c r="HD312" s="582"/>
      <c r="HE312" s="582"/>
      <c r="HF312" s="582"/>
      <c r="HG312" s="582"/>
      <c r="HH312" s="582"/>
      <c r="HI312" s="582"/>
      <c r="HJ312" s="582"/>
      <c r="HK312" s="582"/>
      <c r="HL312" s="582"/>
      <c r="HM312" s="582"/>
      <c r="HN312" s="582"/>
      <c r="HO312" s="582"/>
      <c r="HP312" s="582"/>
      <c r="HQ312" s="582"/>
      <c r="HR312" s="582"/>
      <c r="HS312" s="582"/>
      <c r="HT312" s="582"/>
      <c r="HU312" s="582"/>
      <c r="HV312" s="582"/>
      <c r="HW312" s="582"/>
      <c r="HX312" s="582"/>
      <c r="HY312" s="582"/>
      <c r="HZ312" s="582"/>
      <c r="IA312" s="582"/>
      <c r="IB312" s="582"/>
      <c r="IC312" s="582"/>
      <c r="ID312" s="582"/>
      <c r="IE312" s="582"/>
      <c r="IF312" s="582"/>
      <c r="IG312" s="582"/>
      <c r="IH312" s="582"/>
      <c r="II312" s="582"/>
      <c r="IJ312" s="582"/>
      <c r="IK312" s="582"/>
      <c r="IL312" s="582"/>
      <c r="IM312" s="582"/>
      <c r="IN312" s="582"/>
      <c r="IO312" s="582"/>
      <c r="IP312" s="582"/>
      <c r="IQ312" s="582"/>
      <c r="IR312" s="582"/>
      <c r="IS312" s="582"/>
      <c r="IT312" s="582"/>
      <c r="IU312" s="582"/>
      <c r="IV312" s="582"/>
      <c r="IW312" s="582"/>
    </row>
    <row r="313" spans="1:257" s="621" customFormat="1" ht="31.5" hidden="1" customHeight="1">
      <c r="A313" s="672" t="s">
        <v>91</v>
      </c>
      <c r="B313" s="696" t="s">
        <v>978</v>
      </c>
      <c r="C313" s="683"/>
      <c r="D313" s="683"/>
      <c r="E313" s="669"/>
      <c r="F313" s="651"/>
      <c r="G313" s="669"/>
      <c r="H313" s="669"/>
      <c r="I313" s="669"/>
      <c r="J313" s="651">
        <v>50000000</v>
      </c>
      <c r="K313" s="651"/>
      <c r="L313" s="1305"/>
      <c r="M313" s="651" t="s">
        <v>979</v>
      </c>
      <c r="N313" s="826"/>
      <c r="O313" s="826"/>
      <c r="P313" s="837"/>
      <c r="Q313" s="837"/>
      <c r="R313" s="869"/>
      <c r="S313" s="869"/>
      <c r="T313" s="850"/>
      <c r="U313" s="655"/>
      <c r="V313" s="581"/>
      <c r="W313" s="581"/>
      <c r="X313" s="578"/>
      <c r="Y313" s="582"/>
      <c r="Z313" s="582"/>
      <c r="AA313" s="582"/>
      <c r="AB313" s="582"/>
      <c r="AC313" s="582"/>
      <c r="AD313" s="582"/>
      <c r="AE313" s="582"/>
      <c r="AF313" s="582"/>
      <c r="AG313" s="582"/>
      <c r="AH313" s="582"/>
      <c r="AI313" s="582"/>
      <c r="AJ313" s="582"/>
      <c r="AK313" s="582"/>
      <c r="AL313" s="582"/>
      <c r="AM313" s="582"/>
      <c r="AN313" s="582"/>
      <c r="AO313" s="582"/>
      <c r="AP313" s="582"/>
      <c r="AQ313" s="582"/>
      <c r="AR313" s="582"/>
      <c r="AS313" s="582"/>
      <c r="AT313" s="582"/>
      <c r="AU313" s="582"/>
      <c r="AV313" s="582"/>
      <c r="AW313" s="582"/>
      <c r="AX313" s="582"/>
      <c r="AY313" s="582"/>
      <c r="AZ313" s="582"/>
      <c r="BA313" s="582"/>
      <c r="BB313" s="582"/>
      <c r="BC313" s="582"/>
      <c r="BD313" s="582"/>
      <c r="BE313" s="582"/>
      <c r="BF313" s="582"/>
      <c r="BG313" s="582"/>
      <c r="BH313" s="582"/>
      <c r="BI313" s="582"/>
      <c r="BJ313" s="582"/>
      <c r="BK313" s="582"/>
      <c r="BL313" s="582"/>
      <c r="BM313" s="582"/>
      <c r="BN313" s="582"/>
      <c r="BO313" s="582"/>
      <c r="BP313" s="582"/>
      <c r="BQ313" s="582"/>
      <c r="BR313" s="582"/>
      <c r="BS313" s="582"/>
      <c r="BT313" s="582"/>
      <c r="BU313" s="582"/>
      <c r="BV313" s="582"/>
      <c r="BW313" s="582"/>
      <c r="BX313" s="582"/>
      <c r="BY313" s="582"/>
      <c r="BZ313" s="582"/>
      <c r="CA313" s="582"/>
      <c r="CB313" s="582"/>
      <c r="CC313" s="582"/>
      <c r="CD313" s="582"/>
      <c r="CE313" s="582"/>
      <c r="CF313" s="582"/>
      <c r="CG313" s="582"/>
      <c r="CH313" s="582"/>
      <c r="CI313" s="582"/>
      <c r="CJ313" s="582"/>
      <c r="CK313" s="582"/>
      <c r="CL313" s="582"/>
      <c r="CM313" s="582"/>
      <c r="CN313" s="582"/>
      <c r="CO313" s="582"/>
      <c r="CP313" s="582"/>
      <c r="CQ313" s="582"/>
      <c r="CR313" s="582"/>
      <c r="CS313" s="582"/>
      <c r="CT313" s="582"/>
      <c r="CU313" s="582"/>
      <c r="CV313" s="582"/>
      <c r="CW313" s="582"/>
      <c r="CX313" s="582"/>
      <c r="CY313" s="582"/>
      <c r="CZ313" s="582"/>
      <c r="DA313" s="582"/>
      <c r="DB313" s="582"/>
      <c r="DC313" s="582"/>
      <c r="DD313" s="582"/>
      <c r="DE313" s="582"/>
      <c r="DF313" s="582"/>
      <c r="DG313" s="582"/>
      <c r="DH313" s="582"/>
      <c r="DI313" s="582"/>
      <c r="DJ313" s="582"/>
      <c r="DK313" s="582"/>
      <c r="DL313" s="582"/>
      <c r="DM313" s="582"/>
      <c r="DN313" s="582"/>
      <c r="DO313" s="582"/>
      <c r="DP313" s="582"/>
      <c r="DQ313" s="582"/>
      <c r="DR313" s="582"/>
      <c r="DS313" s="582"/>
      <c r="DT313" s="582"/>
      <c r="DU313" s="582"/>
      <c r="DV313" s="582"/>
      <c r="DW313" s="582"/>
      <c r="DX313" s="582"/>
      <c r="DY313" s="582"/>
      <c r="DZ313" s="582"/>
      <c r="EA313" s="582"/>
      <c r="EB313" s="582"/>
      <c r="EC313" s="582"/>
      <c r="ED313" s="582"/>
      <c r="EE313" s="582"/>
      <c r="EF313" s="582"/>
      <c r="EG313" s="582"/>
      <c r="EH313" s="582"/>
      <c r="EI313" s="582"/>
      <c r="EJ313" s="582"/>
      <c r="EK313" s="582"/>
      <c r="EL313" s="582"/>
      <c r="EM313" s="582"/>
      <c r="EN313" s="582"/>
      <c r="EO313" s="582"/>
      <c r="EP313" s="582"/>
      <c r="EQ313" s="582"/>
      <c r="ER313" s="582"/>
      <c r="ES313" s="582"/>
      <c r="ET313" s="582"/>
      <c r="EU313" s="582"/>
      <c r="EV313" s="582"/>
      <c r="EW313" s="582"/>
      <c r="EX313" s="582"/>
      <c r="EY313" s="582"/>
      <c r="EZ313" s="582"/>
      <c r="FA313" s="582"/>
      <c r="FB313" s="582"/>
      <c r="FC313" s="582"/>
      <c r="FD313" s="582"/>
      <c r="FE313" s="582"/>
      <c r="FF313" s="582"/>
      <c r="FG313" s="582"/>
      <c r="FH313" s="582"/>
      <c r="FI313" s="582"/>
      <c r="FJ313" s="582"/>
      <c r="FK313" s="582"/>
      <c r="FL313" s="582"/>
      <c r="FM313" s="582"/>
      <c r="FN313" s="582"/>
      <c r="FO313" s="582"/>
      <c r="FP313" s="582"/>
      <c r="FQ313" s="582"/>
      <c r="FR313" s="582"/>
      <c r="FS313" s="582"/>
      <c r="FT313" s="582"/>
      <c r="FU313" s="582"/>
      <c r="FV313" s="582"/>
      <c r="FW313" s="582"/>
      <c r="FX313" s="582"/>
      <c r="FY313" s="582"/>
      <c r="FZ313" s="582"/>
      <c r="GA313" s="582"/>
      <c r="GB313" s="582"/>
      <c r="GC313" s="582"/>
      <c r="GD313" s="582"/>
      <c r="GE313" s="582"/>
      <c r="GF313" s="582"/>
      <c r="GG313" s="582"/>
      <c r="GH313" s="582"/>
      <c r="GI313" s="582"/>
      <c r="GJ313" s="582"/>
      <c r="GK313" s="582"/>
      <c r="GL313" s="582"/>
      <c r="GM313" s="582"/>
      <c r="GN313" s="582"/>
      <c r="GO313" s="582"/>
      <c r="GP313" s="582"/>
      <c r="GQ313" s="582"/>
      <c r="GR313" s="582"/>
      <c r="GS313" s="582"/>
      <c r="GT313" s="582"/>
      <c r="GU313" s="582"/>
      <c r="GV313" s="582"/>
      <c r="GW313" s="582"/>
      <c r="GX313" s="582"/>
      <c r="GY313" s="582"/>
      <c r="GZ313" s="582"/>
      <c r="HA313" s="582"/>
      <c r="HB313" s="582"/>
      <c r="HC313" s="582"/>
      <c r="HD313" s="582"/>
      <c r="HE313" s="582"/>
      <c r="HF313" s="582"/>
      <c r="HG313" s="582"/>
      <c r="HH313" s="582"/>
      <c r="HI313" s="582"/>
      <c r="HJ313" s="582"/>
      <c r="HK313" s="582"/>
      <c r="HL313" s="582"/>
      <c r="HM313" s="582"/>
      <c r="HN313" s="582"/>
      <c r="HO313" s="582"/>
      <c r="HP313" s="582"/>
      <c r="HQ313" s="582"/>
      <c r="HR313" s="582"/>
      <c r="HS313" s="582"/>
      <c r="HT313" s="582"/>
      <c r="HU313" s="582"/>
      <c r="HV313" s="582"/>
      <c r="HW313" s="582"/>
      <c r="HX313" s="582"/>
      <c r="HY313" s="582"/>
      <c r="HZ313" s="582"/>
      <c r="IA313" s="582"/>
      <c r="IB313" s="582"/>
      <c r="IC313" s="582"/>
      <c r="ID313" s="582"/>
      <c r="IE313" s="582"/>
      <c r="IF313" s="582"/>
      <c r="IG313" s="582"/>
      <c r="IH313" s="582"/>
      <c r="II313" s="582"/>
      <c r="IJ313" s="582"/>
      <c r="IK313" s="582"/>
      <c r="IL313" s="582"/>
      <c r="IM313" s="582"/>
      <c r="IN313" s="582"/>
      <c r="IO313" s="582"/>
      <c r="IP313" s="582"/>
      <c r="IQ313" s="582"/>
      <c r="IR313" s="582"/>
      <c r="IS313" s="582"/>
      <c r="IT313" s="582"/>
      <c r="IU313" s="582"/>
      <c r="IV313" s="582"/>
      <c r="IW313" s="582"/>
    </row>
    <row r="314" spans="1:257" s="621" customFormat="1">
      <c r="A314" s="943" t="s">
        <v>91</v>
      </c>
      <c r="B314" s="696" t="s">
        <v>1607</v>
      </c>
      <c r="C314" s="683"/>
      <c r="D314" s="683"/>
      <c r="E314" s="669"/>
      <c r="F314" s="651"/>
      <c r="G314" s="669"/>
      <c r="H314" s="669"/>
      <c r="I314" s="669"/>
      <c r="J314" s="651">
        <v>1211797000</v>
      </c>
      <c r="K314" s="651">
        <f>10500000*6</f>
        <v>63000000</v>
      </c>
      <c r="L314" s="1305">
        <v>42000000</v>
      </c>
      <c r="M314" s="651" t="s">
        <v>1608</v>
      </c>
      <c r="N314" s="826"/>
      <c r="O314" s="826"/>
      <c r="P314" s="837"/>
      <c r="Q314" s="837"/>
      <c r="R314" s="869"/>
      <c r="S314" s="869"/>
      <c r="T314" s="850"/>
      <c r="U314" s="655"/>
      <c r="V314" s="581"/>
      <c r="W314" s="581"/>
      <c r="X314" s="578"/>
      <c r="Y314" s="582"/>
      <c r="Z314" s="582"/>
      <c r="AA314" s="582"/>
      <c r="AB314" s="582"/>
      <c r="AC314" s="582"/>
      <c r="AD314" s="582"/>
      <c r="AE314" s="582"/>
      <c r="AF314" s="582"/>
      <c r="AG314" s="582"/>
      <c r="AH314" s="582"/>
      <c r="AI314" s="582"/>
      <c r="AJ314" s="582"/>
      <c r="AK314" s="582"/>
      <c r="AL314" s="582"/>
      <c r="AM314" s="582"/>
      <c r="AN314" s="582"/>
      <c r="AO314" s="582"/>
      <c r="AP314" s="582"/>
      <c r="AQ314" s="582"/>
      <c r="AR314" s="582"/>
      <c r="AS314" s="582"/>
      <c r="AT314" s="582"/>
      <c r="AU314" s="582"/>
      <c r="AV314" s="582"/>
      <c r="AW314" s="582"/>
      <c r="AX314" s="582"/>
      <c r="AY314" s="582"/>
      <c r="AZ314" s="582"/>
      <c r="BA314" s="582"/>
      <c r="BB314" s="582"/>
      <c r="BC314" s="582"/>
      <c r="BD314" s="582"/>
      <c r="BE314" s="582"/>
      <c r="BF314" s="582"/>
      <c r="BG314" s="582"/>
      <c r="BH314" s="582"/>
      <c r="BI314" s="582"/>
      <c r="BJ314" s="582"/>
      <c r="BK314" s="582"/>
      <c r="BL314" s="582"/>
      <c r="BM314" s="582"/>
      <c r="BN314" s="582"/>
      <c r="BO314" s="582"/>
      <c r="BP314" s="582"/>
      <c r="BQ314" s="582"/>
      <c r="BR314" s="582"/>
      <c r="BS314" s="582"/>
      <c r="BT314" s="582"/>
      <c r="BU314" s="582"/>
      <c r="BV314" s="582"/>
      <c r="BW314" s="582"/>
      <c r="BX314" s="582"/>
      <c r="BY314" s="582"/>
      <c r="BZ314" s="582"/>
      <c r="CA314" s="582"/>
      <c r="CB314" s="582"/>
      <c r="CC314" s="582"/>
      <c r="CD314" s="582"/>
      <c r="CE314" s="582"/>
      <c r="CF314" s="582"/>
      <c r="CG314" s="582"/>
      <c r="CH314" s="582"/>
      <c r="CI314" s="582"/>
      <c r="CJ314" s="582"/>
      <c r="CK314" s="582"/>
      <c r="CL314" s="582"/>
      <c r="CM314" s="582"/>
      <c r="CN314" s="582"/>
      <c r="CO314" s="582"/>
      <c r="CP314" s="582"/>
      <c r="CQ314" s="582"/>
      <c r="CR314" s="582"/>
      <c r="CS314" s="582"/>
      <c r="CT314" s="582"/>
      <c r="CU314" s="582"/>
      <c r="CV314" s="582"/>
      <c r="CW314" s="582"/>
      <c r="CX314" s="582"/>
      <c r="CY314" s="582"/>
      <c r="CZ314" s="582"/>
      <c r="DA314" s="582"/>
      <c r="DB314" s="582"/>
      <c r="DC314" s="582"/>
      <c r="DD314" s="582"/>
      <c r="DE314" s="582"/>
      <c r="DF314" s="582"/>
      <c r="DG314" s="582"/>
      <c r="DH314" s="582"/>
      <c r="DI314" s="582"/>
      <c r="DJ314" s="582"/>
      <c r="DK314" s="582"/>
      <c r="DL314" s="582"/>
      <c r="DM314" s="582"/>
      <c r="DN314" s="582"/>
      <c r="DO314" s="582"/>
      <c r="DP314" s="582"/>
      <c r="DQ314" s="582"/>
      <c r="DR314" s="582"/>
      <c r="DS314" s="582"/>
      <c r="DT314" s="582"/>
      <c r="DU314" s="582"/>
      <c r="DV314" s="582"/>
      <c r="DW314" s="582"/>
      <c r="DX314" s="582"/>
      <c r="DY314" s="582"/>
      <c r="DZ314" s="582"/>
      <c r="EA314" s="582"/>
      <c r="EB314" s="582"/>
      <c r="EC314" s="582"/>
      <c r="ED314" s="582"/>
      <c r="EE314" s="582"/>
      <c r="EF314" s="582"/>
      <c r="EG314" s="582"/>
      <c r="EH314" s="582"/>
      <c r="EI314" s="582"/>
      <c r="EJ314" s="582"/>
      <c r="EK314" s="582"/>
      <c r="EL314" s="582"/>
      <c r="EM314" s="582"/>
      <c r="EN314" s="582"/>
      <c r="EO314" s="582"/>
      <c r="EP314" s="582"/>
      <c r="EQ314" s="582"/>
      <c r="ER314" s="582"/>
      <c r="ES314" s="582"/>
      <c r="ET314" s="582"/>
      <c r="EU314" s="582"/>
      <c r="EV314" s="582"/>
      <c r="EW314" s="582"/>
      <c r="EX314" s="582"/>
      <c r="EY314" s="582"/>
      <c r="EZ314" s="582"/>
      <c r="FA314" s="582"/>
      <c r="FB314" s="582"/>
      <c r="FC314" s="582"/>
      <c r="FD314" s="582"/>
      <c r="FE314" s="582"/>
      <c r="FF314" s="582"/>
      <c r="FG314" s="582"/>
      <c r="FH314" s="582"/>
      <c r="FI314" s="582"/>
      <c r="FJ314" s="582"/>
      <c r="FK314" s="582"/>
      <c r="FL314" s="582"/>
      <c r="FM314" s="582"/>
      <c r="FN314" s="582"/>
      <c r="FO314" s="582"/>
      <c r="FP314" s="582"/>
      <c r="FQ314" s="582"/>
      <c r="FR314" s="582"/>
      <c r="FS314" s="582"/>
      <c r="FT314" s="582"/>
      <c r="FU314" s="582"/>
      <c r="FV314" s="582"/>
      <c r="FW314" s="582"/>
      <c r="FX314" s="582"/>
      <c r="FY314" s="582"/>
      <c r="FZ314" s="582"/>
      <c r="GA314" s="582"/>
      <c r="GB314" s="582"/>
      <c r="GC314" s="582"/>
      <c r="GD314" s="582"/>
      <c r="GE314" s="582"/>
      <c r="GF314" s="582"/>
      <c r="GG314" s="582"/>
      <c r="GH314" s="582"/>
      <c r="GI314" s="582"/>
      <c r="GJ314" s="582"/>
      <c r="GK314" s="582"/>
      <c r="GL314" s="582"/>
      <c r="GM314" s="582"/>
      <c r="GN314" s="582"/>
      <c r="GO314" s="582"/>
      <c r="GP314" s="582"/>
      <c r="GQ314" s="582"/>
      <c r="GR314" s="582"/>
      <c r="GS314" s="582"/>
      <c r="GT314" s="582"/>
      <c r="GU314" s="582"/>
      <c r="GV314" s="582"/>
      <c r="GW314" s="582"/>
      <c r="GX314" s="582"/>
      <c r="GY314" s="582"/>
      <c r="GZ314" s="582"/>
      <c r="HA314" s="582"/>
      <c r="HB314" s="582"/>
      <c r="HC314" s="582"/>
      <c r="HD314" s="582"/>
      <c r="HE314" s="582"/>
      <c r="HF314" s="582"/>
      <c r="HG314" s="582"/>
      <c r="HH314" s="582"/>
      <c r="HI314" s="582"/>
      <c r="HJ314" s="582"/>
      <c r="HK314" s="582"/>
      <c r="HL314" s="582"/>
      <c r="HM314" s="582"/>
      <c r="HN314" s="582"/>
      <c r="HO314" s="582"/>
      <c r="HP314" s="582"/>
      <c r="HQ314" s="582"/>
      <c r="HR314" s="582"/>
      <c r="HS314" s="582"/>
      <c r="HT314" s="582"/>
      <c r="HU314" s="582"/>
      <c r="HV314" s="582"/>
      <c r="HW314" s="582"/>
      <c r="HX314" s="582"/>
      <c r="HY314" s="582"/>
      <c r="HZ314" s="582"/>
      <c r="IA314" s="582"/>
      <c r="IB314" s="582"/>
      <c r="IC314" s="582"/>
      <c r="ID314" s="582"/>
      <c r="IE314" s="582"/>
      <c r="IF314" s="582"/>
      <c r="IG314" s="582"/>
      <c r="IH314" s="582"/>
      <c r="II314" s="582"/>
      <c r="IJ314" s="582"/>
      <c r="IK314" s="582"/>
      <c r="IL314" s="582"/>
      <c r="IM314" s="582"/>
      <c r="IN314" s="582"/>
      <c r="IO314" s="582"/>
      <c r="IP314" s="582"/>
      <c r="IQ314" s="582"/>
      <c r="IR314" s="582"/>
      <c r="IS314" s="582"/>
      <c r="IT314" s="582"/>
      <c r="IU314" s="582"/>
      <c r="IV314" s="582"/>
      <c r="IW314" s="582"/>
    </row>
    <row r="315" spans="1:257" s="621" customFormat="1" ht="15.75" hidden="1" customHeight="1">
      <c r="A315" s="787" t="s">
        <v>261</v>
      </c>
      <c r="B315" s="607" t="s">
        <v>980</v>
      </c>
      <c r="C315" s="617"/>
      <c r="D315" s="617"/>
      <c r="E315" s="618"/>
      <c r="F315" s="609">
        <f>F316</f>
        <v>0</v>
      </c>
      <c r="G315" s="618"/>
      <c r="H315" s="618"/>
      <c r="I315" s="618"/>
      <c r="J315" s="609"/>
      <c r="K315" s="609"/>
      <c r="L315" s="1303"/>
      <c r="M315" s="609"/>
      <c r="N315" s="830"/>
      <c r="O315" s="830"/>
      <c r="P315" s="944"/>
      <c r="Q315" s="944"/>
      <c r="R315" s="945"/>
      <c r="S315" s="945"/>
      <c r="T315" s="852"/>
      <c r="U315" s="637"/>
      <c r="V315" s="701"/>
      <c r="W315" s="701"/>
      <c r="X315" s="702"/>
      <c r="Y315" s="703"/>
      <c r="Z315" s="703"/>
      <c r="AA315" s="703"/>
      <c r="AB315" s="703"/>
      <c r="AC315" s="703"/>
      <c r="AD315" s="703"/>
      <c r="AE315" s="703"/>
      <c r="AF315" s="703"/>
      <c r="AG315" s="703"/>
      <c r="AH315" s="703"/>
      <c r="AI315" s="703"/>
      <c r="AJ315" s="703"/>
      <c r="AK315" s="703"/>
      <c r="AL315" s="703"/>
      <c r="AM315" s="703"/>
      <c r="AN315" s="703"/>
      <c r="AO315" s="703"/>
      <c r="AP315" s="703"/>
      <c r="AQ315" s="703"/>
      <c r="AR315" s="703"/>
      <c r="AS315" s="703"/>
      <c r="AT315" s="703"/>
      <c r="AU315" s="703"/>
      <c r="AV315" s="703"/>
      <c r="AW315" s="703"/>
      <c r="AX315" s="703"/>
      <c r="AY315" s="703"/>
      <c r="AZ315" s="703"/>
      <c r="BA315" s="703"/>
      <c r="BB315" s="703"/>
      <c r="BC315" s="703"/>
      <c r="BD315" s="703"/>
      <c r="BE315" s="703"/>
      <c r="BF315" s="703"/>
      <c r="BG315" s="703"/>
      <c r="BH315" s="703"/>
      <c r="BI315" s="703"/>
      <c r="BJ315" s="703"/>
      <c r="BK315" s="703"/>
      <c r="BL315" s="703"/>
      <c r="BM315" s="703"/>
      <c r="BN315" s="703"/>
      <c r="BO315" s="703"/>
      <c r="BP315" s="703"/>
      <c r="BQ315" s="703"/>
      <c r="BR315" s="703"/>
      <c r="BS315" s="703"/>
      <c r="BT315" s="703"/>
      <c r="BU315" s="703"/>
      <c r="BV315" s="703"/>
      <c r="BW315" s="703"/>
      <c r="BX315" s="703"/>
      <c r="BY315" s="703"/>
      <c r="BZ315" s="703"/>
      <c r="CA315" s="703"/>
      <c r="CB315" s="703"/>
      <c r="CC315" s="703"/>
      <c r="CD315" s="703"/>
      <c r="CE315" s="703"/>
      <c r="CF315" s="703"/>
      <c r="CG315" s="703"/>
      <c r="CH315" s="703"/>
      <c r="CI315" s="703"/>
      <c r="CJ315" s="703"/>
      <c r="CK315" s="703"/>
      <c r="CL315" s="703"/>
      <c r="CM315" s="703"/>
      <c r="CN315" s="703"/>
      <c r="CO315" s="703"/>
      <c r="CP315" s="703"/>
      <c r="CQ315" s="703"/>
      <c r="CR315" s="703"/>
      <c r="CS315" s="703"/>
      <c r="CT315" s="703"/>
      <c r="CU315" s="703"/>
      <c r="CV315" s="703"/>
      <c r="CW315" s="703"/>
      <c r="CX315" s="703"/>
      <c r="CY315" s="703"/>
      <c r="CZ315" s="703"/>
      <c r="DA315" s="703"/>
      <c r="DB315" s="703"/>
      <c r="DC315" s="703"/>
      <c r="DD315" s="703"/>
      <c r="DE315" s="703"/>
      <c r="DF315" s="703"/>
      <c r="DG315" s="703"/>
      <c r="DH315" s="703"/>
      <c r="DI315" s="703"/>
      <c r="DJ315" s="703"/>
      <c r="DK315" s="703"/>
      <c r="DL315" s="703"/>
      <c r="DM315" s="703"/>
      <c r="DN315" s="703"/>
      <c r="DO315" s="703"/>
      <c r="DP315" s="703"/>
      <c r="DQ315" s="703"/>
      <c r="DR315" s="703"/>
      <c r="DS315" s="703"/>
      <c r="DT315" s="703"/>
      <c r="DU315" s="703"/>
      <c r="DV315" s="703"/>
      <c r="DW315" s="703"/>
      <c r="DX315" s="703"/>
      <c r="DY315" s="703"/>
      <c r="DZ315" s="703"/>
      <c r="EA315" s="703"/>
      <c r="EB315" s="703"/>
      <c r="EC315" s="703"/>
      <c r="ED315" s="703"/>
      <c r="EE315" s="703"/>
      <c r="EF315" s="703"/>
      <c r="EG315" s="703"/>
      <c r="EH315" s="703"/>
      <c r="EI315" s="703"/>
      <c r="EJ315" s="703"/>
      <c r="EK315" s="703"/>
      <c r="EL315" s="703"/>
      <c r="EM315" s="703"/>
      <c r="EN315" s="703"/>
      <c r="EO315" s="703"/>
      <c r="EP315" s="703"/>
      <c r="EQ315" s="703"/>
      <c r="ER315" s="703"/>
      <c r="ES315" s="703"/>
      <c r="ET315" s="703"/>
      <c r="EU315" s="703"/>
      <c r="EV315" s="703"/>
      <c r="EW315" s="703"/>
      <c r="EX315" s="703"/>
      <c r="EY315" s="703"/>
      <c r="EZ315" s="703"/>
      <c r="FA315" s="703"/>
      <c r="FB315" s="703"/>
      <c r="FC315" s="703"/>
      <c r="FD315" s="703"/>
      <c r="FE315" s="703"/>
      <c r="FF315" s="703"/>
      <c r="FG315" s="703"/>
      <c r="FH315" s="703"/>
      <c r="FI315" s="703"/>
      <c r="FJ315" s="703"/>
      <c r="FK315" s="703"/>
      <c r="FL315" s="703"/>
      <c r="FM315" s="703"/>
      <c r="FN315" s="703"/>
      <c r="FO315" s="703"/>
      <c r="FP315" s="703"/>
      <c r="FQ315" s="703"/>
      <c r="FR315" s="703"/>
      <c r="FS315" s="703"/>
      <c r="FT315" s="703"/>
      <c r="FU315" s="703"/>
      <c r="FV315" s="703"/>
      <c r="FW315" s="703"/>
      <c r="FX315" s="703"/>
      <c r="FY315" s="703"/>
      <c r="FZ315" s="703"/>
      <c r="GA315" s="703"/>
      <c r="GB315" s="703"/>
      <c r="GC315" s="703"/>
      <c r="GD315" s="703"/>
      <c r="GE315" s="703"/>
      <c r="GF315" s="703"/>
      <c r="GG315" s="703"/>
      <c r="GH315" s="703"/>
      <c r="GI315" s="703"/>
      <c r="GJ315" s="703"/>
      <c r="GK315" s="703"/>
      <c r="GL315" s="703"/>
      <c r="GM315" s="703"/>
      <c r="GN315" s="703"/>
      <c r="GO315" s="703"/>
      <c r="GP315" s="703"/>
      <c r="GQ315" s="703"/>
      <c r="GR315" s="703"/>
      <c r="GS315" s="703"/>
      <c r="GT315" s="703"/>
      <c r="GU315" s="703"/>
      <c r="GV315" s="703"/>
      <c r="GW315" s="703"/>
      <c r="GX315" s="703"/>
      <c r="GY315" s="703"/>
      <c r="GZ315" s="703"/>
      <c r="HA315" s="703"/>
      <c r="HB315" s="703"/>
      <c r="HC315" s="703"/>
      <c r="HD315" s="703"/>
      <c r="HE315" s="703"/>
      <c r="HF315" s="703"/>
      <c r="HG315" s="703"/>
      <c r="HH315" s="703"/>
      <c r="HI315" s="703"/>
      <c r="HJ315" s="703"/>
      <c r="HK315" s="703"/>
      <c r="HL315" s="703"/>
      <c r="HM315" s="703"/>
      <c r="HN315" s="703"/>
      <c r="HO315" s="703"/>
      <c r="HP315" s="703"/>
      <c r="HQ315" s="703"/>
      <c r="HR315" s="703"/>
      <c r="HS315" s="703"/>
      <c r="HT315" s="703"/>
      <c r="HU315" s="703"/>
      <c r="HV315" s="703"/>
      <c r="HW315" s="703"/>
      <c r="HX315" s="703"/>
      <c r="HY315" s="703"/>
      <c r="HZ315" s="703"/>
      <c r="IA315" s="703"/>
      <c r="IB315" s="703"/>
      <c r="IC315" s="703"/>
      <c r="ID315" s="703"/>
      <c r="IE315" s="703"/>
      <c r="IF315" s="703"/>
      <c r="IG315" s="703"/>
      <c r="IH315" s="703"/>
      <c r="II315" s="703"/>
      <c r="IJ315" s="703"/>
      <c r="IK315" s="703"/>
      <c r="IL315" s="703"/>
      <c r="IM315" s="703"/>
      <c r="IN315" s="703"/>
      <c r="IO315" s="703"/>
      <c r="IP315" s="703"/>
      <c r="IQ315" s="703"/>
      <c r="IR315" s="703"/>
      <c r="IS315" s="703"/>
      <c r="IT315" s="703"/>
      <c r="IU315" s="703"/>
      <c r="IV315" s="703"/>
      <c r="IW315" s="703"/>
    </row>
    <row r="316" spans="1:257" s="621" customFormat="1" ht="15.75" hidden="1" customHeight="1">
      <c r="A316" s="672" t="s">
        <v>91</v>
      </c>
      <c r="B316" s="696" t="s">
        <v>981</v>
      </c>
      <c r="C316" s="683"/>
      <c r="D316" s="683"/>
      <c r="E316" s="669"/>
      <c r="F316" s="651"/>
      <c r="G316" s="651">
        <v>720000000</v>
      </c>
      <c r="H316" s="651"/>
      <c r="I316" s="651"/>
      <c r="J316" s="651"/>
      <c r="K316" s="651"/>
      <c r="L316" s="1305"/>
      <c r="M316" s="651"/>
      <c r="N316" s="826"/>
      <c r="O316" s="826"/>
      <c r="P316" s="826"/>
      <c r="Q316" s="826"/>
      <c r="R316" s="869"/>
      <c r="S316" s="869"/>
      <c r="T316" s="850"/>
      <c r="U316" s="655"/>
      <c r="V316" s="581"/>
      <c r="W316" s="581"/>
      <c r="X316" s="578"/>
      <c r="Y316" s="582"/>
      <c r="Z316" s="582"/>
      <c r="AA316" s="582"/>
      <c r="AB316" s="582"/>
      <c r="AC316" s="582"/>
      <c r="AD316" s="582"/>
      <c r="AE316" s="582"/>
      <c r="AF316" s="582"/>
      <c r="AG316" s="582"/>
      <c r="AH316" s="582"/>
      <c r="AI316" s="582"/>
      <c r="AJ316" s="582"/>
      <c r="AK316" s="582"/>
      <c r="AL316" s="582"/>
      <c r="AM316" s="582"/>
      <c r="AN316" s="582"/>
      <c r="AO316" s="582"/>
      <c r="AP316" s="582"/>
      <c r="AQ316" s="582"/>
      <c r="AR316" s="582"/>
      <c r="AS316" s="582"/>
      <c r="AT316" s="582"/>
      <c r="AU316" s="582"/>
      <c r="AV316" s="582"/>
      <c r="AW316" s="582"/>
      <c r="AX316" s="582"/>
      <c r="AY316" s="582"/>
      <c r="AZ316" s="582"/>
      <c r="BA316" s="582"/>
      <c r="BB316" s="582"/>
      <c r="BC316" s="582"/>
      <c r="BD316" s="582"/>
      <c r="BE316" s="582"/>
      <c r="BF316" s="582"/>
      <c r="BG316" s="582"/>
      <c r="BH316" s="582"/>
      <c r="BI316" s="582"/>
      <c r="BJ316" s="582"/>
      <c r="BK316" s="582"/>
      <c r="BL316" s="582"/>
      <c r="BM316" s="582"/>
      <c r="BN316" s="582"/>
      <c r="BO316" s="582"/>
      <c r="BP316" s="582"/>
      <c r="BQ316" s="582"/>
      <c r="BR316" s="582"/>
      <c r="BS316" s="582"/>
      <c r="BT316" s="582"/>
      <c r="BU316" s="582"/>
      <c r="BV316" s="582"/>
      <c r="BW316" s="582"/>
      <c r="BX316" s="582"/>
      <c r="BY316" s="582"/>
      <c r="BZ316" s="582"/>
      <c r="CA316" s="582"/>
      <c r="CB316" s="582"/>
      <c r="CC316" s="582"/>
      <c r="CD316" s="582"/>
      <c r="CE316" s="582"/>
      <c r="CF316" s="582"/>
      <c r="CG316" s="582"/>
      <c r="CH316" s="582"/>
      <c r="CI316" s="582"/>
      <c r="CJ316" s="582"/>
      <c r="CK316" s="582"/>
      <c r="CL316" s="582"/>
      <c r="CM316" s="582"/>
      <c r="CN316" s="582"/>
      <c r="CO316" s="582"/>
      <c r="CP316" s="582"/>
      <c r="CQ316" s="582"/>
      <c r="CR316" s="582"/>
      <c r="CS316" s="582"/>
      <c r="CT316" s="582"/>
      <c r="CU316" s="582"/>
      <c r="CV316" s="582"/>
      <c r="CW316" s="582"/>
      <c r="CX316" s="582"/>
      <c r="CY316" s="582"/>
      <c r="CZ316" s="582"/>
      <c r="DA316" s="582"/>
      <c r="DB316" s="582"/>
      <c r="DC316" s="582"/>
      <c r="DD316" s="582"/>
      <c r="DE316" s="582"/>
      <c r="DF316" s="582"/>
      <c r="DG316" s="582"/>
      <c r="DH316" s="582"/>
      <c r="DI316" s="582"/>
      <c r="DJ316" s="582"/>
      <c r="DK316" s="582"/>
      <c r="DL316" s="582"/>
      <c r="DM316" s="582"/>
      <c r="DN316" s="582"/>
      <c r="DO316" s="582"/>
      <c r="DP316" s="582"/>
      <c r="DQ316" s="582"/>
      <c r="DR316" s="582"/>
      <c r="DS316" s="582"/>
      <c r="DT316" s="582"/>
      <c r="DU316" s="582"/>
      <c r="DV316" s="582"/>
      <c r="DW316" s="582"/>
      <c r="DX316" s="582"/>
      <c r="DY316" s="582"/>
      <c r="DZ316" s="582"/>
      <c r="EA316" s="582"/>
      <c r="EB316" s="582"/>
      <c r="EC316" s="582"/>
      <c r="ED316" s="582"/>
      <c r="EE316" s="582"/>
      <c r="EF316" s="582"/>
      <c r="EG316" s="582"/>
      <c r="EH316" s="582"/>
      <c r="EI316" s="582"/>
      <c r="EJ316" s="582"/>
      <c r="EK316" s="582"/>
      <c r="EL316" s="582"/>
      <c r="EM316" s="582"/>
      <c r="EN316" s="582"/>
      <c r="EO316" s="582"/>
      <c r="EP316" s="582"/>
      <c r="EQ316" s="582"/>
      <c r="ER316" s="582"/>
      <c r="ES316" s="582"/>
      <c r="ET316" s="582"/>
      <c r="EU316" s="582"/>
      <c r="EV316" s="582"/>
      <c r="EW316" s="582"/>
      <c r="EX316" s="582"/>
      <c r="EY316" s="582"/>
      <c r="EZ316" s="582"/>
      <c r="FA316" s="582"/>
      <c r="FB316" s="582"/>
      <c r="FC316" s="582"/>
      <c r="FD316" s="582"/>
      <c r="FE316" s="582"/>
      <c r="FF316" s="582"/>
      <c r="FG316" s="582"/>
      <c r="FH316" s="582"/>
      <c r="FI316" s="582"/>
      <c r="FJ316" s="582"/>
      <c r="FK316" s="582"/>
      <c r="FL316" s="582"/>
      <c r="FM316" s="582"/>
      <c r="FN316" s="582"/>
      <c r="FO316" s="582"/>
      <c r="FP316" s="582"/>
      <c r="FQ316" s="582"/>
      <c r="FR316" s="582"/>
      <c r="FS316" s="582"/>
      <c r="FT316" s="582"/>
      <c r="FU316" s="582"/>
      <c r="FV316" s="582"/>
      <c r="FW316" s="582"/>
      <c r="FX316" s="582"/>
      <c r="FY316" s="582"/>
      <c r="FZ316" s="582"/>
      <c r="GA316" s="582"/>
      <c r="GB316" s="582"/>
      <c r="GC316" s="582"/>
      <c r="GD316" s="582"/>
      <c r="GE316" s="582"/>
      <c r="GF316" s="582"/>
      <c r="GG316" s="582"/>
      <c r="GH316" s="582"/>
      <c r="GI316" s="582"/>
      <c r="GJ316" s="582"/>
      <c r="GK316" s="582"/>
      <c r="GL316" s="582"/>
      <c r="GM316" s="582"/>
      <c r="GN316" s="582"/>
      <c r="GO316" s="582"/>
      <c r="GP316" s="582"/>
      <c r="GQ316" s="582"/>
      <c r="GR316" s="582"/>
      <c r="GS316" s="582"/>
      <c r="GT316" s="582"/>
      <c r="GU316" s="582"/>
      <c r="GV316" s="582"/>
      <c r="GW316" s="582"/>
      <c r="GX316" s="582"/>
      <c r="GY316" s="582"/>
      <c r="GZ316" s="582"/>
      <c r="HA316" s="582"/>
      <c r="HB316" s="582"/>
      <c r="HC316" s="582"/>
      <c r="HD316" s="582"/>
      <c r="HE316" s="582"/>
      <c r="HF316" s="582"/>
      <c r="HG316" s="582"/>
      <c r="HH316" s="582"/>
      <c r="HI316" s="582"/>
      <c r="HJ316" s="582"/>
      <c r="HK316" s="582"/>
      <c r="HL316" s="582"/>
      <c r="HM316" s="582"/>
      <c r="HN316" s="582"/>
      <c r="HO316" s="582"/>
      <c r="HP316" s="582"/>
      <c r="HQ316" s="582"/>
      <c r="HR316" s="582"/>
      <c r="HS316" s="582"/>
      <c r="HT316" s="582"/>
      <c r="HU316" s="582"/>
      <c r="HV316" s="582"/>
      <c r="HW316" s="582"/>
      <c r="HX316" s="582"/>
      <c r="HY316" s="582"/>
      <c r="HZ316" s="582"/>
      <c r="IA316" s="582"/>
      <c r="IB316" s="582"/>
      <c r="IC316" s="582"/>
      <c r="ID316" s="582"/>
      <c r="IE316" s="582"/>
      <c r="IF316" s="582"/>
      <c r="IG316" s="582"/>
      <c r="IH316" s="582"/>
      <c r="II316" s="582"/>
      <c r="IJ316" s="582"/>
      <c r="IK316" s="582"/>
      <c r="IL316" s="582"/>
      <c r="IM316" s="582"/>
      <c r="IN316" s="582"/>
      <c r="IO316" s="582"/>
      <c r="IP316" s="582"/>
      <c r="IQ316" s="582"/>
      <c r="IR316" s="582"/>
      <c r="IS316" s="582"/>
      <c r="IT316" s="582"/>
      <c r="IU316" s="582"/>
      <c r="IV316" s="582"/>
      <c r="IW316" s="582"/>
    </row>
    <row r="317" spans="1:257" s="614" customFormat="1">
      <c r="A317" s="589" t="s">
        <v>298</v>
      </c>
      <c r="B317" s="804" t="s">
        <v>262</v>
      </c>
      <c r="C317" s="589"/>
      <c r="D317" s="589"/>
      <c r="E317" s="704"/>
      <c r="F317" s="805">
        <f t="shared" ref="F317:L317" si="31">F318</f>
        <v>176500000</v>
      </c>
      <c r="G317" s="805">
        <f t="shared" si="31"/>
        <v>0</v>
      </c>
      <c r="H317" s="805">
        <f t="shared" si="31"/>
        <v>0</v>
      </c>
      <c r="I317" s="805">
        <f t="shared" si="31"/>
        <v>0</v>
      </c>
      <c r="J317" s="805">
        <f t="shared" si="31"/>
        <v>627179700</v>
      </c>
      <c r="K317" s="805">
        <f t="shared" si="31"/>
        <v>679100000</v>
      </c>
      <c r="L317" s="1312">
        <f t="shared" si="31"/>
        <v>720000000</v>
      </c>
      <c r="M317" s="603"/>
      <c r="N317" s="835"/>
      <c r="O317" s="835"/>
      <c r="P317" s="829"/>
      <c r="Q317" s="829"/>
      <c r="R317" s="945"/>
      <c r="S317" s="900"/>
      <c r="T317" s="822"/>
      <c r="U317" s="637"/>
      <c r="V317" s="701"/>
      <c r="W317" s="701"/>
      <c r="X317" s="702"/>
      <c r="Y317" s="703"/>
      <c r="Z317" s="703"/>
      <c r="AA317" s="703"/>
      <c r="AB317" s="703"/>
      <c r="AC317" s="703"/>
      <c r="AD317" s="703"/>
      <c r="AE317" s="703"/>
      <c r="AF317" s="703"/>
      <c r="AG317" s="703"/>
      <c r="AH317" s="703"/>
      <c r="AI317" s="703"/>
      <c r="AJ317" s="703"/>
      <c r="AK317" s="703"/>
      <c r="AL317" s="703"/>
      <c r="AM317" s="703"/>
      <c r="AN317" s="703"/>
      <c r="AO317" s="703"/>
      <c r="AP317" s="703"/>
      <c r="AQ317" s="703"/>
      <c r="AR317" s="703"/>
      <c r="AS317" s="703"/>
      <c r="AT317" s="703"/>
      <c r="AU317" s="703"/>
      <c r="AV317" s="703"/>
      <c r="AW317" s="703"/>
      <c r="AX317" s="703"/>
      <c r="AY317" s="703"/>
      <c r="AZ317" s="703"/>
      <c r="BA317" s="703"/>
      <c r="BB317" s="703"/>
      <c r="BC317" s="703"/>
      <c r="BD317" s="703"/>
      <c r="BE317" s="703"/>
      <c r="BF317" s="703"/>
      <c r="BG317" s="703"/>
      <c r="BH317" s="703"/>
      <c r="BI317" s="703"/>
      <c r="BJ317" s="703"/>
      <c r="BK317" s="703"/>
      <c r="BL317" s="703"/>
      <c r="BM317" s="703"/>
      <c r="BN317" s="703"/>
      <c r="BO317" s="703"/>
      <c r="BP317" s="703"/>
      <c r="BQ317" s="703"/>
      <c r="BR317" s="703"/>
      <c r="BS317" s="703"/>
      <c r="BT317" s="703"/>
      <c r="BU317" s="703"/>
      <c r="BV317" s="703"/>
      <c r="BW317" s="703"/>
      <c r="BX317" s="703"/>
      <c r="BY317" s="703"/>
      <c r="BZ317" s="703"/>
      <c r="CA317" s="703"/>
      <c r="CB317" s="703"/>
      <c r="CC317" s="703"/>
      <c r="CD317" s="703"/>
      <c r="CE317" s="703"/>
      <c r="CF317" s="703"/>
      <c r="CG317" s="703"/>
      <c r="CH317" s="703"/>
      <c r="CI317" s="703"/>
      <c r="CJ317" s="703"/>
      <c r="CK317" s="703"/>
      <c r="CL317" s="703"/>
      <c r="CM317" s="703"/>
      <c r="CN317" s="703"/>
      <c r="CO317" s="703"/>
      <c r="CP317" s="703"/>
      <c r="CQ317" s="703"/>
      <c r="CR317" s="703"/>
      <c r="CS317" s="703"/>
      <c r="CT317" s="703"/>
      <c r="CU317" s="703"/>
      <c r="CV317" s="703"/>
      <c r="CW317" s="703"/>
      <c r="CX317" s="703"/>
      <c r="CY317" s="703"/>
      <c r="CZ317" s="703"/>
      <c r="DA317" s="703"/>
      <c r="DB317" s="703"/>
      <c r="DC317" s="703"/>
      <c r="DD317" s="703"/>
      <c r="DE317" s="703"/>
      <c r="DF317" s="703"/>
      <c r="DG317" s="703"/>
      <c r="DH317" s="703"/>
      <c r="DI317" s="703"/>
      <c r="DJ317" s="703"/>
      <c r="DK317" s="703"/>
      <c r="DL317" s="703"/>
      <c r="DM317" s="703"/>
      <c r="DN317" s="703"/>
      <c r="DO317" s="703"/>
      <c r="DP317" s="703"/>
      <c r="DQ317" s="703"/>
      <c r="DR317" s="703"/>
      <c r="DS317" s="703"/>
      <c r="DT317" s="703"/>
      <c r="DU317" s="703"/>
      <c r="DV317" s="703"/>
      <c r="DW317" s="703"/>
      <c r="DX317" s="703"/>
      <c r="DY317" s="703"/>
      <c r="DZ317" s="703"/>
      <c r="EA317" s="703"/>
      <c r="EB317" s="703"/>
      <c r="EC317" s="703"/>
      <c r="ED317" s="703"/>
      <c r="EE317" s="703"/>
      <c r="EF317" s="703"/>
      <c r="EG317" s="703"/>
      <c r="EH317" s="703"/>
      <c r="EI317" s="703"/>
      <c r="EJ317" s="703"/>
      <c r="EK317" s="703"/>
      <c r="EL317" s="703"/>
      <c r="EM317" s="703"/>
      <c r="EN317" s="703"/>
      <c r="EO317" s="703"/>
      <c r="EP317" s="703"/>
      <c r="EQ317" s="703"/>
      <c r="ER317" s="703"/>
      <c r="ES317" s="703"/>
      <c r="ET317" s="703"/>
      <c r="EU317" s="703"/>
      <c r="EV317" s="703"/>
      <c r="EW317" s="703"/>
      <c r="EX317" s="703"/>
      <c r="EY317" s="703"/>
      <c r="EZ317" s="703"/>
      <c r="FA317" s="703"/>
      <c r="FB317" s="703"/>
      <c r="FC317" s="703"/>
      <c r="FD317" s="703"/>
      <c r="FE317" s="703"/>
      <c r="FF317" s="703"/>
      <c r="FG317" s="703"/>
      <c r="FH317" s="703"/>
      <c r="FI317" s="703"/>
      <c r="FJ317" s="703"/>
      <c r="FK317" s="703"/>
      <c r="FL317" s="703"/>
      <c r="FM317" s="703"/>
      <c r="FN317" s="703"/>
      <c r="FO317" s="703"/>
      <c r="FP317" s="703"/>
      <c r="FQ317" s="703"/>
      <c r="FR317" s="703"/>
      <c r="FS317" s="703"/>
      <c r="FT317" s="703"/>
      <c r="FU317" s="703"/>
      <c r="FV317" s="703"/>
      <c r="FW317" s="703"/>
      <c r="FX317" s="703"/>
      <c r="FY317" s="703"/>
      <c r="FZ317" s="703"/>
      <c r="GA317" s="703"/>
      <c r="GB317" s="703"/>
      <c r="GC317" s="703"/>
      <c r="GD317" s="703"/>
      <c r="GE317" s="703"/>
      <c r="GF317" s="703"/>
      <c r="GG317" s="703"/>
      <c r="GH317" s="703"/>
      <c r="GI317" s="703"/>
      <c r="GJ317" s="703"/>
      <c r="GK317" s="703"/>
      <c r="GL317" s="703"/>
      <c r="GM317" s="703"/>
      <c r="GN317" s="703"/>
      <c r="GO317" s="703"/>
      <c r="GP317" s="703"/>
      <c r="GQ317" s="703"/>
      <c r="GR317" s="703"/>
      <c r="GS317" s="703"/>
      <c r="GT317" s="703"/>
      <c r="GU317" s="703"/>
      <c r="GV317" s="703"/>
      <c r="GW317" s="703"/>
      <c r="GX317" s="703"/>
      <c r="GY317" s="703"/>
      <c r="GZ317" s="703"/>
      <c r="HA317" s="703"/>
      <c r="HB317" s="703"/>
      <c r="HC317" s="703"/>
      <c r="HD317" s="703"/>
      <c r="HE317" s="703"/>
      <c r="HF317" s="703"/>
      <c r="HG317" s="703"/>
      <c r="HH317" s="703"/>
      <c r="HI317" s="703"/>
      <c r="HJ317" s="703"/>
      <c r="HK317" s="703"/>
      <c r="HL317" s="703"/>
      <c r="HM317" s="703"/>
      <c r="HN317" s="703"/>
      <c r="HO317" s="703"/>
      <c r="HP317" s="703"/>
      <c r="HQ317" s="703"/>
      <c r="HR317" s="703"/>
      <c r="HS317" s="703"/>
      <c r="HT317" s="703"/>
      <c r="HU317" s="703"/>
      <c r="HV317" s="703"/>
      <c r="HW317" s="703"/>
      <c r="HX317" s="703"/>
      <c r="HY317" s="703"/>
      <c r="HZ317" s="703"/>
      <c r="IA317" s="703"/>
      <c r="IB317" s="703"/>
      <c r="IC317" s="703"/>
      <c r="ID317" s="703"/>
      <c r="IE317" s="703"/>
      <c r="IF317" s="703"/>
      <c r="IG317" s="703"/>
      <c r="IH317" s="703"/>
      <c r="II317" s="703"/>
      <c r="IJ317" s="703"/>
      <c r="IK317" s="703"/>
      <c r="IL317" s="703"/>
      <c r="IM317" s="703"/>
      <c r="IN317" s="703"/>
      <c r="IO317" s="703"/>
      <c r="IP317" s="703"/>
      <c r="IQ317" s="703"/>
      <c r="IR317" s="703"/>
      <c r="IS317" s="703"/>
      <c r="IT317" s="703"/>
      <c r="IU317" s="703"/>
      <c r="IV317" s="703"/>
      <c r="IW317" s="703"/>
    </row>
    <row r="318" spans="1:257" s="621" customFormat="1" ht="24.75" customHeight="1">
      <c r="A318" s="713"/>
      <c r="B318" s="668" t="s">
        <v>263</v>
      </c>
      <c r="C318" s="713"/>
      <c r="D318" s="713"/>
      <c r="E318" s="725"/>
      <c r="F318" s="669">
        <f>(F291+F294+F296+F297+F305)*10%</f>
        <v>176500000</v>
      </c>
      <c r="G318" s="700"/>
      <c r="H318" s="700"/>
      <c r="I318" s="700"/>
      <c r="J318" s="669">
        <f>(J291+J294+J295+J296+J297+J298+J299+J300+J301+J302+J304+J305+J306+J307+J309+J311+J313+J314)*10%</f>
        <v>627179700</v>
      </c>
      <c r="K318" s="669">
        <f>(K291+K293-K310)*10%</f>
        <v>679100000</v>
      </c>
      <c r="L318" s="1306">
        <f>(L291+L293-L310-L314)*10%</f>
        <v>720000000</v>
      </c>
      <c r="M318" s="669"/>
      <c r="N318" s="837"/>
      <c r="O318" s="837"/>
      <c r="P318" s="820"/>
      <c r="Q318" s="820"/>
      <c r="R318" s="866"/>
      <c r="S318" s="866"/>
      <c r="T318" s="839"/>
      <c r="U318" s="726"/>
      <c r="V318" s="581"/>
      <c r="W318" s="581"/>
      <c r="X318" s="578"/>
      <c r="Y318" s="582"/>
      <c r="Z318" s="582"/>
      <c r="AA318" s="582"/>
      <c r="AB318" s="582"/>
      <c r="AC318" s="582"/>
      <c r="AD318" s="582"/>
      <c r="AE318" s="582"/>
      <c r="AF318" s="582"/>
      <c r="AG318" s="582"/>
      <c r="AH318" s="582"/>
      <c r="AI318" s="582"/>
      <c r="AJ318" s="582"/>
      <c r="AK318" s="582"/>
      <c r="AL318" s="582"/>
      <c r="AM318" s="582"/>
      <c r="AN318" s="582"/>
      <c r="AO318" s="582"/>
      <c r="AP318" s="582"/>
      <c r="AQ318" s="582"/>
      <c r="AR318" s="582"/>
      <c r="AS318" s="582"/>
      <c r="AT318" s="582"/>
      <c r="AU318" s="582"/>
      <c r="AV318" s="582"/>
      <c r="AW318" s="582"/>
      <c r="AX318" s="582"/>
      <c r="AY318" s="582"/>
      <c r="AZ318" s="582"/>
      <c r="BA318" s="582"/>
      <c r="BB318" s="582"/>
      <c r="BC318" s="582"/>
      <c r="BD318" s="582"/>
      <c r="BE318" s="582"/>
      <c r="BF318" s="582"/>
      <c r="BG318" s="582"/>
      <c r="BH318" s="582"/>
      <c r="BI318" s="582"/>
      <c r="BJ318" s="582"/>
      <c r="BK318" s="582"/>
      <c r="BL318" s="582"/>
      <c r="BM318" s="582"/>
      <c r="BN318" s="582"/>
      <c r="BO318" s="582"/>
      <c r="BP318" s="582"/>
      <c r="BQ318" s="582"/>
      <c r="BR318" s="582"/>
      <c r="BS318" s="582"/>
      <c r="BT318" s="582"/>
      <c r="BU318" s="582"/>
      <c r="BV318" s="582"/>
      <c r="BW318" s="582"/>
      <c r="BX318" s="582"/>
      <c r="BY318" s="582"/>
      <c r="BZ318" s="582"/>
      <c r="CA318" s="582"/>
      <c r="CB318" s="582"/>
      <c r="CC318" s="582"/>
      <c r="CD318" s="582"/>
      <c r="CE318" s="582"/>
      <c r="CF318" s="582"/>
      <c r="CG318" s="582"/>
      <c r="CH318" s="582"/>
      <c r="CI318" s="582"/>
      <c r="CJ318" s="582"/>
      <c r="CK318" s="582"/>
      <c r="CL318" s="582"/>
      <c r="CM318" s="582"/>
      <c r="CN318" s="582"/>
      <c r="CO318" s="582"/>
      <c r="CP318" s="582"/>
      <c r="CQ318" s="582"/>
      <c r="CR318" s="582"/>
      <c r="CS318" s="582"/>
      <c r="CT318" s="582"/>
      <c r="CU318" s="582"/>
      <c r="CV318" s="582"/>
      <c r="CW318" s="582"/>
      <c r="CX318" s="582"/>
      <c r="CY318" s="582"/>
      <c r="CZ318" s="582"/>
      <c r="DA318" s="582"/>
      <c r="DB318" s="582"/>
      <c r="DC318" s="582"/>
      <c r="DD318" s="582"/>
      <c r="DE318" s="582"/>
      <c r="DF318" s="582"/>
      <c r="DG318" s="582"/>
      <c r="DH318" s="582"/>
      <c r="DI318" s="582"/>
      <c r="DJ318" s="582"/>
      <c r="DK318" s="582"/>
      <c r="DL318" s="582"/>
      <c r="DM318" s="582"/>
      <c r="DN318" s="582"/>
      <c r="DO318" s="582"/>
      <c r="DP318" s="582"/>
      <c r="DQ318" s="582"/>
      <c r="DR318" s="582"/>
      <c r="DS318" s="582"/>
      <c r="DT318" s="582"/>
      <c r="DU318" s="582"/>
      <c r="DV318" s="582"/>
      <c r="DW318" s="582"/>
      <c r="DX318" s="582"/>
      <c r="DY318" s="582"/>
      <c r="DZ318" s="582"/>
      <c r="EA318" s="582"/>
      <c r="EB318" s="582"/>
      <c r="EC318" s="582"/>
      <c r="ED318" s="582"/>
      <c r="EE318" s="582"/>
      <c r="EF318" s="582"/>
      <c r="EG318" s="582"/>
      <c r="EH318" s="582"/>
      <c r="EI318" s="582"/>
      <c r="EJ318" s="582"/>
      <c r="EK318" s="582"/>
      <c r="EL318" s="582"/>
      <c r="EM318" s="582"/>
      <c r="EN318" s="582"/>
      <c r="EO318" s="582"/>
      <c r="EP318" s="582"/>
      <c r="EQ318" s="582"/>
      <c r="ER318" s="582"/>
      <c r="ES318" s="582"/>
      <c r="ET318" s="582"/>
      <c r="EU318" s="582"/>
      <c r="EV318" s="582"/>
      <c r="EW318" s="582"/>
      <c r="EX318" s="582"/>
      <c r="EY318" s="582"/>
      <c r="EZ318" s="582"/>
      <c r="FA318" s="582"/>
      <c r="FB318" s="582"/>
      <c r="FC318" s="582"/>
      <c r="FD318" s="582"/>
      <c r="FE318" s="582"/>
      <c r="FF318" s="582"/>
      <c r="FG318" s="582"/>
      <c r="FH318" s="582"/>
      <c r="FI318" s="582"/>
      <c r="FJ318" s="582"/>
      <c r="FK318" s="582"/>
      <c r="FL318" s="582"/>
      <c r="FM318" s="582"/>
      <c r="FN318" s="582"/>
      <c r="FO318" s="582"/>
      <c r="FP318" s="582"/>
      <c r="FQ318" s="582"/>
      <c r="FR318" s="582"/>
      <c r="FS318" s="582"/>
      <c r="FT318" s="582"/>
      <c r="FU318" s="582"/>
      <c r="FV318" s="582"/>
      <c r="FW318" s="582"/>
      <c r="FX318" s="582"/>
      <c r="FY318" s="582"/>
      <c r="FZ318" s="582"/>
      <c r="GA318" s="582"/>
      <c r="GB318" s="582"/>
      <c r="GC318" s="582"/>
      <c r="GD318" s="582"/>
      <c r="GE318" s="582"/>
      <c r="GF318" s="582"/>
      <c r="GG318" s="582"/>
      <c r="GH318" s="582"/>
      <c r="GI318" s="582"/>
      <c r="GJ318" s="582"/>
      <c r="GK318" s="582"/>
      <c r="GL318" s="582"/>
      <c r="GM318" s="582"/>
      <c r="GN318" s="582"/>
      <c r="GO318" s="582"/>
      <c r="GP318" s="582"/>
      <c r="GQ318" s="582"/>
      <c r="GR318" s="582"/>
      <c r="GS318" s="582"/>
      <c r="GT318" s="582"/>
      <c r="GU318" s="582"/>
      <c r="GV318" s="582"/>
      <c r="GW318" s="582"/>
      <c r="GX318" s="582"/>
      <c r="GY318" s="582"/>
      <c r="GZ318" s="582"/>
      <c r="HA318" s="582"/>
      <c r="HB318" s="582"/>
      <c r="HC318" s="582"/>
      <c r="HD318" s="582"/>
      <c r="HE318" s="582"/>
      <c r="HF318" s="582"/>
      <c r="HG318" s="582"/>
      <c r="HH318" s="582"/>
      <c r="HI318" s="582"/>
      <c r="HJ318" s="582"/>
      <c r="HK318" s="582"/>
      <c r="HL318" s="582"/>
      <c r="HM318" s="582"/>
      <c r="HN318" s="582"/>
      <c r="HO318" s="582"/>
      <c r="HP318" s="582"/>
      <c r="HQ318" s="582"/>
      <c r="HR318" s="582"/>
      <c r="HS318" s="582"/>
      <c r="HT318" s="582"/>
      <c r="HU318" s="582"/>
      <c r="HV318" s="582"/>
      <c r="HW318" s="582"/>
      <c r="HX318" s="582"/>
      <c r="HY318" s="582"/>
      <c r="HZ318" s="582"/>
      <c r="IA318" s="582"/>
      <c r="IB318" s="582"/>
      <c r="IC318" s="582"/>
      <c r="ID318" s="582"/>
      <c r="IE318" s="582"/>
      <c r="IF318" s="582"/>
      <c r="IG318" s="582"/>
      <c r="IH318" s="582"/>
      <c r="II318" s="582"/>
      <c r="IJ318" s="582"/>
      <c r="IK318" s="582"/>
      <c r="IL318" s="582"/>
      <c r="IM318" s="582"/>
      <c r="IN318" s="582"/>
      <c r="IO318" s="582"/>
      <c r="IP318" s="582"/>
      <c r="IQ318" s="582"/>
      <c r="IR318" s="582"/>
      <c r="IS318" s="582"/>
      <c r="IT318" s="582"/>
      <c r="IU318" s="582"/>
      <c r="IV318" s="582"/>
      <c r="IW318" s="582"/>
    </row>
    <row r="319" spans="1:257" s="898" customFormat="1">
      <c r="A319" s="791">
        <v>3</v>
      </c>
      <c r="B319" s="840" t="s">
        <v>982</v>
      </c>
      <c r="C319" s="791"/>
      <c r="D319" s="791"/>
      <c r="E319" s="792"/>
      <c r="F319" s="793">
        <f>F321+F332</f>
        <v>3415000000</v>
      </c>
      <c r="G319" s="793">
        <f>G321+G332</f>
        <v>0</v>
      </c>
      <c r="H319" s="793">
        <f>H321+H332</f>
        <v>0</v>
      </c>
      <c r="I319" s="793">
        <f>I321+I332</f>
        <v>0</v>
      </c>
      <c r="J319" s="793">
        <f>J321+J332</f>
        <v>3072345000</v>
      </c>
      <c r="K319" s="793">
        <f>K320+K332</f>
        <v>1506500000</v>
      </c>
      <c r="L319" s="1302">
        <f>L320+L332</f>
        <v>2454000000</v>
      </c>
      <c r="M319" s="793" t="s">
        <v>1580</v>
      </c>
      <c r="N319" s="946">
        <f>L319-1377000000+600000000</f>
        <v>1677000000</v>
      </c>
      <c r="O319" s="946"/>
      <c r="P319" s="841"/>
      <c r="Q319" s="841"/>
      <c r="R319" s="947"/>
      <c r="S319" s="947"/>
      <c r="T319" s="948"/>
      <c r="U319" s="799"/>
      <c r="V319" s="800"/>
      <c r="W319" s="896"/>
      <c r="X319" s="897"/>
      <c r="Y319" s="846"/>
      <c r="Z319" s="846"/>
      <c r="AA319" s="846"/>
      <c r="AB319" s="846"/>
      <c r="AC319" s="846"/>
      <c r="AD319" s="846"/>
      <c r="AE319" s="846"/>
      <c r="AF319" s="846"/>
      <c r="AG319" s="846"/>
      <c r="AH319" s="846"/>
      <c r="AI319" s="846"/>
      <c r="AJ319" s="846"/>
      <c r="AK319" s="846"/>
      <c r="AL319" s="846"/>
      <c r="AM319" s="846"/>
      <c r="AN319" s="846"/>
      <c r="AO319" s="846"/>
      <c r="AP319" s="846"/>
      <c r="AQ319" s="846"/>
      <c r="AR319" s="846"/>
      <c r="AS319" s="846"/>
      <c r="AT319" s="846"/>
      <c r="AU319" s="846"/>
      <c r="AV319" s="846"/>
      <c r="AW319" s="846"/>
      <c r="AX319" s="846"/>
      <c r="AY319" s="846"/>
      <c r="AZ319" s="846"/>
      <c r="BA319" s="846"/>
      <c r="BB319" s="846"/>
      <c r="BC319" s="846"/>
      <c r="BD319" s="846"/>
      <c r="BE319" s="846"/>
      <c r="BF319" s="846"/>
      <c r="BG319" s="846"/>
      <c r="BH319" s="846"/>
      <c r="BI319" s="846"/>
      <c r="BJ319" s="846"/>
      <c r="BK319" s="846"/>
      <c r="BL319" s="846"/>
      <c r="BM319" s="846"/>
      <c r="BN319" s="846"/>
      <c r="BO319" s="846"/>
      <c r="BP319" s="846"/>
      <c r="BQ319" s="846"/>
      <c r="BR319" s="846"/>
      <c r="BS319" s="846"/>
      <c r="BT319" s="846"/>
      <c r="BU319" s="846"/>
      <c r="BV319" s="846"/>
      <c r="BW319" s="846"/>
      <c r="BX319" s="846"/>
      <c r="BY319" s="846"/>
      <c r="BZ319" s="846"/>
      <c r="CA319" s="846"/>
      <c r="CB319" s="846"/>
      <c r="CC319" s="846"/>
      <c r="CD319" s="846"/>
      <c r="CE319" s="846"/>
      <c r="CF319" s="846"/>
      <c r="CG319" s="846"/>
      <c r="CH319" s="846"/>
      <c r="CI319" s="846"/>
      <c r="CJ319" s="846"/>
      <c r="CK319" s="846"/>
      <c r="CL319" s="846"/>
      <c r="CM319" s="846"/>
      <c r="CN319" s="846"/>
      <c r="CO319" s="846"/>
      <c r="CP319" s="846"/>
      <c r="CQ319" s="846"/>
      <c r="CR319" s="846"/>
      <c r="CS319" s="846"/>
      <c r="CT319" s="846"/>
      <c r="CU319" s="846"/>
      <c r="CV319" s="846"/>
      <c r="CW319" s="846"/>
      <c r="CX319" s="846"/>
      <c r="CY319" s="846"/>
      <c r="CZ319" s="846"/>
      <c r="DA319" s="846"/>
      <c r="DB319" s="846"/>
      <c r="DC319" s="846"/>
      <c r="DD319" s="846"/>
      <c r="DE319" s="846"/>
      <c r="DF319" s="846"/>
      <c r="DG319" s="846"/>
      <c r="DH319" s="846"/>
      <c r="DI319" s="846"/>
      <c r="DJ319" s="846"/>
      <c r="DK319" s="846"/>
      <c r="DL319" s="846"/>
      <c r="DM319" s="846"/>
      <c r="DN319" s="846"/>
      <c r="DO319" s="846"/>
      <c r="DP319" s="846"/>
      <c r="DQ319" s="846"/>
      <c r="DR319" s="846"/>
      <c r="DS319" s="846"/>
      <c r="DT319" s="846"/>
      <c r="DU319" s="846"/>
      <c r="DV319" s="846"/>
      <c r="DW319" s="846"/>
      <c r="DX319" s="846"/>
      <c r="DY319" s="846"/>
      <c r="DZ319" s="846"/>
      <c r="EA319" s="846"/>
      <c r="EB319" s="846"/>
      <c r="EC319" s="846"/>
      <c r="ED319" s="846"/>
      <c r="EE319" s="846"/>
      <c r="EF319" s="846"/>
      <c r="EG319" s="846"/>
      <c r="EH319" s="846"/>
      <c r="EI319" s="846"/>
      <c r="EJ319" s="846"/>
      <c r="EK319" s="846"/>
      <c r="EL319" s="846"/>
      <c r="EM319" s="846"/>
      <c r="EN319" s="846"/>
      <c r="EO319" s="846"/>
      <c r="EP319" s="846"/>
      <c r="EQ319" s="846"/>
      <c r="ER319" s="846"/>
      <c r="ES319" s="846"/>
      <c r="ET319" s="846"/>
      <c r="EU319" s="846"/>
      <c r="EV319" s="846"/>
      <c r="EW319" s="846"/>
      <c r="EX319" s="846"/>
      <c r="EY319" s="846"/>
      <c r="EZ319" s="846"/>
      <c r="FA319" s="846"/>
      <c r="FB319" s="846"/>
      <c r="FC319" s="846"/>
      <c r="FD319" s="846"/>
      <c r="FE319" s="846"/>
      <c r="FF319" s="846"/>
      <c r="FG319" s="846"/>
      <c r="FH319" s="846"/>
      <c r="FI319" s="846"/>
      <c r="FJ319" s="846"/>
      <c r="FK319" s="846"/>
      <c r="FL319" s="846"/>
      <c r="FM319" s="846"/>
      <c r="FN319" s="846"/>
      <c r="FO319" s="846"/>
      <c r="FP319" s="846"/>
      <c r="FQ319" s="846"/>
      <c r="FR319" s="846"/>
      <c r="FS319" s="846"/>
      <c r="FT319" s="846"/>
      <c r="FU319" s="846"/>
      <c r="FV319" s="846"/>
      <c r="FW319" s="846"/>
      <c r="FX319" s="846"/>
      <c r="FY319" s="846"/>
      <c r="FZ319" s="846"/>
      <c r="GA319" s="846"/>
      <c r="GB319" s="846"/>
      <c r="GC319" s="846"/>
      <c r="GD319" s="846"/>
      <c r="GE319" s="846"/>
      <c r="GF319" s="846"/>
      <c r="GG319" s="846"/>
      <c r="GH319" s="846"/>
      <c r="GI319" s="846"/>
      <c r="GJ319" s="846"/>
      <c r="GK319" s="846"/>
      <c r="GL319" s="846"/>
      <c r="GM319" s="846"/>
      <c r="GN319" s="846"/>
      <c r="GO319" s="846"/>
      <c r="GP319" s="846"/>
      <c r="GQ319" s="846"/>
      <c r="GR319" s="846"/>
      <c r="GS319" s="846"/>
      <c r="GT319" s="846"/>
      <c r="GU319" s="846"/>
      <c r="GV319" s="846"/>
      <c r="GW319" s="846"/>
      <c r="GX319" s="846"/>
      <c r="GY319" s="846"/>
      <c r="GZ319" s="846"/>
      <c r="HA319" s="846"/>
      <c r="HB319" s="846"/>
      <c r="HC319" s="846"/>
      <c r="HD319" s="846"/>
      <c r="HE319" s="846"/>
      <c r="HF319" s="846"/>
      <c r="HG319" s="846"/>
      <c r="HH319" s="846"/>
      <c r="HI319" s="846"/>
      <c r="HJ319" s="846"/>
      <c r="HK319" s="846"/>
      <c r="HL319" s="846"/>
      <c r="HM319" s="846"/>
      <c r="HN319" s="846"/>
      <c r="HO319" s="846"/>
      <c r="HP319" s="846"/>
      <c r="HQ319" s="846"/>
      <c r="HR319" s="846"/>
      <c r="HS319" s="846"/>
      <c r="HT319" s="846"/>
      <c r="HU319" s="846"/>
      <c r="HV319" s="846"/>
      <c r="HW319" s="846"/>
      <c r="HX319" s="846"/>
      <c r="HY319" s="846"/>
      <c r="HZ319" s="846"/>
      <c r="IA319" s="846"/>
      <c r="IB319" s="846"/>
      <c r="IC319" s="846"/>
      <c r="ID319" s="846"/>
      <c r="IE319" s="846"/>
      <c r="IF319" s="846"/>
      <c r="IG319" s="846"/>
      <c r="IH319" s="846"/>
      <c r="II319" s="846"/>
      <c r="IJ319" s="846"/>
      <c r="IK319" s="846"/>
      <c r="IL319" s="846"/>
      <c r="IM319" s="846"/>
      <c r="IN319" s="846"/>
      <c r="IO319" s="846"/>
      <c r="IP319" s="846"/>
      <c r="IQ319" s="846"/>
      <c r="IR319" s="846"/>
      <c r="IS319" s="846"/>
      <c r="IT319" s="846"/>
      <c r="IU319" s="846"/>
      <c r="IV319" s="846"/>
      <c r="IW319" s="846"/>
    </row>
    <row r="320" spans="1:257" s="634" customFormat="1">
      <c r="A320" s="729" t="s">
        <v>222</v>
      </c>
      <c r="B320" s="949" t="s">
        <v>252</v>
      </c>
      <c r="C320" s="729"/>
      <c r="D320" s="729"/>
      <c r="E320" s="731"/>
      <c r="F320" s="834">
        <f t="shared" ref="F320:J320" si="32">F321</f>
        <v>585000000</v>
      </c>
      <c r="G320" s="834">
        <f t="shared" si="32"/>
        <v>0</v>
      </c>
      <c r="H320" s="834">
        <f t="shared" si="32"/>
        <v>0</v>
      </c>
      <c r="I320" s="834">
        <f t="shared" si="32"/>
        <v>0</v>
      </c>
      <c r="J320" s="834">
        <f t="shared" si="32"/>
        <v>739345000</v>
      </c>
      <c r="K320" s="834">
        <f>K327+K329+K330</f>
        <v>657000000</v>
      </c>
      <c r="L320" s="1312">
        <f>L327+L329+L330</f>
        <v>704000000</v>
      </c>
      <c r="M320" s="626"/>
      <c r="N320" s="950">
        <v>3195000000</v>
      </c>
      <c r="O320" s="950" t="s">
        <v>1977</v>
      </c>
      <c r="P320" s="951"/>
      <c r="Q320" s="951"/>
      <c r="R320" s="952"/>
      <c r="S320" s="952"/>
      <c r="T320" s="953"/>
      <c r="U320" s="954"/>
      <c r="V320" s="735"/>
      <c r="W320" s="907"/>
      <c r="X320" s="769"/>
      <c r="Y320" s="889"/>
      <c r="Z320" s="889"/>
      <c r="AA320" s="889"/>
      <c r="AB320" s="889"/>
      <c r="AC320" s="889"/>
      <c r="AD320" s="889"/>
      <c r="AE320" s="889"/>
      <c r="AF320" s="889"/>
      <c r="AG320" s="889"/>
      <c r="AH320" s="889"/>
      <c r="AI320" s="889"/>
      <c r="AJ320" s="889"/>
      <c r="AK320" s="889"/>
      <c r="AL320" s="889"/>
      <c r="AM320" s="889"/>
      <c r="AN320" s="889"/>
      <c r="AO320" s="889"/>
      <c r="AP320" s="889"/>
      <c r="AQ320" s="889"/>
      <c r="AR320" s="889"/>
      <c r="AS320" s="889"/>
      <c r="AT320" s="889"/>
      <c r="AU320" s="889"/>
      <c r="AV320" s="889"/>
      <c r="AW320" s="889"/>
      <c r="AX320" s="889"/>
      <c r="AY320" s="889"/>
      <c r="AZ320" s="889"/>
      <c r="BA320" s="889"/>
      <c r="BB320" s="889"/>
      <c r="BC320" s="889"/>
      <c r="BD320" s="889"/>
      <c r="BE320" s="889"/>
      <c r="BF320" s="889"/>
      <c r="BG320" s="889"/>
      <c r="BH320" s="889"/>
      <c r="BI320" s="889"/>
      <c r="BJ320" s="889"/>
      <c r="BK320" s="889"/>
      <c r="BL320" s="889"/>
      <c r="BM320" s="889"/>
      <c r="BN320" s="889"/>
      <c r="BO320" s="889"/>
      <c r="BP320" s="889"/>
      <c r="BQ320" s="889"/>
      <c r="BR320" s="889"/>
      <c r="BS320" s="889"/>
      <c r="BT320" s="889"/>
      <c r="BU320" s="889"/>
      <c r="BV320" s="889"/>
      <c r="BW320" s="889"/>
      <c r="BX320" s="889"/>
      <c r="BY320" s="889"/>
      <c r="BZ320" s="889"/>
      <c r="CA320" s="889"/>
      <c r="CB320" s="889"/>
      <c r="CC320" s="889"/>
      <c r="CD320" s="889"/>
      <c r="CE320" s="889"/>
      <c r="CF320" s="889"/>
      <c r="CG320" s="889"/>
      <c r="CH320" s="889"/>
      <c r="CI320" s="889"/>
      <c r="CJ320" s="889"/>
      <c r="CK320" s="889"/>
      <c r="CL320" s="889"/>
      <c r="CM320" s="889"/>
      <c r="CN320" s="889"/>
      <c r="CO320" s="889"/>
      <c r="CP320" s="889"/>
      <c r="CQ320" s="889"/>
      <c r="CR320" s="889"/>
      <c r="CS320" s="889"/>
      <c r="CT320" s="889"/>
      <c r="CU320" s="889"/>
      <c r="CV320" s="889"/>
      <c r="CW320" s="889"/>
      <c r="CX320" s="889"/>
      <c r="CY320" s="889"/>
      <c r="CZ320" s="889"/>
      <c r="DA320" s="889"/>
      <c r="DB320" s="889"/>
      <c r="DC320" s="889"/>
      <c r="DD320" s="889"/>
      <c r="DE320" s="889"/>
      <c r="DF320" s="889"/>
      <c r="DG320" s="889"/>
      <c r="DH320" s="889"/>
      <c r="DI320" s="889"/>
      <c r="DJ320" s="889"/>
      <c r="DK320" s="889"/>
      <c r="DL320" s="889"/>
      <c r="DM320" s="889"/>
      <c r="DN320" s="889"/>
      <c r="DO320" s="889"/>
      <c r="DP320" s="889"/>
      <c r="DQ320" s="889"/>
      <c r="DR320" s="889"/>
      <c r="DS320" s="889"/>
      <c r="DT320" s="889"/>
      <c r="DU320" s="889"/>
      <c r="DV320" s="889"/>
      <c r="DW320" s="889"/>
      <c r="DX320" s="889"/>
      <c r="DY320" s="889"/>
      <c r="DZ320" s="889"/>
      <c r="EA320" s="889"/>
      <c r="EB320" s="889"/>
      <c r="EC320" s="889"/>
      <c r="ED320" s="889"/>
      <c r="EE320" s="889"/>
      <c r="EF320" s="889"/>
      <c r="EG320" s="889"/>
      <c r="EH320" s="889"/>
      <c r="EI320" s="889"/>
      <c r="EJ320" s="889"/>
      <c r="EK320" s="889"/>
      <c r="EL320" s="889"/>
      <c r="EM320" s="889"/>
      <c r="EN320" s="889"/>
      <c r="EO320" s="889"/>
      <c r="EP320" s="889"/>
      <c r="EQ320" s="889"/>
      <c r="ER320" s="889"/>
      <c r="ES320" s="889"/>
      <c r="ET320" s="889"/>
      <c r="EU320" s="889"/>
      <c r="EV320" s="889"/>
      <c r="EW320" s="889"/>
      <c r="EX320" s="889"/>
      <c r="EY320" s="889"/>
      <c r="EZ320" s="889"/>
      <c r="FA320" s="889"/>
      <c r="FB320" s="889"/>
      <c r="FC320" s="889"/>
      <c r="FD320" s="889"/>
      <c r="FE320" s="889"/>
      <c r="FF320" s="889"/>
      <c r="FG320" s="889"/>
      <c r="FH320" s="889"/>
      <c r="FI320" s="889"/>
      <c r="FJ320" s="889"/>
      <c r="FK320" s="889"/>
      <c r="FL320" s="889"/>
      <c r="FM320" s="889"/>
      <c r="FN320" s="889"/>
      <c r="FO320" s="889"/>
      <c r="FP320" s="889"/>
      <c r="FQ320" s="889"/>
      <c r="FR320" s="889"/>
      <c r="FS320" s="889"/>
      <c r="FT320" s="889"/>
      <c r="FU320" s="889"/>
      <c r="FV320" s="889"/>
      <c r="FW320" s="889"/>
      <c r="FX320" s="889"/>
      <c r="FY320" s="889"/>
      <c r="FZ320" s="889"/>
      <c r="GA320" s="889"/>
      <c r="GB320" s="889"/>
      <c r="GC320" s="889"/>
      <c r="GD320" s="889"/>
      <c r="GE320" s="889"/>
      <c r="GF320" s="889"/>
      <c r="GG320" s="889"/>
      <c r="GH320" s="889"/>
      <c r="GI320" s="889"/>
      <c r="GJ320" s="889"/>
      <c r="GK320" s="889"/>
      <c r="GL320" s="889"/>
      <c r="GM320" s="889"/>
      <c r="GN320" s="889"/>
      <c r="GO320" s="889"/>
      <c r="GP320" s="889"/>
      <c r="GQ320" s="889"/>
      <c r="GR320" s="889"/>
      <c r="GS320" s="889"/>
      <c r="GT320" s="889"/>
      <c r="GU320" s="889"/>
      <c r="GV320" s="889"/>
      <c r="GW320" s="889"/>
      <c r="GX320" s="889"/>
      <c r="GY320" s="889"/>
      <c r="GZ320" s="889"/>
      <c r="HA320" s="889"/>
      <c r="HB320" s="889"/>
      <c r="HC320" s="889"/>
      <c r="HD320" s="889"/>
      <c r="HE320" s="889"/>
      <c r="HF320" s="889"/>
      <c r="HG320" s="889"/>
      <c r="HH320" s="889"/>
      <c r="HI320" s="889"/>
      <c r="HJ320" s="889"/>
      <c r="HK320" s="889"/>
      <c r="HL320" s="889"/>
      <c r="HM320" s="889"/>
      <c r="HN320" s="889"/>
      <c r="HO320" s="889"/>
      <c r="HP320" s="889"/>
      <c r="HQ320" s="889"/>
      <c r="HR320" s="889"/>
      <c r="HS320" s="889"/>
      <c r="HT320" s="889"/>
      <c r="HU320" s="889"/>
      <c r="HV320" s="889"/>
      <c r="HW320" s="889"/>
      <c r="HX320" s="889"/>
      <c r="HY320" s="889"/>
      <c r="HZ320" s="889"/>
      <c r="IA320" s="889"/>
      <c r="IB320" s="889"/>
      <c r="IC320" s="889"/>
      <c r="ID320" s="889"/>
      <c r="IE320" s="889"/>
      <c r="IF320" s="889"/>
      <c r="IG320" s="889"/>
      <c r="IH320" s="889"/>
      <c r="II320" s="889"/>
      <c r="IJ320" s="889"/>
      <c r="IK320" s="889"/>
      <c r="IL320" s="889"/>
      <c r="IM320" s="889"/>
      <c r="IN320" s="889"/>
      <c r="IO320" s="889"/>
      <c r="IP320" s="889"/>
      <c r="IQ320" s="889"/>
      <c r="IR320" s="889"/>
      <c r="IS320" s="889"/>
      <c r="IT320" s="889"/>
      <c r="IU320" s="889"/>
      <c r="IV320" s="889"/>
      <c r="IW320" s="889"/>
    </row>
    <row r="321" spans="1:257" s="634" customFormat="1">
      <c r="A321" s="738" t="s">
        <v>192</v>
      </c>
      <c r="B321" s="955" t="s">
        <v>292</v>
      </c>
      <c r="C321" s="758"/>
      <c r="D321" s="758"/>
      <c r="E321" s="956"/>
      <c r="F321" s="740">
        <f t="shared" ref="F321:J321" si="33">F325+F331</f>
        <v>585000000</v>
      </c>
      <c r="G321" s="740">
        <f t="shared" si="33"/>
        <v>0</v>
      </c>
      <c r="H321" s="740">
        <f t="shared" si="33"/>
        <v>0</v>
      </c>
      <c r="I321" s="740">
        <f t="shared" si="33"/>
        <v>0</v>
      </c>
      <c r="J321" s="740">
        <f t="shared" si="33"/>
        <v>739345000</v>
      </c>
      <c r="K321" s="740"/>
      <c r="L321" s="1315"/>
      <c r="M321" s="676"/>
      <c r="N321" s="903">
        <f>L319+Sheet2!AI15*1000</f>
        <v>3678351800</v>
      </c>
      <c r="O321" s="903" t="s">
        <v>1976</v>
      </c>
      <c r="P321" s="957"/>
      <c r="Q321" s="957"/>
      <c r="R321" s="861"/>
      <c r="S321" s="861"/>
      <c r="T321" s="862"/>
      <c r="U321" s="755"/>
      <c r="V321" s="907"/>
      <c r="W321" s="907"/>
      <c r="X321" s="769"/>
      <c r="Y321" s="889"/>
      <c r="Z321" s="889"/>
      <c r="AA321" s="889"/>
      <c r="AB321" s="889"/>
      <c r="AC321" s="889"/>
      <c r="AD321" s="889"/>
      <c r="AE321" s="889"/>
      <c r="AF321" s="889"/>
      <c r="AG321" s="889"/>
      <c r="AH321" s="889"/>
      <c r="AI321" s="889"/>
      <c r="AJ321" s="889"/>
      <c r="AK321" s="889"/>
      <c r="AL321" s="889"/>
      <c r="AM321" s="889"/>
      <c r="AN321" s="889"/>
      <c r="AO321" s="889"/>
      <c r="AP321" s="889"/>
      <c r="AQ321" s="889"/>
      <c r="AR321" s="889"/>
      <c r="AS321" s="889"/>
      <c r="AT321" s="889"/>
      <c r="AU321" s="889"/>
      <c r="AV321" s="889"/>
      <c r="AW321" s="889"/>
      <c r="AX321" s="889"/>
      <c r="AY321" s="889"/>
      <c r="AZ321" s="889"/>
      <c r="BA321" s="889"/>
      <c r="BB321" s="889"/>
      <c r="BC321" s="889"/>
      <c r="BD321" s="889"/>
      <c r="BE321" s="889"/>
      <c r="BF321" s="889"/>
      <c r="BG321" s="889"/>
      <c r="BH321" s="889"/>
      <c r="BI321" s="889"/>
      <c r="BJ321" s="889"/>
      <c r="BK321" s="889"/>
      <c r="BL321" s="889"/>
      <c r="BM321" s="889"/>
      <c r="BN321" s="889"/>
      <c r="BO321" s="889"/>
      <c r="BP321" s="889"/>
      <c r="BQ321" s="889"/>
      <c r="BR321" s="889"/>
      <c r="BS321" s="889"/>
      <c r="BT321" s="889"/>
      <c r="BU321" s="889"/>
      <c r="BV321" s="889"/>
      <c r="BW321" s="889"/>
      <c r="BX321" s="889"/>
      <c r="BY321" s="889"/>
      <c r="BZ321" s="889"/>
      <c r="CA321" s="889"/>
      <c r="CB321" s="889"/>
      <c r="CC321" s="889"/>
      <c r="CD321" s="889"/>
      <c r="CE321" s="889"/>
      <c r="CF321" s="889"/>
      <c r="CG321" s="889"/>
      <c r="CH321" s="889"/>
      <c r="CI321" s="889"/>
      <c r="CJ321" s="889"/>
      <c r="CK321" s="889"/>
      <c r="CL321" s="889"/>
      <c r="CM321" s="889"/>
      <c r="CN321" s="889"/>
      <c r="CO321" s="889"/>
      <c r="CP321" s="889"/>
      <c r="CQ321" s="889"/>
      <c r="CR321" s="889"/>
      <c r="CS321" s="889"/>
      <c r="CT321" s="889"/>
      <c r="CU321" s="889"/>
      <c r="CV321" s="889"/>
      <c r="CW321" s="889"/>
      <c r="CX321" s="889"/>
      <c r="CY321" s="889"/>
      <c r="CZ321" s="889"/>
      <c r="DA321" s="889"/>
      <c r="DB321" s="889"/>
      <c r="DC321" s="889"/>
      <c r="DD321" s="889"/>
      <c r="DE321" s="889"/>
      <c r="DF321" s="889"/>
      <c r="DG321" s="889"/>
      <c r="DH321" s="889"/>
      <c r="DI321" s="889"/>
      <c r="DJ321" s="889"/>
      <c r="DK321" s="889"/>
      <c r="DL321" s="889"/>
      <c r="DM321" s="889"/>
      <c r="DN321" s="889"/>
      <c r="DO321" s="889"/>
      <c r="DP321" s="889"/>
      <c r="DQ321" s="889"/>
      <c r="DR321" s="889"/>
      <c r="DS321" s="889"/>
      <c r="DT321" s="889"/>
      <c r="DU321" s="889"/>
      <c r="DV321" s="889"/>
      <c r="DW321" s="889"/>
      <c r="DX321" s="889"/>
      <c r="DY321" s="889"/>
      <c r="DZ321" s="889"/>
      <c r="EA321" s="889"/>
      <c r="EB321" s="889"/>
      <c r="EC321" s="889"/>
      <c r="ED321" s="889"/>
      <c r="EE321" s="889"/>
      <c r="EF321" s="889"/>
      <c r="EG321" s="889"/>
      <c r="EH321" s="889"/>
      <c r="EI321" s="889"/>
      <c r="EJ321" s="889"/>
      <c r="EK321" s="889"/>
      <c r="EL321" s="889"/>
      <c r="EM321" s="889"/>
      <c r="EN321" s="889"/>
      <c r="EO321" s="889"/>
      <c r="EP321" s="889"/>
      <c r="EQ321" s="889"/>
      <c r="ER321" s="889"/>
      <c r="ES321" s="889"/>
      <c r="ET321" s="889"/>
      <c r="EU321" s="889"/>
      <c r="EV321" s="889"/>
      <c r="EW321" s="889"/>
      <c r="EX321" s="889"/>
      <c r="EY321" s="889"/>
      <c r="EZ321" s="889"/>
      <c r="FA321" s="889"/>
      <c r="FB321" s="889"/>
      <c r="FC321" s="889"/>
      <c r="FD321" s="889"/>
      <c r="FE321" s="889"/>
      <c r="FF321" s="889"/>
      <c r="FG321" s="889"/>
      <c r="FH321" s="889"/>
      <c r="FI321" s="889"/>
      <c r="FJ321" s="889"/>
      <c r="FK321" s="889"/>
      <c r="FL321" s="889"/>
      <c r="FM321" s="889"/>
      <c r="FN321" s="889"/>
      <c r="FO321" s="889"/>
      <c r="FP321" s="889"/>
      <c r="FQ321" s="889"/>
      <c r="FR321" s="889"/>
      <c r="FS321" s="889"/>
      <c r="FT321" s="889"/>
      <c r="FU321" s="889"/>
      <c r="FV321" s="889"/>
      <c r="FW321" s="889"/>
      <c r="FX321" s="889"/>
      <c r="FY321" s="889"/>
      <c r="FZ321" s="889"/>
      <c r="GA321" s="889"/>
      <c r="GB321" s="889"/>
      <c r="GC321" s="889"/>
      <c r="GD321" s="889"/>
      <c r="GE321" s="889"/>
      <c r="GF321" s="889"/>
      <c r="GG321" s="889"/>
      <c r="GH321" s="889"/>
      <c r="GI321" s="889"/>
      <c r="GJ321" s="889"/>
      <c r="GK321" s="889"/>
      <c r="GL321" s="889"/>
      <c r="GM321" s="889"/>
      <c r="GN321" s="889"/>
      <c r="GO321" s="889"/>
      <c r="GP321" s="889"/>
      <c r="GQ321" s="889"/>
      <c r="GR321" s="889"/>
      <c r="GS321" s="889"/>
      <c r="GT321" s="889"/>
      <c r="GU321" s="889"/>
      <c r="GV321" s="889"/>
      <c r="GW321" s="889"/>
      <c r="GX321" s="889"/>
      <c r="GY321" s="889"/>
      <c r="GZ321" s="889"/>
      <c r="HA321" s="889"/>
      <c r="HB321" s="889"/>
      <c r="HC321" s="889"/>
      <c r="HD321" s="889"/>
      <c r="HE321" s="889"/>
      <c r="HF321" s="889"/>
      <c r="HG321" s="889"/>
      <c r="HH321" s="889"/>
      <c r="HI321" s="889"/>
      <c r="HJ321" s="889"/>
      <c r="HK321" s="889"/>
      <c r="HL321" s="889"/>
      <c r="HM321" s="889"/>
      <c r="HN321" s="889"/>
      <c r="HO321" s="889"/>
      <c r="HP321" s="889"/>
      <c r="HQ321" s="889"/>
      <c r="HR321" s="889"/>
      <c r="HS321" s="889"/>
      <c r="HT321" s="889"/>
      <c r="HU321" s="889"/>
      <c r="HV321" s="889"/>
      <c r="HW321" s="889"/>
      <c r="HX321" s="889"/>
      <c r="HY321" s="889"/>
      <c r="HZ321" s="889"/>
      <c r="IA321" s="889"/>
      <c r="IB321" s="889"/>
      <c r="IC321" s="889"/>
      <c r="ID321" s="889"/>
      <c r="IE321" s="889"/>
      <c r="IF321" s="889"/>
      <c r="IG321" s="889"/>
      <c r="IH321" s="889"/>
      <c r="II321" s="889"/>
      <c r="IJ321" s="889"/>
      <c r="IK321" s="889"/>
      <c r="IL321" s="889"/>
      <c r="IM321" s="889"/>
      <c r="IN321" s="889"/>
      <c r="IO321" s="889"/>
      <c r="IP321" s="889"/>
      <c r="IQ321" s="889"/>
      <c r="IR321" s="889"/>
      <c r="IS321" s="889"/>
      <c r="IT321" s="889"/>
      <c r="IU321" s="889"/>
      <c r="IV321" s="889"/>
      <c r="IW321" s="889"/>
    </row>
    <row r="322" spans="1:257" s="634" customFormat="1" ht="17.25" customHeight="1">
      <c r="A322" s="758"/>
      <c r="B322" s="760" t="s">
        <v>300</v>
      </c>
      <c r="C322" s="758"/>
      <c r="D322" s="758"/>
      <c r="E322" s="956" t="s">
        <v>983</v>
      </c>
      <c r="F322" s="760">
        <v>1377000000</v>
      </c>
      <c r="G322" s="958"/>
      <c r="H322" s="958"/>
      <c r="I322" s="958"/>
      <c r="J322" s="760"/>
      <c r="K322" s="760"/>
      <c r="L322" s="1311"/>
      <c r="M322" s="761"/>
      <c r="N322" s="904">
        <f>N321-N320</f>
        <v>483351800</v>
      </c>
      <c r="O322" s="904"/>
      <c r="P322" s="959"/>
      <c r="Q322" s="959"/>
      <c r="R322" s="861"/>
      <c r="S322" s="861"/>
      <c r="T322" s="862"/>
      <c r="U322" s="755"/>
      <c r="V322" s="907"/>
      <c r="W322" s="907"/>
      <c r="X322" s="769"/>
      <c r="Y322" s="889"/>
      <c r="Z322" s="889"/>
      <c r="AA322" s="889"/>
      <c r="AB322" s="889"/>
      <c r="AC322" s="889"/>
      <c r="AD322" s="889"/>
      <c r="AE322" s="889"/>
      <c r="AF322" s="889"/>
      <c r="AG322" s="889"/>
      <c r="AH322" s="889"/>
      <c r="AI322" s="889"/>
      <c r="AJ322" s="889"/>
      <c r="AK322" s="889"/>
      <c r="AL322" s="889"/>
      <c r="AM322" s="889"/>
      <c r="AN322" s="889"/>
      <c r="AO322" s="889"/>
      <c r="AP322" s="889"/>
      <c r="AQ322" s="889"/>
      <c r="AR322" s="889"/>
      <c r="AS322" s="889"/>
      <c r="AT322" s="889"/>
      <c r="AU322" s="889"/>
      <c r="AV322" s="889"/>
      <c r="AW322" s="889"/>
      <c r="AX322" s="889"/>
      <c r="AY322" s="889"/>
      <c r="AZ322" s="889"/>
      <c r="BA322" s="889"/>
      <c r="BB322" s="889"/>
      <c r="BC322" s="889"/>
      <c r="BD322" s="889"/>
      <c r="BE322" s="889"/>
      <c r="BF322" s="889"/>
      <c r="BG322" s="889"/>
      <c r="BH322" s="889"/>
      <c r="BI322" s="889"/>
      <c r="BJ322" s="889"/>
      <c r="BK322" s="889"/>
      <c r="BL322" s="889"/>
      <c r="BM322" s="889"/>
      <c r="BN322" s="889"/>
      <c r="BO322" s="889"/>
      <c r="BP322" s="889"/>
      <c r="BQ322" s="889"/>
      <c r="BR322" s="889"/>
      <c r="BS322" s="889"/>
      <c r="BT322" s="889"/>
      <c r="BU322" s="889"/>
      <c r="BV322" s="889"/>
      <c r="BW322" s="889"/>
      <c r="BX322" s="889"/>
      <c r="BY322" s="889"/>
      <c r="BZ322" s="889"/>
      <c r="CA322" s="889"/>
      <c r="CB322" s="889"/>
      <c r="CC322" s="889"/>
      <c r="CD322" s="889"/>
      <c r="CE322" s="889"/>
      <c r="CF322" s="889"/>
      <c r="CG322" s="889"/>
      <c r="CH322" s="889"/>
      <c r="CI322" s="889"/>
      <c r="CJ322" s="889"/>
      <c r="CK322" s="889"/>
      <c r="CL322" s="889"/>
      <c r="CM322" s="889"/>
      <c r="CN322" s="889"/>
      <c r="CO322" s="889"/>
      <c r="CP322" s="889"/>
      <c r="CQ322" s="889"/>
      <c r="CR322" s="889"/>
      <c r="CS322" s="889"/>
      <c r="CT322" s="889"/>
      <c r="CU322" s="889"/>
      <c r="CV322" s="889"/>
      <c r="CW322" s="889"/>
      <c r="CX322" s="889"/>
      <c r="CY322" s="889"/>
      <c r="CZ322" s="889"/>
      <c r="DA322" s="889"/>
      <c r="DB322" s="889"/>
      <c r="DC322" s="889"/>
      <c r="DD322" s="889"/>
      <c r="DE322" s="889"/>
      <c r="DF322" s="889"/>
      <c r="DG322" s="889"/>
      <c r="DH322" s="889"/>
      <c r="DI322" s="889"/>
      <c r="DJ322" s="889"/>
      <c r="DK322" s="889"/>
      <c r="DL322" s="889"/>
      <c r="DM322" s="889"/>
      <c r="DN322" s="889"/>
      <c r="DO322" s="889"/>
      <c r="DP322" s="889"/>
      <c r="DQ322" s="889"/>
      <c r="DR322" s="889"/>
      <c r="DS322" s="889"/>
      <c r="DT322" s="889"/>
      <c r="DU322" s="889"/>
      <c r="DV322" s="889"/>
      <c r="DW322" s="889"/>
      <c r="DX322" s="889"/>
      <c r="DY322" s="889"/>
      <c r="DZ322" s="889"/>
      <c r="EA322" s="889"/>
      <c r="EB322" s="889"/>
      <c r="EC322" s="889"/>
      <c r="ED322" s="889"/>
      <c r="EE322" s="889"/>
      <c r="EF322" s="889"/>
      <c r="EG322" s="889"/>
      <c r="EH322" s="889"/>
      <c r="EI322" s="889"/>
      <c r="EJ322" s="889"/>
      <c r="EK322" s="889"/>
      <c r="EL322" s="889"/>
      <c r="EM322" s="889"/>
      <c r="EN322" s="889"/>
      <c r="EO322" s="889"/>
      <c r="EP322" s="889"/>
      <c r="EQ322" s="889"/>
      <c r="ER322" s="889"/>
      <c r="ES322" s="889"/>
      <c r="ET322" s="889"/>
      <c r="EU322" s="889"/>
      <c r="EV322" s="889"/>
      <c r="EW322" s="889"/>
      <c r="EX322" s="889"/>
      <c r="EY322" s="889"/>
      <c r="EZ322" s="889"/>
      <c r="FA322" s="889"/>
      <c r="FB322" s="889"/>
      <c r="FC322" s="889"/>
      <c r="FD322" s="889"/>
      <c r="FE322" s="889"/>
      <c r="FF322" s="889"/>
      <c r="FG322" s="889"/>
      <c r="FH322" s="889"/>
      <c r="FI322" s="889"/>
      <c r="FJ322" s="889"/>
      <c r="FK322" s="889"/>
      <c r="FL322" s="889"/>
      <c r="FM322" s="889"/>
      <c r="FN322" s="889"/>
      <c r="FO322" s="889"/>
      <c r="FP322" s="889"/>
      <c r="FQ322" s="889"/>
      <c r="FR322" s="889"/>
      <c r="FS322" s="889"/>
      <c r="FT322" s="889"/>
      <c r="FU322" s="889"/>
      <c r="FV322" s="889"/>
      <c r="FW322" s="889"/>
      <c r="FX322" s="889"/>
      <c r="FY322" s="889"/>
      <c r="FZ322" s="889"/>
      <c r="GA322" s="889"/>
      <c r="GB322" s="889"/>
      <c r="GC322" s="889"/>
      <c r="GD322" s="889"/>
      <c r="GE322" s="889"/>
      <c r="GF322" s="889"/>
      <c r="GG322" s="889"/>
      <c r="GH322" s="889"/>
      <c r="GI322" s="889"/>
      <c r="GJ322" s="889"/>
      <c r="GK322" s="889"/>
      <c r="GL322" s="889"/>
      <c r="GM322" s="889"/>
      <c r="GN322" s="889"/>
      <c r="GO322" s="889"/>
      <c r="GP322" s="889"/>
      <c r="GQ322" s="889"/>
      <c r="GR322" s="889"/>
      <c r="GS322" s="889"/>
      <c r="GT322" s="889"/>
      <c r="GU322" s="889"/>
      <c r="GV322" s="889"/>
      <c r="GW322" s="889"/>
      <c r="GX322" s="889"/>
      <c r="GY322" s="889"/>
      <c r="GZ322" s="889"/>
      <c r="HA322" s="889"/>
      <c r="HB322" s="889"/>
      <c r="HC322" s="889"/>
      <c r="HD322" s="889"/>
      <c r="HE322" s="889"/>
      <c r="HF322" s="889"/>
      <c r="HG322" s="889"/>
      <c r="HH322" s="889"/>
      <c r="HI322" s="889"/>
      <c r="HJ322" s="889"/>
      <c r="HK322" s="889"/>
      <c r="HL322" s="889"/>
      <c r="HM322" s="889"/>
      <c r="HN322" s="889"/>
      <c r="HO322" s="889"/>
      <c r="HP322" s="889"/>
      <c r="HQ322" s="889"/>
      <c r="HR322" s="889"/>
      <c r="HS322" s="889"/>
      <c r="HT322" s="889"/>
      <c r="HU322" s="889"/>
      <c r="HV322" s="889"/>
      <c r="HW322" s="889"/>
      <c r="HX322" s="889"/>
      <c r="HY322" s="889"/>
      <c r="HZ322" s="889"/>
      <c r="IA322" s="889"/>
      <c r="IB322" s="889"/>
      <c r="IC322" s="889"/>
      <c r="ID322" s="889"/>
      <c r="IE322" s="889"/>
      <c r="IF322" s="889"/>
      <c r="IG322" s="889"/>
      <c r="IH322" s="889"/>
      <c r="II322" s="889"/>
      <c r="IJ322" s="889"/>
      <c r="IK322" s="889"/>
      <c r="IL322" s="889"/>
      <c r="IM322" s="889"/>
      <c r="IN322" s="889"/>
      <c r="IO322" s="889"/>
      <c r="IP322" s="889"/>
      <c r="IQ322" s="889"/>
      <c r="IR322" s="889"/>
      <c r="IS322" s="889"/>
      <c r="IT322" s="889"/>
      <c r="IU322" s="889"/>
      <c r="IV322" s="889"/>
      <c r="IW322" s="889"/>
    </row>
    <row r="323" spans="1:257" s="665" customFormat="1">
      <c r="A323" s="758"/>
      <c r="B323" s="960" t="s">
        <v>301</v>
      </c>
      <c r="C323" s="738"/>
      <c r="D323" s="738"/>
      <c r="E323" s="956"/>
      <c r="F323" s="760"/>
      <c r="G323" s="961"/>
      <c r="H323" s="961"/>
      <c r="I323" s="961"/>
      <c r="J323" s="760"/>
      <c r="K323" s="760"/>
      <c r="L323" s="1311"/>
      <c r="M323" s="761"/>
      <c r="N323" s="904"/>
      <c r="O323" s="904"/>
      <c r="P323" s="957"/>
      <c r="Q323" s="957"/>
      <c r="R323" s="861"/>
      <c r="S323" s="861"/>
      <c r="T323" s="862"/>
      <c r="U323" s="755"/>
      <c r="V323" s="907"/>
      <c r="W323" s="746"/>
      <c r="X323" s="747"/>
      <c r="Y323" s="748"/>
      <c r="Z323" s="748"/>
      <c r="AA323" s="748"/>
      <c r="AB323" s="748"/>
      <c r="AC323" s="748"/>
      <c r="AD323" s="748"/>
      <c r="AE323" s="748"/>
      <c r="AF323" s="748"/>
      <c r="AG323" s="748"/>
      <c r="AH323" s="748"/>
      <c r="AI323" s="748"/>
      <c r="AJ323" s="748"/>
      <c r="AK323" s="748"/>
      <c r="AL323" s="748"/>
      <c r="AM323" s="748"/>
      <c r="AN323" s="748"/>
      <c r="AO323" s="748"/>
      <c r="AP323" s="748"/>
      <c r="AQ323" s="748"/>
      <c r="AR323" s="748"/>
      <c r="AS323" s="748"/>
      <c r="AT323" s="748"/>
      <c r="AU323" s="748"/>
      <c r="AV323" s="748"/>
      <c r="AW323" s="748"/>
      <c r="AX323" s="748"/>
      <c r="AY323" s="748"/>
      <c r="AZ323" s="748"/>
      <c r="BA323" s="748"/>
      <c r="BB323" s="748"/>
      <c r="BC323" s="748"/>
      <c r="BD323" s="748"/>
      <c r="BE323" s="748"/>
      <c r="BF323" s="748"/>
      <c r="BG323" s="748"/>
      <c r="BH323" s="748"/>
      <c r="BI323" s="748"/>
      <c r="BJ323" s="748"/>
      <c r="BK323" s="748"/>
      <c r="BL323" s="748"/>
      <c r="BM323" s="748"/>
      <c r="BN323" s="748"/>
      <c r="BO323" s="748"/>
      <c r="BP323" s="748"/>
      <c r="BQ323" s="748"/>
      <c r="BR323" s="748"/>
      <c r="BS323" s="748"/>
      <c r="BT323" s="748"/>
      <c r="BU323" s="748"/>
      <c r="BV323" s="748"/>
      <c r="BW323" s="748"/>
      <c r="BX323" s="748"/>
      <c r="BY323" s="748"/>
      <c r="BZ323" s="748"/>
      <c r="CA323" s="748"/>
      <c r="CB323" s="748"/>
      <c r="CC323" s="748"/>
      <c r="CD323" s="748"/>
      <c r="CE323" s="748"/>
      <c r="CF323" s="748"/>
      <c r="CG323" s="748"/>
      <c r="CH323" s="748"/>
      <c r="CI323" s="748"/>
      <c r="CJ323" s="748"/>
      <c r="CK323" s="748"/>
      <c r="CL323" s="748"/>
      <c r="CM323" s="748"/>
      <c r="CN323" s="748"/>
      <c r="CO323" s="748"/>
      <c r="CP323" s="748"/>
      <c r="CQ323" s="748"/>
      <c r="CR323" s="748"/>
      <c r="CS323" s="748"/>
      <c r="CT323" s="748"/>
      <c r="CU323" s="748"/>
      <c r="CV323" s="748"/>
      <c r="CW323" s="748"/>
      <c r="CX323" s="748"/>
      <c r="CY323" s="748"/>
      <c r="CZ323" s="748"/>
      <c r="DA323" s="748"/>
      <c r="DB323" s="748"/>
      <c r="DC323" s="748"/>
      <c r="DD323" s="748"/>
      <c r="DE323" s="748"/>
      <c r="DF323" s="748"/>
      <c r="DG323" s="748"/>
      <c r="DH323" s="748"/>
      <c r="DI323" s="748"/>
      <c r="DJ323" s="748"/>
      <c r="DK323" s="748"/>
      <c r="DL323" s="748"/>
      <c r="DM323" s="748"/>
      <c r="DN323" s="748"/>
      <c r="DO323" s="748"/>
      <c r="DP323" s="748"/>
      <c r="DQ323" s="748"/>
      <c r="DR323" s="748"/>
      <c r="DS323" s="748"/>
      <c r="DT323" s="748"/>
      <c r="DU323" s="748"/>
      <c r="DV323" s="748"/>
      <c r="DW323" s="748"/>
      <c r="DX323" s="748"/>
      <c r="DY323" s="748"/>
      <c r="DZ323" s="748"/>
      <c r="EA323" s="748"/>
      <c r="EB323" s="748"/>
      <c r="EC323" s="748"/>
      <c r="ED323" s="748"/>
      <c r="EE323" s="748"/>
      <c r="EF323" s="748"/>
      <c r="EG323" s="748"/>
      <c r="EH323" s="748"/>
      <c r="EI323" s="748"/>
      <c r="EJ323" s="748"/>
      <c r="EK323" s="748"/>
      <c r="EL323" s="748"/>
      <c r="EM323" s="748"/>
      <c r="EN323" s="748"/>
      <c r="EO323" s="748"/>
      <c r="EP323" s="748"/>
      <c r="EQ323" s="748"/>
      <c r="ER323" s="748"/>
      <c r="ES323" s="748"/>
      <c r="ET323" s="748"/>
      <c r="EU323" s="748"/>
      <c r="EV323" s="748"/>
      <c r="EW323" s="748"/>
      <c r="EX323" s="748"/>
      <c r="EY323" s="748"/>
      <c r="EZ323" s="748"/>
      <c r="FA323" s="748"/>
      <c r="FB323" s="748"/>
      <c r="FC323" s="748"/>
      <c r="FD323" s="748"/>
      <c r="FE323" s="748"/>
      <c r="FF323" s="748"/>
      <c r="FG323" s="748"/>
      <c r="FH323" s="748"/>
      <c r="FI323" s="748"/>
      <c r="FJ323" s="748"/>
      <c r="FK323" s="748"/>
      <c r="FL323" s="748"/>
      <c r="FM323" s="748"/>
      <c r="FN323" s="748"/>
      <c r="FO323" s="748"/>
      <c r="FP323" s="748"/>
      <c r="FQ323" s="748"/>
      <c r="FR323" s="748"/>
      <c r="FS323" s="748"/>
      <c r="FT323" s="748"/>
      <c r="FU323" s="748"/>
      <c r="FV323" s="748"/>
      <c r="FW323" s="748"/>
      <c r="FX323" s="748"/>
      <c r="FY323" s="748"/>
      <c r="FZ323" s="748"/>
      <c r="GA323" s="748"/>
      <c r="GB323" s="748"/>
      <c r="GC323" s="748"/>
      <c r="GD323" s="748"/>
      <c r="GE323" s="748"/>
      <c r="GF323" s="748"/>
      <c r="GG323" s="748"/>
      <c r="GH323" s="748"/>
      <c r="GI323" s="748"/>
      <c r="GJ323" s="748"/>
      <c r="GK323" s="748"/>
      <c r="GL323" s="748"/>
      <c r="GM323" s="748"/>
      <c r="GN323" s="748"/>
      <c r="GO323" s="748"/>
      <c r="GP323" s="748"/>
      <c r="GQ323" s="748"/>
      <c r="GR323" s="748"/>
      <c r="GS323" s="748"/>
      <c r="GT323" s="748"/>
      <c r="GU323" s="748"/>
      <c r="GV323" s="748"/>
      <c r="GW323" s="748"/>
      <c r="GX323" s="748"/>
      <c r="GY323" s="748"/>
      <c r="GZ323" s="748"/>
      <c r="HA323" s="748"/>
      <c r="HB323" s="748"/>
      <c r="HC323" s="748"/>
      <c r="HD323" s="748"/>
      <c r="HE323" s="748"/>
      <c r="HF323" s="748"/>
      <c r="HG323" s="748"/>
      <c r="HH323" s="748"/>
      <c r="HI323" s="748"/>
      <c r="HJ323" s="748"/>
      <c r="HK323" s="748"/>
      <c r="HL323" s="748"/>
      <c r="HM323" s="748"/>
      <c r="HN323" s="748"/>
      <c r="HO323" s="748"/>
      <c r="HP323" s="748"/>
      <c r="HQ323" s="748"/>
      <c r="HR323" s="748"/>
      <c r="HS323" s="748"/>
      <c r="HT323" s="748"/>
      <c r="HU323" s="748"/>
      <c r="HV323" s="748"/>
      <c r="HW323" s="748"/>
      <c r="HX323" s="748"/>
      <c r="HY323" s="748"/>
      <c r="HZ323" s="748"/>
      <c r="IA323" s="748"/>
      <c r="IB323" s="748"/>
      <c r="IC323" s="748"/>
      <c r="ID323" s="748"/>
      <c r="IE323" s="748"/>
      <c r="IF323" s="748"/>
      <c r="IG323" s="748"/>
      <c r="IH323" s="748"/>
      <c r="II323" s="748"/>
      <c r="IJ323" s="748"/>
      <c r="IK323" s="748"/>
      <c r="IL323" s="748"/>
      <c r="IM323" s="748"/>
      <c r="IN323" s="748"/>
      <c r="IO323" s="748"/>
      <c r="IP323" s="748"/>
      <c r="IQ323" s="748"/>
      <c r="IR323" s="748"/>
      <c r="IS323" s="748"/>
      <c r="IT323" s="748"/>
      <c r="IU323" s="748"/>
      <c r="IV323" s="748"/>
      <c r="IW323" s="748"/>
    </row>
    <row r="324" spans="1:257" s="665" customFormat="1">
      <c r="A324" s="758" t="s">
        <v>192</v>
      </c>
      <c r="B324" s="623" t="s">
        <v>295</v>
      </c>
      <c r="C324" s="758"/>
      <c r="D324" s="758"/>
      <c r="E324" s="962"/>
      <c r="F324" s="775">
        <f t="shared" ref="F324:J324" si="34">F325+F331</f>
        <v>585000000</v>
      </c>
      <c r="G324" s="775">
        <f t="shared" si="34"/>
        <v>0</v>
      </c>
      <c r="H324" s="775">
        <f t="shared" si="34"/>
        <v>0</v>
      </c>
      <c r="I324" s="775">
        <f t="shared" si="34"/>
        <v>0</v>
      </c>
      <c r="J324" s="775">
        <f t="shared" si="34"/>
        <v>739345000</v>
      </c>
      <c r="K324" s="775"/>
      <c r="L324" s="1314"/>
      <c r="M324" s="963"/>
      <c r="N324" s="964"/>
      <c r="O324" s="964"/>
      <c r="P324" s="957"/>
      <c r="Q324" s="957"/>
      <c r="R324" s="952"/>
      <c r="S324" s="952"/>
      <c r="T324" s="953"/>
      <c r="U324" s="755"/>
      <c r="V324" s="907"/>
      <c r="W324" s="746"/>
      <c r="X324" s="747"/>
      <c r="Y324" s="748"/>
      <c r="Z324" s="748"/>
      <c r="AA324" s="748"/>
      <c r="AB324" s="748"/>
      <c r="AC324" s="748"/>
      <c r="AD324" s="748"/>
      <c r="AE324" s="748"/>
      <c r="AF324" s="748"/>
      <c r="AG324" s="748"/>
      <c r="AH324" s="748"/>
      <c r="AI324" s="748"/>
      <c r="AJ324" s="748"/>
      <c r="AK324" s="748"/>
      <c r="AL324" s="748"/>
      <c r="AM324" s="748"/>
      <c r="AN324" s="748"/>
      <c r="AO324" s="748"/>
      <c r="AP324" s="748"/>
      <c r="AQ324" s="748"/>
      <c r="AR324" s="748"/>
      <c r="AS324" s="748"/>
      <c r="AT324" s="748"/>
      <c r="AU324" s="748"/>
      <c r="AV324" s="748"/>
      <c r="AW324" s="748"/>
      <c r="AX324" s="748"/>
      <c r="AY324" s="748"/>
      <c r="AZ324" s="748"/>
      <c r="BA324" s="748"/>
      <c r="BB324" s="748"/>
      <c r="BC324" s="748"/>
      <c r="BD324" s="748"/>
      <c r="BE324" s="748"/>
      <c r="BF324" s="748"/>
      <c r="BG324" s="748"/>
      <c r="BH324" s="748"/>
      <c r="BI324" s="748"/>
      <c r="BJ324" s="748"/>
      <c r="BK324" s="748"/>
      <c r="BL324" s="748"/>
      <c r="BM324" s="748"/>
      <c r="BN324" s="748"/>
      <c r="BO324" s="748"/>
      <c r="BP324" s="748"/>
      <c r="BQ324" s="748"/>
      <c r="BR324" s="748"/>
      <c r="BS324" s="748"/>
      <c r="BT324" s="748"/>
      <c r="BU324" s="748"/>
      <c r="BV324" s="748"/>
      <c r="BW324" s="748"/>
      <c r="BX324" s="748"/>
      <c r="BY324" s="748"/>
      <c r="BZ324" s="748"/>
      <c r="CA324" s="748"/>
      <c r="CB324" s="748"/>
      <c r="CC324" s="748"/>
      <c r="CD324" s="748"/>
      <c r="CE324" s="748"/>
      <c r="CF324" s="748"/>
      <c r="CG324" s="748"/>
      <c r="CH324" s="748"/>
      <c r="CI324" s="748"/>
      <c r="CJ324" s="748"/>
      <c r="CK324" s="748"/>
      <c r="CL324" s="748"/>
      <c r="CM324" s="748"/>
      <c r="CN324" s="748"/>
      <c r="CO324" s="748"/>
      <c r="CP324" s="748"/>
      <c r="CQ324" s="748"/>
      <c r="CR324" s="748"/>
      <c r="CS324" s="748"/>
      <c r="CT324" s="748"/>
      <c r="CU324" s="748"/>
      <c r="CV324" s="748"/>
      <c r="CW324" s="748"/>
      <c r="CX324" s="748"/>
      <c r="CY324" s="748"/>
      <c r="CZ324" s="748"/>
      <c r="DA324" s="748"/>
      <c r="DB324" s="748"/>
      <c r="DC324" s="748"/>
      <c r="DD324" s="748"/>
      <c r="DE324" s="748"/>
      <c r="DF324" s="748"/>
      <c r="DG324" s="748"/>
      <c r="DH324" s="748"/>
      <c r="DI324" s="748"/>
      <c r="DJ324" s="748"/>
      <c r="DK324" s="748"/>
      <c r="DL324" s="748"/>
      <c r="DM324" s="748"/>
      <c r="DN324" s="748"/>
      <c r="DO324" s="748"/>
      <c r="DP324" s="748"/>
      <c r="DQ324" s="748"/>
      <c r="DR324" s="748"/>
      <c r="DS324" s="748"/>
      <c r="DT324" s="748"/>
      <c r="DU324" s="748"/>
      <c r="DV324" s="748"/>
      <c r="DW324" s="748"/>
      <c r="DX324" s="748"/>
      <c r="DY324" s="748"/>
      <c r="DZ324" s="748"/>
      <c r="EA324" s="748"/>
      <c r="EB324" s="748"/>
      <c r="EC324" s="748"/>
      <c r="ED324" s="748"/>
      <c r="EE324" s="748"/>
      <c r="EF324" s="748"/>
      <c r="EG324" s="748"/>
      <c r="EH324" s="748"/>
      <c r="EI324" s="748"/>
      <c r="EJ324" s="748"/>
      <c r="EK324" s="748"/>
      <c r="EL324" s="748"/>
      <c r="EM324" s="748"/>
      <c r="EN324" s="748"/>
      <c r="EO324" s="748"/>
      <c r="EP324" s="748"/>
      <c r="EQ324" s="748"/>
      <c r="ER324" s="748"/>
      <c r="ES324" s="748"/>
      <c r="ET324" s="748"/>
      <c r="EU324" s="748"/>
      <c r="EV324" s="748"/>
      <c r="EW324" s="748"/>
      <c r="EX324" s="748"/>
      <c r="EY324" s="748"/>
      <c r="EZ324" s="748"/>
      <c r="FA324" s="748"/>
      <c r="FB324" s="748"/>
      <c r="FC324" s="748"/>
      <c r="FD324" s="748"/>
      <c r="FE324" s="748"/>
      <c r="FF324" s="748"/>
      <c r="FG324" s="748"/>
      <c r="FH324" s="748"/>
      <c r="FI324" s="748"/>
      <c r="FJ324" s="748"/>
      <c r="FK324" s="748"/>
      <c r="FL324" s="748"/>
      <c r="FM324" s="748"/>
      <c r="FN324" s="748"/>
      <c r="FO324" s="748"/>
      <c r="FP324" s="748"/>
      <c r="FQ324" s="748"/>
      <c r="FR324" s="748"/>
      <c r="FS324" s="748"/>
      <c r="FT324" s="748"/>
      <c r="FU324" s="748"/>
      <c r="FV324" s="748"/>
      <c r="FW324" s="748"/>
      <c r="FX324" s="748"/>
      <c r="FY324" s="748"/>
      <c r="FZ324" s="748"/>
      <c r="GA324" s="748"/>
      <c r="GB324" s="748"/>
      <c r="GC324" s="748"/>
      <c r="GD324" s="748"/>
      <c r="GE324" s="748"/>
      <c r="GF324" s="748"/>
      <c r="GG324" s="748"/>
      <c r="GH324" s="748"/>
      <c r="GI324" s="748"/>
      <c r="GJ324" s="748"/>
      <c r="GK324" s="748"/>
      <c r="GL324" s="748"/>
      <c r="GM324" s="748"/>
      <c r="GN324" s="748"/>
      <c r="GO324" s="748"/>
      <c r="GP324" s="748"/>
      <c r="GQ324" s="748"/>
      <c r="GR324" s="748"/>
      <c r="GS324" s="748"/>
      <c r="GT324" s="748"/>
      <c r="GU324" s="748"/>
      <c r="GV324" s="748"/>
      <c r="GW324" s="748"/>
      <c r="GX324" s="748"/>
      <c r="GY324" s="748"/>
      <c r="GZ324" s="748"/>
      <c r="HA324" s="748"/>
      <c r="HB324" s="748"/>
      <c r="HC324" s="748"/>
      <c r="HD324" s="748"/>
      <c r="HE324" s="748"/>
      <c r="HF324" s="748"/>
      <c r="HG324" s="748"/>
      <c r="HH324" s="748"/>
      <c r="HI324" s="748"/>
      <c r="HJ324" s="748"/>
      <c r="HK324" s="748"/>
      <c r="HL324" s="748"/>
      <c r="HM324" s="748"/>
      <c r="HN324" s="748"/>
      <c r="HO324" s="748"/>
      <c r="HP324" s="748"/>
      <c r="HQ324" s="748"/>
      <c r="HR324" s="748"/>
      <c r="HS324" s="748"/>
      <c r="HT324" s="748"/>
      <c r="HU324" s="748"/>
      <c r="HV324" s="748"/>
      <c r="HW324" s="748"/>
      <c r="HX324" s="748"/>
      <c r="HY324" s="748"/>
      <c r="HZ324" s="748"/>
      <c r="IA324" s="748"/>
      <c r="IB324" s="748"/>
      <c r="IC324" s="748"/>
      <c r="ID324" s="748"/>
      <c r="IE324" s="748"/>
      <c r="IF324" s="748"/>
      <c r="IG324" s="748"/>
      <c r="IH324" s="748"/>
      <c r="II324" s="748"/>
      <c r="IJ324" s="748"/>
      <c r="IK324" s="748"/>
      <c r="IL324" s="748"/>
      <c r="IM324" s="748"/>
      <c r="IN324" s="748"/>
      <c r="IO324" s="748"/>
      <c r="IP324" s="748"/>
      <c r="IQ324" s="748"/>
      <c r="IR324" s="748"/>
      <c r="IS324" s="748"/>
      <c r="IT324" s="748"/>
      <c r="IU324" s="748"/>
      <c r="IV324" s="748"/>
      <c r="IW324" s="748"/>
    </row>
    <row r="325" spans="1:257" s="665" customFormat="1">
      <c r="A325" s="901" t="s">
        <v>91</v>
      </c>
      <c r="B325" s="965" t="s">
        <v>264</v>
      </c>
      <c r="C325" s="758"/>
      <c r="D325" s="758"/>
      <c r="E325" s="760"/>
      <c r="F325" s="966">
        <f t="shared" ref="F325:J325" si="35">F326+F330</f>
        <v>585000000</v>
      </c>
      <c r="G325" s="966">
        <f t="shared" si="35"/>
        <v>0</v>
      </c>
      <c r="H325" s="966">
        <f t="shared" si="35"/>
        <v>0</v>
      </c>
      <c r="I325" s="966">
        <f t="shared" si="35"/>
        <v>0</v>
      </c>
      <c r="J325" s="966">
        <f t="shared" si="35"/>
        <v>739345000</v>
      </c>
      <c r="K325" s="966"/>
      <c r="L325" s="1313"/>
      <c r="M325" s="741"/>
      <c r="N325" s="967"/>
      <c r="O325" s="967"/>
      <c r="P325" s="904"/>
      <c r="Q325" s="904"/>
      <c r="R325" s="952"/>
      <c r="S325" s="952"/>
      <c r="T325" s="953"/>
      <c r="U325" s="734"/>
      <c r="V325" s="746"/>
      <c r="W325" s="746"/>
      <c r="X325" s="747"/>
      <c r="Y325" s="748"/>
      <c r="Z325" s="748"/>
      <c r="AA325" s="748"/>
      <c r="AB325" s="748"/>
      <c r="AC325" s="748"/>
      <c r="AD325" s="748"/>
      <c r="AE325" s="748"/>
      <c r="AF325" s="748"/>
      <c r="AG325" s="748"/>
      <c r="AH325" s="748"/>
      <c r="AI325" s="748"/>
      <c r="AJ325" s="748"/>
      <c r="AK325" s="748"/>
      <c r="AL325" s="748"/>
      <c r="AM325" s="748"/>
      <c r="AN325" s="748"/>
      <c r="AO325" s="748"/>
      <c r="AP325" s="748"/>
      <c r="AQ325" s="748"/>
      <c r="AR325" s="748"/>
      <c r="AS325" s="748"/>
      <c r="AT325" s="748"/>
      <c r="AU325" s="748"/>
      <c r="AV325" s="748"/>
      <c r="AW325" s="748"/>
      <c r="AX325" s="748"/>
      <c r="AY325" s="748"/>
      <c r="AZ325" s="748"/>
      <c r="BA325" s="748"/>
      <c r="BB325" s="748"/>
      <c r="BC325" s="748"/>
      <c r="BD325" s="748"/>
      <c r="BE325" s="748"/>
      <c r="BF325" s="748"/>
      <c r="BG325" s="748"/>
      <c r="BH325" s="748"/>
      <c r="BI325" s="748"/>
      <c r="BJ325" s="748"/>
      <c r="BK325" s="748"/>
      <c r="BL325" s="748"/>
      <c r="BM325" s="748"/>
      <c r="BN325" s="748"/>
      <c r="BO325" s="748"/>
      <c r="BP325" s="748"/>
      <c r="BQ325" s="748"/>
      <c r="BR325" s="748"/>
      <c r="BS325" s="748"/>
      <c r="BT325" s="748"/>
      <c r="BU325" s="748"/>
      <c r="BV325" s="748"/>
      <c r="BW325" s="748"/>
      <c r="BX325" s="748"/>
      <c r="BY325" s="748"/>
      <c r="BZ325" s="748"/>
      <c r="CA325" s="748"/>
      <c r="CB325" s="748"/>
      <c r="CC325" s="748"/>
      <c r="CD325" s="748"/>
      <c r="CE325" s="748"/>
      <c r="CF325" s="748"/>
      <c r="CG325" s="748"/>
      <c r="CH325" s="748"/>
      <c r="CI325" s="748"/>
      <c r="CJ325" s="748"/>
      <c r="CK325" s="748"/>
      <c r="CL325" s="748"/>
      <c r="CM325" s="748"/>
      <c r="CN325" s="748"/>
      <c r="CO325" s="748"/>
      <c r="CP325" s="748"/>
      <c r="CQ325" s="748"/>
      <c r="CR325" s="748"/>
      <c r="CS325" s="748"/>
      <c r="CT325" s="748"/>
      <c r="CU325" s="748"/>
      <c r="CV325" s="748"/>
      <c r="CW325" s="748"/>
      <c r="CX325" s="748"/>
      <c r="CY325" s="748"/>
      <c r="CZ325" s="748"/>
      <c r="DA325" s="748"/>
      <c r="DB325" s="748"/>
      <c r="DC325" s="748"/>
      <c r="DD325" s="748"/>
      <c r="DE325" s="748"/>
      <c r="DF325" s="748"/>
      <c r="DG325" s="748"/>
      <c r="DH325" s="748"/>
      <c r="DI325" s="748"/>
      <c r="DJ325" s="748"/>
      <c r="DK325" s="748"/>
      <c r="DL325" s="748"/>
      <c r="DM325" s="748"/>
      <c r="DN325" s="748"/>
      <c r="DO325" s="748"/>
      <c r="DP325" s="748"/>
      <c r="DQ325" s="748"/>
      <c r="DR325" s="748"/>
      <c r="DS325" s="748"/>
      <c r="DT325" s="748"/>
      <c r="DU325" s="748"/>
      <c r="DV325" s="748"/>
      <c r="DW325" s="748"/>
      <c r="DX325" s="748"/>
      <c r="DY325" s="748"/>
      <c r="DZ325" s="748"/>
      <c r="EA325" s="748"/>
      <c r="EB325" s="748"/>
      <c r="EC325" s="748"/>
      <c r="ED325" s="748"/>
      <c r="EE325" s="748"/>
      <c r="EF325" s="748"/>
      <c r="EG325" s="748"/>
      <c r="EH325" s="748"/>
      <c r="EI325" s="748"/>
      <c r="EJ325" s="748"/>
      <c r="EK325" s="748"/>
      <c r="EL325" s="748"/>
      <c r="EM325" s="748"/>
      <c r="EN325" s="748"/>
      <c r="EO325" s="748"/>
      <c r="EP325" s="748"/>
      <c r="EQ325" s="748"/>
      <c r="ER325" s="748"/>
      <c r="ES325" s="748"/>
      <c r="ET325" s="748"/>
      <c r="EU325" s="748"/>
      <c r="EV325" s="748"/>
      <c r="EW325" s="748"/>
      <c r="EX325" s="748"/>
      <c r="EY325" s="748"/>
      <c r="EZ325" s="748"/>
      <c r="FA325" s="748"/>
      <c r="FB325" s="748"/>
      <c r="FC325" s="748"/>
      <c r="FD325" s="748"/>
      <c r="FE325" s="748"/>
      <c r="FF325" s="748"/>
      <c r="FG325" s="748"/>
      <c r="FH325" s="748"/>
      <c r="FI325" s="748"/>
      <c r="FJ325" s="748"/>
      <c r="FK325" s="748"/>
      <c r="FL325" s="748"/>
      <c r="FM325" s="748"/>
      <c r="FN325" s="748"/>
      <c r="FO325" s="748"/>
      <c r="FP325" s="748"/>
      <c r="FQ325" s="748"/>
      <c r="FR325" s="748"/>
      <c r="FS325" s="748"/>
      <c r="FT325" s="748"/>
      <c r="FU325" s="748"/>
      <c r="FV325" s="748"/>
      <c r="FW325" s="748"/>
      <c r="FX325" s="748"/>
      <c r="FY325" s="748"/>
      <c r="FZ325" s="748"/>
      <c r="GA325" s="748"/>
      <c r="GB325" s="748"/>
      <c r="GC325" s="748"/>
      <c r="GD325" s="748"/>
      <c r="GE325" s="748"/>
      <c r="GF325" s="748"/>
      <c r="GG325" s="748"/>
      <c r="GH325" s="748"/>
      <c r="GI325" s="748"/>
      <c r="GJ325" s="748"/>
      <c r="GK325" s="748"/>
      <c r="GL325" s="748"/>
      <c r="GM325" s="748"/>
      <c r="GN325" s="748"/>
      <c r="GO325" s="748"/>
      <c r="GP325" s="748"/>
      <c r="GQ325" s="748"/>
      <c r="GR325" s="748"/>
      <c r="GS325" s="748"/>
      <c r="GT325" s="748"/>
      <c r="GU325" s="748"/>
      <c r="GV325" s="748"/>
      <c r="GW325" s="748"/>
      <c r="GX325" s="748"/>
      <c r="GY325" s="748"/>
      <c r="GZ325" s="748"/>
      <c r="HA325" s="748"/>
      <c r="HB325" s="748"/>
      <c r="HC325" s="748"/>
      <c r="HD325" s="748"/>
      <c r="HE325" s="748"/>
      <c r="HF325" s="748"/>
      <c r="HG325" s="748"/>
      <c r="HH325" s="748"/>
      <c r="HI325" s="748"/>
      <c r="HJ325" s="748"/>
      <c r="HK325" s="748"/>
      <c r="HL325" s="748"/>
      <c r="HM325" s="748"/>
      <c r="HN325" s="748"/>
      <c r="HO325" s="748"/>
      <c r="HP325" s="748"/>
      <c r="HQ325" s="748"/>
      <c r="HR325" s="748"/>
      <c r="HS325" s="748"/>
      <c r="HT325" s="748"/>
      <c r="HU325" s="748"/>
      <c r="HV325" s="748"/>
      <c r="HW325" s="748"/>
      <c r="HX325" s="748"/>
      <c r="HY325" s="748"/>
      <c r="HZ325" s="748"/>
      <c r="IA325" s="748"/>
      <c r="IB325" s="748"/>
      <c r="IC325" s="748"/>
      <c r="ID325" s="748"/>
      <c r="IE325" s="748"/>
      <c r="IF325" s="748"/>
      <c r="IG325" s="748"/>
      <c r="IH325" s="748"/>
      <c r="II325" s="748"/>
      <c r="IJ325" s="748"/>
      <c r="IK325" s="748"/>
      <c r="IL325" s="748"/>
      <c r="IM325" s="748"/>
      <c r="IN325" s="748"/>
      <c r="IO325" s="748"/>
      <c r="IP325" s="748"/>
      <c r="IQ325" s="748"/>
      <c r="IR325" s="748"/>
      <c r="IS325" s="748"/>
      <c r="IT325" s="748"/>
      <c r="IU325" s="748"/>
      <c r="IV325" s="748"/>
      <c r="IW325" s="748"/>
    </row>
    <row r="326" spans="1:257" s="665" customFormat="1">
      <c r="A326" s="968" t="s">
        <v>248</v>
      </c>
      <c r="B326" s="969" t="s">
        <v>962</v>
      </c>
      <c r="C326" s="738"/>
      <c r="D326" s="758"/>
      <c r="E326" s="760"/>
      <c r="F326" s="760">
        <v>465000000</v>
      </c>
      <c r="G326" s="731"/>
      <c r="H326" s="731"/>
      <c r="I326" s="731"/>
      <c r="J326" s="760">
        <v>619345000</v>
      </c>
      <c r="K326" s="760">
        <f>K327+K328</f>
        <v>649000000</v>
      </c>
      <c r="L326" s="1311">
        <f>L327+L328</f>
        <v>917000000</v>
      </c>
      <c r="M326" s="761" t="s">
        <v>1577</v>
      </c>
      <c r="N326" s="904"/>
      <c r="O326" s="904"/>
      <c r="P326" s="951"/>
      <c r="Q326" s="951"/>
      <c r="R326" s="952"/>
      <c r="S326" s="952"/>
      <c r="T326" s="953"/>
      <c r="U326" s="734"/>
      <c r="V326" s="746"/>
      <c r="W326" s="746"/>
      <c r="X326" s="747"/>
      <c r="Y326" s="748"/>
      <c r="Z326" s="748"/>
      <c r="AA326" s="748"/>
      <c r="AB326" s="748"/>
      <c r="AC326" s="748"/>
      <c r="AD326" s="748"/>
      <c r="AE326" s="748"/>
      <c r="AF326" s="748"/>
      <c r="AG326" s="748"/>
      <c r="AH326" s="748"/>
      <c r="AI326" s="748"/>
      <c r="AJ326" s="748"/>
      <c r="AK326" s="748"/>
      <c r="AL326" s="748"/>
      <c r="AM326" s="748"/>
      <c r="AN326" s="748"/>
      <c r="AO326" s="748"/>
      <c r="AP326" s="748"/>
      <c r="AQ326" s="748"/>
      <c r="AR326" s="748"/>
      <c r="AS326" s="748"/>
      <c r="AT326" s="748"/>
      <c r="AU326" s="748"/>
      <c r="AV326" s="748"/>
      <c r="AW326" s="748"/>
      <c r="AX326" s="748"/>
      <c r="AY326" s="748"/>
      <c r="AZ326" s="748"/>
      <c r="BA326" s="748"/>
      <c r="BB326" s="748"/>
      <c r="BC326" s="748"/>
      <c r="BD326" s="748"/>
      <c r="BE326" s="748"/>
      <c r="BF326" s="748"/>
      <c r="BG326" s="748"/>
      <c r="BH326" s="748"/>
      <c r="BI326" s="748"/>
      <c r="BJ326" s="748"/>
      <c r="BK326" s="748"/>
      <c r="BL326" s="748"/>
      <c r="BM326" s="748"/>
      <c r="BN326" s="748"/>
      <c r="BO326" s="748"/>
      <c r="BP326" s="748"/>
      <c r="BQ326" s="748"/>
      <c r="BR326" s="748"/>
      <c r="BS326" s="748"/>
      <c r="BT326" s="748"/>
      <c r="BU326" s="748"/>
      <c r="BV326" s="748"/>
      <c r="BW326" s="748"/>
      <c r="BX326" s="748"/>
      <c r="BY326" s="748"/>
      <c r="BZ326" s="748"/>
      <c r="CA326" s="748"/>
      <c r="CB326" s="748"/>
      <c r="CC326" s="748"/>
      <c r="CD326" s="748"/>
      <c r="CE326" s="748"/>
      <c r="CF326" s="748"/>
      <c r="CG326" s="748"/>
      <c r="CH326" s="748"/>
      <c r="CI326" s="748"/>
      <c r="CJ326" s="748"/>
      <c r="CK326" s="748"/>
      <c r="CL326" s="748"/>
      <c r="CM326" s="748"/>
      <c r="CN326" s="748"/>
      <c r="CO326" s="748"/>
      <c r="CP326" s="748"/>
      <c r="CQ326" s="748"/>
      <c r="CR326" s="748"/>
      <c r="CS326" s="748"/>
      <c r="CT326" s="748"/>
      <c r="CU326" s="748"/>
      <c r="CV326" s="748"/>
      <c r="CW326" s="748"/>
      <c r="CX326" s="748"/>
      <c r="CY326" s="748"/>
      <c r="CZ326" s="748"/>
      <c r="DA326" s="748"/>
      <c r="DB326" s="748"/>
      <c r="DC326" s="748"/>
      <c r="DD326" s="748"/>
      <c r="DE326" s="748"/>
      <c r="DF326" s="748"/>
      <c r="DG326" s="748"/>
      <c r="DH326" s="748"/>
      <c r="DI326" s="748"/>
      <c r="DJ326" s="748"/>
      <c r="DK326" s="748"/>
      <c r="DL326" s="748"/>
      <c r="DM326" s="748"/>
      <c r="DN326" s="748"/>
      <c r="DO326" s="748"/>
      <c r="DP326" s="748"/>
      <c r="DQ326" s="748"/>
      <c r="DR326" s="748"/>
      <c r="DS326" s="748"/>
      <c r="DT326" s="748"/>
      <c r="DU326" s="748"/>
      <c r="DV326" s="748"/>
      <c r="DW326" s="748"/>
      <c r="DX326" s="748"/>
      <c r="DY326" s="748"/>
      <c r="DZ326" s="748"/>
      <c r="EA326" s="748"/>
      <c r="EB326" s="748"/>
      <c r="EC326" s="748"/>
      <c r="ED326" s="748"/>
      <c r="EE326" s="748"/>
      <c r="EF326" s="748"/>
      <c r="EG326" s="748"/>
      <c r="EH326" s="748"/>
      <c r="EI326" s="748"/>
      <c r="EJ326" s="748"/>
      <c r="EK326" s="748"/>
      <c r="EL326" s="748"/>
      <c r="EM326" s="748"/>
      <c r="EN326" s="748"/>
      <c r="EO326" s="748"/>
      <c r="EP326" s="748"/>
      <c r="EQ326" s="748"/>
      <c r="ER326" s="748"/>
      <c r="ES326" s="748"/>
      <c r="ET326" s="748"/>
      <c r="EU326" s="748"/>
      <c r="EV326" s="748"/>
      <c r="EW326" s="748"/>
      <c r="EX326" s="748"/>
      <c r="EY326" s="748"/>
      <c r="EZ326" s="748"/>
      <c r="FA326" s="748"/>
      <c r="FB326" s="748"/>
      <c r="FC326" s="748"/>
      <c r="FD326" s="748"/>
      <c r="FE326" s="748"/>
      <c r="FF326" s="748"/>
      <c r="FG326" s="748"/>
      <c r="FH326" s="748"/>
      <c r="FI326" s="748"/>
      <c r="FJ326" s="748"/>
      <c r="FK326" s="748"/>
      <c r="FL326" s="748"/>
      <c r="FM326" s="748"/>
      <c r="FN326" s="748"/>
      <c r="FO326" s="748"/>
      <c r="FP326" s="748"/>
      <c r="FQ326" s="748"/>
      <c r="FR326" s="748"/>
      <c r="FS326" s="748"/>
      <c r="FT326" s="748"/>
      <c r="FU326" s="748"/>
      <c r="FV326" s="748"/>
      <c r="FW326" s="748"/>
      <c r="FX326" s="748"/>
      <c r="FY326" s="748"/>
      <c r="FZ326" s="748"/>
      <c r="GA326" s="748"/>
      <c r="GB326" s="748"/>
      <c r="GC326" s="748"/>
      <c r="GD326" s="748"/>
      <c r="GE326" s="748"/>
      <c r="GF326" s="748"/>
      <c r="GG326" s="748"/>
      <c r="GH326" s="748"/>
      <c r="GI326" s="748"/>
      <c r="GJ326" s="748"/>
      <c r="GK326" s="748"/>
      <c r="GL326" s="748"/>
      <c r="GM326" s="748"/>
      <c r="GN326" s="748"/>
      <c r="GO326" s="748"/>
      <c r="GP326" s="748"/>
      <c r="GQ326" s="748"/>
      <c r="GR326" s="748"/>
      <c r="GS326" s="748"/>
      <c r="GT326" s="748"/>
      <c r="GU326" s="748"/>
      <c r="GV326" s="748"/>
      <c r="GW326" s="748"/>
      <c r="GX326" s="748"/>
      <c r="GY326" s="748"/>
      <c r="GZ326" s="748"/>
      <c r="HA326" s="748"/>
      <c r="HB326" s="748"/>
      <c r="HC326" s="748"/>
      <c r="HD326" s="748"/>
      <c r="HE326" s="748"/>
      <c r="HF326" s="748"/>
      <c r="HG326" s="748"/>
      <c r="HH326" s="748"/>
      <c r="HI326" s="748"/>
      <c r="HJ326" s="748"/>
      <c r="HK326" s="748"/>
      <c r="HL326" s="748"/>
      <c r="HM326" s="748"/>
      <c r="HN326" s="748"/>
      <c r="HO326" s="748"/>
      <c r="HP326" s="748"/>
      <c r="HQ326" s="748"/>
      <c r="HR326" s="748"/>
      <c r="HS326" s="748"/>
      <c r="HT326" s="748"/>
      <c r="HU326" s="748"/>
      <c r="HV326" s="748"/>
      <c r="HW326" s="748"/>
      <c r="HX326" s="748"/>
      <c r="HY326" s="748"/>
      <c r="HZ326" s="748"/>
      <c r="IA326" s="748"/>
      <c r="IB326" s="748"/>
      <c r="IC326" s="748"/>
      <c r="ID326" s="748"/>
      <c r="IE326" s="748"/>
      <c r="IF326" s="748"/>
      <c r="IG326" s="748"/>
      <c r="IH326" s="748"/>
      <c r="II326" s="748"/>
      <c r="IJ326" s="748"/>
      <c r="IK326" s="748"/>
      <c r="IL326" s="748"/>
      <c r="IM326" s="748"/>
      <c r="IN326" s="748"/>
      <c r="IO326" s="748"/>
      <c r="IP326" s="748"/>
      <c r="IQ326" s="748"/>
      <c r="IR326" s="748"/>
      <c r="IS326" s="748"/>
      <c r="IT326" s="748"/>
      <c r="IU326" s="748"/>
      <c r="IV326" s="748"/>
      <c r="IW326" s="748"/>
    </row>
    <row r="327" spans="1:257" s="665" customFormat="1">
      <c r="A327" s="968"/>
      <c r="B327" s="969" t="s">
        <v>963</v>
      </c>
      <c r="C327" s="738"/>
      <c r="D327" s="758"/>
      <c r="E327" s="760"/>
      <c r="F327" s="760"/>
      <c r="G327" s="731"/>
      <c r="H327" s="731"/>
      <c r="I327" s="731"/>
      <c r="J327" s="760"/>
      <c r="K327" s="760">
        <v>537000000</v>
      </c>
      <c r="L327" s="1311">
        <v>584000000</v>
      </c>
      <c r="M327" s="761"/>
      <c r="N327" s="904"/>
      <c r="O327" s="904"/>
      <c r="P327" s="951"/>
      <c r="Q327" s="951"/>
      <c r="R327" s="952"/>
      <c r="S327" s="952"/>
      <c r="T327" s="953"/>
      <c r="U327" s="734"/>
      <c r="V327" s="746"/>
      <c r="W327" s="746"/>
      <c r="X327" s="747"/>
      <c r="Y327" s="748"/>
      <c r="Z327" s="748"/>
      <c r="AA327" s="748"/>
      <c r="AB327" s="748"/>
      <c r="AC327" s="748"/>
      <c r="AD327" s="748"/>
      <c r="AE327" s="748"/>
      <c r="AF327" s="748"/>
      <c r="AG327" s="748"/>
      <c r="AH327" s="748"/>
      <c r="AI327" s="748"/>
      <c r="AJ327" s="748"/>
      <c r="AK327" s="748"/>
      <c r="AL327" s="748"/>
      <c r="AM327" s="748"/>
      <c r="AN327" s="748"/>
      <c r="AO327" s="748"/>
      <c r="AP327" s="748"/>
      <c r="AQ327" s="748"/>
      <c r="AR327" s="748"/>
      <c r="AS327" s="748"/>
      <c r="AT327" s="748"/>
      <c r="AU327" s="748"/>
      <c r="AV327" s="748"/>
      <c r="AW327" s="748"/>
      <c r="AX327" s="748"/>
      <c r="AY327" s="748"/>
      <c r="AZ327" s="748"/>
      <c r="BA327" s="748"/>
      <c r="BB327" s="748"/>
      <c r="BC327" s="748"/>
      <c r="BD327" s="748"/>
      <c r="BE327" s="748"/>
      <c r="BF327" s="748"/>
      <c r="BG327" s="748"/>
      <c r="BH327" s="748"/>
      <c r="BI327" s="748"/>
      <c r="BJ327" s="748"/>
      <c r="BK327" s="748"/>
      <c r="BL327" s="748"/>
      <c r="BM327" s="748"/>
      <c r="BN327" s="748"/>
      <c r="BO327" s="748"/>
      <c r="BP327" s="748"/>
      <c r="BQ327" s="748"/>
      <c r="BR327" s="748"/>
      <c r="BS327" s="748"/>
      <c r="BT327" s="748"/>
      <c r="BU327" s="748"/>
      <c r="BV327" s="748"/>
      <c r="BW327" s="748"/>
      <c r="BX327" s="748"/>
      <c r="BY327" s="748"/>
      <c r="BZ327" s="748"/>
      <c r="CA327" s="748"/>
      <c r="CB327" s="748"/>
      <c r="CC327" s="748"/>
      <c r="CD327" s="748"/>
      <c r="CE327" s="748"/>
      <c r="CF327" s="748"/>
      <c r="CG327" s="748"/>
      <c r="CH327" s="748"/>
      <c r="CI327" s="748"/>
      <c r="CJ327" s="748"/>
      <c r="CK327" s="748"/>
      <c r="CL327" s="748"/>
      <c r="CM327" s="748"/>
      <c r="CN327" s="748"/>
      <c r="CO327" s="748"/>
      <c r="CP327" s="748"/>
      <c r="CQ327" s="748"/>
      <c r="CR327" s="748"/>
      <c r="CS327" s="748"/>
      <c r="CT327" s="748"/>
      <c r="CU327" s="748"/>
      <c r="CV327" s="748"/>
      <c r="CW327" s="748"/>
      <c r="CX327" s="748"/>
      <c r="CY327" s="748"/>
      <c r="CZ327" s="748"/>
      <c r="DA327" s="748"/>
      <c r="DB327" s="748"/>
      <c r="DC327" s="748"/>
      <c r="DD327" s="748"/>
      <c r="DE327" s="748"/>
      <c r="DF327" s="748"/>
      <c r="DG327" s="748"/>
      <c r="DH327" s="748"/>
      <c r="DI327" s="748"/>
      <c r="DJ327" s="748"/>
      <c r="DK327" s="748"/>
      <c r="DL327" s="748"/>
      <c r="DM327" s="748"/>
      <c r="DN327" s="748"/>
      <c r="DO327" s="748"/>
      <c r="DP327" s="748"/>
      <c r="DQ327" s="748"/>
      <c r="DR327" s="748"/>
      <c r="DS327" s="748"/>
      <c r="DT327" s="748"/>
      <c r="DU327" s="748"/>
      <c r="DV327" s="748"/>
      <c r="DW327" s="748"/>
      <c r="DX327" s="748"/>
      <c r="DY327" s="748"/>
      <c r="DZ327" s="748"/>
      <c r="EA327" s="748"/>
      <c r="EB327" s="748"/>
      <c r="EC327" s="748"/>
      <c r="ED327" s="748"/>
      <c r="EE327" s="748"/>
      <c r="EF327" s="748"/>
      <c r="EG327" s="748"/>
      <c r="EH327" s="748"/>
      <c r="EI327" s="748"/>
      <c r="EJ327" s="748"/>
      <c r="EK327" s="748"/>
      <c r="EL327" s="748"/>
      <c r="EM327" s="748"/>
      <c r="EN327" s="748"/>
      <c r="EO327" s="748"/>
      <c r="EP327" s="748"/>
      <c r="EQ327" s="748"/>
      <c r="ER327" s="748"/>
      <c r="ES327" s="748"/>
      <c r="ET327" s="748"/>
      <c r="EU327" s="748"/>
      <c r="EV327" s="748"/>
      <c r="EW327" s="748"/>
      <c r="EX327" s="748"/>
      <c r="EY327" s="748"/>
      <c r="EZ327" s="748"/>
      <c r="FA327" s="748"/>
      <c r="FB327" s="748"/>
      <c r="FC327" s="748"/>
      <c r="FD327" s="748"/>
      <c r="FE327" s="748"/>
      <c r="FF327" s="748"/>
      <c r="FG327" s="748"/>
      <c r="FH327" s="748"/>
      <c r="FI327" s="748"/>
      <c r="FJ327" s="748"/>
      <c r="FK327" s="748"/>
      <c r="FL327" s="748"/>
      <c r="FM327" s="748"/>
      <c r="FN327" s="748"/>
      <c r="FO327" s="748"/>
      <c r="FP327" s="748"/>
      <c r="FQ327" s="748"/>
      <c r="FR327" s="748"/>
      <c r="FS327" s="748"/>
      <c r="FT327" s="748"/>
      <c r="FU327" s="748"/>
      <c r="FV327" s="748"/>
      <c r="FW327" s="748"/>
      <c r="FX327" s="748"/>
      <c r="FY327" s="748"/>
      <c r="FZ327" s="748"/>
      <c r="GA327" s="748"/>
      <c r="GB327" s="748"/>
      <c r="GC327" s="748"/>
      <c r="GD327" s="748"/>
      <c r="GE327" s="748"/>
      <c r="GF327" s="748"/>
      <c r="GG327" s="748"/>
      <c r="GH327" s="748"/>
      <c r="GI327" s="748"/>
      <c r="GJ327" s="748"/>
      <c r="GK327" s="748"/>
      <c r="GL327" s="748"/>
      <c r="GM327" s="748"/>
      <c r="GN327" s="748"/>
      <c r="GO327" s="748"/>
      <c r="GP327" s="748"/>
      <c r="GQ327" s="748"/>
      <c r="GR327" s="748"/>
      <c r="GS327" s="748"/>
      <c r="GT327" s="748"/>
      <c r="GU327" s="748"/>
      <c r="GV327" s="748"/>
      <c r="GW327" s="748"/>
      <c r="GX327" s="748"/>
      <c r="GY327" s="748"/>
      <c r="GZ327" s="748"/>
      <c r="HA327" s="748"/>
      <c r="HB327" s="748"/>
      <c r="HC327" s="748"/>
      <c r="HD327" s="748"/>
      <c r="HE327" s="748"/>
      <c r="HF327" s="748"/>
      <c r="HG327" s="748"/>
      <c r="HH327" s="748"/>
      <c r="HI327" s="748"/>
      <c r="HJ327" s="748"/>
      <c r="HK327" s="748"/>
      <c r="HL327" s="748"/>
      <c r="HM327" s="748"/>
      <c r="HN327" s="748"/>
      <c r="HO327" s="748"/>
      <c r="HP327" s="748"/>
      <c r="HQ327" s="748"/>
      <c r="HR327" s="748"/>
      <c r="HS327" s="748"/>
      <c r="HT327" s="748"/>
      <c r="HU327" s="748"/>
      <c r="HV327" s="748"/>
      <c r="HW327" s="748"/>
      <c r="HX327" s="748"/>
      <c r="HY327" s="748"/>
      <c r="HZ327" s="748"/>
      <c r="IA327" s="748"/>
      <c r="IB327" s="748"/>
      <c r="IC327" s="748"/>
      <c r="ID327" s="748"/>
      <c r="IE327" s="748"/>
      <c r="IF327" s="748"/>
      <c r="IG327" s="748"/>
      <c r="IH327" s="748"/>
      <c r="II327" s="748"/>
      <c r="IJ327" s="748"/>
      <c r="IK327" s="748"/>
      <c r="IL327" s="748"/>
      <c r="IM327" s="748"/>
      <c r="IN327" s="748"/>
      <c r="IO327" s="748"/>
      <c r="IP327" s="748"/>
      <c r="IQ327" s="748"/>
      <c r="IR327" s="748"/>
      <c r="IS327" s="748"/>
      <c r="IT327" s="748"/>
      <c r="IU327" s="748"/>
      <c r="IV327" s="748"/>
      <c r="IW327" s="748"/>
    </row>
    <row r="328" spans="1:257" s="665" customFormat="1">
      <c r="A328" s="968"/>
      <c r="B328" s="969" t="s">
        <v>1576</v>
      </c>
      <c r="C328" s="738"/>
      <c r="D328" s="758"/>
      <c r="E328" s="760"/>
      <c r="F328" s="760"/>
      <c r="G328" s="731"/>
      <c r="H328" s="731"/>
      <c r="I328" s="731"/>
      <c r="J328" s="760"/>
      <c r="K328" s="760">
        <v>112000000</v>
      </c>
      <c r="L328" s="1311">
        <v>333000000</v>
      </c>
      <c r="M328" s="761"/>
      <c r="N328" s="904"/>
      <c r="O328" s="904"/>
      <c r="P328" s="951"/>
      <c r="Q328" s="951"/>
      <c r="R328" s="952"/>
      <c r="S328" s="952"/>
      <c r="T328" s="953"/>
      <c r="U328" s="734"/>
      <c r="V328" s="746"/>
      <c r="W328" s="746"/>
      <c r="X328" s="747"/>
      <c r="Y328" s="748"/>
      <c r="Z328" s="748"/>
      <c r="AA328" s="748"/>
      <c r="AB328" s="748"/>
      <c r="AC328" s="748"/>
      <c r="AD328" s="748"/>
      <c r="AE328" s="748"/>
      <c r="AF328" s="748"/>
      <c r="AG328" s="748"/>
      <c r="AH328" s="748"/>
      <c r="AI328" s="748"/>
      <c r="AJ328" s="748"/>
      <c r="AK328" s="748"/>
      <c r="AL328" s="748"/>
      <c r="AM328" s="748"/>
      <c r="AN328" s="748"/>
      <c r="AO328" s="748"/>
      <c r="AP328" s="748"/>
      <c r="AQ328" s="748"/>
      <c r="AR328" s="748"/>
      <c r="AS328" s="748"/>
      <c r="AT328" s="748"/>
      <c r="AU328" s="748"/>
      <c r="AV328" s="748"/>
      <c r="AW328" s="748"/>
      <c r="AX328" s="748"/>
      <c r="AY328" s="748"/>
      <c r="AZ328" s="748"/>
      <c r="BA328" s="748"/>
      <c r="BB328" s="748"/>
      <c r="BC328" s="748"/>
      <c r="BD328" s="748"/>
      <c r="BE328" s="748"/>
      <c r="BF328" s="748"/>
      <c r="BG328" s="748"/>
      <c r="BH328" s="748"/>
      <c r="BI328" s="748"/>
      <c r="BJ328" s="748"/>
      <c r="BK328" s="748"/>
      <c r="BL328" s="748"/>
      <c r="BM328" s="748"/>
      <c r="BN328" s="748"/>
      <c r="BO328" s="748"/>
      <c r="BP328" s="748"/>
      <c r="BQ328" s="748"/>
      <c r="BR328" s="748"/>
      <c r="BS328" s="748"/>
      <c r="BT328" s="748"/>
      <c r="BU328" s="748"/>
      <c r="BV328" s="748"/>
      <c r="BW328" s="748"/>
      <c r="BX328" s="748"/>
      <c r="BY328" s="748"/>
      <c r="BZ328" s="748"/>
      <c r="CA328" s="748"/>
      <c r="CB328" s="748"/>
      <c r="CC328" s="748"/>
      <c r="CD328" s="748"/>
      <c r="CE328" s="748"/>
      <c r="CF328" s="748"/>
      <c r="CG328" s="748"/>
      <c r="CH328" s="748"/>
      <c r="CI328" s="748"/>
      <c r="CJ328" s="748"/>
      <c r="CK328" s="748"/>
      <c r="CL328" s="748"/>
      <c r="CM328" s="748"/>
      <c r="CN328" s="748"/>
      <c r="CO328" s="748"/>
      <c r="CP328" s="748"/>
      <c r="CQ328" s="748"/>
      <c r="CR328" s="748"/>
      <c r="CS328" s="748"/>
      <c r="CT328" s="748"/>
      <c r="CU328" s="748"/>
      <c r="CV328" s="748"/>
      <c r="CW328" s="748"/>
      <c r="CX328" s="748"/>
      <c r="CY328" s="748"/>
      <c r="CZ328" s="748"/>
      <c r="DA328" s="748"/>
      <c r="DB328" s="748"/>
      <c r="DC328" s="748"/>
      <c r="DD328" s="748"/>
      <c r="DE328" s="748"/>
      <c r="DF328" s="748"/>
      <c r="DG328" s="748"/>
      <c r="DH328" s="748"/>
      <c r="DI328" s="748"/>
      <c r="DJ328" s="748"/>
      <c r="DK328" s="748"/>
      <c r="DL328" s="748"/>
      <c r="DM328" s="748"/>
      <c r="DN328" s="748"/>
      <c r="DO328" s="748"/>
      <c r="DP328" s="748"/>
      <c r="DQ328" s="748"/>
      <c r="DR328" s="748"/>
      <c r="DS328" s="748"/>
      <c r="DT328" s="748"/>
      <c r="DU328" s="748"/>
      <c r="DV328" s="748"/>
      <c r="DW328" s="748"/>
      <c r="DX328" s="748"/>
      <c r="DY328" s="748"/>
      <c r="DZ328" s="748"/>
      <c r="EA328" s="748"/>
      <c r="EB328" s="748"/>
      <c r="EC328" s="748"/>
      <c r="ED328" s="748"/>
      <c r="EE328" s="748"/>
      <c r="EF328" s="748"/>
      <c r="EG328" s="748"/>
      <c r="EH328" s="748"/>
      <c r="EI328" s="748"/>
      <c r="EJ328" s="748"/>
      <c r="EK328" s="748"/>
      <c r="EL328" s="748"/>
      <c r="EM328" s="748"/>
      <c r="EN328" s="748"/>
      <c r="EO328" s="748"/>
      <c r="EP328" s="748"/>
      <c r="EQ328" s="748"/>
      <c r="ER328" s="748"/>
      <c r="ES328" s="748"/>
      <c r="ET328" s="748"/>
      <c r="EU328" s="748"/>
      <c r="EV328" s="748"/>
      <c r="EW328" s="748"/>
      <c r="EX328" s="748"/>
      <c r="EY328" s="748"/>
      <c r="EZ328" s="748"/>
      <c r="FA328" s="748"/>
      <c r="FB328" s="748"/>
      <c r="FC328" s="748"/>
      <c r="FD328" s="748"/>
      <c r="FE328" s="748"/>
      <c r="FF328" s="748"/>
      <c r="FG328" s="748"/>
      <c r="FH328" s="748"/>
      <c r="FI328" s="748"/>
      <c r="FJ328" s="748"/>
      <c r="FK328" s="748"/>
      <c r="FL328" s="748"/>
      <c r="FM328" s="748"/>
      <c r="FN328" s="748"/>
      <c r="FO328" s="748"/>
      <c r="FP328" s="748"/>
      <c r="FQ328" s="748"/>
      <c r="FR328" s="748"/>
      <c r="FS328" s="748"/>
      <c r="FT328" s="748"/>
      <c r="FU328" s="748"/>
      <c r="FV328" s="748"/>
      <c r="FW328" s="748"/>
      <c r="FX328" s="748"/>
      <c r="FY328" s="748"/>
      <c r="FZ328" s="748"/>
      <c r="GA328" s="748"/>
      <c r="GB328" s="748"/>
      <c r="GC328" s="748"/>
      <c r="GD328" s="748"/>
      <c r="GE328" s="748"/>
      <c r="GF328" s="748"/>
      <c r="GG328" s="748"/>
      <c r="GH328" s="748"/>
      <c r="GI328" s="748"/>
      <c r="GJ328" s="748"/>
      <c r="GK328" s="748"/>
      <c r="GL328" s="748"/>
      <c r="GM328" s="748"/>
      <c r="GN328" s="748"/>
      <c r="GO328" s="748"/>
      <c r="GP328" s="748"/>
      <c r="GQ328" s="748"/>
      <c r="GR328" s="748"/>
      <c r="GS328" s="748"/>
      <c r="GT328" s="748"/>
      <c r="GU328" s="748"/>
      <c r="GV328" s="748"/>
      <c r="GW328" s="748"/>
      <c r="GX328" s="748"/>
      <c r="GY328" s="748"/>
      <c r="GZ328" s="748"/>
      <c r="HA328" s="748"/>
      <c r="HB328" s="748"/>
      <c r="HC328" s="748"/>
      <c r="HD328" s="748"/>
      <c r="HE328" s="748"/>
      <c r="HF328" s="748"/>
      <c r="HG328" s="748"/>
      <c r="HH328" s="748"/>
      <c r="HI328" s="748"/>
      <c r="HJ328" s="748"/>
      <c r="HK328" s="748"/>
      <c r="HL328" s="748"/>
      <c r="HM328" s="748"/>
      <c r="HN328" s="748"/>
      <c r="HO328" s="748"/>
      <c r="HP328" s="748"/>
      <c r="HQ328" s="748"/>
      <c r="HR328" s="748"/>
      <c r="HS328" s="748"/>
      <c r="HT328" s="748"/>
      <c r="HU328" s="748"/>
      <c r="HV328" s="748"/>
      <c r="HW328" s="748"/>
      <c r="HX328" s="748"/>
      <c r="HY328" s="748"/>
      <c r="HZ328" s="748"/>
      <c r="IA328" s="748"/>
      <c r="IB328" s="748"/>
      <c r="IC328" s="748"/>
      <c r="ID328" s="748"/>
      <c r="IE328" s="748"/>
      <c r="IF328" s="748"/>
      <c r="IG328" s="748"/>
      <c r="IH328" s="748"/>
      <c r="II328" s="748"/>
      <c r="IJ328" s="748"/>
      <c r="IK328" s="748"/>
      <c r="IL328" s="748"/>
      <c r="IM328" s="748"/>
      <c r="IN328" s="748"/>
      <c r="IO328" s="748"/>
      <c r="IP328" s="748"/>
      <c r="IQ328" s="748"/>
      <c r="IR328" s="748"/>
      <c r="IS328" s="748"/>
      <c r="IT328" s="748"/>
      <c r="IU328" s="748"/>
      <c r="IV328" s="748"/>
      <c r="IW328" s="748"/>
    </row>
    <row r="329" spans="1:257" s="665" customFormat="1">
      <c r="A329" s="968"/>
      <c r="B329" s="969" t="s">
        <v>1357</v>
      </c>
      <c r="C329" s="738"/>
      <c r="D329" s="758"/>
      <c r="E329" s="760"/>
      <c r="F329" s="760"/>
      <c r="G329" s="731"/>
      <c r="H329" s="731"/>
      <c r="I329" s="731"/>
      <c r="J329" s="760"/>
      <c r="K329" s="760">
        <v>0</v>
      </c>
      <c r="L329" s="1311"/>
      <c r="M329" s="761"/>
      <c r="N329" s="904"/>
      <c r="O329" s="904"/>
      <c r="P329" s="951"/>
      <c r="Q329" s="951"/>
      <c r="R329" s="952"/>
      <c r="S329" s="952"/>
      <c r="T329" s="953"/>
      <c r="U329" s="734"/>
      <c r="V329" s="746"/>
      <c r="W329" s="746"/>
      <c r="X329" s="747"/>
      <c r="Y329" s="748"/>
      <c r="Z329" s="748"/>
      <c r="AA329" s="748"/>
      <c r="AB329" s="748"/>
      <c r="AC329" s="748"/>
      <c r="AD329" s="748"/>
      <c r="AE329" s="748"/>
      <c r="AF329" s="748"/>
      <c r="AG329" s="748"/>
      <c r="AH329" s="748"/>
      <c r="AI329" s="748"/>
      <c r="AJ329" s="748"/>
      <c r="AK329" s="748"/>
      <c r="AL329" s="748"/>
      <c r="AM329" s="748"/>
      <c r="AN329" s="748"/>
      <c r="AO329" s="748"/>
      <c r="AP329" s="748"/>
      <c r="AQ329" s="748"/>
      <c r="AR329" s="748"/>
      <c r="AS329" s="748"/>
      <c r="AT329" s="748"/>
      <c r="AU329" s="748"/>
      <c r="AV329" s="748"/>
      <c r="AW329" s="748"/>
      <c r="AX329" s="748"/>
      <c r="AY329" s="748"/>
      <c r="AZ329" s="748"/>
      <c r="BA329" s="748"/>
      <c r="BB329" s="748"/>
      <c r="BC329" s="748"/>
      <c r="BD329" s="748"/>
      <c r="BE329" s="748"/>
      <c r="BF329" s="748"/>
      <c r="BG329" s="748"/>
      <c r="BH329" s="748"/>
      <c r="BI329" s="748"/>
      <c r="BJ329" s="748"/>
      <c r="BK329" s="748"/>
      <c r="BL329" s="748"/>
      <c r="BM329" s="748"/>
      <c r="BN329" s="748"/>
      <c r="BO329" s="748"/>
      <c r="BP329" s="748"/>
      <c r="BQ329" s="748"/>
      <c r="BR329" s="748"/>
      <c r="BS329" s="748"/>
      <c r="BT329" s="748"/>
      <c r="BU329" s="748"/>
      <c r="BV329" s="748"/>
      <c r="BW329" s="748"/>
      <c r="BX329" s="748"/>
      <c r="BY329" s="748"/>
      <c r="BZ329" s="748"/>
      <c r="CA329" s="748"/>
      <c r="CB329" s="748"/>
      <c r="CC329" s="748"/>
      <c r="CD329" s="748"/>
      <c r="CE329" s="748"/>
      <c r="CF329" s="748"/>
      <c r="CG329" s="748"/>
      <c r="CH329" s="748"/>
      <c r="CI329" s="748"/>
      <c r="CJ329" s="748"/>
      <c r="CK329" s="748"/>
      <c r="CL329" s="748"/>
      <c r="CM329" s="748"/>
      <c r="CN329" s="748"/>
      <c r="CO329" s="748"/>
      <c r="CP329" s="748"/>
      <c r="CQ329" s="748"/>
      <c r="CR329" s="748"/>
      <c r="CS329" s="748"/>
      <c r="CT329" s="748"/>
      <c r="CU329" s="748"/>
      <c r="CV329" s="748"/>
      <c r="CW329" s="748"/>
      <c r="CX329" s="748"/>
      <c r="CY329" s="748"/>
      <c r="CZ329" s="748"/>
      <c r="DA329" s="748"/>
      <c r="DB329" s="748"/>
      <c r="DC329" s="748"/>
      <c r="DD329" s="748"/>
      <c r="DE329" s="748"/>
      <c r="DF329" s="748"/>
      <c r="DG329" s="748"/>
      <c r="DH329" s="748"/>
      <c r="DI329" s="748"/>
      <c r="DJ329" s="748"/>
      <c r="DK329" s="748"/>
      <c r="DL329" s="748"/>
      <c r="DM329" s="748"/>
      <c r="DN329" s="748"/>
      <c r="DO329" s="748"/>
      <c r="DP329" s="748"/>
      <c r="DQ329" s="748"/>
      <c r="DR329" s="748"/>
      <c r="DS329" s="748"/>
      <c r="DT329" s="748"/>
      <c r="DU329" s="748"/>
      <c r="DV329" s="748"/>
      <c r="DW329" s="748"/>
      <c r="DX329" s="748"/>
      <c r="DY329" s="748"/>
      <c r="DZ329" s="748"/>
      <c r="EA329" s="748"/>
      <c r="EB329" s="748"/>
      <c r="EC329" s="748"/>
      <c r="ED329" s="748"/>
      <c r="EE329" s="748"/>
      <c r="EF329" s="748"/>
      <c r="EG329" s="748"/>
      <c r="EH329" s="748"/>
      <c r="EI329" s="748"/>
      <c r="EJ329" s="748"/>
      <c r="EK329" s="748"/>
      <c r="EL329" s="748"/>
      <c r="EM329" s="748"/>
      <c r="EN329" s="748"/>
      <c r="EO329" s="748"/>
      <c r="EP329" s="748"/>
      <c r="EQ329" s="748"/>
      <c r="ER329" s="748"/>
      <c r="ES329" s="748"/>
      <c r="ET329" s="748"/>
      <c r="EU329" s="748"/>
      <c r="EV329" s="748"/>
      <c r="EW329" s="748"/>
      <c r="EX329" s="748"/>
      <c r="EY329" s="748"/>
      <c r="EZ329" s="748"/>
      <c r="FA329" s="748"/>
      <c r="FB329" s="748"/>
      <c r="FC329" s="748"/>
      <c r="FD329" s="748"/>
      <c r="FE329" s="748"/>
      <c r="FF329" s="748"/>
      <c r="FG329" s="748"/>
      <c r="FH329" s="748"/>
      <c r="FI329" s="748"/>
      <c r="FJ329" s="748"/>
      <c r="FK329" s="748"/>
      <c r="FL329" s="748"/>
      <c r="FM329" s="748"/>
      <c r="FN329" s="748"/>
      <c r="FO329" s="748"/>
      <c r="FP329" s="748"/>
      <c r="FQ329" s="748"/>
      <c r="FR329" s="748"/>
      <c r="FS329" s="748"/>
      <c r="FT329" s="748"/>
      <c r="FU329" s="748"/>
      <c r="FV329" s="748"/>
      <c r="FW329" s="748"/>
      <c r="FX329" s="748"/>
      <c r="FY329" s="748"/>
      <c r="FZ329" s="748"/>
      <c r="GA329" s="748"/>
      <c r="GB329" s="748"/>
      <c r="GC329" s="748"/>
      <c r="GD329" s="748"/>
      <c r="GE329" s="748"/>
      <c r="GF329" s="748"/>
      <c r="GG329" s="748"/>
      <c r="GH329" s="748"/>
      <c r="GI329" s="748"/>
      <c r="GJ329" s="748"/>
      <c r="GK329" s="748"/>
      <c r="GL329" s="748"/>
      <c r="GM329" s="748"/>
      <c r="GN329" s="748"/>
      <c r="GO329" s="748"/>
      <c r="GP329" s="748"/>
      <c r="GQ329" s="748"/>
      <c r="GR329" s="748"/>
      <c r="GS329" s="748"/>
      <c r="GT329" s="748"/>
      <c r="GU329" s="748"/>
      <c r="GV329" s="748"/>
      <c r="GW329" s="748"/>
      <c r="GX329" s="748"/>
      <c r="GY329" s="748"/>
      <c r="GZ329" s="748"/>
      <c r="HA329" s="748"/>
      <c r="HB329" s="748"/>
      <c r="HC329" s="748"/>
      <c r="HD329" s="748"/>
      <c r="HE329" s="748"/>
      <c r="HF329" s="748"/>
      <c r="HG329" s="748"/>
      <c r="HH329" s="748"/>
      <c r="HI329" s="748"/>
      <c r="HJ329" s="748"/>
      <c r="HK329" s="748"/>
      <c r="HL329" s="748"/>
      <c r="HM329" s="748"/>
      <c r="HN329" s="748"/>
      <c r="HO329" s="748"/>
      <c r="HP329" s="748"/>
      <c r="HQ329" s="748"/>
      <c r="HR329" s="748"/>
      <c r="HS329" s="748"/>
      <c r="HT329" s="748"/>
      <c r="HU329" s="748"/>
      <c r="HV329" s="748"/>
      <c r="HW329" s="748"/>
      <c r="HX329" s="748"/>
      <c r="HY329" s="748"/>
      <c r="HZ329" s="748"/>
      <c r="IA329" s="748"/>
      <c r="IB329" s="748"/>
      <c r="IC329" s="748"/>
      <c r="ID329" s="748"/>
      <c r="IE329" s="748"/>
      <c r="IF329" s="748"/>
      <c r="IG329" s="748"/>
      <c r="IH329" s="748"/>
      <c r="II329" s="748"/>
      <c r="IJ329" s="748"/>
      <c r="IK329" s="748"/>
      <c r="IL329" s="748"/>
      <c r="IM329" s="748"/>
      <c r="IN329" s="748"/>
      <c r="IO329" s="748"/>
      <c r="IP329" s="748"/>
      <c r="IQ329" s="748"/>
      <c r="IR329" s="748"/>
      <c r="IS329" s="748"/>
      <c r="IT329" s="748"/>
      <c r="IU329" s="748"/>
      <c r="IV329" s="748"/>
      <c r="IW329" s="748"/>
    </row>
    <row r="330" spans="1:257" s="665" customFormat="1">
      <c r="A330" s="901" t="s">
        <v>248</v>
      </c>
      <c r="B330" s="969" t="s">
        <v>256</v>
      </c>
      <c r="C330" s="758">
        <v>6</v>
      </c>
      <c r="D330" s="758"/>
      <c r="E330" s="760">
        <v>20000000</v>
      </c>
      <c r="F330" s="760">
        <f>C330*E330</f>
        <v>120000000</v>
      </c>
      <c r="G330" s="970"/>
      <c r="H330" s="970"/>
      <c r="I330" s="970"/>
      <c r="J330" s="760">
        <v>120000000</v>
      </c>
      <c r="K330" s="760">
        <f>6*20000000</f>
        <v>120000000</v>
      </c>
      <c r="L330" s="1311">
        <f>6*20000000</f>
        <v>120000000</v>
      </c>
      <c r="M330" s="761" t="s">
        <v>984</v>
      </c>
      <c r="N330" s="904"/>
      <c r="O330" s="904"/>
      <c r="P330" s="971"/>
      <c r="Q330" s="971"/>
      <c r="R330" s="952"/>
      <c r="S330" s="952"/>
      <c r="T330" s="953"/>
      <c r="U330" s="734"/>
      <c r="V330" s="746"/>
      <c r="W330" s="746"/>
      <c r="X330" s="747"/>
      <c r="Y330" s="748"/>
      <c r="Z330" s="748"/>
      <c r="AA330" s="748"/>
      <c r="AB330" s="748"/>
      <c r="AC330" s="748"/>
      <c r="AD330" s="748"/>
      <c r="AE330" s="748"/>
      <c r="AF330" s="748"/>
      <c r="AG330" s="748"/>
      <c r="AH330" s="748"/>
      <c r="AI330" s="748"/>
      <c r="AJ330" s="748"/>
      <c r="AK330" s="748"/>
      <c r="AL330" s="748"/>
      <c r="AM330" s="748"/>
      <c r="AN330" s="748"/>
      <c r="AO330" s="748"/>
      <c r="AP330" s="748"/>
      <c r="AQ330" s="748"/>
      <c r="AR330" s="748"/>
      <c r="AS330" s="748"/>
      <c r="AT330" s="748"/>
      <c r="AU330" s="748"/>
      <c r="AV330" s="748"/>
      <c r="AW330" s="748"/>
      <c r="AX330" s="748"/>
      <c r="AY330" s="748"/>
      <c r="AZ330" s="748"/>
      <c r="BA330" s="748"/>
      <c r="BB330" s="748"/>
      <c r="BC330" s="748"/>
      <c r="BD330" s="748"/>
      <c r="BE330" s="748"/>
      <c r="BF330" s="748"/>
      <c r="BG330" s="748"/>
      <c r="BH330" s="748"/>
      <c r="BI330" s="748"/>
      <c r="BJ330" s="748"/>
      <c r="BK330" s="748"/>
      <c r="BL330" s="748"/>
      <c r="BM330" s="748"/>
      <c r="BN330" s="748"/>
      <c r="BO330" s="748"/>
      <c r="BP330" s="748"/>
      <c r="BQ330" s="748"/>
      <c r="BR330" s="748"/>
      <c r="BS330" s="748"/>
      <c r="BT330" s="748"/>
      <c r="BU330" s="748"/>
      <c r="BV330" s="748"/>
      <c r="BW330" s="748"/>
      <c r="BX330" s="748"/>
      <c r="BY330" s="748"/>
      <c r="BZ330" s="748"/>
      <c r="CA330" s="748"/>
      <c r="CB330" s="748"/>
      <c r="CC330" s="748"/>
      <c r="CD330" s="748"/>
      <c r="CE330" s="748"/>
      <c r="CF330" s="748"/>
      <c r="CG330" s="748"/>
      <c r="CH330" s="748"/>
      <c r="CI330" s="748"/>
      <c r="CJ330" s="748"/>
      <c r="CK330" s="748"/>
      <c r="CL330" s="748"/>
      <c r="CM330" s="748"/>
      <c r="CN330" s="748"/>
      <c r="CO330" s="748"/>
      <c r="CP330" s="748"/>
      <c r="CQ330" s="748"/>
      <c r="CR330" s="748"/>
      <c r="CS330" s="748"/>
      <c r="CT330" s="748"/>
      <c r="CU330" s="748"/>
      <c r="CV330" s="748"/>
      <c r="CW330" s="748"/>
      <c r="CX330" s="748"/>
      <c r="CY330" s="748"/>
      <c r="CZ330" s="748"/>
      <c r="DA330" s="748"/>
      <c r="DB330" s="748"/>
      <c r="DC330" s="748"/>
      <c r="DD330" s="748"/>
      <c r="DE330" s="748"/>
      <c r="DF330" s="748"/>
      <c r="DG330" s="748"/>
      <c r="DH330" s="748"/>
      <c r="DI330" s="748"/>
      <c r="DJ330" s="748"/>
      <c r="DK330" s="748"/>
      <c r="DL330" s="748"/>
      <c r="DM330" s="748"/>
      <c r="DN330" s="748"/>
      <c r="DO330" s="748"/>
      <c r="DP330" s="748"/>
      <c r="DQ330" s="748"/>
      <c r="DR330" s="748"/>
      <c r="DS330" s="748"/>
      <c r="DT330" s="748"/>
      <c r="DU330" s="748"/>
      <c r="DV330" s="748"/>
      <c r="DW330" s="748"/>
      <c r="DX330" s="748"/>
      <c r="DY330" s="748"/>
      <c r="DZ330" s="748"/>
      <c r="EA330" s="748"/>
      <c r="EB330" s="748"/>
      <c r="EC330" s="748"/>
      <c r="ED330" s="748"/>
      <c r="EE330" s="748"/>
      <c r="EF330" s="748"/>
      <c r="EG330" s="748"/>
      <c r="EH330" s="748"/>
      <c r="EI330" s="748"/>
      <c r="EJ330" s="748"/>
      <c r="EK330" s="748"/>
      <c r="EL330" s="748"/>
      <c r="EM330" s="748"/>
      <c r="EN330" s="748"/>
      <c r="EO330" s="748"/>
      <c r="EP330" s="748"/>
      <c r="EQ330" s="748"/>
      <c r="ER330" s="748"/>
      <c r="ES330" s="748"/>
      <c r="ET330" s="748"/>
      <c r="EU330" s="748"/>
      <c r="EV330" s="748"/>
      <c r="EW330" s="748"/>
      <c r="EX330" s="748"/>
      <c r="EY330" s="748"/>
      <c r="EZ330" s="748"/>
      <c r="FA330" s="748"/>
      <c r="FB330" s="748"/>
      <c r="FC330" s="748"/>
      <c r="FD330" s="748"/>
      <c r="FE330" s="748"/>
      <c r="FF330" s="748"/>
      <c r="FG330" s="748"/>
      <c r="FH330" s="748"/>
      <c r="FI330" s="748"/>
      <c r="FJ330" s="748"/>
      <c r="FK330" s="748"/>
      <c r="FL330" s="748"/>
      <c r="FM330" s="748"/>
      <c r="FN330" s="748"/>
      <c r="FO330" s="748"/>
      <c r="FP330" s="748"/>
      <c r="FQ330" s="748"/>
      <c r="FR330" s="748"/>
      <c r="FS330" s="748"/>
      <c r="FT330" s="748"/>
      <c r="FU330" s="748"/>
      <c r="FV330" s="748"/>
      <c r="FW330" s="748"/>
      <c r="FX330" s="748"/>
      <c r="FY330" s="748"/>
      <c r="FZ330" s="748"/>
      <c r="GA330" s="748"/>
      <c r="GB330" s="748"/>
      <c r="GC330" s="748"/>
      <c r="GD330" s="748"/>
      <c r="GE330" s="748"/>
      <c r="GF330" s="748"/>
      <c r="GG330" s="748"/>
      <c r="GH330" s="748"/>
      <c r="GI330" s="748"/>
      <c r="GJ330" s="748"/>
      <c r="GK330" s="748"/>
      <c r="GL330" s="748"/>
      <c r="GM330" s="748"/>
      <c r="GN330" s="748"/>
      <c r="GO330" s="748"/>
      <c r="GP330" s="748"/>
      <c r="GQ330" s="748"/>
      <c r="GR330" s="748"/>
      <c r="GS330" s="748"/>
      <c r="GT330" s="748"/>
      <c r="GU330" s="748"/>
      <c r="GV330" s="748"/>
      <c r="GW330" s="748"/>
      <c r="GX330" s="748"/>
      <c r="GY330" s="748"/>
      <c r="GZ330" s="748"/>
      <c r="HA330" s="748"/>
      <c r="HB330" s="748"/>
      <c r="HC330" s="748"/>
      <c r="HD330" s="748"/>
      <c r="HE330" s="748"/>
      <c r="HF330" s="748"/>
      <c r="HG330" s="748"/>
      <c r="HH330" s="748"/>
      <c r="HI330" s="748"/>
      <c r="HJ330" s="748"/>
      <c r="HK330" s="748"/>
      <c r="HL330" s="748"/>
      <c r="HM330" s="748"/>
      <c r="HN330" s="748"/>
      <c r="HO330" s="748"/>
      <c r="HP330" s="748"/>
      <c r="HQ330" s="748"/>
      <c r="HR330" s="748"/>
      <c r="HS330" s="748"/>
      <c r="HT330" s="748"/>
      <c r="HU330" s="748"/>
      <c r="HV330" s="748"/>
      <c r="HW330" s="748"/>
      <c r="HX330" s="748"/>
      <c r="HY330" s="748"/>
      <c r="HZ330" s="748"/>
      <c r="IA330" s="748"/>
      <c r="IB330" s="748"/>
      <c r="IC330" s="748"/>
      <c r="ID330" s="748"/>
      <c r="IE330" s="748"/>
      <c r="IF330" s="748"/>
      <c r="IG330" s="748"/>
      <c r="IH330" s="748"/>
      <c r="II330" s="748"/>
      <c r="IJ330" s="748"/>
      <c r="IK330" s="748"/>
      <c r="IL330" s="748"/>
      <c r="IM330" s="748"/>
      <c r="IN330" s="748"/>
      <c r="IO330" s="748"/>
      <c r="IP330" s="748"/>
      <c r="IQ330" s="748"/>
      <c r="IR330" s="748"/>
      <c r="IS330" s="748"/>
      <c r="IT330" s="748"/>
      <c r="IU330" s="748"/>
      <c r="IV330" s="748"/>
      <c r="IW330" s="748"/>
    </row>
    <row r="331" spans="1:257" s="582" customFormat="1" ht="24" hidden="1" customHeight="1">
      <c r="A331" s="968" t="s">
        <v>91</v>
      </c>
      <c r="B331" s="969" t="s">
        <v>266</v>
      </c>
      <c r="C331" s="738"/>
      <c r="D331" s="758"/>
      <c r="E331" s="760"/>
      <c r="F331" s="760"/>
      <c r="G331" s="970"/>
      <c r="H331" s="970"/>
      <c r="I331" s="970"/>
      <c r="J331" s="760"/>
      <c r="K331" s="760"/>
      <c r="L331" s="1311"/>
      <c r="M331" s="761"/>
      <c r="N331" s="868"/>
      <c r="O331" s="868"/>
      <c r="P331" s="935"/>
      <c r="Q331" s="935"/>
      <c r="R331" s="866"/>
      <c r="S331" s="866"/>
      <c r="T331" s="839"/>
      <c r="U331" s="655"/>
      <c r="V331" s="581"/>
      <c r="W331" s="639"/>
      <c r="X331" s="640"/>
      <c r="Y331" s="641"/>
      <c r="Z331" s="641"/>
      <c r="AA331" s="641"/>
      <c r="AB331" s="641"/>
      <c r="AC331" s="641"/>
      <c r="AD331" s="641"/>
      <c r="AE331" s="641"/>
      <c r="AF331" s="641"/>
      <c r="AG331" s="641"/>
      <c r="AH331" s="641"/>
      <c r="AI331" s="641"/>
      <c r="AJ331" s="641"/>
      <c r="AK331" s="641"/>
      <c r="AL331" s="641"/>
      <c r="AM331" s="641"/>
      <c r="AN331" s="641"/>
      <c r="AO331" s="641"/>
      <c r="AP331" s="641"/>
      <c r="AQ331" s="641"/>
      <c r="AR331" s="641"/>
      <c r="AS331" s="641"/>
      <c r="AT331" s="641"/>
      <c r="AU331" s="641"/>
      <c r="AV331" s="641"/>
      <c r="AW331" s="641"/>
      <c r="AX331" s="641"/>
      <c r="AY331" s="641"/>
      <c r="AZ331" s="641"/>
      <c r="BA331" s="641"/>
      <c r="BB331" s="641"/>
      <c r="BC331" s="641"/>
      <c r="BD331" s="641"/>
      <c r="BE331" s="641"/>
      <c r="BF331" s="641"/>
      <c r="BG331" s="641"/>
      <c r="BH331" s="641"/>
      <c r="BI331" s="641"/>
      <c r="BJ331" s="641"/>
      <c r="BK331" s="641"/>
      <c r="BL331" s="641"/>
      <c r="BM331" s="641"/>
      <c r="BN331" s="641"/>
      <c r="BO331" s="641"/>
      <c r="BP331" s="641"/>
      <c r="BQ331" s="641"/>
      <c r="BR331" s="641"/>
      <c r="BS331" s="641"/>
      <c r="BT331" s="641"/>
      <c r="BU331" s="641"/>
      <c r="BV331" s="641"/>
      <c r="BW331" s="641"/>
      <c r="BX331" s="641"/>
      <c r="BY331" s="641"/>
      <c r="BZ331" s="641"/>
      <c r="CA331" s="641"/>
      <c r="CB331" s="641"/>
      <c r="CC331" s="641"/>
      <c r="CD331" s="641"/>
      <c r="CE331" s="641"/>
      <c r="CF331" s="641"/>
      <c r="CG331" s="641"/>
      <c r="CH331" s="641"/>
      <c r="CI331" s="641"/>
      <c r="CJ331" s="641"/>
      <c r="CK331" s="641"/>
      <c r="CL331" s="641"/>
      <c r="CM331" s="641"/>
      <c r="CN331" s="641"/>
      <c r="CO331" s="641"/>
      <c r="CP331" s="641"/>
      <c r="CQ331" s="641"/>
      <c r="CR331" s="641"/>
      <c r="CS331" s="641"/>
      <c r="CT331" s="641"/>
      <c r="CU331" s="641"/>
      <c r="CV331" s="641"/>
      <c r="CW331" s="641"/>
      <c r="CX331" s="641"/>
      <c r="CY331" s="641"/>
      <c r="CZ331" s="641"/>
      <c r="DA331" s="641"/>
      <c r="DB331" s="641"/>
      <c r="DC331" s="641"/>
      <c r="DD331" s="641"/>
      <c r="DE331" s="641"/>
      <c r="DF331" s="641"/>
      <c r="DG331" s="641"/>
      <c r="DH331" s="641"/>
      <c r="DI331" s="641"/>
      <c r="DJ331" s="641"/>
      <c r="DK331" s="641"/>
      <c r="DL331" s="641"/>
      <c r="DM331" s="641"/>
      <c r="DN331" s="641"/>
      <c r="DO331" s="641"/>
      <c r="DP331" s="641"/>
      <c r="DQ331" s="641"/>
      <c r="DR331" s="641"/>
      <c r="DS331" s="641"/>
      <c r="DT331" s="641"/>
      <c r="DU331" s="641"/>
      <c r="DV331" s="641"/>
      <c r="DW331" s="641"/>
      <c r="DX331" s="641"/>
      <c r="DY331" s="641"/>
      <c r="DZ331" s="641"/>
      <c r="EA331" s="641"/>
      <c r="EB331" s="641"/>
      <c r="EC331" s="641"/>
      <c r="ED331" s="641"/>
      <c r="EE331" s="641"/>
      <c r="EF331" s="641"/>
      <c r="EG331" s="641"/>
      <c r="EH331" s="641"/>
      <c r="EI331" s="641"/>
      <c r="EJ331" s="641"/>
      <c r="EK331" s="641"/>
      <c r="EL331" s="641"/>
      <c r="EM331" s="641"/>
      <c r="EN331" s="641"/>
      <c r="EO331" s="641"/>
      <c r="EP331" s="641"/>
      <c r="EQ331" s="641"/>
      <c r="ER331" s="641"/>
      <c r="ES331" s="641"/>
      <c r="ET331" s="641"/>
      <c r="EU331" s="641"/>
      <c r="EV331" s="641"/>
      <c r="EW331" s="641"/>
      <c r="EX331" s="641"/>
      <c r="EY331" s="641"/>
      <c r="EZ331" s="641"/>
      <c r="FA331" s="641"/>
      <c r="FB331" s="641"/>
      <c r="FC331" s="641"/>
      <c r="FD331" s="641"/>
      <c r="FE331" s="641"/>
      <c r="FF331" s="641"/>
      <c r="FG331" s="641"/>
      <c r="FH331" s="641"/>
      <c r="FI331" s="641"/>
      <c r="FJ331" s="641"/>
      <c r="FK331" s="641"/>
      <c r="FL331" s="641"/>
      <c r="FM331" s="641"/>
      <c r="FN331" s="641"/>
      <c r="FO331" s="641"/>
      <c r="FP331" s="641"/>
      <c r="FQ331" s="641"/>
      <c r="FR331" s="641"/>
      <c r="FS331" s="641"/>
      <c r="FT331" s="641"/>
      <c r="FU331" s="641"/>
      <c r="FV331" s="641"/>
      <c r="FW331" s="641"/>
      <c r="FX331" s="641"/>
      <c r="FY331" s="641"/>
      <c r="FZ331" s="641"/>
      <c r="GA331" s="641"/>
      <c r="GB331" s="641"/>
      <c r="GC331" s="641"/>
      <c r="GD331" s="641"/>
      <c r="GE331" s="641"/>
      <c r="GF331" s="641"/>
      <c r="GG331" s="641"/>
      <c r="GH331" s="641"/>
      <c r="GI331" s="641"/>
      <c r="GJ331" s="641"/>
      <c r="GK331" s="641"/>
      <c r="GL331" s="641"/>
      <c r="GM331" s="641"/>
      <c r="GN331" s="641"/>
      <c r="GO331" s="641"/>
      <c r="GP331" s="641"/>
      <c r="GQ331" s="641"/>
      <c r="GR331" s="641"/>
      <c r="GS331" s="641"/>
      <c r="GT331" s="641"/>
      <c r="GU331" s="641"/>
      <c r="GV331" s="641"/>
      <c r="GW331" s="641"/>
      <c r="GX331" s="641"/>
      <c r="GY331" s="641"/>
      <c r="GZ331" s="641"/>
      <c r="HA331" s="641"/>
      <c r="HB331" s="641"/>
      <c r="HC331" s="641"/>
      <c r="HD331" s="641"/>
      <c r="HE331" s="641"/>
      <c r="HF331" s="641"/>
      <c r="HG331" s="641"/>
      <c r="HH331" s="641"/>
      <c r="HI331" s="641"/>
      <c r="HJ331" s="641"/>
      <c r="HK331" s="641"/>
      <c r="HL331" s="641"/>
      <c r="HM331" s="641"/>
      <c r="HN331" s="641"/>
      <c r="HO331" s="641"/>
      <c r="HP331" s="641"/>
      <c r="HQ331" s="641"/>
      <c r="HR331" s="641"/>
      <c r="HS331" s="641"/>
      <c r="HT331" s="641"/>
      <c r="HU331" s="641"/>
      <c r="HV331" s="641"/>
      <c r="HW331" s="641"/>
      <c r="HX331" s="641"/>
      <c r="HY331" s="641"/>
      <c r="HZ331" s="641"/>
      <c r="IA331" s="641"/>
      <c r="IB331" s="641"/>
      <c r="IC331" s="641"/>
      <c r="ID331" s="641"/>
      <c r="IE331" s="641"/>
      <c r="IF331" s="641"/>
      <c r="IG331" s="641"/>
      <c r="IH331" s="641"/>
      <c r="II331" s="641"/>
      <c r="IJ331" s="641"/>
      <c r="IK331" s="641"/>
      <c r="IL331" s="641"/>
      <c r="IM331" s="641"/>
      <c r="IN331" s="641"/>
      <c r="IO331" s="641"/>
      <c r="IP331" s="641"/>
      <c r="IQ331" s="641"/>
      <c r="IR331" s="641"/>
      <c r="IS331" s="641"/>
      <c r="IT331" s="641"/>
      <c r="IU331" s="641"/>
      <c r="IV331" s="641"/>
      <c r="IW331" s="641"/>
    </row>
    <row r="332" spans="1:257" s="681" customFormat="1" ht="21" customHeight="1">
      <c r="A332" s="880" t="s">
        <v>225</v>
      </c>
      <c r="B332" s="833" t="s">
        <v>257</v>
      </c>
      <c r="C332" s="729"/>
      <c r="D332" s="729"/>
      <c r="E332" s="731"/>
      <c r="F332" s="731">
        <f t="shared" ref="F332:J332" si="36">SUM(F333:F341)</f>
        <v>2830000000</v>
      </c>
      <c r="G332" s="731">
        <f t="shared" si="36"/>
        <v>0</v>
      </c>
      <c r="H332" s="731">
        <f t="shared" si="36"/>
        <v>0</v>
      </c>
      <c r="I332" s="731">
        <f t="shared" si="36"/>
        <v>0</v>
      </c>
      <c r="J332" s="731">
        <f t="shared" si="36"/>
        <v>2333000000</v>
      </c>
      <c r="K332" s="731">
        <f>SUM(K333:K341)</f>
        <v>849500000</v>
      </c>
      <c r="L332" s="1310">
        <f>SUM(L333:L341)</f>
        <v>1750000000</v>
      </c>
      <c r="M332" s="660" t="s">
        <v>985</v>
      </c>
      <c r="N332" s="829"/>
      <c r="O332" s="829"/>
      <c r="P332" s="935"/>
      <c r="Q332" s="935"/>
      <c r="R332" s="866"/>
      <c r="S332" s="866"/>
      <c r="T332" s="839"/>
      <c r="U332" s="580"/>
      <c r="V332" s="639"/>
      <c r="W332" s="581"/>
      <c r="X332" s="578"/>
      <c r="Y332" s="582"/>
      <c r="Z332" s="582"/>
      <c r="AA332" s="582"/>
      <c r="AB332" s="582"/>
      <c r="AC332" s="582"/>
      <c r="AD332" s="582"/>
      <c r="AE332" s="582"/>
      <c r="AF332" s="582"/>
      <c r="AG332" s="582"/>
      <c r="AH332" s="582"/>
      <c r="AI332" s="582"/>
      <c r="AJ332" s="582"/>
      <c r="AK332" s="582"/>
      <c r="AL332" s="582"/>
      <c r="AM332" s="582"/>
      <c r="AN332" s="582"/>
      <c r="AO332" s="582"/>
      <c r="AP332" s="582"/>
      <c r="AQ332" s="582"/>
      <c r="AR332" s="582"/>
      <c r="AS332" s="582"/>
      <c r="AT332" s="582"/>
      <c r="AU332" s="582"/>
      <c r="AV332" s="582"/>
      <c r="AW332" s="582"/>
      <c r="AX332" s="582"/>
      <c r="AY332" s="582"/>
      <c r="AZ332" s="582"/>
      <c r="BA332" s="582"/>
      <c r="BB332" s="582"/>
      <c r="BC332" s="582"/>
      <c r="BD332" s="582"/>
      <c r="BE332" s="582"/>
      <c r="BF332" s="582"/>
      <c r="BG332" s="582"/>
      <c r="BH332" s="582"/>
      <c r="BI332" s="582"/>
      <c r="BJ332" s="582"/>
      <c r="BK332" s="582"/>
      <c r="BL332" s="582"/>
      <c r="BM332" s="582"/>
      <c r="BN332" s="582"/>
      <c r="BO332" s="582"/>
      <c r="BP332" s="582"/>
      <c r="BQ332" s="582"/>
      <c r="BR332" s="582"/>
      <c r="BS332" s="582"/>
      <c r="BT332" s="582"/>
      <c r="BU332" s="582"/>
      <c r="BV332" s="582"/>
      <c r="BW332" s="582"/>
      <c r="BX332" s="582"/>
      <c r="BY332" s="582"/>
      <c r="BZ332" s="582"/>
      <c r="CA332" s="582"/>
      <c r="CB332" s="582"/>
      <c r="CC332" s="582"/>
      <c r="CD332" s="582"/>
      <c r="CE332" s="582"/>
      <c r="CF332" s="582"/>
      <c r="CG332" s="582"/>
      <c r="CH332" s="582"/>
      <c r="CI332" s="582"/>
      <c r="CJ332" s="582"/>
      <c r="CK332" s="582"/>
      <c r="CL332" s="582"/>
      <c r="CM332" s="582"/>
      <c r="CN332" s="582"/>
      <c r="CO332" s="582"/>
      <c r="CP332" s="582"/>
      <c r="CQ332" s="582"/>
      <c r="CR332" s="582"/>
      <c r="CS332" s="582"/>
      <c r="CT332" s="582"/>
      <c r="CU332" s="582"/>
      <c r="CV332" s="582"/>
      <c r="CW332" s="582"/>
      <c r="CX332" s="582"/>
      <c r="CY332" s="582"/>
      <c r="CZ332" s="582"/>
      <c r="DA332" s="582"/>
      <c r="DB332" s="582"/>
      <c r="DC332" s="582"/>
      <c r="DD332" s="582"/>
      <c r="DE332" s="582"/>
      <c r="DF332" s="582"/>
      <c r="DG332" s="582"/>
      <c r="DH332" s="582"/>
      <c r="DI332" s="582"/>
      <c r="DJ332" s="582"/>
      <c r="DK332" s="582"/>
      <c r="DL332" s="582"/>
      <c r="DM332" s="582"/>
      <c r="DN332" s="582"/>
      <c r="DO332" s="582"/>
      <c r="DP332" s="582"/>
      <c r="DQ332" s="582"/>
      <c r="DR332" s="582"/>
      <c r="DS332" s="582"/>
      <c r="DT332" s="582"/>
      <c r="DU332" s="582"/>
      <c r="DV332" s="582"/>
      <c r="DW332" s="582"/>
      <c r="DX332" s="582"/>
      <c r="DY332" s="582"/>
      <c r="DZ332" s="582"/>
      <c r="EA332" s="582"/>
      <c r="EB332" s="582"/>
      <c r="EC332" s="582"/>
      <c r="ED332" s="582"/>
      <c r="EE332" s="582"/>
      <c r="EF332" s="582"/>
      <c r="EG332" s="582"/>
      <c r="EH332" s="582"/>
      <c r="EI332" s="582"/>
      <c r="EJ332" s="582"/>
      <c r="EK332" s="582"/>
      <c r="EL332" s="582"/>
      <c r="EM332" s="582"/>
      <c r="EN332" s="582"/>
      <c r="EO332" s="582"/>
      <c r="EP332" s="582"/>
      <c r="EQ332" s="582"/>
      <c r="ER332" s="582"/>
      <c r="ES332" s="582"/>
      <c r="ET332" s="582"/>
      <c r="EU332" s="582"/>
      <c r="EV332" s="582"/>
      <c r="EW332" s="582"/>
      <c r="EX332" s="582"/>
      <c r="EY332" s="582"/>
      <c r="EZ332" s="582"/>
      <c r="FA332" s="582"/>
      <c r="FB332" s="582"/>
      <c r="FC332" s="582"/>
      <c r="FD332" s="582"/>
      <c r="FE332" s="582"/>
      <c r="FF332" s="582"/>
      <c r="FG332" s="582"/>
      <c r="FH332" s="582"/>
      <c r="FI332" s="582"/>
      <c r="FJ332" s="582"/>
      <c r="FK332" s="582"/>
      <c r="FL332" s="582"/>
      <c r="FM332" s="582"/>
      <c r="FN332" s="582"/>
      <c r="FO332" s="582"/>
      <c r="FP332" s="582"/>
      <c r="FQ332" s="582"/>
      <c r="FR332" s="582"/>
      <c r="FS332" s="582"/>
      <c r="FT332" s="582"/>
      <c r="FU332" s="582"/>
      <c r="FV332" s="582"/>
      <c r="FW332" s="582"/>
      <c r="FX332" s="582"/>
      <c r="FY332" s="582"/>
      <c r="FZ332" s="582"/>
      <c r="GA332" s="582"/>
      <c r="GB332" s="582"/>
      <c r="GC332" s="582"/>
      <c r="GD332" s="582"/>
      <c r="GE332" s="582"/>
      <c r="GF332" s="582"/>
      <c r="GG332" s="582"/>
      <c r="GH332" s="582"/>
      <c r="GI332" s="582"/>
      <c r="GJ332" s="582"/>
      <c r="GK332" s="582"/>
      <c r="GL332" s="582"/>
      <c r="GM332" s="582"/>
      <c r="GN332" s="582"/>
      <c r="GO332" s="582"/>
      <c r="GP332" s="582"/>
      <c r="GQ332" s="582"/>
      <c r="GR332" s="582"/>
      <c r="GS332" s="582"/>
      <c r="GT332" s="582"/>
      <c r="GU332" s="582"/>
      <c r="GV332" s="582"/>
      <c r="GW332" s="582"/>
      <c r="GX332" s="582"/>
      <c r="GY332" s="582"/>
      <c r="GZ332" s="582"/>
      <c r="HA332" s="582"/>
      <c r="HB332" s="582"/>
      <c r="HC332" s="582"/>
      <c r="HD332" s="582"/>
      <c r="HE332" s="582"/>
      <c r="HF332" s="582"/>
      <c r="HG332" s="582"/>
      <c r="HH332" s="582"/>
      <c r="HI332" s="582"/>
      <c r="HJ332" s="582"/>
      <c r="HK332" s="582"/>
      <c r="HL332" s="582"/>
      <c r="HM332" s="582"/>
      <c r="HN332" s="582"/>
      <c r="HO332" s="582"/>
      <c r="HP332" s="582"/>
      <c r="HQ332" s="582"/>
      <c r="HR332" s="582"/>
      <c r="HS332" s="582"/>
      <c r="HT332" s="582"/>
      <c r="HU332" s="582"/>
      <c r="HV332" s="582"/>
      <c r="HW332" s="582"/>
      <c r="HX332" s="582"/>
      <c r="HY332" s="582"/>
      <c r="HZ332" s="582"/>
      <c r="IA332" s="582"/>
      <c r="IB332" s="582"/>
      <c r="IC332" s="582"/>
      <c r="ID332" s="582"/>
      <c r="IE332" s="582"/>
      <c r="IF332" s="582"/>
      <c r="IG332" s="582"/>
      <c r="IH332" s="582"/>
      <c r="II332" s="582"/>
      <c r="IJ332" s="582"/>
      <c r="IK332" s="582"/>
      <c r="IL332" s="582"/>
      <c r="IM332" s="582"/>
      <c r="IN332" s="582"/>
      <c r="IO332" s="582"/>
      <c r="IP332" s="582"/>
      <c r="IQ332" s="582"/>
      <c r="IR332" s="582"/>
      <c r="IS332" s="582"/>
      <c r="IT332" s="582"/>
      <c r="IU332" s="582"/>
      <c r="IV332" s="582"/>
      <c r="IW332" s="582"/>
    </row>
    <row r="333" spans="1:257" s="682" customFormat="1" ht="31.5">
      <c r="A333" s="939" t="s">
        <v>91</v>
      </c>
      <c r="B333" s="902" t="s">
        <v>102</v>
      </c>
      <c r="C333" s="774"/>
      <c r="D333" s="774"/>
      <c r="E333" s="676"/>
      <c r="F333" s="676">
        <v>80000000</v>
      </c>
      <c r="G333" s="676"/>
      <c r="H333" s="676"/>
      <c r="I333" s="676"/>
      <c r="J333" s="676">
        <v>150000000</v>
      </c>
      <c r="K333" s="676"/>
      <c r="L333" s="1305"/>
      <c r="M333" s="676"/>
      <c r="N333" s="826"/>
      <c r="O333" s="826"/>
      <c r="P333" s="826"/>
      <c r="Q333" s="826"/>
      <c r="R333" s="866"/>
      <c r="S333" s="866"/>
      <c r="T333" s="839"/>
      <c r="U333" s="753"/>
      <c r="V333" s="639"/>
      <c r="W333" s="581"/>
      <c r="X333" s="578"/>
      <c r="Y333" s="582"/>
      <c r="Z333" s="582"/>
      <c r="AA333" s="582"/>
      <c r="AB333" s="582"/>
      <c r="AC333" s="582"/>
      <c r="AD333" s="582"/>
      <c r="AE333" s="582"/>
      <c r="AF333" s="582"/>
      <c r="AG333" s="582"/>
      <c r="AH333" s="582"/>
      <c r="AI333" s="582"/>
      <c r="AJ333" s="582"/>
      <c r="AK333" s="582"/>
      <c r="AL333" s="582"/>
      <c r="AM333" s="582"/>
      <c r="AN333" s="582"/>
      <c r="AO333" s="582"/>
      <c r="AP333" s="582"/>
      <c r="AQ333" s="582"/>
      <c r="AR333" s="582"/>
      <c r="AS333" s="582"/>
      <c r="AT333" s="582"/>
      <c r="AU333" s="582"/>
      <c r="AV333" s="582"/>
      <c r="AW333" s="582"/>
      <c r="AX333" s="582"/>
      <c r="AY333" s="582"/>
      <c r="AZ333" s="582"/>
      <c r="BA333" s="582"/>
      <c r="BB333" s="582"/>
      <c r="BC333" s="582"/>
      <c r="BD333" s="582"/>
      <c r="BE333" s="582"/>
      <c r="BF333" s="582"/>
      <c r="BG333" s="582"/>
      <c r="BH333" s="582"/>
      <c r="BI333" s="582"/>
      <c r="BJ333" s="582"/>
      <c r="BK333" s="582"/>
      <c r="BL333" s="582"/>
      <c r="BM333" s="582"/>
      <c r="BN333" s="582"/>
      <c r="BO333" s="582"/>
      <c r="BP333" s="582"/>
      <c r="BQ333" s="582"/>
      <c r="BR333" s="582"/>
      <c r="BS333" s="582"/>
      <c r="BT333" s="582"/>
      <c r="BU333" s="582"/>
      <c r="BV333" s="582"/>
      <c r="BW333" s="582"/>
      <c r="BX333" s="582"/>
      <c r="BY333" s="582"/>
      <c r="BZ333" s="582"/>
      <c r="CA333" s="582"/>
      <c r="CB333" s="582"/>
      <c r="CC333" s="582"/>
      <c r="CD333" s="582"/>
      <c r="CE333" s="582"/>
      <c r="CF333" s="582"/>
      <c r="CG333" s="582"/>
      <c r="CH333" s="582"/>
      <c r="CI333" s="582"/>
      <c r="CJ333" s="582"/>
      <c r="CK333" s="582"/>
      <c r="CL333" s="582"/>
      <c r="CM333" s="582"/>
      <c r="CN333" s="582"/>
      <c r="CO333" s="582"/>
      <c r="CP333" s="582"/>
      <c r="CQ333" s="582"/>
      <c r="CR333" s="582"/>
      <c r="CS333" s="582"/>
      <c r="CT333" s="582"/>
      <c r="CU333" s="582"/>
      <c r="CV333" s="582"/>
      <c r="CW333" s="582"/>
      <c r="CX333" s="582"/>
      <c r="CY333" s="582"/>
      <c r="CZ333" s="582"/>
      <c r="DA333" s="582"/>
      <c r="DB333" s="582"/>
      <c r="DC333" s="582"/>
      <c r="DD333" s="582"/>
      <c r="DE333" s="582"/>
      <c r="DF333" s="582"/>
      <c r="DG333" s="582"/>
      <c r="DH333" s="582"/>
      <c r="DI333" s="582"/>
      <c r="DJ333" s="582"/>
      <c r="DK333" s="582"/>
      <c r="DL333" s="582"/>
      <c r="DM333" s="582"/>
      <c r="DN333" s="582"/>
      <c r="DO333" s="582"/>
      <c r="DP333" s="582"/>
      <c r="DQ333" s="582"/>
      <c r="DR333" s="582"/>
      <c r="DS333" s="582"/>
      <c r="DT333" s="582"/>
      <c r="DU333" s="582"/>
      <c r="DV333" s="582"/>
      <c r="DW333" s="582"/>
      <c r="DX333" s="582"/>
      <c r="DY333" s="582"/>
      <c r="DZ333" s="582"/>
      <c r="EA333" s="582"/>
      <c r="EB333" s="582"/>
      <c r="EC333" s="582"/>
      <c r="ED333" s="582"/>
      <c r="EE333" s="582"/>
      <c r="EF333" s="582"/>
      <c r="EG333" s="582"/>
      <c r="EH333" s="582"/>
      <c r="EI333" s="582"/>
      <c r="EJ333" s="582"/>
      <c r="EK333" s="582"/>
      <c r="EL333" s="582"/>
      <c r="EM333" s="582"/>
      <c r="EN333" s="582"/>
      <c r="EO333" s="582"/>
      <c r="EP333" s="582"/>
      <c r="EQ333" s="582"/>
      <c r="ER333" s="582"/>
      <c r="ES333" s="582"/>
      <c r="ET333" s="582"/>
      <c r="EU333" s="582"/>
      <c r="EV333" s="582"/>
      <c r="EW333" s="582"/>
      <c r="EX333" s="582"/>
      <c r="EY333" s="582"/>
      <c r="EZ333" s="582"/>
      <c r="FA333" s="582"/>
      <c r="FB333" s="582"/>
      <c r="FC333" s="582"/>
      <c r="FD333" s="582"/>
      <c r="FE333" s="582"/>
      <c r="FF333" s="582"/>
      <c r="FG333" s="582"/>
      <c r="FH333" s="582"/>
      <c r="FI333" s="582"/>
      <c r="FJ333" s="582"/>
      <c r="FK333" s="582"/>
      <c r="FL333" s="582"/>
      <c r="FM333" s="582"/>
      <c r="FN333" s="582"/>
      <c r="FO333" s="582"/>
      <c r="FP333" s="582"/>
      <c r="FQ333" s="582"/>
      <c r="FR333" s="582"/>
      <c r="FS333" s="582"/>
      <c r="FT333" s="582"/>
      <c r="FU333" s="582"/>
      <c r="FV333" s="582"/>
      <c r="FW333" s="582"/>
      <c r="FX333" s="582"/>
      <c r="FY333" s="582"/>
      <c r="FZ333" s="582"/>
      <c r="GA333" s="582"/>
      <c r="GB333" s="582"/>
      <c r="GC333" s="582"/>
      <c r="GD333" s="582"/>
      <c r="GE333" s="582"/>
      <c r="GF333" s="582"/>
      <c r="GG333" s="582"/>
      <c r="GH333" s="582"/>
      <c r="GI333" s="582"/>
      <c r="GJ333" s="582"/>
      <c r="GK333" s="582"/>
      <c r="GL333" s="582"/>
      <c r="GM333" s="582"/>
      <c r="GN333" s="582"/>
      <c r="GO333" s="582"/>
      <c r="GP333" s="582"/>
      <c r="GQ333" s="582"/>
      <c r="GR333" s="582"/>
      <c r="GS333" s="582"/>
      <c r="GT333" s="582"/>
      <c r="GU333" s="582"/>
      <c r="GV333" s="582"/>
      <c r="GW333" s="582"/>
      <c r="GX333" s="582"/>
      <c r="GY333" s="582"/>
      <c r="GZ333" s="582"/>
      <c r="HA333" s="582"/>
      <c r="HB333" s="582"/>
      <c r="HC333" s="582"/>
      <c r="HD333" s="582"/>
      <c r="HE333" s="582"/>
      <c r="HF333" s="582"/>
      <c r="HG333" s="582"/>
      <c r="HH333" s="582"/>
      <c r="HI333" s="582"/>
      <c r="HJ333" s="582"/>
      <c r="HK333" s="582"/>
      <c r="HL333" s="582"/>
      <c r="HM333" s="582"/>
      <c r="HN333" s="582"/>
      <c r="HO333" s="582"/>
      <c r="HP333" s="582"/>
      <c r="HQ333" s="582"/>
      <c r="HR333" s="582"/>
      <c r="HS333" s="582"/>
      <c r="HT333" s="582"/>
      <c r="HU333" s="582"/>
      <c r="HV333" s="582"/>
      <c r="HW333" s="582"/>
      <c r="HX333" s="582"/>
      <c r="HY333" s="582"/>
      <c r="HZ333" s="582"/>
      <c r="IA333" s="582"/>
      <c r="IB333" s="582"/>
      <c r="IC333" s="582"/>
      <c r="ID333" s="582"/>
      <c r="IE333" s="582"/>
      <c r="IF333" s="582"/>
      <c r="IG333" s="582"/>
      <c r="IH333" s="582"/>
      <c r="II333" s="582"/>
      <c r="IJ333" s="582"/>
      <c r="IK333" s="582"/>
      <c r="IL333" s="582"/>
      <c r="IM333" s="582"/>
      <c r="IN333" s="582"/>
      <c r="IO333" s="582"/>
      <c r="IP333" s="582"/>
      <c r="IQ333" s="582"/>
      <c r="IR333" s="582"/>
      <c r="IS333" s="582"/>
      <c r="IT333" s="582"/>
      <c r="IU333" s="582"/>
      <c r="IV333" s="582"/>
      <c r="IW333" s="582"/>
    </row>
    <row r="334" spans="1:257" s="582" customFormat="1" ht="31.5">
      <c r="A334" s="939" t="s">
        <v>91</v>
      </c>
      <c r="B334" s="902" t="s">
        <v>986</v>
      </c>
      <c r="C334" s="774"/>
      <c r="D334" s="774"/>
      <c r="E334" s="676"/>
      <c r="F334" s="676">
        <v>450000000</v>
      </c>
      <c r="G334" s="676"/>
      <c r="H334" s="676"/>
      <c r="I334" s="676"/>
      <c r="J334" s="676"/>
      <c r="K334" s="676"/>
      <c r="L334" s="1305"/>
      <c r="M334" s="676"/>
      <c r="N334" s="826"/>
      <c r="O334" s="826"/>
      <c r="P334" s="826"/>
      <c r="Q334" s="826"/>
      <c r="R334" s="866"/>
      <c r="S334" s="866"/>
      <c r="T334" s="839"/>
      <c r="U334" s="655"/>
      <c r="V334" s="581"/>
      <c r="W334" s="581"/>
      <c r="X334" s="578"/>
    </row>
    <row r="335" spans="1:257" s="582" customFormat="1" ht="63">
      <c r="A335" s="939" t="s">
        <v>91</v>
      </c>
      <c r="B335" s="902" t="s">
        <v>1993</v>
      </c>
      <c r="C335" s="774"/>
      <c r="D335" s="774"/>
      <c r="E335" s="676"/>
      <c r="F335" s="676"/>
      <c r="G335" s="676"/>
      <c r="H335" s="676"/>
      <c r="I335" s="676"/>
      <c r="J335" s="676">
        <v>700000000</v>
      </c>
      <c r="K335" s="676">
        <v>600000000</v>
      </c>
      <c r="L335" s="1305">
        <v>1600000000</v>
      </c>
      <c r="M335" s="676" t="s">
        <v>1981</v>
      </c>
      <c r="N335" s="826"/>
      <c r="O335" s="826"/>
      <c r="P335" s="826"/>
      <c r="Q335" s="826"/>
      <c r="R335" s="866"/>
      <c r="S335" s="866"/>
      <c r="T335" s="839"/>
      <c r="U335" s="655"/>
      <c r="V335" s="581"/>
      <c r="W335" s="581"/>
      <c r="X335" s="578"/>
    </row>
    <row r="336" spans="1:257" s="582" customFormat="1" ht="34.5" customHeight="1">
      <c r="A336" s="939" t="s">
        <v>91</v>
      </c>
      <c r="B336" s="902" t="s">
        <v>1584</v>
      </c>
      <c r="C336" s="774"/>
      <c r="D336" s="774"/>
      <c r="E336" s="676"/>
      <c r="F336" s="676"/>
      <c r="G336" s="676"/>
      <c r="H336" s="676"/>
      <c r="I336" s="676"/>
      <c r="J336" s="676">
        <v>500000000</v>
      </c>
      <c r="K336" s="676"/>
      <c r="L336" s="1305"/>
      <c r="M336" s="676" t="s">
        <v>1585</v>
      </c>
      <c r="N336" s="826"/>
      <c r="O336" s="826"/>
      <c r="P336" s="826"/>
      <c r="Q336" s="826"/>
      <c r="R336" s="866"/>
      <c r="S336" s="866"/>
      <c r="T336" s="839"/>
      <c r="U336" s="655"/>
      <c r="V336" s="581"/>
      <c r="W336" s="581"/>
      <c r="X336" s="578"/>
    </row>
    <row r="337" spans="1:257" s="582" customFormat="1" ht="47.25" customHeight="1">
      <c r="A337" s="939" t="s">
        <v>91</v>
      </c>
      <c r="B337" s="902" t="s">
        <v>1581</v>
      </c>
      <c r="C337" s="774"/>
      <c r="D337" s="774"/>
      <c r="E337" s="676"/>
      <c r="F337" s="676"/>
      <c r="G337" s="676"/>
      <c r="H337" s="676"/>
      <c r="I337" s="676"/>
      <c r="J337" s="676">
        <v>80000000</v>
      </c>
      <c r="K337" s="676">
        <v>150000000</v>
      </c>
      <c r="L337" s="1305">
        <v>150000000</v>
      </c>
      <c r="M337" s="676"/>
      <c r="N337" s="826"/>
      <c r="O337" s="826"/>
      <c r="P337" s="826"/>
      <c r="Q337" s="826"/>
      <c r="R337" s="866"/>
      <c r="S337" s="866"/>
      <c r="T337" s="839"/>
      <c r="U337" s="655"/>
      <c r="V337" s="581"/>
      <c r="W337" s="581"/>
      <c r="X337" s="578"/>
    </row>
    <row r="338" spans="1:257" s="1214" customFormat="1" ht="34.5" customHeight="1">
      <c r="A338" s="1241" t="s">
        <v>91</v>
      </c>
      <c r="B338" s="1242" t="s">
        <v>1982</v>
      </c>
      <c r="C338" s="1243"/>
      <c r="D338" s="1243"/>
      <c r="E338" s="1244"/>
      <c r="F338" s="1244"/>
      <c r="G338" s="1244"/>
      <c r="H338" s="1244"/>
      <c r="I338" s="1244"/>
      <c r="J338" s="1244">
        <v>903000000</v>
      </c>
      <c r="K338" s="1244">
        <v>50000000</v>
      </c>
      <c r="L338" s="1305"/>
      <c r="M338" s="1244" t="s">
        <v>1582</v>
      </c>
      <c r="N338" s="1207"/>
      <c r="O338" s="1207"/>
      <c r="P338" s="1207"/>
      <c r="Q338" s="1207"/>
      <c r="R338" s="1245"/>
      <c r="S338" s="1245"/>
      <c r="T338" s="1246"/>
      <c r="U338" s="1211"/>
      <c r="V338" s="1212"/>
      <c r="W338" s="1212"/>
      <c r="X338" s="1213"/>
    </row>
    <row r="339" spans="1:257" s="582" customFormat="1" ht="34.5" customHeight="1">
      <c r="A339" s="939"/>
      <c r="B339" s="902" t="s">
        <v>987</v>
      </c>
      <c r="C339" s="774"/>
      <c r="D339" s="774"/>
      <c r="E339" s="676"/>
      <c r="F339" s="676"/>
      <c r="G339" s="676"/>
      <c r="H339" s="676"/>
      <c r="I339" s="676"/>
      <c r="J339" s="676"/>
      <c r="K339" s="676">
        <f>16500000*3</f>
        <v>49500000</v>
      </c>
      <c r="L339" s="1305"/>
      <c r="M339" s="676"/>
      <c r="N339" s="826"/>
      <c r="O339" s="826"/>
      <c r="P339" s="826"/>
      <c r="Q339" s="826"/>
      <c r="R339" s="866"/>
      <c r="S339" s="866"/>
      <c r="T339" s="839"/>
      <c r="U339" s="655"/>
      <c r="V339" s="581"/>
      <c r="W339" s="581"/>
      <c r="X339" s="578"/>
    </row>
    <row r="340" spans="1:257" s="582" customFormat="1">
      <c r="A340" s="939" t="s">
        <v>91</v>
      </c>
      <c r="B340" s="902" t="s">
        <v>1583</v>
      </c>
      <c r="C340" s="774"/>
      <c r="D340" s="774"/>
      <c r="E340" s="676"/>
      <c r="F340" s="676">
        <v>1000000000</v>
      </c>
      <c r="G340" s="1795" t="s">
        <v>988</v>
      </c>
      <c r="H340" s="972"/>
      <c r="I340" s="972"/>
      <c r="J340" s="676"/>
      <c r="K340" s="676"/>
      <c r="L340" s="1305"/>
      <c r="M340" s="676"/>
      <c r="N340" s="826"/>
      <c r="O340" s="826"/>
      <c r="P340" s="973"/>
      <c r="Q340" s="973"/>
      <c r="R340" s="866"/>
      <c r="S340" s="866"/>
      <c r="T340" s="839"/>
      <c r="U340" s="655"/>
      <c r="V340" s="581"/>
      <c r="W340" s="581"/>
      <c r="X340" s="578"/>
    </row>
    <row r="341" spans="1:257" s="582" customFormat="1">
      <c r="A341" s="939" t="s">
        <v>91</v>
      </c>
      <c r="B341" s="902" t="s">
        <v>1586</v>
      </c>
      <c r="C341" s="774"/>
      <c r="D341" s="774"/>
      <c r="E341" s="676"/>
      <c r="F341" s="676">
        <v>1300000000</v>
      </c>
      <c r="G341" s="1795"/>
      <c r="H341" s="972"/>
      <c r="I341" s="972"/>
      <c r="J341" s="676"/>
      <c r="K341" s="676"/>
      <c r="L341" s="1305"/>
      <c r="M341" s="676" t="s">
        <v>1983</v>
      </c>
      <c r="N341" s="826"/>
      <c r="O341" s="826"/>
      <c r="P341" s="973"/>
      <c r="Q341" s="973"/>
      <c r="R341" s="866"/>
      <c r="S341" s="866"/>
      <c r="T341" s="839"/>
      <c r="U341" s="655"/>
      <c r="V341" s="581"/>
      <c r="W341" s="581"/>
      <c r="X341" s="578"/>
    </row>
    <row r="342" spans="1:257" s="703" customFormat="1">
      <c r="A342" s="729" t="s">
        <v>261</v>
      </c>
      <c r="B342" s="833" t="s">
        <v>262</v>
      </c>
      <c r="C342" s="729"/>
      <c r="D342" s="729"/>
      <c r="E342" s="731"/>
      <c r="F342" s="834">
        <f t="shared" ref="F342:L342" si="37">F343</f>
        <v>295000000</v>
      </c>
      <c r="G342" s="834">
        <f t="shared" si="37"/>
        <v>0</v>
      </c>
      <c r="H342" s="834">
        <f t="shared" si="37"/>
        <v>0</v>
      </c>
      <c r="I342" s="834">
        <f t="shared" si="37"/>
        <v>0</v>
      </c>
      <c r="J342" s="834">
        <f t="shared" si="37"/>
        <v>245300000</v>
      </c>
      <c r="K342" s="834">
        <f t="shared" si="37"/>
        <v>96950000</v>
      </c>
      <c r="L342" s="1312">
        <f t="shared" si="37"/>
        <v>187000000</v>
      </c>
      <c r="M342" s="626"/>
      <c r="N342" s="835"/>
      <c r="O342" s="835"/>
      <c r="P342" s="890"/>
      <c r="Q342" s="890"/>
      <c r="R342" s="900"/>
      <c r="S342" s="891"/>
      <c r="T342" s="832"/>
      <c r="U342" s="849"/>
      <c r="V342" s="701"/>
      <c r="W342" s="701"/>
      <c r="X342" s="702"/>
    </row>
    <row r="343" spans="1:257" s="582" customFormat="1">
      <c r="A343" s="758"/>
      <c r="B343" s="759" t="s">
        <v>263</v>
      </c>
      <c r="C343" s="758"/>
      <c r="D343" s="758"/>
      <c r="E343" s="760"/>
      <c r="F343" s="761">
        <f>(F332+F330)*10%</f>
        <v>295000000</v>
      </c>
      <c r="G343" s="760"/>
      <c r="H343" s="760"/>
      <c r="I343" s="760"/>
      <c r="J343" s="761">
        <f>((J330+J333+J334+J335+J336+J337+J338+J340+J341)*10%)</f>
        <v>245300000</v>
      </c>
      <c r="K343" s="761">
        <f>(K330+K332)*10%</f>
        <v>96950000</v>
      </c>
      <c r="L343" s="1306">
        <f>(L330+L332)*10%</f>
        <v>187000000</v>
      </c>
      <c r="M343" s="761"/>
      <c r="N343" s="837"/>
      <c r="O343" s="837"/>
      <c r="P343" s="868"/>
      <c r="Q343" s="868"/>
      <c r="R343" s="866"/>
      <c r="S343" s="866"/>
      <c r="T343" s="839"/>
      <c r="U343" s="726"/>
      <c r="V343" s="581"/>
      <c r="W343" s="581"/>
      <c r="X343" s="578"/>
    </row>
    <row r="344" spans="1:257" s="976" customFormat="1" ht="31.5">
      <c r="A344" s="791">
        <v>4</v>
      </c>
      <c r="B344" s="840" t="s">
        <v>302</v>
      </c>
      <c r="C344" s="791"/>
      <c r="D344" s="791"/>
      <c r="E344" s="792"/>
      <c r="F344" s="792">
        <f t="shared" ref="F344:J344" si="38">F345+F357+F373</f>
        <v>2035000000</v>
      </c>
      <c r="G344" s="792">
        <f t="shared" si="38"/>
        <v>0</v>
      </c>
      <c r="H344" s="792">
        <f t="shared" si="38"/>
        <v>0</v>
      </c>
      <c r="I344" s="792">
        <f t="shared" si="38"/>
        <v>0</v>
      </c>
      <c r="J344" s="792">
        <f t="shared" si="38"/>
        <v>2287307923</v>
      </c>
      <c r="K344" s="792">
        <f>K345+K357+K373</f>
        <v>1875500000</v>
      </c>
      <c r="L344" s="1303">
        <f>L345+L357+L373</f>
        <v>1663000000</v>
      </c>
      <c r="M344" s="792" t="s">
        <v>1598</v>
      </c>
      <c r="N344" s="841">
        <f>2035000000-L344</f>
        <v>372000000</v>
      </c>
      <c r="O344" s="841"/>
      <c r="P344" s="974"/>
      <c r="Q344" s="974"/>
      <c r="R344" s="894"/>
      <c r="S344" s="947"/>
      <c r="T344" s="948"/>
      <c r="U344" s="799"/>
      <c r="V344" s="800"/>
      <c r="W344" s="800"/>
      <c r="X344" s="975"/>
    </row>
    <row r="345" spans="1:257" s="634" customFormat="1">
      <c r="A345" s="729" t="s">
        <v>222</v>
      </c>
      <c r="B345" s="949" t="s">
        <v>252</v>
      </c>
      <c r="C345" s="729"/>
      <c r="D345" s="729"/>
      <c r="E345" s="731"/>
      <c r="F345" s="834">
        <f t="shared" ref="F345:J345" si="39">F346</f>
        <v>720000000</v>
      </c>
      <c r="G345" s="834">
        <f t="shared" si="39"/>
        <v>0</v>
      </c>
      <c r="H345" s="834">
        <f t="shared" si="39"/>
        <v>0</v>
      </c>
      <c r="I345" s="834">
        <f t="shared" si="39"/>
        <v>0</v>
      </c>
      <c r="J345" s="834">
        <f t="shared" si="39"/>
        <v>160692923</v>
      </c>
      <c r="K345" s="834">
        <f>K352+K354+K355</f>
        <v>604000000</v>
      </c>
      <c r="L345" s="1312">
        <f>L352+L354+L355</f>
        <v>701000000</v>
      </c>
      <c r="M345" s="626"/>
      <c r="N345" s="950">
        <v>3072000000</v>
      </c>
      <c r="O345" s="950" t="s">
        <v>1977</v>
      </c>
      <c r="P345" s="951"/>
      <c r="Q345" s="951"/>
      <c r="R345" s="952"/>
      <c r="S345" s="952"/>
      <c r="T345" s="953"/>
      <c r="U345" s="954"/>
      <c r="V345" s="735"/>
      <c r="W345" s="907"/>
      <c r="X345" s="769"/>
      <c r="Y345" s="889"/>
      <c r="Z345" s="889"/>
      <c r="AA345" s="889"/>
      <c r="AB345" s="889"/>
      <c r="AC345" s="889"/>
      <c r="AD345" s="889"/>
      <c r="AE345" s="889"/>
      <c r="AF345" s="889"/>
      <c r="AG345" s="889"/>
      <c r="AH345" s="889"/>
      <c r="AI345" s="889"/>
      <c r="AJ345" s="889"/>
      <c r="AK345" s="889"/>
      <c r="AL345" s="889"/>
      <c r="AM345" s="889"/>
      <c r="AN345" s="889"/>
      <c r="AO345" s="889"/>
      <c r="AP345" s="889"/>
      <c r="AQ345" s="889"/>
      <c r="AR345" s="889"/>
      <c r="AS345" s="889"/>
      <c r="AT345" s="889"/>
      <c r="AU345" s="889"/>
      <c r="AV345" s="889"/>
      <c r="AW345" s="889"/>
      <c r="AX345" s="889"/>
      <c r="AY345" s="889"/>
      <c r="AZ345" s="889"/>
      <c r="BA345" s="889"/>
      <c r="BB345" s="889"/>
      <c r="BC345" s="889"/>
      <c r="BD345" s="889"/>
      <c r="BE345" s="889"/>
      <c r="BF345" s="889"/>
      <c r="BG345" s="889"/>
      <c r="BH345" s="889"/>
      <c r="BI345" s="889"/>
      <c r="BJ345" s="889"/>
      <c r="BK345" s="889"/>
      <c r="BL345" s="889"/>
      <c r="BM345" s="889"/>
      <c r="BN345" s="889"/>
      <c r="BO345" s="889"/>
      <c r="BP345" s="889"/>
      <c r="BQ345" s="889"/>
      <c r="BR345" s="889"/>
      <c r="BS345" s="889"/>
      <c r="BT345" s="889"/>
      <c r="BU345" s="889"/>
      <c r="BV345" s="889"/>
      <c r="BW345" s="889"/>
      <c r="BX345" s="889"/>
      <c r="BY345" s="889"/>
      <c r="BZ345" s="889"/>
      <c r="CA345" s="889"/>
      <c r="CB345" s="889"/>
      <c r="CC345" s="889"/>
      <c r="CD345" s="889"/>
      <c r="CE345" s="889"/>
      <c r="CF345" s="889"/>
      <c r="CG345" s="889"/>
      <c r="CH345" s="889"/>
      <c r="CI345" s="889"/>
      <c r="CJ345" s="889"/>
      <c r="CK345" s="889"/>
      <c r="CL345" s="889"/>
      <c r="CM345" s="889"/>
      <c r="CN345" s="889"/>
      <c r="CO345" s="889"/>
      <c r="CP345" s="889"/>
      <c r="CQ345" s="889"/>
      <c r="CR345" s="889"/>
      <c r="CS345" s="889"/>
      <c r="CT345" s="889"/>
      <c r="CU345" s="889"/>
      <c r="CV345" s="889"/>
      <c r="CW345" s="889"/>
      <c r="CX345" s="889"/>
      <c r="CY345" s="889"/>
      <c r="CZ345" s="889"/>
      <c r="DA345" s="889"/>
      <c r="DB345" s="889"/>
      <c r="DC345" s="889"/>
      <c r="DD345" s="889"/>
      <c r="DE345" s="889"/>
      <c r="DF345" s="889"/>
      <c r="DG345" s="889"/>
      <c r="DH345" s="889"/>
      <c r="DI345" s="889"/>
      <c r="DJ345" s="889"/>
      <c r="DK345" s="889"/>
      <c r="DL345" s="889"/>
      <c r="DM345" s="889"/>
      <c r="DN345" s="889"/>
      <c r="DO345" s="889"/>
      <c r="DP345" s="889"/>
      <c r="DQ345" s="889"/>
      <c r="DR345" s="889"/>
      <c r="DS345" s="889"/>
      <c r="DT345" s="889"/>
      <c r="DU345" s="889"/>
      <c r="DV345" s="889"/>
      <c r="DW345" s="889"/>
      <c r="DX345" s="889"/>
      <c r="DY345" s="889"/>
      <c r="DZ345" s="889"/>
      <c r="EA345" s="889"/>
      <c r="EB345" s="889"/>
      <c r="EC345" s="889"/>
      <c r="ED345" s="889"/>
      <c r="EE345" s="889"/>
      <c r="EF345" s="889"/>
      <c r="EG345" s="889"/>
      <c r="EH345" s="889"/>
      <c r="EI345" s="889"/>
      <c r="EJ345" s="889"/>
      <c r="EK345" s="889"/>
      <c r="EL345" s="889"/>
      <c r="EM345" s="889"/>
      <c r="EN345" s="889"/>
      <c r="EO345" s="889"/>
      <c r="EP345" s="889"/>
      <c r="EQ345" s="889"/>
      <c r="ER345" s="889"/>
      <c r="ES345" s="889"/>
      <c r="ET345" s="889"/>
      <c r="EU345" s="889"/>
      <c r="EV345" s="889"/>
      <c r="EW345" s="889"/>
      <c r="EX345" s="889"/>
      <c r="EY345" s="889"/>
      <c r="EZ345" s="889"/>
      <c r="FA345" s="889"/>
      <c r="FB345" s="889"/>
      <c r="FC345" s="889"/>
      <c r="FD345" s="889"/>
      <c r="FE345" s="889"/>
      <c r="FF345" s="889"/>
      <c r="FG345" s="889"/>
      <c r="FH345" s="889"/>
      <c r="FI345" s="889"/>
      <c r="FJ345" s="889"/>
      <c r="FK345" s="889"/>
      <c r="FL345" s="889"/>
      <c r="FM345" s="889"/>
      <c r="FN345" s="889"/>
      <c r="FO345" s="889"/>
      <c r="FP345" s="889"/>
      <c r="FQ345" s="889"/>
      <c r="FR345" s="889"/>
      <c r="FS345" s="889"/>
      <c r="FT345" s="889"/>
      <c r="FU345" s="889"/>
      <c r="FV345" s="889"/>
      <c r="FW345" s="889"/>
      <c r="FX345" s="889"/>
      <c r="FY345" s="889"/>
      <c r="FZ345" s="889"/>
      <c r="GA345" s="889"/>
      <c r="GB345" s="889"/>
      <c r="GC345" s="889"/>
      <c r="GD345" s="889"/>
      <c r="GE345" s="889"/>
      <c r="GF345" s="889"/>
      <c r="GG345" s="889"/>
      <c r="GH345" s="889"/>
      <c r="GI345" s="889"/>
      <c r="GJ345" s="889"/>
      <c r="GK345" s="889"/>
      <c r="GL345" s="889"/>
      <c r="GM345" s="889"/>
      <c r="GN345" s="889"/>
      <c r="GO345" s="889"/>
      <c r="GP345" s="889"/>
      <c r="GQ345" s="889"/>
      <c r="GR345" s="889"/>
      <c r="GS345" s="889"/>
      <c r="GT345" s="889"/>
      <c r="GU345" s="889"/>
      <c r="GV345" s="889"/>
      <c r="GW345" s="889"/>
      <c r="GX345" s="889"/>
      <c r="GY345" s="889"/>
      <c r="GZ345" s="889"/>
      <c r="HA345" s="889"/>
      <c r="HB345" s="889"/>
      <c r="HC345" s="889"/>
      <c r="HD345" s="889"/>
      <c r="HE345" s="889"/>
      <c r="HF345" s="889"/>
      <c r="HG345" s="889"/>
      <c r="HH345" s="889"/>
      <c r="HI345" s="889"/>
      <c r="HJ345" s="889"/>
      <c r="HK345" s="889"/>
      <c r="HL345" s="889"/>
      <c r="HM345" s="889"/>
      <c r="HN345" s="889"/>
      <c r="HO345" s="889"/>
      <c r="HP345" s="889"/>
      <c r="HQ345" s="889"/>
      <c r="HR345" s="889"/>
      <c r="HS345" s="889"/>
      <c r="HT345" s="889"/>
      <c r="HU345" s="889"/>
      <c r="HV345" s="889"/>
      <c r="HW345" s="889"/>
      <c r="HX345" s="889"/>
      <c r="HY345" s="889"/>
      <c r="HZ345" s="889"/>
      <c r="IA345" s="889"/>
      <c r="IB345" s="889"/>
      <c r="IC345" s="889"/>
      <c r="ID345" s="889"/>
      <c r="IE345" s="889"/>
      <c r="IF345" s="889"/>
      <c r="IG345" s="889"/>
      <c r="IH345" s="889"/>
      <c r="II345" s="889"/>
      <c r="IJ345" s="889"/>
      <c r="IK345" s="889"/>
      <c r="IL345" s="889"/>
      <c r="IM345" s="889"/>
      <c r="IN345" s="889"/>
      <c r="IO345" s="889"/>
      <c r="IP345" s="889"/>
      <c r="IQ345" s="889"/>
      <c r="IR345" s="889"/>
      <c r="IS345" s="889"/>
      <c r="IT345" s="889"/>
      <c r="IU345" s="889"/>
      <c r="IV345" s="889"/>
      <c r="IW345" s="889"/>
    </row>
    <row r="346" spans="1:257" s="634" customFormat="1" ht="46.5" customHeight="1">
      <c r="A346" s="738" t="s">
        <v>192</v>
      </c>
      <c r="B346" s="955" t="s">
        <v>292</v>
      </c>
      <c r="C346" s="758"/>
      <c r="D346" s="758"/>
      <c r="E346" s="956"/>
      <c r="F346" s="740">
        <f t="shared" ref="F346:I346" si="40">F349</f>
        <v>720000000</v>
      </c>
      <c r="G346" s="740">
        <f t="shared" si="40"/>
        <v>0</v>
      </c>
      <c r="H346" s="740">
        <f t="shared" si="40"/>
        <v>0</v>
      </c>
      <c r="I346" s="740">
        <f t="shared" si="40"/>
        <v>0</v>
      </c>
      <c r="J346" s="740">
        <f>J349</f>
        <v>160692923</v>
      </c>
      <c r="K346" s="740"/>
      <c r="L346" s="1315"/>
      <c r="M346" s="761"/>
      <c r="N346" s="903">
        <f>L344+Sheet2!AI15*1000</f>
        <v>2887351800</v>
      </c>
      <c r="O346" s="903" t="s">
        <v>1976</v>
      </c>
      <c r="P346" s="957"/>
      <c r="Q346" s="957"/>
      <c r="R346" s="861"/>
      <c r="S346" s="861"/>
      <c r="T346" s="862"/>
      <c r="U346" s="755"/>
      <c r="V346" s="746"/>
      <c r="W346" s="907"/>
      <c r="X346" s="769"/>
      <c r="Y346" s="889"/>
      <c r="Z346" s="889"/>
      <c r="AA346" s="889"/>
      <c r="AB346" s="889"/>
      <c r="AC346" s="889"/>
      <c r="AD346" s="889"/>
      <c r="AE346" s="889"/>
      <c r="AF346" s="889"/>
      <c r="AG346" s="889"/>
      <c r="AH346" s="889"/>
      <c r="AI346" s="889"/>
      <c r="AJ346" s="889"/>
      <c r="AK346" s="889"/>
      <c r="AL346" s="889"/>
      <c r="AM346" s="889"/>
      <c r="AN346" s="889"/>
      <c r="AO346" s="889"/>
      <c r="AP346" s="889"/>
      <c r="AQ346" s="889"/>
      <c r="AR346" s="889"/>
      <c r="AS346" s="889"/>
      <c r="AT346" s="889"/>
      <c r="AU346" s="889"/>
      <c r="AV346" s="889"/>
      <c r="AW346" s="889"/>
      <c r="AX346" s="889"/>
      <c r="AY346" s="889"/>
      <c r="AZ346" s="889"/>
      <c r="BA346" s="889"/>
      <c r="BB346" s="889"/>
      <c r="BC346" s="889"/>
      <c r="BD346" s="889"/>
      <c r="BE346" s="889"/>
      <c r="BF346" s="889"/>
      <c r="BG346" s="889"/>
      <c r="BH346" s="889"/>
      <c r="BI346" s="889"/>
      <c r="BJ346" s="889"/>
      <c r="BK346" s="889"/>
      <c r="BL346" s="889"/>
      <c r="BM346" s="889"/>
      <c r="BN346" s="889"/>
      <c r="BO346" s="889"/>
      <c r="BP346" s="889"/>
      <c r="BQ346" s="889"/>
      <c r="BR346" s="889"/>
      <c r="BS346" s="889"/>
      <c r="BT346" s="889"/>
      <c r="BU346" s="889"/>
      <c r="BV346" s="889"/>
      <c r="BW346" s="889"/>
      <c r="BX346" s="889"/>
      <c r="BY346" s="889"/>
      <c r="BZ346" s="889"/>
      <c r="CA346" s="889"/>
      <c r="CB346" s="889"/>
      <c r="CC346" s="889"/>
      <c r="CD346" s="889"/>
      <c r="CE346" s="889"/>
      <c r="CF346" s="889"/>
      <c r="CG346" s="889"/>
      <c r="CH346" s="889"/>
      <c r="CI346" s="889"/>
      <c r="CJ346" s="889"/>
      <c r="CK346" s="889"/>
      <c r="CL346" s="889"/>
      <c r="CM346" s="889"/>
      <c r="CN346" s="889"/>
      <c r="CO346" s="889"/>
      <c r="CP346" s="889"/>
      <c r="CQ346" s="889"/>
      <c r="CR346" s="889"/>
      <c r="CS346" s="889"/>
      <c r="CT346" s="889"/>
      <c r="CU346" s="889"/>
      <c r="CV346" s="889"/>
      <c r="CW346" s="889"/>
      <c r="CX346" s="889"/>
      <c r="CY346" s="889"/>
      <c r="CZ346" s="889"/>
      <c r="DA346" s="889"/>
      <c r="DB346" s="889"/>
      <c r="DC346" s="889"/>
      <c r="DD346" s="889"/>
      <c r="DE346" s="889"/>
      <c r="DF346" s="889"/>
      <c r="DG346" s="889"/>
      <c r="DH346" s="889"/>
      <c r="DI346" s="889"/>
      <c r="DJ346" s="889"/>
      <c r="DK346" s="889"/>
      <c r="DL346" s="889"/>
      <c r="DM346" s="889"/>
      <c r="DN346" s="889"/>
      <c r="DO346" s="889"/>
      <c r="DP346" s="889"/>
      <c r="DQ346" s="889"/>
      <c r="DR346" s="889"/>
      <c r="DS346" s="889"/>
      <c r="DT346" s="889"/>
      <c r="DU346" s="889"/>
      <c r="DV346" s="889"/>
      <c r="DW346" s="889"/>
      <c r="DX346" s="889"/>
      <c r="DY346" s="889"/>
      <c r="DZ346" s="889"/>
      <c r="EA346" s="889"/>
      <c r="EB346" s="889"/>
      <c r="EC346" s="889"/>
      <c r="ED346" s="889"/>
      <c r="EE346" s="889"/>
      <c r="EF346" s="889"/>
      <c r="EG346" s="889"/>
      <c r="EH346" s="889"/>
      <c r="EI346" s="889"/>
      <c r="EJ346" s="889"/>
      <c r="EK346" s="889"/>
      <c r="EL346" s="889"/>
      <c r="EM346" s="889"/>
      <c r="EN346" s="889"/>
      <c r="EO346" s="889"/>
      <c r="EP346" s="889"/>
      <c r="EQ346" s="889"/>
      <c r="ER346" s="889"/>
      <c r="ES346" s="889"/>
      <c r="ET346" s="889"/>
      <c r="EU346" s="889"/>
      <c r="EV346" s="889"/>
      <c r="EW346" s="889"/>
      <c r="EX346" s="889"/>
      <c r="EY346" s="889"/>
      <c r="EZ346" s="889"/>
      <c r="FA346" s="889"/>
      <c r="FB346" s="889"/>
      <c r="FC346" s="889"/>
      <c r="FD346" s="889"/>
      <c r="FE346" s="889"/>
      <c r="FF346" s="889"/>
      <c r="FG346" s="889"/>
      <c r="FH346" s="889"/>
      <c r="FI346" s="889"/>
      <c r="FJ346" s="889"/>
      <c r="FK346" s="889"/>
      <c r="FL346" s="889"/>
      <c r="FM346" s="889"/>
      <c r="FN346" s="889"/>
      <c r="FO346" s="889"/>
      <c r="FP346" s="889"/>
      <c r="FQ346" s="889"/>
      <c r="FR346" s="889"/>
      <c r="FS346" s="889"/>
      <c r="FT346" s="889"/>
      <c r="FU346" s="889"/>
      <c r="FV346" s="889"/>
      <c r="FW346" s="889"/>
      <c r="FX346" s="889"/>
      <c r="FY346" s="889"/>
      <c r="FZ346" s="889"/>
      <c r="GA346" s="889"/>
      <c r="GB346" s="889"/>
      <c r="GC346" s="889"/>
      <c r="GD346" s="889"/>
      <c r="GE346" s="889"/>
      <c r="GF346" s="889"/>
      <c r="GG346" s="889"/>
      <c r="GH346" s="889"/>
      <c r="GI346" s="889"/>
      <c r="GJ346" s="889"/>
      <c r="GK346" s="889"/>
      <c r="GL346" s="889"/>
      <c r="GM346" s="889"/>
      <c r="GN346" s="889"/>
      <c r="GO346" s="889"/>
      <c r="GP346" s="889"/>
      <c r="GQ346" s="889"/>
      <c r="GR346" s="889"/>
      <c r="GS346" s="889"/>
      <c r="GT346" s="889"/>
      <c r="GU346" s="889"/>
      <c r="GV346" s="889"/>
      <c r="GW346" s="889"/>
      <c r="GX346" s="889"/>
      <c r="GY346" s="889"/>
      <c r="GZ346" s="889"/>
      <c r="HA346" s="889"/>
      <c r="HB346" s="889"/>
      <c r="HC346" s="889"/>
      <c r="HD346" s="889"/>
      <c r="HE346" s="889"/>
      <c r="HF346" s="889"/>
      <c r="HG346" s="889"/>
      <c r="HH346" s="889"/>
      <c r="HI346" s="889"/>
      <c r="HJ346" s="889"/>
      <c r="HK346" s="889"/>
      <c r="HL346" s="889"/>
      <c r="HM346" s="889"/>
      <c r="HN346" s="889"/>
      <c r="HO346" s="889"/>
      <c r="HP346" s="889"/>
      <c r="HQ346" s="889"/>
      <c r="HR346" s="889"/>
      <c r="HS346" s="889"/>
      <c r="HT346" s="889"/>
      <c r="HU346" s="889"/>
      <c r="HV346" s="889"/>
      <c r="HW346" s="889"/>
      <c r="HX346" s="889"/>
      <c r="HY346" s="889"/>
      <c r="HZ346" s="889"/>
      <c r="IA346" s="889"/>
      <c r="IB346" s="889"/>
      <c r="IC346" s="889"/>
      <c r="ID346" s="889"/>
      <c r="IE346" s="889"/>
      <c r="IF346" s="889"/>
      <c r="IG346" s="889"/>
      <c r="IH346" s="889"/>
      <c r="II346" s="889"/>
      <c r="IJ346" s="889"/>
      <c r="IK346" s="889"/>
      <c r="IL346" s="889"/>
      <c r="IM346" s="889"/>
      <c r="IN346" s="889"/>
      <c r="IO346" s="889"/>
      <c r="IP346" s="889"/>
      <c r="IQ346" s="889"/>
      <c r="IR346" s="889"/>
      <c r="IS346" s="889"/>
      <c r="IT346" s="889"/>
      <c r="IU346" s="889"/>
      <c r="IV346" s="889"/>
      <c r="IW346" s="889"/>
    </row>
    <row r="347" spans="1:257" s="634" customFormat="1" ht="22.5" customHeight="1">
      <c r="A347" s="758"/>
      <c r="B347" s="760" t="s">
        <v>304</v>
      </c>
      <c r="C347" s="758"/>
      <c r="D347" s="758"/>
      <c r="E347" s="956" t="s">
        <v>989</v>
      </c>
      <c r="F347" s="760">
        <v>2035000000</v>
      </c>
      <c r="G347" s="760">
        <v>2035000001</v>
      </c>
      <c r="H347" s="760">
        <v>2035000002</v>
      </c>
      <c r="I347" s="760">
        <v>2035000003</v>
      </c>
      <c r="J347" s="760">
        <v>2035000004</v>
      </c>
      <c r="K347" s="760"/>
      <c r="L347" s="1311"/>
      <c r="M347" s="761"/>
      <c r="N347" s="904">
        <f>N346-N345</f>
        <v>-184648200</v>
      </c>
      <c r="O347" s="904"/>
      <c r="P347" s="957"/>
      <c r="Q347" s="957"/>
      <c r="R347" s="941"/>
      <c r="S347" s="861"/>
      <c r="T347" s="862"/>
      <c r="U347" s="755"/>
      <c r="V347" s="907"/>
      <c r="W347" s="907"/>
      <c r="X347" s="769"/>
      <c r="Y347" s="889"/>
      <c r="Z347" s="889"/>
      <c r="AA347" s="889"/>
      <c r="AB347" s="889"/>
      <c r="AC347" s="889"/>
      <c r="AD347" s="889"/>
      <c r="AE347" s="889"/>
      <c r="AF347" s="889"/>
      <c r="AG347" s="889"/>
      <c r="AH347" s="889"/>
      <c r="AI347" s="889"/>
      <c r="AJ347" s="889"/>
      <c r="AK347" s="889"/>
      <c r="AL347" s="889"/>
      <c r="AM347" s="889"/>
      <c r="AN347" s="889"/>
      <c r="AO347" s="889"/>
      <c r="AP347" s="889"/>
      <c r="AQ347" s="889"/>
      <c r="AR347" s="889"/>
      <c r="AS347" s="889"/>
      <c r="AT347" s="889"/>
      <c r="AU347" s="889"/>
      <c r="AV347" s="889"/>
      <c r="AW347" s="889"/>
      <c r="AX347" s="889"/>
      <c r="AY347" s="889"/>
      <c r="AZ347" s="889"/>
      <c r="BA347" s="889"/>
      <c r="BB347" s="889"/>
      <c r="BC347" s="889"/>
      <c r="BD347" s="889"/>
      <c r="BE347" s="889"/>
      <c r="BF347" s="889"/>
      <c r="BG347" s="889"/>
      <c r="BH347" s="889"/>
      <c r="BI347" s="889"/>
      <c r="BJ347" s="889"/>
      <c r="BK347" s="889"/>
      <c r="BL347" s="889"/>
      <c r="BM347" s="889"/>
      <c r="BN347" s="889"/>
      <c r="BO347" s="889"/>
      <c r="BP347" s="889"/>
      <c r="BQ347" s="889"/>
      <c r="BR347" s="889"/>
      <c r="BS347" s="889"/>
      <c r="BT347" s="889"/>
      <c r="BU347" s="889"/>
      <c r="BV347" s="889"/>
      <c r="BW347" s="889"/>
      <c r="BX347" s="889"/>
      <c r="BY347" s="889"/>
      <c r="BZ347" s="889"/>
      <c r="CA347" s="889"/>
      <c r="CB347" s="889"/>
      <c r="CC347" s="889"/>
      <c r="CD347" s="889"/>
      <c r="CE347" s="889"/>
      <c r="CF347" s="889"/>
      <c r="CG347" s="889"/>
      <c r="CH347" s="889"/>
      <c r="CI347" s="889"/>
      <c r="CJ347" s="889"/>
      <c r="CK347" s="889"/>
      <c r="CL347" s="889"/>
      <c r="CM347" s="889"/>
      <c r="CN347" s="889"/>
      <c r="CO347" s="889"/>
      <c r="CP347" s="889"/>
      <c r="CQ347" s="889"/>
      <c r="CR347" s="889"/>
      <c r="CS347" s="889"/>
      <c r="CT347" s="889"/>
      <c r="CU347" s="889"/>
      <c r="CV347" s="889"/>
      <c r="CW347" s="889"/>
      <c r="CX347" s="889"/>
      <c r="CY347" s="889"/>
      <c r="CZ347" s="889"/>
      <c r="DA347" s="889"/>
      <c r="DB347" s="889"/>
      <c r="DC347" s="889"/>
      <c r="DD347" s="889"/>
      <c r="DE347" s="889"/>
      <c r="DF347" s="889"/>
      <c r="DG347" s="889"/>
      <c r="DH347" s="889"/>
      <c r="DI347" s="889"/>
      <c r="DJ347" s="889"/>
      <c r="DK347" s="889"/>
      <c r="DL347" s="889"/>
      <c r="DM347" s="889"/>
      <c r="DN347" s="889"/>
      <c r="DO347" s="889"/>
      <c r="DP347" s="889"/>
      <c r="DQ347" s="889"/>
      <c r="DR347" s="889"/>
      <c r="DS347" s="889"/>
      <c r="DT347" s="889"/>
      <c r="DU347" s="889"/>
      <c r="DV347" s="889"/>
      <c r="DW347" s="889"/>
      <c r="DX347" s="889"/>
      <c r="DY347" s="889"/>
      <c r="DZ347" s="889"/>
      <c r="EA347" s="889"/>
      <c r="EB347" s="889"/>
      <c r="EC347" s="889"/>
      <c r="ED347" s="889"/>
      <c r="EE347" s="889"/>
      <c r="EF347" s="889"/>
      <c r="EG347" s="889"/>
      <c r="EH347" s="889"/>
      <c r="EI347" s="889"/>
      <c r="EJ347" s="889"/>
      <c r="EK347" s="889"/>
      <c r="EL347" s="889"/>
      <c r="EM347" s="889"/>
      <c r="EN347" s="889"/>
      <c r="EO347" s="889"/>
      <c r="EP347" s="889"/>
      <c r="EQ347" s="889"/>
      <c r="ER347" s="889"/>
      <c r="ES347" s="889"/>
      <c r="ET347" s="889"/>
      <c r="EU347" s="889"/>
      <c r="EV347" s="889"/>
      <c r="EW347" s="889"/>
      <c r="EX347" s="889"/>
      <c r="EY347" s="889"/>
      <c r="EZ347" s="889"/>
      <c r="FA347" s="889"/>
      <c r="FB347" s="889"/>
      <c r="FC347" s="889"/>
      <c r="FD347" s="889"/>
      <c r="FE347" s="889"/>
      <c r="FF347" s="889"/>
      <c r="FG347" s="889"/>
      <c r="FH347" s="889"/>
      <c r="FI347" s="889"/>
      <c r="FJ347" s="889"/>
      <c r="FK347" s="889"/>
      <c r="FL347" s="889"/>
      <c r="FM347" s="889"/>
      <c r="FN347" s="889"/>
      <c r="FO347" s="889"/>
      <c r="FP347" s="889"/>
      <c r="FQ347" s="889"/>
      <c r="FR347" s="889"/>
      <c r="FS347" s="889"/>
      <c r="FT347" s="889"/>
      <c r="FU347" s="889"/>
      <c r="FV347" s="889"/>
      <c r="FW347" s="889"/>
      <c r="FX347" s="889"/>
      <c r="FY347" s="889"/>
      <c r="FZ347" s="889"/>
      <c r="GA347" s="889"/>
      <c r="GB347" s="889"/>
      <c r="GC347" s="889"/>
      <c r="GD347" s="889"/>
      <c r="GE347" s="889"/>
      <c r="GF347" s="889"/>
      <c r="GG347" s="889"/>
      <c r="GH347" s="889"/>
      <c r="GI347" s="889"/>
      <c r="GJ347" s="889"/>
      <c r="GK347" s="889"/>
      <c r="GL347" s="889"/>
      <c r="GM347" s="889"/>
      <c r="GN347" s="889"/>
      <c r="GO347" s="889"/>
      <c r="GP347" s="889"/>
      <c r="GQ347" s="889"/>
      <c r="GR347" s="889"/>
      <c r="GS347" s="889"/>
      <c r="GT347" s="889"/>
      <c r="GU347" s="889"/>
      <c r="GV347" s="889"/>
      <c r="GW347" s="889"/>
      <c r="GX347" s="889"/>
      <c r="GY347" s="889"/>
      <c r="GZ347" s="889"/>
      <c r="HA347" s="889"/>
      <c r="HB347" s="889"/>
      <c r="HC347" s="889"/>
      <c r="HD347" s="889"/>
      <c r="HE347" s="889"/>
      <c r="HF347" s="889"/>
      <c r="HG347" s="889"/>
      <c r="HH347" s="889"/>
      <c r="HI347" s="889"/>
      <c r="HJ347" s="889"/>
      <c r="HK347" s="889"/>
      <c r="HL347" s="889"/>
      <c r="HM347" s="889"/>
      <c r="HN347" s="889"/>
      <c r="HO347" s="889"/>
      <c r="HP347" s="889"/>
      <c r="HQ347" s="889"/>
      <c r="HR347" s="889"/>
      <c r="HS347" s="889"/>
      <c r="HT347" s="889"/>
      <c r="HU347" s="889"/>
      <c r="HV347" s="889"/>
      <c r="HW347" s="889"/>
      <c r="HX347" s="889"/>
      <c r="HY347" s="889"/>
      <c r="HZ347" s="889"/>
      <c r="IA347" s="889"/>
      <c r="IB347" s="889"/>
      <c r="IC347" s="889"/>
      <c r="ID347" s="889"/>
      <c r="IE347" s="889"/>
      <c r="IF347" s="889"/>
      <c r="IG347" s="889"/>
      <c r="IH347" s="889"/>
      <c r="II347" s="889"/>
      <c r="IJ347" s="889"/>
      <c r="IK347" s="889"/>
      <c r="IL347" s="889"/>
      <c r="IM347" s="889"/>
      <c r="IN347" s="889"/>
      <c r="IO347" s="889"/>
      <c r="IP347" s="889"/>
      <c r="IQ347" s="889"/>
      <c r="IR347" s="889"/>
      <c r="IS347" s="889"/>
      <c r="IT347" s="889"/>
      <c r="IU347" s="889"/>
      <c r="IV347" s="889"/>
      <c r="IW347" s="889"/>
    </row>
    <row r="348" spans="1:257" s="634" customFormat="1" ht="19.5" customHeight="1">
      <c r="A348" s="758"/>
      <c r="B348" s="960" t="s">
        <v>305</v>
      </c>
      <c r="C348" s="738"/>
      <c r="D348" s="738"/>
      <c r="E348" s="956"/>
      <c r="F348" s="760">
        <f t="shared" ref="F348:J348" si="41">F347*13%</f>
        <v>264550000</v>
      </c>
      <c r="G348" s="760">
        <f t="shared" si="41"/>
        <v>264550000.13</v>
      </c>
      <c r="H348" s="760">
        <f t="shared" si="41"/>
        <v>264550000.26000002</v>
      </c>
      <c r="I348" s="760">
        <f t="shared" si="41"/>
        <v>264550000.39000002</v>
      </c>
      <c r="J348" s="760">
        <f t="shared" si="41"/>
        <v>264550000.52000001</v>
      </c>
      <c r="K348" s="760"/>
      <c r="L348" s="1311"/>
      <c r="M348" s="761"/>
      <c r="N348" s="904"/>
      <c r="O348" s="904"/>
      <c r="P348" s="957"/>
      <c r="Q348" s="957"/>
      <c r="R348" s="905"/>
      <c r="S348" s="861"/>
      <c r="T348" s="862"/>
      <c r="U348" s="745"/>
      <c r="V348" s="907"/>
      <c r="W348" s="907"/>
      <c r="X348" s="769"/>
      <c r="Y348" s="889"/>
      <c r="Z348" s="889"/>
      <c r="AA348" s="889"/>
      <c r="AB348" s="889"/>
      <c r="AC348" s="889"/>
      <c r="AD348" s="889"/>
      <c r="AE348" s="889"/>
      <c r="AF348" s="889"/>
      <c r="AG348" s="889"/>
      <c r="AH348" s="889"/>
      <c r="AI348" s="889"/>
      <c r="AJ348" s="889"/>
      <c r="AK348" s="889"/>
      <c r="AL348" s="889"/>
      <c r="AM348" s="889"/>
      <c r="AN348" s="889"/>
      <c r="AO348" s="889"/>
      <c r="AP348" s="889"/>
      <c r="AQ348" s="889"/>
      <c r="AR348" s="889"/>
      <c r="AS348" s="889"/>
      <c r="AT348" s="889"/>
      <c r="AU348" s="889"/>
      <c r="AV348" s="889"/>
      <c r="AW348" s="889"/>
      <c r="AX348" s="889"/>
      <c r="AY348" s="889"/>
      <c r="AZ348" s="889"/>
      <c r="BA348" s="889"/>
      <c r="BB348" s="889"/>
      <c r="BC348" s="889"/>
      <c r="BD348" s="889"/>
      <c r="BE348" s="889"/>
      <c r="BF348" s="889"/>
      <c r="BG348" s="889"/>
      <c r="BH348" s="889"/>
      <c r="BI348" s="889"/>
      <c r="BJ348" s="889"/>
      <c r="BK348" s="889"/>
      <c r="BL348" s="889"/>
      <c r="BM348" s="889"/>
      <c r="BN348" s="889"/>
      <c r="BO348" s="889"/>
      <c r="BP348" s="889"/>
      <c r="BQ348" s="889"/>
      <c r="BR348" s="889"/>
      <c r="BS348" s="889"/>
      <c r="BT348" s="889"/>
      <c r="BU348" s="889"/>
      <c r="BV348" s="889"/>
      <c r="BW348" s="889"/>
      <c r="BX348" s="889"/>
      <c r="BY348" s="889"/>
      <c r="BZ348" s="889"/>
      <c r="CA348" s="889"/>
      <c r="CB348" s="889"/>
      <c r="CC348" s="889"/>
      <c r="CD348" s="889"/>
      <c r="CE348" s="889"/>
      <c r="CF348" s="889"/>
      <c r="CG348" s="889"/>
      <c r="CH348" s="889"/>
      <c r="CI348" s="889"/>
      <c r="CJ348" s="889"/>
      <c r="CK348" s="889"/>
      <c r="CL348" s="889"/>
      <c r="CM348" s="889"/>
      <c r="CN348" s="889"/>
      <c r="CO348" s="889"/>
      <c r="CP348" s="889"/>
      <c r="CQ348" s="889"/>
      <c r="CR348" s="889"/>
      <c r="CS348" s="889"/>
      <c r="CT348" s="889"/>
      <c r="CU348" s="889"/>
      <c r="CV348" s="889"/>
      <c r="CW348" s="889"/>
      <c r="CX348" s="889"/>
      <c r="CY348" s="889"/>
      <c r="CZ348" s="889"/>
      <c r="DA348" s="889"/>
      <c r="DB348" s="889"/>
      <c r="DC348" s="889"/>
      <c r="DD348" s="889"/>
      <c r="DE348" s="889"/>
      <c r="DF348" s="889"/>
      <c r="DG348" s="889"/>
      <c r="DH348" s="889"/>
      <c r="DI348" s="889"/>
      <c r="DJ348" s="889"/>
      <c r="DK348" s="889"/>
      <c r="DL348" s="889"/>
      <c r="DM348" s="889"/>
      <c r="DN348" s="889"/>
      <c r="DO348" s="889"/>
      <c r="DP348" s="889"/>
      <c r="DQ348" s="889"/>
      <c r="DR348" s="889"/>
      <c r="DS348" s="889"/>
      <c r="DT348" s="889"/>
      <c r="DU348" s="889"/>
      <c r="DV348" s="889"/>
      <c r="DW348" s="889"/>
      <c r="DX348" s="889"/>
      <c r="DY348" s="889"/>
      <c r="DZ348" s="889"/>
      <c r="EA348" s="889"/>
      <c r="EB348" s="889"/>
      <c r="EC348" s="889"/>
      <c r="ED348" s="889"/>
      <c r="EE348" s="889"/>
      <c r="EF348" s="889"/>
      <c r="EG348" s="889"/>
      <c r="EH348" s="889"/>
      <c r="EI348" s="889"/>
      <c r="EJ348" s="889"/>
      <c r="EK348" s="889"/>
      <c r="EL348" s="889"/>
      <c r="EM348" s="889"/>
      <c r="EN348" s="889"/>
      <c r="EO348" s="889"/>
      <c r="EP348" s="889"/>
      <c r="EQ348" s="889"/>
      <c r="ER348" s="889"/>
      <c r="ES348" s="889"/>
      <c r="ET348" s="889"/>
      <c r="EU348" s="889"/>
      <c r="EV348" s="889"/>
      <c r="EW348" s="889"/>
      <c r="EX348" s="889"/>
      <c r="EY348" s="889"/>
      <c r="EZ348" s="889"/>
      <c r="FA348" s="889"/>
      <c r="FB348" s="889"/>
      <c r="FC348" s="889"/>
      <c r="FD348" s="889"/>
      <c r="FE348" s="889"/>
      <c r="FF348" s="889"/>
      <c r="FG348" s="889"/>
      <c r="FH348" s="889"/>
      <c r="FI348" s="889"/>
      <c r="FJ348" s="889"/>
      <c r="FK348" s="889"/>
      <c r="FL348" s="889"/>
      <c r="FM348" s="889"/>
      <c r="FN348" s="889"/>
      <c r="FO348" s="889"/>
      <c r="FP348" s="889"/>
      <c r="FQ348" s="889"/>
      <c r="FR348" s="889"/>
      <c r="FS348" s="889"/>
      <c r="FT348" s="889"/>
      <c r="FU348" s="889"/>
      <c r="FV348" s="889"/>
      <c r="FW348" s="889"/>
      <c r="FX348" s="889"/>
      <c r="FY348" s="889"/>
      <c r="FZ348" s="889"/>
      <c r="GA348" s="889"/>
      <c r="GB348" s="889"/>
      <c r="GC348" s="889"/>
      <c r="GD348" s="889"/>
      <c r="GE348" s="889"/>
      <c r="GF348" s="889"/>
      <c r="GG348" s="889"/>
      <c r="GH348" s="889"/>
      <c r="GI348" s="889"/>
      <c r="GJ348" s="889"/>
      <c r="GK348" s="889"/>
      <c r="GL348" s="889"/>
      <c r="GM348" s="889"/>
      <c r="GN348" s="889"/>
      <c r="GO348" s="889"/>
      <c r="GP348" s="889"/>
      <c r="GQ348" s="889"/>
      <c r="GR348" s="889"/>
      <c r="GS348" s="889"/>
      <c r="GT348" s="889"/>
      <c r="GU348" s="889"/>
      <c r="GV348" s="889"/>
      <c r="GW348" s="889"/>
      <c r="GX348" s="889"/>
      <c r="GY348" s="889"/>
      <c r="GZ348" s="889"/>
      <c r="HA348" s="889"/>
      <c r="HB348" s="889"/>
      <c r="HC348" s="889"/>
      <c r="HD348" s="889"/>
      <c r="HE348" s="889"/>
      <c r="HF348" s="889"/>
      <c r="HG348" s="889"/>
      <c r="HH348" s="889"/>
      <c r="HI348" s="889"/>
      <c r="HJ348" s="889"/>
      <c r="HK348" s="889"/>
      <c r="HL348" s="889"/>
      <c r="HM348" s="889"/>
      <c r="HN348" s="889"/>
      <c r="HO348" s="889"/>
      <c r="HP348" s="889"/>
      <c r="HQ348" s="889"/>
      <c r="HR348" s="889"/>
      <c r="HS348" s="889"/>
      <c r="HT348" s="889"/>
      <c r="HU348" s="889"/>
      <c r="HV348" s="889"/>
      <c r="HW348" s="889"/>
      <c r="HX348" s="889"/>
      <c r="HY348" s="889"/>
      <c r="HZ348" s="889"/>
      <c r="IA348" s="889"/>
      <c r="IB348" s="889"/>
      <c r="IC348" s="889"/>
      <c r="ID348" s="889"/>
      <c r="IE348" s="889"/>
      <c r="IF348" s="889"/>
      <c r="IG348" s="889"/>
      <c r="IH348" s="889"/>
      <c r="II348" s="889"/>
      <c r="IJ348" s="889"/>
      <c r="IK348" s="889"/>
      <c r="IL348" s="889"/>
      <c r="IM348" s="889"/>
      <c r="IN348" s="889"/>
      <c r="IO348" s="889"/>
      <c r="IP348" s="889"/>
      <c r="IQ348" s="889"/>
      <c r="IR348" s="889"/>
      <c r="IS348" s="889"/>
      <c r="IT348" s="889"/>
      <c r="IU348" s="889"/>
      <c r="IV348" s="889"/>
      <c r="IW348" s="889"/>
    </row>
    <row r="349" spans="1:257" s="634" customFormat="1">
      <c r="A349" s="758" t="s">
        <v>192</v>
      </c>
      <c r="B349" s="623" t="s">
        <v>295</v>
      </c>
      <c r="C349" s="758"/>
      <c r="D349" s="758"/>
      <c r="E349" s="962">
        <f>E350</f>
        <v>0</v>
      </c>
      <c r="F349" s="962">
        <f t="shared" ref="F349:J349" si="42">F350+F356</f>
        <v>720000000</v>
      </c>
      <c r="G349" s="962">
        <f t="shared" si="42"/>
        <v>0</v>
      </c>
      <c r="H349" s="962">
        <f t="shared" si="42"/>
        <v>0</v>
      </c>
      <c r="I349" s="962">
        <f t="shared" si="42"/>
        <v>0</v>
      </c>
      <c r="J349" s="962">
        <f t="shared" si="42"/>
        <v>160692923</v>
      </c>
      <c r="K349" s="962"/>
      <c r="L349" s="1319"/>
      <c r="M349" s="977"/>
      <c r="N349" s="978"/>
      <c r="O349" s="978"/>
      <c r="P349" s="957"/>
      <c r="Q349" s="957"/>
      <c r="R349" s="905"/>
      <c r="S349" s="861"/>
      <c r="T349" s="862"/>
      <c r="U349" s="745"/>
      <c r="V349" s="907"/>
      <c r="W349" s="907"/>
      <c r="X349" s="769"/>
      <c r="Y349" s="889"/>
      <c r="Z349" s="889"/>
      <c r="AA349" s="889"/>
      <c r="AB349" s="889"/>
      <c r="AC349" s="889"/>
      <c r="AD349" s="889"/>
      <c r="AE349" s="889"/>
      <c r="AF349" s="889"/>
      <c r="AG349" s="889"/>
      <c r="AH349" s="889"/>
      <c r="AI349" s="889"/>
      <c r="AJ349" s="889"/>
      <c r="AK349" s="889"/>
      <c r="AL349" s="889"/>
      <c r="AM349" s="889"/>
      <c r="AN349" s="889"/>
      <c r="AO349" s="889"/>
      <c r="AP349" s="889"/>
      <c r="AQ349" s="889"/>
      <c r="AR349" s="889"/>
      <c r="AS349" s="889"/>
      <c r="AT349" s="889"/>
      <c r="AU349" s="889"/>
      <c r="AV349" s="889"/>
      <c r="AW349" s="889"/>
      <c r="AX349" s="889"/>
      <c r="AY349" s="889"/>
      <c r="AZ349" s="889"/>
      <c r="BA349" s="889"/>
      <c r="BB349" s="889"/>
      <c r="BC349" s="889"/>
      <c r="BD349" s="889"/>
      <c r="BE349" s="889"/>
      <c r="BF349" s="889"/>
      <c r="BG349" s="889"/>
      <c r="BH349" s="889"/>
      <c r="BI349" s="889"/>
      <c r="BJ349" s="889"/>
      <c r="BK349" s="889"/>
      <c r="BL349" s="889"/>
      <c r="BM349" s="889"/>
      <c r="BN349" s="889"/>
      <c r="BO349" s="889"/>
      <c r="BP349" s="889"/>
      <c r="BQ349" s="889"/>
      <c r="BR349" s="889"/>
      <c r="BS349" s="889"/>
      <c r="BT349" s="889"/>
      <c r="BU349" s="889"/>
      <c r="BV349" s="889"/>
      <c r="BW349" s="889"/>
      <c r="BX349" s="889"/>
      <c r="BY349" s="889"/>
      <c r="BZ349" s="889"/>
      <c r="CA349" s="889"/>
      <c r="CB349" s="889"/>
      <c r="CC349" s="889"/>
      <c r="CD349" s="889"/>
      <c r="CE349" s="889"/>
      <c r="CF349" s="889"/>
      <c r="CG349" s="889"/>
      <c r="CH349" s="889"/>
      <c r="CI349" s="889"/>
      <c r="CJ349" s="889"/>
      <c r="CK349" s="889"/>
      <c r="CL349" s="889"/>
      <c r="CM349" s="889"/>
      <c r="CN349" s="889"/>
      <c r="CO349" s="889"/>
      <c r="CP349" s="889"/>
      <c r="CQ349" s="889"/>
      <c r="CR349" s="889"/>
      <c r="CS349" s="889"/>
      <c r="CT349" s="889"/>
      <c r="CU349" s="889"/>
      <c r="CV349" s="889"/>
      <c r="CW349" s="889"/>
      <c r="CX349" s="889"/>
      <c r="CY349" s="889"/>
      <c r="CZ349" s="889"/>
      <c r="DA349" s="889"/>
      <c r="DB349" s="889"/>
      <c r="DC349" s="889"/>
      <c r="DD349" s="889"/>
      <c r="DE349" s="889"/>
      <c r="DF349" s="889"/>
      <c r="DG349" s="889"/>
      <c r="DH349" s="889"/>
      <c r="DI349" s="889"/>
      <c r="DJ349" s="889"/>
      <c r="DK349" s="889"/>
      <c r="DL349" s="889"/>
      <c r="DM349" s="889"/>
      <c r="DN349" s="889"/>
      <c r="DO349" s="889"/>
      <c r="DP349" s="889"/>
      <c r="DQ349" s="889"/>
      <c r="DR349" s="889"/>
      <c r="DS349" s="889"/>
      <c r="DT349" s="889"/>
      <c r="DU349" s="889"/>
      <c r="DV349" s="889"/>
      <c r="DW349" s="889"/>
      <c r="DX349" s="889"/>
      <c r="DY349" s="889"/>
      <c r="DZ349" s="889"/>
      <c r="EA349" s="889"/>
      <c r="EB349" s="889"/>
      <c r="EC349" s="889"/>
      <c r="ED349" s="889"/>
      <c r="EE349" s="889"/>
      <c r="EF349" s="889"/>
      <c r="EG349" s="889"/>
      <c r="EH349" s="889"/>
      <c r="EI349" s="889"/>
      <c r="EJ349" s="889"/>
      <c r="EK349" s="889"/>
      <c r="EL349" s="889"/>
      <c r="EM349" s="889"/>
      <c r="EN349" s="889"/>
      <c r="EO349" s="889"/>
      <c r="EP349" s="889"/>
      <c r="EQ349" s="889"/>
      <c r="ER349" s="889"/>
      <c r="ES349" s="889"/>
      <c r="ET349" s="889"/>
      <c r="EU349" s="889"/>
      <c r="EV349" s="889"/>
      <c r="EW349" s="889"/>
      <c r="EX349" s="889"/>
      <c r="EY349" s="889"/>
      <c r="EZ349" s="889"/>
      <c r="FA349" s="889"/>
      <c r="FB349" s="889"/>
      <c r="FC349" s="889"/>
      <c r="FD349" s="889"/>
      <c r="FE349" s="889"/>
      <c r="FF349" s="889"/>
      <c r="FG349" s="889"/>
      <c r="FH349" s="889"/>
      <c r="FI349" s="889"/>
      <c r="FJ349" s="889"/>
      <c r="FK349" s="889"/>
      <c r="FL349" s="889"/>
      <c r="FM349" s="889"/>
      <c r="FN349" s="889"/>
      <c r="FO349" s="889"/>
      <c r="FP349" s="889"/>
      <c r="FQ349" s="889"/>
      <c r="FR349" s="889"/>
      <c r="FS349" s="889"/>
      <c r="FT349" s="889"/>
      <c r="FU349" s="889"/>
      <c r="FV349" s="889"/>
      <c r="FW349" s="889"/>
      <c r="FX349" s="889"/>
      <c r="FY349" s="889"/>
      <c r="FZ349" s="889"/>
      <c r="GA349" s="889"/>
      <c r="GB349" s="889"/>
      <c r="GC349" s="889"/>
      <c r="GD349" s="889"/>
      <c r="GE349" s="889"/>
      <c r="GF349" s="889"/>
      <c r="GG349" s="889"/>
      <c r="GH349" s="889"/>
      <c r="GI349" s="889"/>
      <c r="GJ349" s="889"/>
      <c r="GK349" s="889"/>
      <c r="GL349" s="889"/>
      <c r="GM349" s="889"/>
      <c r="GN349" s="889"/>
      <c r="GO349" s="889"/>
      <c r="GP349" s="889"/>
      <c r="GQ349" s="889"/>
      <c r="GR349" s="889"/>
      <c r="GS349" s="889"/>
      <c r="GT349" s="889"/>
      <c r="GU349" s="889"/>
      <c r="GV349" s="889"/>
      <c r="GW349" s="889"/>
      <c r="GX349" s="889"/>
      <c r="GY349" s="889"/>
      <c r="GZ349" s="889"/>
      <c r="HA349" s="889"/>
      <c r="HB349" s="889"/>
      <c r="HC349" s="889"/>
      <c r="HD349" s="889"/>
      <c r="HE349" s="889"/>
      <c r="HF349" s="889"/>
      <c r="HG349" s="889"/>
      <c r="HH349" s="889"/>
      <c r="HI349" s="889"/>
      <c r="HJ349" s="889"/>
      <c r="HK349" s="889"/>
      <c r="HL349" s="889"/>
      <c r="HM349" s="889"/>
      <c r="HN349" s="889"/>
      <c r="HO349" s="889"/>
      <c r="HP349" s="889"/>
      <c r="HQ349" s="889"/>
      <c r="HR349" s="889"/>
      <c r="HS349" s="889"/>
      <c r="HT349" s="889"/>
      <c r="HU349" s="889"/>
      <c r="HV349" s="889"/>
      <c r="HW349" s="889"/>
      <c r="HX349" s="889"/>
      <c r="HY349" s="889"/>
      <c r="HZ349" s="889"/>
      <c r="IA349" s="889"/>
      <c r="IB349" s="889"/>
      <c r="IC349" s="889"/>
      <c r="ID349" s="889"/>
      <c r="IE349" s="889"/>
      <c r="IF349" s="889"/>
      <c r="IG349" s="889"/>
      <c r="IH349" s="889"/>
      <c r="II349" s="889"/>
      <c r="IJ349" s="889"/>
      <c r="IK349" s="889"/>
      <c r="IL349" s="889"/>
      <c r="IM349" s="889"/>
      <c r="IN349" s="889"/>
      <c r="IO349" s="889"/>
      <c r="IP349" s="889"/>
      <c r="IQ349" s="889"/>
      <c r="IR349" s="889"/>
      <c r="IS349" s="889"/>
      <c r="IT349" s="889"/>
      <c r="IU349" s="889"/>
      <c r="IV349" s="889"/>
      <c r="IW349" s="889"/>
    </row>
    <row r="350" spans="1:257" s="634" customFormat="1">
      <c r="A350" s="901" t="s">
        <v>91</v>
      </c>
      <c r="B350" s="965" t="s">
        <v>264</v>
      </c>
      <c r="C350" s="758"/>
      <c r="D350" s="758"/>
      <c r="E350" s="760"/>
      <c r="F350" s="966">
        <f t="shared" ref="F350:J350" si="43">F351+F355</f>
        <v>720000000</v>
      </c>
      <c r="G350" s="966">
        <f t="shared" si="43"/>
        <v>0</v>
      </c>
      <c r="H350" s="966">
        <f t="shared" si="43"/>
        <v>0</v>
      </c>
      <c r="I350" s="966">
        <f t="shared" si="43"/>
        <v>0</v>
      </c>
      <c r="J350" s="966">
        <f t="shared" si="43"/>
        <v>160692923</v>
      </c>
      <c r="K350" s="966"/>
      <c r="L350" s="1313"/>
      <c r="M350" s="741"/>
      <c r="N350" s="967"/>
      <c r="O350" s="967"/>
      <c r="P350" s="904"/>
      <c r="Q350" s="904"/>
      <c r="R350" s="861"/>
      <c r="S350" s="952"/>
      <c r="T350" s="953"/>
      <c r="U350" s="745"/>
      <c r="V350" s="907"/>
      <c r="W350" s="907"/>
      <c r="X350" s="769"/>
      <c r="Y350" s="889"/>
      <c r="Z350" s="889"/>
      <c r="AA350" s="889"/>
      <c r="AB350" s="889"/>
      <c r="AC350" s="889"/>
      <c r="AD350" s="889"/>
      <c r="AE350" s="889"/>
      <c r="AF350" s="889"/>
      <c r="AG350" s="889"/>
      <c r="AH350" s="889"/>
      <c r="AI350" s="889"/>
      <c r="AJ350" s="889"/>
      <c r="AK350" s="889"/>
      <c r="AL350" s="889"/>
      <c r="AM350" s="889"/>
      <c r="AN350" s="889"/>
      <c r="AO350" s="889"/>
      <c r="AP350" s="889"/>
      <c r="AQ350" s="889"/>
      <c r="AR350" s="889"/>
      <c r="AS350" s="889"/>
      <c r="AT350" s="889"/>
      <c r="AU350" s="889"/>
      <c r="AV350" s="889"/>
      <c r="AW350" s="889"/>
      <c r="AX350" s="889"/>
      <c r="AY350" s="889"/>
      <c r="AZ350" s="889"/>
      <c r="BA350" s="889"/>
      <c r="BB350" s="889"/>
      <c r="BC350" s="889"/>
      <c r="BD350" s="889"/>
      <c r="BE350" s="889"/>
      <c r="BF350" s="889"/>
      <c r="BG350" s="889"/>
      <c r="BH350" s="889"/>
      <c r="BI350" s="889"/>
      <c r="BJ350" s="889"/>
      <c r="BK350" s="889"/>
      <c r="BL350" s="889"/>
      <c r="BM350" s="889"/>
      <c r="BN350" s="889"/>
      <c r="BO350" s="889"/>
      <c r="BP350" s="889"/>
      <c r="BQ350" s="889"/>
      <c r="BR350" s="889"/>
      <c r="BS350" s="889"/>
      <c r="BT350" s="889"/>
      <c r="BU350" s="889"/>
      <c r="BV350" s="889"/>
      <c r="BW350" s="889"/>
      <c r="BX350" s="889"/>
      <c r="BY350" s="889"/>
      <c r="BZ350" s="889"/>
      <c r="CA350" s="889"/>
      <c r="CB350" s="889"/>
      <c r="CC350" s="889"/>
      <c r="CD350" s="889"/>
      <c r="CE350" s="889"/>
      <c r="CF350" s="889"/>
      <c r="CG350" s="889"/>
      <c r="CH350" s="889"/>
      <c r="CI350" s="889"/>
      <c r="CJ350" s="889"/>
      <c r="CK350" s="889"/>
      <c r="CL350" s="889"/>
      <c r="CM350" s="889"/>
      <c r="CN350" s="889"/>
      <c r="CO350" s="889"/>
      <c r="CP350" s="889"/>
      <c r="CQ350" s="889"/>
      <c r="CR350" s="889"/>
      <c r="CS350" s="889"/>
      <c r="CT350" s="889"/>
      <c r="CU350" s="889"/>
      <c r="CV350" s="889"/>
      <c r="CW350" s="889"/>
      <c r="CX350" s="889"/>
      <c r="CY350" s="889"/>
      <c r="CZ350" s="889"/>
      <c r="DA350" s="889"/>
      <c r="DB350" s="889"/>
      <c r="DC350" s="889"/>
      <c r="DD350" s="889"/>
      <c r="DE350" s="889"/>
      <c r="DF350" s="889"/>
      <c r="DG350" s="889"/>
      <c r="DH350" s="889"/>
      <c r="DI350" s="889"/>
      <c r="DJ350" s="889"/>
      <c r="DK350" s="889"/>
      <c r="DL350" s="889"/>
      <c r="DM350" s="889"/>
      <c r="DN350" s="889"/>
      <c r="DO350" s="889"/>
      <c r="DP350" s="889"/>
      <c r="DQ350" s="889"/>
      <c r="DR350" s="889"/>
      <c r="DS350" s="889"/>
      <c r="DT350" s="889"/>
      <c r="DU350" s="889"/>
      <c r="DV350" s="889"/>
      <c r="DW350" s="889"/>
      <c r="DX350" s="889"/>
      <c r="DY350" s="889"/>
      <c r="DZ350" s="889"/>
      <c r="EA350" s="889"/>
      <c r="EB350" s="889"/>
      <c r="EC350" s="889"/>
      <c r="ED350" s="889"/>
      <c r="EE350" s="889"/>
      <c r="EF350" s="889"/>
      <c r="EG350" s="889"/>
      <c r="EH350" s="889"/>
      <c r="EI350" s="889"/>
      <c r="EJ350" s="889"/>
      <c r="EK350" s="889"/>
      <c r="EL350" s="889"/>
      <c r="EM350" s="889"/>
      <c r="EN350" s="889"/>
      <c r="EO350" s="889"/>
      <c r="EP350" s="889"/>
      <c r="EQ350" s="889"/>
      <c r="ER350" s="889"/>
      <c r="ES350" s="889"/>
      <c r="ET350" s="889"/>
      <c r="EU350" s="889"/>
      <c r="EV350" s="889"/>
      <c r="EW350" s="889"/>
      <c r="EX350" s="889"/>
      <c r="EY350" s="889"/>
      <c r="EZ350" s="889"/>
      <c r="FA350" s="889"/>
      <c r="FB350" s="889"/>
      <c r="FC350" s="889"/>
      <c r="FD350" s="889"/>
      <c r="FE350" s="889"/>
      <c r="FF350" s="889"/>
      <c r="FG350" s="889"/>
      <c r="FH350" s="889"/>
      <c r="FI350" s="889"/>
      <c r="FJ350" s="889"/>
      <c r="FK350" s="889"/>
      <c r="FL350" s="889"/>
      <c r="FM350" s="889"/>
      <c r="FN350" s="889"/>
      <c r="FO350" s="889"/>
      <c r="FP350" s="889"/>
      <c r="FQ350" s="889"/>
      <c r="FR350" s="889"/>
      <c r="FS350" s="889"/>
      <c r="FT350" s="889"/>
      <c r="FU350" s="889"/>
      <c r="FV350" s="889"/>
      <c r="FW350" s="889"/>
      <c r="FX350" s="889"/>
      <c r="FY350" s="889"/>
      <c r="FZ350" s="889"/>
      <c r="GA350" s="889"/>
      <c r="GB350" s="889"/>
      <c r="GC350" s="889"/>
      <c r="GD350" s="889"/>
      <c r="GE350" s="889"/>
      <c r="GF350" s="889"/>
      <c r="GG350" s="889"/>
      <c r="GH350" s="889"/>
      <c r="GI350" s="889"/>
      <c r="GJ350" s="889"/>
      <c r="GK350" s="889"/>
      <c r="GL350" s="889"/>
      <c r="GM350" s="889"/>
      <c r="GN350" s="889"/>
      <c r="GO350" s="889"/>
      <c r="GP350" s="889"/>
      <c r="GQ350" s="889"/>
      <c r="GR350" s="889"/>
      <c r="GS350" s="889"/>
      <c r="GT350" s="889"/>
      <c r="GU350" s="889"/>
      <c r="GV350" s="889"/>
      <c r="GW350" s="889"/>
      <c r="GX350" s="889"/>
      <c r="GY350" s="889"/>
      <c r="GZ350" s="889"/>
      <c r="HA350" s="889"/>
      <c r="HB350" s="889"/>
      <c r="HC350" s="889"/>
      <c r="HD350" s="889"/>
      <c r="HE350" s="889"/>
      <c r="HF350" s="889"/>
      <c r="HG350" s="889"/>
      <c r="HH350" s="889"/>
      <c r="HI350" s="889"/>
      <c r="HJ350" s="889"/>
      <c r="HK350" s="889"/>
      <c r="HL350" s="889"/>
      <c r="HM350" s="889"/>
      <c r="HN350" s="889"/>
      <c r="HO350" s="889"/>
      <c r="HP350" s="889"/>
      <c r="HQ350" s="889"/>
      <c r="HR350" s="889"/>
      <c r="HS350" s="889"/>
      <c r="HT350" s="889"/>
      <c r="HU350" s="889"/>
      <c r="HV350" s="889"/>
      <c r="HW350" s="889"/>
      <c r="HX350" s="889"/>
      <c r="HY350" s="889"/>
      <c r="HZ350" s="889"/>
      <c r="IA350" s="889"/>
      <c r="IB350" s="889"/>
      <c r="IC350" s="889"/>
      <c r="ID350" s="889"/>
      <c r="IE350" s="889"/>
      <c r="IF350" s="889"/>
      <c r="IG350" s="889"/>
      <c r="IH350" s="889"/>
      <c r="II350" s="889"/>
      <c r="IJ350" s="889"/>
      <c r="IK350" s="889"/>
      <c r="IL350" s="889"/>
      <c r="IM350" s="889"/>
      <c r="IN350" s="889"/>
      <c r="IO350" s="889"/>
      <c r="IP350" s="889"/>
      <c r="IQ350" s="889"/>
      <c r="IR350" s="889"/>
      <c r="IS350" s="889"/>
      <c r="IT350" s="889"/>
      <c r="IU350" s="889"/>
      <c r="IV350" s="889"/>
      <c r="IW350" s="889"/>
    </row>
    <row r="351" spans="1:257" s="665" customFormat="1">
      <c r="A351" s="968" t="s">
        <v>248</v>
      </c>
      <c r="B351" s="969" t="s">
        <v>962</v>
      </c>
      <c r="C351" s="738"/>
      <c r="D351" s="758"/>
      <c r="E351" s="760"/>
      <c r="F351" s="760">
        <v>560000000</v>
      </c>
      <c r="G351" s="731"/>
      <c r="H351" s="731"/>
      <c r="I351" s="731"/>
      <c r="J351" s="760">
        <v>692923</v>
      </c>
      <c r="K351" s="760">
        <f>K352+K353</f>
        <v>585000000</v>
      </c>
      <c r="L351" s="1311">
        <f>L352+L353</f>
        <v>881000000</v>
      </c>
      <c r="M351" s="761"/>
      <c r="N351" s="904"/>
      <c r="O351" s="904"/>
      <c r="P351" s="951"/>
      <c r="Q351" s="951"/>
      <c r="R351" s="861"/>
      <c r="S351" s="952"/>
      <c r="T351" s="953"/>
      <c r="U351" s="734"/>
      <c r="V351" s="907"/>
      <c r="W351" s="735"/>
      <c r="X351" s="736"/>
      <c r="Y351" s="737"/>
      <c r="Z351" s="737"/>
      <c r="AA351" s="737"/>
      <c r="AB351" s="737"/>
      <c r="AC351" s="737"/>
      <c r="AD351" s="737"/>
      <c r="AE351" s="737"/>
      <c r="AF351" s="737"/>
      <c r="AG351" s="737"/>
      <c r="AH351" s="737"/>
      <c r="AI351" s="737"/>
      <c r="AJ351" s="737"/>
      <c r="AK351" s="737"/>
      <c r="AL351" s="737"/>
      <c r="AM351" s="737"/>
      <c r="AN351" s="737"/>
      <c r="AO351" s="737"/>
      <c r="AP351" s="737"/>
      <c r="AQ351" s="737"/>
      <c r="AR351" s="737"/>
      <c r="AS351" s="737"/>
      <c r="AT351" s="737"/>
      <c r="AU351" s="737"/>
      <c r="AV351" s="737"/>
      <c r="AW351" s="737"/>
      <c r="AX351" s="737"/>
      <c r="AY351" s="737"/>
      <c r="AZ351" s="737"/>
      <c r="BA351" s="737"/>
      <c r="BB351" s="737"/>
      <c r="BC351" s="737"/>
      <c r="BD351" s="737"/>
      <c r="BE351" s="737"/>
      <c r="BF351" s="737"/>
      <c r="BG351" s="737"/>
      <c r="BH351" s="737"/>
      <c r="BI351" s="737"/>
      <c r="BJ351" s="737"/>
      <c r="BK351" s="737"/>
      <c r="BL351" s="737"/>
      <c r="BM351" s="737"/>
      <c r="BN351" s="737"/>
      <c r="BO351" s="737"/>
      <c r="BP351" s="737"/>
      <c r="BQ351" s="737"/>
      <c r="BR351" s="737"/>
      <c r="BS351" s="737"/>
      <c r="BT351" s="737"/>
      <c r="BU351" s="737"/>
      <c r="BV351" s="737"/>
      <c r="BW351" s="737"/>
      <c r="BX351" s="737"/>
      <c r="BY351" s="737"/>
      <c r="BZ351" s="737"/>
      <c r="CA351" s="737"/>
      <c r="CB351" s="737"/>
      <c r="CC351" s="737"/>
      <c r="CD351" s="737"/>
      <c r="CE351" s="737"/>
      <c r="CF351" s="737"/>
      <c r="CG351" s="737"/>
      <c r="CH351" s="737"/>
      <c r="CI351" s="737"/>
      <c r="CJ351" s="737"/>
      <c r="CK351" s="737"/>
      <c r="CL351" s="737"/>
      <c r="CM351" s="737"/>
      <c r="CN351" s="737"/>
      <c r="CO351" s="737"/>
      <c r="CP351" s="737"/>
      <c r="CQ351" s="737"/>
      <c r="CR351" s="737"/>
      <c r="CS351" s="737"/>
      <c r="CT351" s="737"/>
      <c r="CU351" s="737"/>
      <c r="CV351" s="737"/>
      <c r="CW351" s="737"/>
      <c r="CX351" s="737"/>
      <c r="CY351" s="737"/>
      <c r="CZ351" s="737"/>
      <c r="DA351" s="737"/>
      <c r="DB351" s="737"/>
      <c r="DC351" s="737"/>
      <c r="DD351" s="737"/>
      <c r="DE351" s="737"/>
      <c r="DF351" s="737"/>
      <c r="DG351" s="737"/>
      <c r="DH351" s="737"/>
      <c r="DI351" s="737"/>
      <c r="DJ351" s="737"/>
      <c r="DK351" s="737"/>
      <c r="DL351" s="737"/>
      <c r="DM351" s="737"/>
      <c r="DN351" s="737"/>
      <c r="DO351" s="737"/>
      <c r="DP351" s="737"/>
      <c r="DQ351" s="737"/>
      <c r="DR351" s="737"/>
      <c r="DS351" s="737"/>
      <c r="DT351" s="737"/>
      <c r="DU351" s="737"/>
      <c r="DV351" s="737"/>
      <c r="DW351" s="737"/>
      <c r="DX351" s="737"/>
      <c r="DY351" s="737"/>
      <c r="DZ351" s="737"/>
      <c r="EA351" s="737"/>
      <c r="EB351" s="737"/>
      <c r="EC351" s="737"/>
      <c r="ED351" s="737"/>
      <c r="EE351" s="737"/>
      <c r="EF351" s="737"/>
      <c r="EG351" s="737"/>
      <c r="EH351" s="737"/>
      <c r="EI351" s="737"/>
      <c r="EJ351" s="737"/>
      <c r="EK351" s="737"/>
      <c r="EL351" s="737"/>
      <c r="EM351" s="737"/>
      <c r="EN351" s="737"/>
      <c r="EO351" s="737"/>
      <c r="EP351" s="737"/>
      <c r="EQ351" s="737"/>
      <c r="ER351" s="737"/>
      <c r="ES351" s="737"/>
      <c r="ET351" s="737"/>
      <c r="EU351" s="737"/>
      <c r="EV351" s="737"/>
      <c r="EW351" s="737"/>
      <c r="EX351" s="737"/>
      <c r="EY351" s="737"/>
      <c r="EZ351" s="737"/>
      <c r="FA351" s="737"/>
      <c r="FB351" s="737"/>
      <c r="FC351" s="737"/>
      <c r="FD351" s="737"/>
      <c r="FE351" s="737"/>
      <c r="FF351" s="737"/>
      <c r="FG351" s="737"/>
      <c r="FH351" s="737"/>
      <c r="FI351" s="737"/>
      <c r="FJ351" s="737"/>
      <c r="FK351" s="737"/>
      <c r="FL351" s="737"/>
      <c r="FM351" s="737"/>
      <c r="FN351" s="737"/>
      <c r="FO351" s="737"/>
      <c r="FP351" s="737"/>
      <c r="FQ351" s="737"/>
      <c r="FR351" s="737"/>
      <c r="FS351" s="737"/>
      <c r="FT351" s="737"/>
      <c r="FU351" s="737"/>
      <c r="FV351" s="737"/>
      <c r="FW351" s="737"/>
      <c r="FX351" s="737"/>
      <c r="FY351" s="737"/>
      <c r="FZ351" s="737"/>
      <c r="GA351" s="737"/>
      <c r="GB351" s="737"/>
      <c r="GC351" s="737"/>
      <c r="GD351" s="737"/>
      <c r="GE351" s="737"/>
      <c r="GF351" s="737"/>
      <c r="GG351" s="737"/>
      <c r="GH351" s="737"/>
      <c r="GI351" s="737"/>
      <c r="GJ351" s="737"/>
      <c r="GK351" s="737"/>
      <c r="GL351" s="737"/>
      <c r="GM351" s="737"/>
      <c r="GN351" s="737"/>
      <c r="GO351" s="737"/>
      <c r="GP351" s="737"/>
      <c r="GQ351" s="737"/>
      <c r="GR351" s="737"/>
      <c r="GS351" s="737"/>
      <c r="GT351" s="737"/>
      <c r="GU351" s="737"/>
      <c r="GV351" s="737"/>
      <c r="GW351" s="737"/>
      <c r="GX351" s="737"/>
      <c r="GY351" s="737"/>
      <c r="GZ351" s="737"/>
      <c r="HA351" s="737"/>
      <c r="HB351" s="737"/>
      <c r="HC351" s="737"/>
      <c r="HD351" s="737"/>
      <c r="HE351" s="737"/>
      <c r="HF351" s="737"/>
      <c r="HG351" s="737"/>
      <c r="HH351" s="737"/>
      <c r="HI351" s="737"/>
      <c r="HJ351" s="737"/>
      <c r="HK351" s="737"/>
      <c r="HL351" s="737"/>
      <c r="HM351" s="737"/>
      <c r="HN351" s="737"/>
      <c r="HO351" s="737"/>
      <c r="HP351" s="737"/>
      <c r="HQ351" s="737"/>
      <c r="HR351" s="737"/>
      <c r="HS351" s="737"/>
      <c r="HT351" s="737"/>
      <c r="HU351" s="737"/>
      <c r="HV351" s="737"/>
      <c r="HW351" s="737"/>
      <c r="HX351" s="737"/>
      <c r="HY351" s="737"/>
      <c r="HZ351" s="737"/>
      <c r="IA351" s="737"/>
      <c r="IB351" s="737"/>
      <c r="IC351" s="737"/>
      <c r="ID351" s="737"/>
      <c r="IE351" s="737"/>
      <c r="IF351" s="737"/>
      <c r="IG351" s="737"/>
      <c r="IH351" s="737"/>
      <c r="II351" s="737"/>
      <c r="IJ351" s="737"/>
      <c r="IK351" s="737"/>
      <c r="IL351" s="737"/>
      <c r="IM351" s="737"/>
      <c r="IN351" s="737"/>
      <c r="IO351" s="737"/>
      <c r="IP351" s="737"/>
      <c r="IQ351" s="737"/>
      <c r="IR351" s="737"/>
      <c r="IS351" s="737"/>
      <c r="IT351" s="737"/>
      <c r="IU351" s="737"/>
      <c r="IV351" s="737"/>
      <c r="IW351" s="737"/>
    </row>
    <row r="352" spans="1:257" s="665" customFormat="1">
      <c r="A352" s="968"/>
      <c r="B352" s="969" t="s">
        <v>963</v>
      </c>
      <c r="C352" s="738"/>
      <c r="D352" s="758"/>
      <c r="E352" s="760"/>
      <c r="F352" s="760"/>
      <c r="G352" s="731"/>
      <c r="H352" s="731"/>
      <c r="I352" s="731"/>
      <c r="J352" s="760"/>
      <c r="K352" s="760">
        <v>484000000</v>
      </c>
      <c r="L352" s="1311">
        <v>561000000</v>
      </c>
      <c r="M352" s="761"/>
      <c r="N352" s="904"/>
      <c r="O352" s="904"/>
      <c r="P352" s="951"/>
      <c r="Q352" s="951"/>
      <c r="R352" s="861"/>
      <c r="S352" s="952"/>
      <c r="T352" s="953"/>
      <c r="U352" s="734"/>
      <c r="V352" s="907"/>
      <c r="W352" s="735"/>
      <c r="X352" s="736"/>
      <c r="Y352" s="737"/>
      <c r="Z352" s="737"/>
      <c r="AA352" s="737"/>
      <c r="AB352" s="737"/>
      <c r="AC352" s="737"/>
      <c r="AD352" s="737"/>
      <c r="AE352" s="737"/>
      <c r="AF352" s="737"/>
      <c r="AG352" s="737"/>
      <c r="AH352" s="737"/>
      <c r="AI352" s="737"/>
      <c r="AJ352" s="737"/>
      <c r="AK352" s="737"/>
      <c r="AL352" s="737"/>
      <c r="AM352" s="737"/>
      <c r="AN352" s="737"/>
      <c r="AO352" s="737"/>
      <c r="AP352" s="737"/>
      <c r="AQ352" s="737"/>
      <c r="AR352" s="737"/>
      <c r="AS352" s="737"/>
      <c r="AT352" s="737"/>
      <c r="AU352" s="737"/>
      <c r="AV352" s="737"/>
      <c r="AW352" s="737"/>
      <c r="AX352" s="737"/>
      <c r="AY352" s="737"/>
      <c r="AZ352" s="737"/>
      <c r="BA352" s="737"/>
      <c r="BB352" s="737"/>
      <c r="BC352" s="737"/>
      <c r="BD352" s="737"/>
      <c r="BE352" s="737"/>
      <c r="BF352" s="737"/>
      <c r="BG352" s="737"/>
      <c r="BH352" s="737"/>
      <c r="BI352" s="737"/>
      <c r="BJ352" s="737"/>
      <c r="BK352" s="737"/>
      <c r="BL352" s="737"/>
      <c r="BM352" s="737"/>
      <c r="BN352" s="737"/>
      <c r="BO352" s="737"/>
      <c r="BP352" s="737"/>
      <c r="BQ352" s="737"/>
      <c r="BR352" s="737"/>
      <c r="BS352" s="737"/>
      <c r="BT352" s="737"/>
      <c r="BU352" s="737"/>
      <c r="BV352" s="737"/>
      <c r="BW352" s="737"/>
      <c r="BX352" s="737"/>
      <c r="BY352" s="737"/>
      <c r="BZ352" s="737"/>
      <c r="CA352" s="737"/>
      <c r="CB352" s="737"/>
      <c r="CC352" s="737"/>
      <c r="CD352" s="737"/>
      <c r="CE352" s="737"/>
      <c r="CF352" s="737"/>
      <c r="CG352" s="737"/>
      <c r="CH352" s="737"/>
      <c r="CI352" s="737"/>
      <c r="CJ352" s="737"/>
      <c r="CK352" s="737"/>
      <c r="CL352" s="737"/>
      <c r="CM352" s="737"/>
      <c r="CN352" s="737"/>
      <c r="CO352" s="737"/>
      <c r="CP352" s="737"/>
      <c r="CQ352" s="737"/>
      <c r="CR352" s="737"/>
      <c r="CS352" s="737"/>
      <c r="CT352" s="737"/>
      <c r="CU352" s="737"/>
      <c r="CV352" s="737"/>
      <c r="CW352" s="737"/>
      <c r="CX352" s="737"/>
      <c r="CY352" s="737"/>
      <c r="CZ352" s="737"/>
      <c r="DA352" s="737"/>
      <c r="DB352" s="737"/>
      <c r="DC352" s="737"/>
      <c r="DD352" s="737"/>
      <c r="DE352" s="737"/>
      <c r="DF352" s="737"/>
      <c r="DG352" s="737"/>
      <c r="DH352" s="737"/>
      <c r="DI352" s="737"/>
      <c r="DJ352" s="737"/>
      <c r="DK352" s="737"/>
      <c r="DL352" s="737"/>
      <c r="DM352" s="737"/>
      <c r="DN352" s="737"/>
      <c r="DO352" s="737"/>
      <c r="DP352" s="737"/>
      <c r="DQ352" s="737"/>
      <c r="DR352" s="737"/>
      <c r="DS352" s="737"/>
      <c r="DT352" s="737"/>
      <c r="DU352" s="737"/>
      <c r="DV352" s="737"/>
      <c r="DW352" s="737"/>
      <c r="DX352" s="737"/>
      <c r="DY352" s="737"/>
      <c r="DZ352" s="737"/>
      <c r="EA352" s="737"/>
      <c r="EB352" s="737"/>
      <c r="EC352" s="737"/>
      <c r="ED352" s="737"/>
      <c r="EE352" s="737"/>
      <c r="EF352" s="737"/>
      <c r="EG352" s="737"/>
      <c r="EH352" s="737"/>
      <c r="EI352" s="737"/>
      <c r="EJ352" s="737"/>
      <c r="EK352" s="737"/>
      <c r="EL352" s="737"/>
      <c r="EM352" s="737"/>
      <c r="EN352" s="737"/>
      <c r="EO352" s="737"/>
      <c r="EP352" s="737"/>
      <c r="EQ352" s="737"/>
      <c r="ER352" s="737"/>
      <c r="ES352" s="737"/>
      <c r="ET352" s="737"/>
      <c r="EU352" s="737"/>
      <c r="EV352" s="737"/>
      <c r="EW352" s="737"/>
      <c r="EX352" s="737"/>
      <c r="EY352" s="737"/>
      <c r="EZ352" s="737"/>
      <c r="FA352" s="737"/>
      <c r="FB352" s="737"/>
      <c r="FC352" s="737"/>
      <c r="FD352" s="737"/>
      <c r="FE352" s="737"/>
      <c r="FF352" s="737"/>
      <c r="FG352" s="737"/>
      <c r="FH352" s="737"/>
      <c r="FI352" s="737"/>
      <c r="FJ352" s="737"/>
      <c r="FK352" s="737"/>
      <c r="FL352" s="737"/>
      <c r="FM352" s="737"/>
      <c r="FN352" s="737"/>
      <c r="FO352" s="737"/>
      <c r="FP352" s="737"/>
      <c r="FQ352" s="737"/>
      <c r="FR352" s="737"/>
      <c r="FS352" s="737"/>
      <c r="FT352" s="737"/>
      <c r="FU352" s="737"/>
      <c r="FV352" s="737"/>
      <c r="FW352" s="737"/>
      <c r="FX352" s="737"/>
      <c r="FY352" s="737"/>
      <c r="FZ352" s="737"/>
      <c r="GA352" s="737"/>
      <c r="GB352" s="737"/>
      <c r="GC352" s="737"/>
      <c r="GD352" s="737"/>
      <c r="GE352" s="737"/>
      <c r="GF352" s="737"/>
      <c r="GG352" s="737"/>
      <c r="GH352" s="737"/>
      <c r="GI352" s="737"/>
      <c r="GJ352" s="737"/>
      <c r="GK352" s="737"/>
      <c r="GL352" s="737"/>
      <c r="GM352" s="737"/>
      <c r="GN352" s="737"/>
      <c r="GO352" s="737"/>
      <c r="GP352" s="737"/>
      <c r="GQ352" s="737"/>
      <c r="GR352" s="737"/>
      <c r="GS352" s="737"/>
      <c r="GT352" s="737"/>
      <c r="GU352" s="737"/>
      <c r="GV352" s="737"/>
      <c r="GW352" s="737"/>
      <c r="GX352" s="737"/>
      <c r="GY352" s="737"/>
      <c r="GZ352" s="737"/>
      <c r="HA352" s="737"/>
      <c r="HB352" s="737"/>
      <c r="HC352" s="737"/>
      <c r="HD352" s="737"/>
      <c r="HE352" s="737"/>
      <c r="HF352" s="737"/>
      <c r="HG352" s="737"/>
      <c r="HH352" s="737"/>
      <c r="HI352" s="737"/>
      <c r="HJ352" s="737"/>
      <c r="HK352" s="737"/>
      <c r="HL352" s="737"/>
      <c r="HM352" s="737"/>
      <c r="HN352" s="737"/>
      <c r="HO352" s="737"/>
      <c r="HP352" s="737"/>
      <c r="HQ352" s="737"/>
      <c r="HR352" s="737"/>
      <c r="HS352" s="737"/>
      <c r="HT352" s="737"/>
      <c r="HU352" s="737"/>
      <c r="HV352" s="737"/>
      <c r="HW352" s="737"/>
      <c r="HX352" s="737"/>
      <c r="HY352" s="737"/>
      <c r="HZ352" s="737"/>
      <c r="IA352" s="737"/>
      <c r="IB352" s="737"/>
      <c r="IC352" s="737"/>
      <c r="ID352" s="737"/>
      <c r="IE352" s="737"/>
      <c r="IF352" s="737"/>
      <c r="IG352" s="737"/>
      <c r="IH352" s="737"/>
      <c r="II352" s="737"/>
      <c r="IJ352" s="737"/>
      <c r="IK352" s="737"/>
      <c r="IL352" s="737"/>
      <c r="IM352" s="737"/>
      <c r="IN352" s="737"/>
      <c r="IO352" s="737"/>
      <c r="IP352" s="737"/>
      <c r="IQ352" s="737"/>
      <c r="IR352" s="737"/>
      <c r="IS352" s="737"/>
      <c r="IT352" s="737"/>
      <c r="IU352" s="737"/>
      <c r="IV352" s="737"/>
      <c r="IW352" s="737"/>
    </row>
    <row r="353" spans="1:257" s="665" customFormat="1">
      <c r="A353" s="968"/>
      <c r="B353" s="969" t="s">
        <v>1576</v>
      </c>
      <c r="C353" s="738"/>
      <c r="D353" s="758"/>
      <c r="E353" s="760"/>
      <c r="F353" s="760"/>
      <c r="G353" s="731"/>
      <c r="H353" s="731"/>
      <c r="I353" s="731"/>
      <c r="J353" s="760"/>
      <c r="K353" s="760">
        <v>101000000</v>
      </c>
      <c r="L353" s="1311">
        <v>320000000</v>
      </c>
      <c r="M353" s="761"/>
      <c r="N353" s="904"/>
      <c r="O353" s="904"/>
      <c r="P353" s="951"/>
      <c r="Q353" s="951"/>
      <c r="R353" s="861"/>
      <c r="S353" s="952"/>
      <c r="T353" s="953"/>
      <c r="U353" s="734"/>
      <c r="V353" s="907"/>
      <c r="W353" s="735"/>
      <c r="X353" s="736"/>
      <c r="Y353" s="737"/>
      <c r="Z353" s="737"/>
      <c r="AA353" s="737"/>
      <c r="AB353" s="737"/>
      <c r="AC353" s="737"/>
      <c r="AD353" s="737"/>
      <c r="AE353" s="737"/>
      <c r="AF353" s="737"/>
      <c r="AG353" s="737"/>
      <c r="AH353" s="737"/>
      <c r="AI353" s="737"/>
      <c r="AJ353" s="737"/>
      <c r="AK353" s="737"/>
      <c r="AL353" s="737"/>
      <c r="AM353" s="737"/>
      <c r="AN353" s="737"/>
      <c r="AO353" s="737"/>
      <c r="AP353" s="737"/>
      <c r="AQ353" s="737"/>
      <c r="AR353" s="737"/>
      <c r="AS353" s="737"/>
      <c r="AT353" s="737"/>
      <c r="AU353" s="737"/>
      <c r="AV353" s="737"/>
      <c r="AW353" s="737"/>
      <c r="AX353" s="737"/>
      <c r="AY353" s="737"/>
      <c r="AZ353" s="737"/>
      <c r="BA353" s="737"/>
      <c r="BB353" s="737"/>
      <c r="BC353" s="737"/>
      <c r="BD353" s="737"/>
      <c r="BE353" s="737"/>
      <c r="BF353" s="737"/>
      <c r="BG353" s="737"/>
      <c r="BH353" s="737"/>
      <c r="BI353" s="737"/>
      <c r="BJ353" s="737"/>
      <c r="BK353" s="737"/>
      <c r="BL353" s="737"/>
      <c r="BM353" s="737"/>
      <c r="BN353" s="737"/>
      <c r="BO353" s="737"/>
      <c r="BP353" s="737"/>
      <c r="BQ353" s="737"/>
      <c r="BR353" s="737"/>
      <c r="BS353" s="737"/>
      <c r="BT353" s="737"/>
      <c r="BU353" s="737"/>
      <c r="BV353" s="737"/>
      <c r="BW353" s="737"/>
      <c r="BX353" s="737"/>
      <c r="BY353" s="737"/>
      <c r="BZ353" s="737"/>
      <c r="CA353" s="737"/>
      <c r="CB353" s="737"/>
      <c r="CC353" s="737"/>
      <c r="CD353" s="737"/>
      <c r="CE353" s="737"/>
      <c r="CF353" s="737"/>
      <c r="CG353" s="737"/>
      <c r="CH353" s="737"/>
      <c r="CI353" s="737"/>
      <c r="CJ353" s="737"/>
      <c r="CK353" s="737"/>
      <c r="CL353" s="737"/>
      <c r="CM353" s="737"/>
      <c r="CN353" s="737"/>
      <c r="CO353" s="737"/>
      <c r="CP353" s="737"/>
      <c r="CQ353" s="737"/>
      <c r="CR353" s="737"/>
      <c r="CS353" s="737"/>
      <c r="CT353" s="737"/>
      <c r="CU353" s="737"/>
      <c r="CV353" s="737"/>
      <c r="CW353" s="737"/>
      <c r="CX353" s="737"/>
      <c r="CY353" s="737"/>
      <c r="CZ353" s="737"/>
      <c r="DA353" s="737"/>
      <c r="DB353" s="737"/>
      <c r="DC353" s="737"/>
      <c r="DD353" s="737"/>
      <c r="DE353" s="737"/>
      <c r="DF353" s="737"/>
      <c r="DG353" s="737"/>
      <c r="DH353" s="737"/>
      <c r="DI353" s="737"/>
      <c r="DJ353" s="737"/>
      <c r="DK353" s="737"/>
      <c r="DL353" s="737"/>
      <c r="DM353" s="737"/>
      <c r="DN353" s="737"/>
      <c r="DO353" s="737"/>
      <c r="DP353" s="737"/>
      <c r="DQ353" s="737"/>
      <c r="DR353" s="737"/>
      <c r="DS353" s="737"/>
      <c r="DT353" s="737"/>
      <c r="DU353" s="737"/>
      <c r="DV353" s="737"/>
      <c r="DW353" s="737"/>
      <c r="DX353" s="737"/>
      <c r="DY353" s="737"/>
      <c r="DZ353" s="737"/>
      <c r="EA353" s="737"/>
      <c r="EB353" s="737"/>
      <c r="EC353" s="737"/>
      <c r="ED353" s="737"/>
      <c r="EE353" s="737"/>
      <c r="EF353" s="737"/>
      <c r="EG353" s="737"/>
      <c r="EH353" s="737"/>
      <c r="EI353" s="737"/>
      <c r="EJ353" s="737"/>
      <c r="EK353" s="737"/>
      <c r="EL353" s="737"/>
      <c r="EM353" s="737"/>
      <c r="EN353" s="737"/>
      <c r="EO353" s="737"/>
      <c r="EP353" s="737"/>
      <c r="EQ353" s="737"/>
      <c r="ER353" s="737"/>
      <c r="ES353" s="737"/>
      <c r="ET353" s="737"/>
      <c r="EU353" s="737"/>
      <c r="EV353" s="737"/>
      <c r="EW353" s="737"/>
      <c r="EX353" s="737"/>
      <c r="EY353" s="737"/>
      <c r="EZ353" s="737"/>
      <c r="FA353" s="737"/>
      <c r="FB353" s="737"/>
      <c r="FC353" s="737"/>
      <c r="FD353" s="737"/>
      <c r="FE353" s="737"/>
      <c r="FF353" s="737"/>
      <c r="FG353" s="737"/>
      <c r="FH353" s="737"/>
      <c r="FI353" s="737"/>
      <c r="FJ353" s="737"/>
      <c r="FK353" s="737"/>
      <c r="FL353" s="737"/>
      <c r="FM353" s="737"/>
      <c r="FN353" s="737"/>
      <c r="FO353" s="737"/>
      <c r="FP353" s="737"/>
      <c r="FQ353" s="737"/>
      <c r="FR353" s="737"/>
      <c r="FS353" s="737"/>
      <c r="FT353" s="737"/>
      <c r="FU353" s="737"/>
      <c r="FV353" s="737"/>
      <c r="FW353" s="737"/>
      <c r="FX353" s="737"/>
      <c r="FY353" s="737"/>
      <c r="FZ353" s="737"/>
      <c r="GA353" s="737"/>
      <c r="GB353" s="737"/>
      <c r="GC353" s="737"/>
      <c r="GD353" s="737"/>
      <c r="GE353" s="737"/>
      <c r="GF353" s="737"/>
      <c r="GG353" s="737"/>
      <c r="GH353" s="737"/>
      <c r="GI353" s="737"/>
      <c r="GJ353" s="737"/>
      <c r="GK353" s="737"/>
      <c r="GL353" s="737"/>
      <c r="GM353" s="737"/>
      <c r="GN353" s="737"/>
      <c r="GO353" s="737"/>
      <c r="GP353" s="737"/>
      <c r="GQ353" s="737"/>
      <c r="GR353" s="737"/>
      <c r="GS353" s="737"/>
      <c r="GT353" s="737"/>
      <c r="GU353" s="737"/>
      <c r="GV353" s="737"/>
      <c r="GW353" s="737"/>
      <c r="GX353" s="737"/>
      <c r="GY353" s="737"/>
      <c r="GZ353" s="737"/>
      <c r="HA353" s="737"/>
      <c r="HB353" s="737"/>
      <c r="HC353" s="737"/>
      <c r="HD353" s="737"/>
      <c r="HE353" s="737"/>
      <c r="HF353" s="737"/>
      <c r="HG353" s="737"/>
      <c r="HH353" s="737"/>
      <c r="HI353" s="737"/>
      <c r="HJ353" s="737"/>
      <c r="HK353" s="737"/>
      <c r="HL353" s="737"/>
      <c r="HM353" s="737"/>
      <c r="HN353" s="737"/>
      <c r="HO353" s="737"/>
      <c r="HP353" s="737"/>
      <c r="HQ353" s="737"/>
      <c r="HR353" s="737"/>
      <c r="HS353" s="737"/>
      <c r="HT353" s="737"/>
      <c r="HU353" s="737"/>
      <c r="HV353" s="737"/>
      <c r="HW353" s="737"/>
      <c r="HX353" s="737"/>
      <c r="HY353" s="737"/>
      <c r="HZ353" s="737"/>
      <c r="IA353" s="737"/>
      <c r="IB353" s="737"/>
      <c r="IC353" s="737"/>
      <c r="ID353" s="737"/>
      <c r="IE353" s="737"/>
      <c r="IF353" s="737"/>
      <c r="IG353" s="737"/>
      <c r="IH353" s="737"/>
      <c r="II353" s="737"/>
      <c r="IJ353" s="737"/>
      <c r="IK353" s="737"/>
      <c r="IL353" s="737"/>
      <c r="IM353" s="737"/>
      <c r="IN353" s="737"/>
      <c r="IO353" s="737"/>
      <c r="IP353" s="737"/>
      <c r="IQ353" s="737"/>
      <c r="IR353" s="737"/>
      <c r="IS353" s="737"/>
      <c r="IT353" s="737"/>
      <c r="IU353" s="737"/>
      <c r="IV353" s="737"/>
      <c r="IW353" s="737"/>
    </row>
    <row r="354" spans="1:257" s="665" customFormat="1">
      <c r="A354" s="968"/>
      <c r="B354" s="969" t="s">
        <v>1357</v>
      </c>
      <c r="C354" s="738"/>
      <c r="D354" s="758"/>
      <c r="E354" s="760"/>
      <c r="F354" s="760"/>
      <c r="G354" s="731"/>
      <c r="H354" s="731"/>
      <c r="I354" s="731"/>
      <c r="J354" s="760"/>
      <c r="K354" s="760"/>
      <c r="L354" s="1311">
        <v>0</v>
      </c>
      <c r="M354" s="761"/>
      <c r="N354" s="904"/>
      <c r="O354" s="904"/>
      <c r="P354" s="951"/>
      <c r="Q354" s="951"/>
      <c r="R354" s="861"/>
      <c r="S354" s="952"/>
      <c r="T354" s="953"/>
      <c r="U354" s="734"/>
      <c r="V354" s="907"/>
      <c r="W354" s="735"/>
      <c r="X354" s="736"/>
      <c r="Y354" s="737"/>
      <c r="Z354" s="737"/>
      <c r="AA354" s="737"/>
      <c r="AB354" s="737"/>
      <c r="AC354" s="737"/>
      <c r="AD354" s="737"/>
      <c r="AE354" s="737"/>
      <c r="AF354" s="737"/>
      <c r="AG354" s="737"/>
      <c r="AH354" s="737"/>
      <c r="AI354" s="737"/>
      <c r="AJ354" s="737"/>
      <c r="AK354" s="737"/>
      <c r="AL354" s="737"/>
      <c r="AM354" s="737"/>
      <c r="AN354" s="737"/>
      <c r="AO354" s="737"/>
      <c r="AP354" s="737"/>
      <c r="AQ354" s="737"/>
      <c r="AR354" s="737"/>
      <c r="AS354" s="737"/>
      <c r="AT354" s="737"/>
      <c r="AU354" s="737"/>
      <c r="AV354" s="737"/>
      <c r="AW354" s="737"/>
      <c r="AX354" s="737"/>
      <c r="AY354" s="737"/>
      <c r="AZ354" s="737"/>
      <c r="BA354" s="737"/>
      <c r="BB354" s="737"/>
      <c r="BC354" s="737"/>
      <c r="BD354" s="737"/>
      <c r="BE354" s="737"/>
      <c r="BF354" s="737"/>
      <c r="BG354" s="737"/>
      <c r="BH354" s="737"/>
      <c r="BI354" s="737"/>
      <c r="BJ354" s="737"/>
      <c r="BK354" s="737"/>
      <c r="BL354" s="737"/>
      <c r="BM354" s="737"/>
      <c r="BN354" s="737"/>
      <c r="BO354" s="737"/>
      <c r="BP354" s="737"/>
      <c r="BQ354" s="737"/>
      <c r="BR354" s="737"/>
      <c r="BS354" s="737"/>
      <c r="BT354" s="737"/>
      <c r="BU354" s="737"/>
      <c r="BV354" s="737"/>
      <c r="BW354" s="737"/>
      <c r="BX354" s="737"/>
      <c r="BY354" s="737"/>
      <c r="BZ354" s="737"/>
      <c r="CA354" s="737"/>
      <c r="CB354" s="737"/>
      <c r="CC354" s="737"/>
      <c r="CD354" s="737"/>
      <c r="CE354" s="737"/>
      <c r="CF354" s="737"/>
      <c r="CG354" s="737"/>
      <c r="CH354" s="737"/>
      <c r="CI354" s="737"/>
      <c r="CJ354" s="737"/>
      <c r="CK354" s="737"/>
      <c r="CL354" s="737"/>
      <c r="CM354" s="737"/>
      <c r="CN354" s="737"/>
      <c r="CO354" s="737"/>
      <c r="CP354" s="737"/>
      <c r="CQ354" s="737"/>
      <c r="CR354" s="737"/>
      <c r="CS354" s="737"/>
      <c r="CT354" s="737"/>
      <c r="CU354" s="737"/>
      <c r="CV354" s="737"/>
      <c r="CW354" s="737"/>
      <c r="CX354" s="737"/>
      <c r="CY354" s="737"/>
      <c r="CZ354" s="737"/>
      <c r="DA354" s="737"/>
      <c r="DB354" s="737"/>
      <c r="DC354" s="737"/>
      <c r="DD354" s="737"/>
      <c r="DE354" s="737"/>
      <c r="DF354" s="737"/>
      <c r="DG354" s="737"/>
      <c r="DH354" s="737"/>
      <c r="DI354" s="737"/>
      <c r="DJ354" s="737"/>
      <c r="DK354" s="737"/>
      <c r="DL354" s="737"/>
      <c r="DM354" s="737"/>
      <c r="DN354" s="737"/>
      <c r="DO354" s="737"/>
      <c r="DP354" s="737"/>
      <c r="DQ354" s="737"/>
      <c r="DR354" s="737"/>
      <c r="DS354" s="737"/>
      <c r="DT354" s="737"/>
      <c r="DU354" s="737"/>
      <c r="DV354" s="737"/>
      <c r="DW354" s="737"/>
      <c r="DX354" s="737"/>
      <c r="DY354" s="737"/>
      <c r="DZ354" s="737"/>
      <c r="EA354" s="737"/>
      <c r="EB354" s="737"/>
      <c r="EC354" s="737"/>
      <c r="ED354" s="737"/>
      <c r="EE354" s="737"/>
      <c r="EF354" s="737"/>
      <c r="EG354" s="737"/>
      <c r="EH354" s="737"/>
      <c r="EI354" s="737"/>
      <c r="EJ354" s="737"/>
      <c r="EK354" s="737"/>
      <c r="EL354" s="737"/>
      <c r="EM354" s="737"/>
      <c r="EN354" s="737"/>
      <c r="EO354" s="737"/>
      <c r="EP354" s="737"/>
      <c r="EQ354" s="737"/>
      <c r="ER354" s="737"/>
      <c r="ES354" s="737"/>
      <c r="ET354" s="737"/>
      <c r="EU354" s="737"/>
      <c r="EV354" s="737"/>
      <c r="EW354" s="737"/>
      <c r="EX354" s="737"/>
      <c r="EY354" s="737"/>
      <c r="EZ354" s="737"/>
      <c r="FA354" s="737"/>
      <c r="FB354" s="737"/>
      <c r="FC354" s="737"/>
      <c r="FD354" s="737"/>
      <c r="FE354" s="737"/>
      <c r="FF354" s="737"/>
      <c r="FG354" s="737"/>
      <c r="FH354" s="737"/>
      <c r="FI354" s="737"/>
      <c r="FJ354" s="737"/>
      <c r="FK354" s="737"/>
      <c r="FL354" s="737"/>
      <c r="FM354" s="737"/>
      <c r="FN354" s="737"/>
      <c r="FO354" s="737"/>
      <c r="FP354" s="737"/>
      <c r="FQ354" s="737"/>
      <c r="FR354" s="737"/>
      <c r="FS354" s="737"/>
      <c r="FT354" s="737"/>
      <c r="FU354" s="737"/>
      <c r="FV354" s="737"/>
      <c r="FW354" s="737"/>
      <c r="FX354" s="737"/>
      <c r="FY354" s="737"/>
      <c r="FZ354" s="737"/>
      <c r="GA354" s="737"/>
      <c r="GB354" s="737"/>
      <c r="GC354" s="737"/>
      <c r="GD354" s="737"/>
      <c r="GE354" s="737"/>
      <c r="GF354" s="737"/>
      <c r="GG354" s="737"/>
      <c r="GH354" s="737"/>
      <c r="GI354" s="737"/>
      <c r="GJ354" s="737"/>
      <c r="GK354" s="737"/>
      <c r="GL354" s="737"/>
      <c r="GM354" s="737"/>
      <c r="GN354" s="737"/>
      <c r="GO354" s="737"/>
      <c r="GP354" s="737"/>
      <c r="GQ354" s="737"/>
      <c r="GR354" s="737"/>
      <c r="GS354" s="737"/>
      <c r="GT354" s="737"/>
      <c r="GU354" s="737"/>
      <c r="GV354" s="737"/>
      <c r="GW354" s="737"/>
      <c r="GX354" s="737"/>
      <c r="GY354" s="737"/>
      <c r="GZ354" s="737"/>
      <c r="HA354" s="737"/>
      <c r="HB354" s="737"/>
      <c r="HC354" s="737"/>
      <c r="HD354" s="737"/>
      <c r="HE354" s="737"/>
      <c r="HF354" s="737"/>
      <c r="HG354" s="737"/>
      <c r="HH354" s="737"/>
      <c r="HI354" s="737"/>
      <c r="HJ354" s="737"/>
      <c r="HK354" s="737"/>
      <c r="HL354" s="737"/>
      <c r="HM354" s="737"/>
      <c r="HN354" s="737"/>
      <c r="HO354" s="737"/>
      <c r="HP354" s="737"/>
      <c r="HQ354" s="737"/>
      <c r="HR354" s="737"/>
      <c r="HS354" s="737"/>
      <c r="HT354" s="737"/>
      <c r="HU354" s="737"/>
      <c r="HV354" s="737"/>
      <c r="HW354" s="737"/>
      <c r="HX354" s="737"/>
      <c r="HY354" s="737"/>
      <c r="HZ354" s="737"/>
      <c r="IA354" s="737"/>
      <c r="IB354" s="737"/>
      <c r="IC354" s="737"/>
      <c r="ID354" s="737"/>
      <c r="IE354" s="737"/>
      <c r="IF354" s="737"/>
      <c r="IG354" s="737"/>
      <c r="IH354" s="737"/>
      <c r="II354" s="737"/>
      <c r="IJ354" s="737"/>
      <c r="IK354" s="737"/>
      <c r="IL354" s="737"/>
      <c r="IM354" s="737"/>
      <c r="IN354" s="737"/>
      <c r="IO354" s="737"/>
      <c r="IP354" s="737"/>
      <c r="IQ354" s="737"/>
      <c r="IR354" s="737"/>
      <c r="IS354" s="737"/>
      <c r="IT354" s="737"/>
      <c r="IU354" s="737"/>
      <c r="IV354" s="737"/>
      <c r="IW354" s="737"/>
    </row>
    <row r="355" spans="1:257" s="749" customFormat="1">
      <c r="A355" s="901" t="s">
        <v>248</v>
      </c>
      <c r="B355" s="969" t="s">
        <v>256</v>
      </c>
      <c r="C355" s="758">
        <v>8</v>
      </c>
      <c r="D355" s="758"/>
      <c r="E355" s="760">
        <v>20000000</v>
      </c>
      <c r="F355" s="760">
        <f>C355*E355</f>
        <v>160000000</v>
      </c>
      <c r="G355" s="970"/>
      <c r="H355" s="970"/>
      <c r="I355" s="970"/>
      <c r="J355" s="760">
        <v>160000000</v>
      </c>
      <c r="K355" s="760">
        <f>6*20000000</f>
        <v>120000000</v>
      </c>
      <c r="L355" s="1311">
        <f>7*20000000</f>
        <v>140000000</v>
      </c>
      <c r="M355" s="761" t="s">
        <v>1579</v>
      </c>
      <c r="N355" s="904"/>
      <c r="O355" s="904"/>
      <c r="P355" s="971"/>
      <c r="Q355" s="971"/>
      <c r="R355" s="861"/>
      <c r="S355" s="952"/>
      <c r="T355" s="953"/>
      <c r="U355" s="734"/>
      <c r="V355" s="907"/>
      <c r="W355" s="979"/>
      <c r="X355" s="980"/>
      <c r="Y355" s="981"/>
      <c r="Z355" s="981"/>
      <c r="AA355" s="981"/>
      <c r="AB355" s="981"/>
      <c r="AC355" s="981"/>
      <c r="AD355" s="981"/>
      <c r="AE355" s="981"/>
      <c r="AF355" s="981"/>
      <c r="AG355" s="981"/>
      <c r="AH355" s="981"/>
      <c r="AI355" s="981"/>
      <c r="AJ355" s="981"/>
      <c r="AK355" s="981"/>
      <c r="AL355" s="981"/>
      <c r="AM355" s="981"/>
      <c r="AN355" s="981"/>
      <c r="AO355" s="981"/>
      <c r="AP355" s="981"/>
      <c r="AQ355" s="981"/>
      <c r="AR355" s="981"/>
      <c r="AS355" s="981"/>
      <c r="AT355" s="981"/>
      <c r="AU355" s="981"/>
      <c r="AV355" s="981"/>
      <c r="AW355" s="981"/>
      <c r="AX355" s="981"/>
      <c r="AY355" s="981"/>
      <c r="AZ355" s="981"/>
      <c r="BA355" s="981"/>
      <c r="BB355" s="981"/>
      <c r="BC355" s="981"/>
      <c r="BD355" s="981"/>
      <c r="BE355" s="981"/>
      <c r="BF355" s="981"/>
      <c r="BG355" s="981"/>
      <c r="BH355" s="981"/>
      <c r="BI355" s="981"/>
      <c r="BJ355" s="981"/>
      <c r="BK355" s="981"/>
      <c r="BL355" s="981"/>
      <c r="BM355" s="981"/>
      <c r="BN355" s="981"/>
      <c r="BO355" s="981"/>
      <c r="BP355" s="981"/>
      <c r="BQ355" s="981"/>
      <c r="BR355" s="981"/>
      <c r="BS355" s="981"/>
      <c r="BT355" s="981"/>
      <c r="BU355" s="981"/>
      <c r="BV355" s="981"/>
      <c r="BW355" s="981"/>
      <c r="BX355" s="981"/>
      <c r="BY355" s="981"/>
      <c r="BZ355" s="981"/>
      <c r="CA355" s="981"/>
      <c r="CB355" s="981"/>
      <c r="CC355" s="981"/>
      <c r="CD355" s="981"/>
      <c r="CE355" s="981"/>
      <c r="CF355" s="981"/>
      <c r="CG355" s="981"/>
      <c r="CH355" s="981"/>
      <c r="CI355" s="981"/>
      <c r="CJ355" s="981"/>
      <c r="CK355" s="981"/>
      <c r="CL355" s="981"/>
      <c r="CM355" s="981"/>
      <c r="CN355" s="981"/>
      <c r="CO355" s="981"/>
      <c r="CP355" s="981"/>
      <c r="CQ355" s="981"/>
      <c r="CR355" s="981"/>
      <c r="CS355" s="981"/>
      <c r="CT355" s="981"/>
      <c r="CU355" s="981"/>
      <c r="CV355" s="981"/>
      <c r="CW355" s="981"/>
      <c r="CX355" s="981"/>
      <c r="CY355" s="981"/>
      <c r="CZ355" s="981"/>
      <c r="DA355" s="981"/>
      <c r="DB355" s="981"/>
      <c r="DC355" s="981"/>
      <c r="DD355" s="981"/>
      <c r="DE355" s="981"/>
      <c r="DF355" s="981"/>
      <c r="DG355" s="981"/>
      <c r="DH355" s="981"/>
      <c r="DI355" s="981"/>
      <c r="DJ355" s="981"/>
      <c r="DK355" s="981"/>
      <c r="DL355" s="981"/>
      <c r="DM355" s="981"/>
      <c r="DN355" s="981"/>
      <c r="DO355" s="981"/>
      <c r="DP355" s="981"/>
      <c r="DQ355" s="981"/>
      <c r="DR355" s="981"/>
      <c r="DS355" s="981"/>
      <c r="DT355" s="981"/>
      <c r="DU355" s="981"/>
      <c r="DV355" s="981"/>
      <c r="DW355" s="981"/>
      <c r="DX355" s="981"/>
      <c r="DY355" s="981"/>
      <c r="DZ355" s="981"/>
      <c r="EA355" s="981"/>
      <c r="EB355" s="981"/>
      <c r="EC355" s="981"/>
      <c r="ED355" s="981"/>
      <c r="EE355" s="981"/>
      <c r="EF355" s="981"/>
      <c r="EG355" s="981"/>
      <c r="EH355" s="981"/>
      <c r="EI355" s="981"/>
      <c r="EJ355" s="981"/>
      <c r="EK355" s="981"/>
      <c r="EL355" s="981"/>
      <c r="EM355" s="981"/>
      <c r="EN355" s="981"/>
      <c r="EO355" s="981"/>
      <c r="EP355" s="981"/>
      <c r="EQ355" s="981"/>
      <c r="ER355" s="981"/>
      <c r="ES355" s="981"/>
      <c r="ET355" s="981"/>
      <c r="EU355" s="981"/>
      <c r="EV355" s="981"/>
      <c r="EW355" s="981"/>
      <c r="EX355" s="981"/>
      <c r="EY355" s="981"/>
      <c r="EZ355" s="981"/>
      <c r="FA355" s="981"/>
      <c r="FB355" s="981"/>
      <c r="FC355" s="981"/>
      <c r="FD355" s="981"/>
      <c r="FE355" s="981"/>
      <c r="FF355" s="981"/>
      <c r="FG355" s="981"/>
      <c r="FH355" s="981"/>
      <c r="FI355" s="981"/>
      <c r="FJ355" s="981"/>
      <c r="FK355" s="981"/>
      <c r="FL355" s="981"/>
      <c r="FM355" s="981"/>
      <c r="FN355" s="981"/>
      <c r="FO355" s="981"/>
      <c r="FP355" s="981"/>
      <c r="FQ355" s="981"/>
      <c r="FR355" s="981"/>
      <c r="FS355" s="981"/>
      <c r="FT355" s="981"/>
      <c r="FU355" s="981"/>
      <c r="FV355" s="981"/>
      <c r="FW355" s="981"/>
      <c r="FX355" s="981"/>
      <c r="FY355" s="981"/>
      <c r="FZ355" s="981"/>
      <c r="GA355" s="981"/>
      <c r="GB355" s="981"/>
      <c r="GC355" s="981"/>
      <c r="GD355" s="981"/>
      <c r="GE355" s="981"/>
      <c r="GF355" s="981"/>
      <c r="GG355" s="981"/>
      <c r="GH355" s="981"/>
      <c r="GI355" s="981"/>
      <c r="GJ355" s="981"/>
      <c r="GK355" s="981"/>
      <c r="GL355" s="981"/>
      <c r="GM355" s="981"/>
      <c r="GN355" s="981"/>
      <c r="GO355" s="981"/>
      <c r="GP355" s="981"/>
      <c r="GQ355" s="981"/>
      <c r="GR355" s="981"/>
      <c r="GS355" s="981"/>
      <c r="GT355" s="981"/>
      <c r="GU355" s="981"/>
      <c r="GV355" s="981"/>
      <c r="GW355" s="981"/>
      <c r="GX355" s="981"/>
      <c r="GY355" s="981"/>
      <c r="GZ355" s="981"/>
      <c r="HA355" s="981"/>
      <c r="HB355" s="981"/>
      <c r="HC355" s="981"/>
      <c r="HD355" s="981"/>
      <c r="HE355" s="981"/>
      <c r="HF355" s="981"/>
      <c r="HG355" s="981"/>
      <c r="HH355" s="981"/>
      <c r="HI355" s="981"/>
      <c r="HJ355" s="981"/>
      <c r="HK355" s="981"/>
      <c r="HL355" s="981"/>
      <c r="HM355" s="981"/>
      <c r="HN355" s="981"/>
      <c r="HO355" s="981"/>
      <c r="HP355" s="981"/>
      <c r="HQ355" s="981"/>
      <c r="HR355" s="981"/>
      <c r="HS355" s="981"/>
      <c r="HT355" s="981"/>
      <c r="HU355" s="981"/>
      <c r="HV355" s="981"/>
      <c r="HW355" s="981"/>
      <c r="HX355" s="981"/>
      <c r="HY355" s="981"/>
      <c r="HZ355" s="981"/>
      <c r="IA355" s="981"/>
      <c r="IB355" s="981"/>
      <c r="IC355" s="981"/>
      <c r="ID355" s="981"/>
      <c r="IE355" s="981"/>
      <c r="IF355" s="981"/>
      <c r="IG355" s="981"/>
      <c r="IH355" s="981"/>
      <c r="II355" s="981"/>
      <c r="IJ355" s="981"/>
      <c r="IK355" s="981"/>
      <c r="IL355" s="981"/>
      <c r="IM355" s="981"/>
      <c r="IN355" s="981"/>
      <c r="IO355" s="981"/>
      <c r="IP355" s="981"/>
      <c r="IQ355" s="981"/>
      <c r="IR355" s="981"/>
      <c r="IS355" s="981"/>
      <c r="IT355" s="981"/>
      <c r="IU355" s="981"/>
      <c r="IV355" s="981"/>
      <c r="IW355" s="981"/>
    </row>
    <row r="356" spans="1:257" s="889" customFormat="1">
      <c r="A356" s="982" t="s">
        <v>91</v>
      </c>
      <c r="B356" s="983" t="s">
        <v>306</v>
      </c>
      <c r="C356" s="880"/>
      <c r="D356" s="880"/>
      <c r="E356" s="882"/>
      <c r="F356" s="882"/>
      <c r="G356" s="972"/>
      <c r="H356" s="972"/>
      <c r="I356" s="972"/>
      <c r="J356" s="882"/>
      <c r="K356" s="882"/>
      <c r="L356" s="1316"/>
      <c r="M356" s="625"/>
      <c r="N356" s="984"/>
      <c r="O356" s="984"/>
      <c r="P356" s="985"/>
      <c r="Q356" s="985"/>
      <c r="R356" s="952"/>
      <c r="S356" s="952"/>
      <c r="T356" s="953"/>
      <c r="U356" s="734"/>
      <c r="V356" s="784"/>
      <c r="W356" s="632"/>
      <c r="X356" s="633"/>
      <c r="Y356" s="634"/>
      <c r="Z356" s="634"/>
      <c r="AA356" s="634"/>
      <c r="AB356" s="634"/>
      <c r="AC356" s="634"/>
      <c r="AD356" s="634"/>
      <c r="AE356" s="634"/>
      <c r="AF356" s="634"/>
      <c r="AG356" s="634"/>
      <c r="AH356" s="634"/>
      <c r="AI356" s="634"/>
      <c r="AJ356" s="634"/>
      <c r="AK356" s="634"/>
      <c r="AL356" s="634"/>
      <c r="AM356" s="634"/>
      <c r="AN356" s="634"/>
      <c r="AO356" s="634"/>
      <c r="AP356" s="634"/>
      <c r="AQ356" s="634"/>
      <c r="AR356" s="634"/>
      <c r="AS356" s="634"/>
      <c r="AT356" s="634"/>
      <c r="AU356" s="634"/>
      <c r="AV356" s="634"/>
      <c r="AW356" s="634"/>
      <c r="AX356" s="634"/>
      <c r="AY356" s="634"/>
      <c r="AZ356" s="634"/>
      <c r="BA356" s="634"/>
      <c r="BB356" s="634"/>
      <c r="BC356" s="634"/>
      <c r="BD356" s="634"/>
      <c r="BE356" s="634"/>
      <c r="BF356" s="634"/>
      <c r="BG356" s="634"/>
      <c r="BH356" s="634"/>
      <c r="BI356" s="634"/>
      <c r="BJ356" s="634"/>
      <c r="BK356" s="634"/>
      <c r="BL356" s="634"/>
      <c r="BM356" s="634"/>
      <c r="BN356" s="634"/>
      <c r="BO356" s="634"/>
      <c r="BP356" s="634"/>
      <c r="BQ356" s="634"/>
      <c r="BR356" s="634"/>
      <c r="BS356" s="634"/>
      <c r="BT356" s="634"/>
      <c r="BU356" s="634"/>
      <c r="BV356" s="634"/>
      <c r="BW356" s="634"/>
      <c r="BX356" s="634"/>
      <c r="BY356" s="634"/>
      <c r="BZ356" s="634"/>
      <c r="CA356" s="634"/>
      <c r="CB356" s="634"/>
      <c r="CC356" s="634"/>
      <c r="CD356" s="634"/>
      <c r="CE356" s="634"/>
      <c r="CF356" s="634"/>
      <c r="CG356" s="634"/>
      <c r="CH356" s="634"/>
      <c r="CI356" s="634"/>
      <c r="CJ356" s="634"/>
      <c r="CK356" s="634"/>
      <c r="CL356" s="634"/>
      <c r="CM356" s="634"/>
      <c r="CN356" s="634"/>
      <c r="CO356" s="634"/>
      <c r="CP356" s="634"/>
      <c r="CQ356" s="634"/>
      <c r="CR356" s="634"/>
      <c r="CS356" s="634"/>
      <c r="CT356" s="634"/>
      <c r="CU356" s="634"/>
      <c r="CV356" s="634"/>
      <c r="CW356" s="634"/>
      <c r="CX356" s="634"/>
      <c r="CY356" s="634"/>
      <c r="CZ356" s="634"/>
      <c r="DA356" s="634"/>
      <c r="DB356" s="634"/>
      <c r="DC356" s="634"/>
      <c r="DD356" s="634"/>
      <c r="DE356" s="634"/>
      <c r="DF356" s="634"/>
      <c r="DG356" s="634"/>
      <c r="DH356" s="634"/>
      <c r="DI356" s="634"/>
      <c r="DJ356" s="634"/>
      <c r="DK356" s="634"/>
      <c r="DL356" s="634"/>
      <c r="DM356" s="634"/>
      <c r="DN356" s="634"/>
      <c r="DO356" s="634"/>
      <c r="DP356" s="634"/>
      <c r="DQ356" s="634"/>
      <c r="DR356" s="634"/>
      <c r="DS356" s="634"/>
      <c r="DT356" s="634"/>
      <c r="DU356" s="634"/>
      <c r="DV356" s="634"/>
      <c r="DW356" s="634"/>
      <c r="DX356" s="634"/>
      <c r="DY356" s="634"/>
      <c r="DZ356" s="634"/>
      <c r="EA356" s="634"/>
      <c r="EB356" s="634"/>
      <c r="EC356" s="634"/>
      <c r="ED356" s="634"/>
      <c r="EE356" s="634"/>
      <c r="EF356" s="634"/>
      <c r="EG356" s="634"/>
      <c r="EH356" s="634"/>
      <c r="EI356" s="634"/>
      <c r="EJ356" s="634"/>
      <c r="EK356" s="634"/>
      <c r="EL356" s="634"/>
      <c r="EM356" s="634"/>
      <c r="EN356" s="634"/>
      <c r="EO356" s="634"/>
      <c r="EP356" s="634"/>
      <c r="EQ356" s="634"/>
      <c r="ER356" s="634"/>
      <c r="ES356" s="634"/>
      <c r="ET356" s="634"/>
      <c r="EU356" s="634"/>
      <c r="EV356" s="634"/>
      <c r="EW356" s="634"/>
      <c r="EX356" s="634"/>
      <c r="EY356" s="634"/>
      <c r="EZ356" s="634"/>
      <c r="FA356" s="634"/>
      <c r="FB356" s="634"/>
      <c r="FC356" s="634"/>
      <c r="FD356" s="634"/>
      <c r="FE356" s="634"/>
      <c r="FF356" s="634"/>
      <c r="FG356" s="634"/>
      <c r="FH356" s="634"/>
      <c r="FI356" s="634"/>
      <c r="FJ356" s="634"/>
      <c r="FK356" s="634"/>
      <c r="FL356" s="634"/>
      <c r="FM356" s="634"/>
      <c r="FN356" s="634"/>
      <c r="FO356" s="634"/>
      <c r="FP356" s="634"/>
      <c r="FQ356" s="634"/>
      <c r="FR356" s="634"/>
      <c r="FS356" s="634"/>
      <c r="FT356" s="634"/>
      <c r="FU356" s="634"/>
      <c r="FV356" s="634"/>
      <c r="FW356" s="634"/>
      <c r="FX356" s="634"/>
      <c r="FY356" s="634"/>
      <c r="FZ356" s="634"/>
      <c r="GA356" s="634"/>
      <c r="GB356" s="634"/>
      <c r="GC356" s="634"/>
      <c r="GD356" s="634"/>
      <c r="GE356" s="634"/>
      <c r="GF356" s="634"/>
      <c r="GG356" s="634"/>
      <c r="GH356" s="634"/>
      <c r="GI356" s="634"/>
      <c r="GJ356" s="634"/>
      <c r="GK356" s="634"/>
      <c r="GL356" s="634"/>
      <c r="GM356" s="634"/>
      <c r="GN356" s="634"/>
      <c r="GO356" s="634"/>
      <c r="GP356" s="634"/>
      <c r="GQ356" s="634"/>
      <c r="GR356" s="634"/>
      <c r="GS356" s="634"/>
      <c r="GT356" s="634"/>
      <c r="GU356" s="634"/>
      <c r="GV356" s="634"/>
      <c r="GW356" s="634"/>
      <c r="GX356" s="634"/>
      <c r="GY356" s="634"/>
      <c r="GZ356" s="634"/>
      <c r="HA356" s="634"/>
      <c r="HB356" s="634"/>
      <c r="HC356" s="634"/>
      <c r="HD356" s="634"/>
      <c r="HE356" s="634"/>
      <c r="HF356" s="634"/>
      <c r="HG356" s="634"/>
      <c r="HH356" s="634"/>
      <c r="HI356" s="634"/>
      <c r="HJ356" s="634"/>
      <c r="HK356" s="634"/>
      <c r="HL356" s="634"/>
      <c r="HM356" s="634"/>
      <c r="HN356" s="634"/>
      <c r="HO356" s="634"/>
      <c r="HP356" s="634"/>
      <c r="HQ356" s="634"/>
      <c r="HR356" s="634"/>
      <c r="HS356" s="634"/>
      <c r="HT356" s="634"/>
      <c r="HU356" s="634"/>
      <c r="HV356" s="634"/>
      <c r="HW356" s="634"/>
      <c r="HX356" s="634"/>
      <c r="HY356" s="634"/>
      <c r="HZ356" s="634"/>
      <c r="IA356" s="634"/>
      <c r="IB356" s="634"/>
      <c r="IC356" s="634"/>
      <c r="ID356" s="634"/>
      <c r="IE356" s="634"/>
      <c r="IF356" s="634"/>
      <c r="IG356" s="634"/>
      <c r="IH356" s="634"/>
      <c r="II356" s="634"/>
      <c r="IJ356" s="634"/>
      <c r="IK356" s="634"/>
      <c r="IL356" s="634"/>
      <c r="IM356" s="634"/>
      <c r="IN356" s="634"/>
      <c r="IO356" s="634"/>
      <c r="IP356" s="634"/>
      <c r="IQ356" s="634"/>
      <c r="IR356" s="634"/>
      <c r="IS356" s="634"/>
      <c r="IT356" s="634"/>
      <c r="IU356" s="634"/>
      <c r="IV356" s="634"/>
      <c r="IW356" s="634"/>
    </row>
    <row r="357" spans="1:257" s="889" customFormat="1" ht="31.5">
      <c r="A357" s="729" t="s">
        <v>225</v>
      </c>
      <c r="B357" s="833" t="s">
        <v>257</v>
      </c>
      <c r="C357" s="729"/>
      <c r="D357" s="729"/>
      <c r="E357" s="731"/>
      <c r="F357" s="834">
        <f t="shared" ref="F357:J357" si="44">SUM(F358:F372)</f>
        <v>1315000000</v>
      </c>
      <c r="G357" s="834">
        <f t="shared" si="44"/>
        <v>0</v>
      </c>
      <c r="H357" s="834">
        <f t="shared" si="44"/>
        <v>0</v>
      </c>
      <c r="I357" s="834">
        <f t="shared" si="44"/>
        <v>0</v>
      </c>
      <c r="J357" s="834">
        <f t="shared" si="44"/>
        <v>2126615000</v>
      </c>
      <c r="K357" s="834">
        <f>SUM(K358:K372)</f>
        <v>1271500000</v>
      </c>
      <c r="L357" s="1312">
        <f>SUM(L358:L372)</f>
        <v>962000000</v>
      </c>
      <c r="M357" s="626" t="s">
        <v>1596</v>
      </c>
      <c r="N357" s="950"/>
      <c r="O357" s="950"/>
      <c r="P357" s="951"/>
      <c r="Q357" s="951"/>
      <c r="R357" s="986"/>
      <c r="S357" s="952"/>
      <c r="T357" s="953"/>
      <c r="U357" s="734"/>
      <c r="V357" s="784"/>
      <c r="W357" s="632"/>
      <c r="X357" s="633"/>
      <c r="Y357" s="634"/>
      <c r="Z357" s="634"/>
      <c r="AA357" s="634"/>
      <c r="AB357" s="634"/>
      <c r="AC357" s="634"/>
      <c r="AD357" s="634"/>
      <c r="AE357" s="634"/>
      <c r="AF357" s="634"/>
      <c r="AG357" s="634"/>
      <c r="AH357" s="634"/>
      <c r="AI357" s="634"/>
      <c r="AJ357" s="634"/>
      <c r="AK357" s="634"/>
      <c r="AL357" s="634"/>
      <c r="AM357" s="634"/>
      <c r="AN357" s="634"/>
      <c r="AO357" s="634"/>
      <c r="AP357" s="634"/>
      <c r="AQ357" s="634"/>
      <c r="AR357" s="634"/>
      <c r="AS357" s="634"/>
      <c r="AT357" s="634"/>
      <c r="AU357" s="634"/>
      <c r="AV357" s="634"/>
      <c r="AW357" s="634"/>
      <c r="AX357" s="634"/>
      <c r="AY357" s="634"/>
      <c r="AZ357" s="634"/>
      <c r="BA357" s="634"/>
      <c r="BB357" s="634"/>
      <c r="BC357" s="634"/>
      <c r="BD357" s="634"/>
      <c r="BE357" s="634"/>
      <c r="BF357" s="634"/>
      <c r="BG357" s="634"/>
      <c r="BH357" s="634"/>
      <c r="BI357" s="634"/>
      <c r="BJ357" s="634"/>
      <c r="BK357" s="634"/>
      <c r="BL357" s="634"/>
      <c r="BM357" s="634"/>
      <c r="BN357" s="634"/>
      <c r="BO357" s="634"/>
      <c r="BP357" s="634"/>
      <c r="BQ357" s="634"/>
      <c r="BR357" s="634"/>
      <c r="BS357" s="634"/>
      <c r="BT357" s="634"/>
      <c r="BU357" s="634"/>
      <c r="BV357" s="634"/>
      <c r="BW357" s="634"/>
      <c r="BX357" s="634"/>
      <c r="BY357" s="634"/>
      <c r="BZ357" s="634"/>
      <c r="CA357" s="634"/>
      <c r="CB357" s="634"/>
      <c r="CC357" s="634"/>
      <c r="CD357" s="634"/>
      <c r="CE357" s="634"/>
      <c r="CF357" s="634"/>
      <c r="CG357" s="634"/>
      <c r="CH357" s="634"/>
      <c r="CI357" s="634"/>
      <c r="CJ357" s="634"/>
      <c r="CK357" s="634"/>
      <c r="CL357" s="634"/>
      <c r="CM357" s="634"/>
      <c r="CN357" s="634"/>
      <c r="CO357" s="634"/>
      <c r="CP357" s="634"/>
      <c r="CQ357" s="634"/>
      <c r="CR357" s="634"/>
      <c r="CS357" s="634"/>
      <c r="CT357" s="634"/>
      <c r="CU357" s="634"/>
      <c r="CV357" s="634"/>
      <c r="CW357" s="634"/>
      <c r="CX357" s="634"/>
      <c r="CY357" s="634"/>
      <c r="CZ357" s="634"/>
      <c r="DA357" s="634"/>
      <c r="DB357" s="634"/>
      <c r="DC357" s="634"/>
      <c r="DD357" s="634"/>
      <c r="DE357" s="634"/>
      <c r="DF357" s="634"/>
      <c r="DG357" s="634"/>
      <c r="DH357" s="634"/>
      <c r="DI357" s="634"/>
      <c r="DJ357" s="634"/>
      <c r="DK357" s="634"/>
      <c r="DL357" s="634"/>
      <c r="DM357" s="634"/>
      <c r="DN357" s="634"/>
      <c r="DO357" s="634"/>
      <c r="DP357" s="634"/>
      <c r="DQ357" s="634"/>
      <c r="DR357" s="634"/>
      <c r="DS357" s="634"/>
      <c r="DT357" s="634"/>
      <c r="DU357" s="634"/>
      <c r="DV357" s="634"/>
      <c r="DW357" s="634"/>
      <c r="DX357" s="634"/>
      <c r="DY357" s="634"/>
      <c r="DZ357" s="634"/>
      <c r="EA357" s="634"/>
      <c r="EB357" s="634"/>
      <c r="EC357" s="634"/>
      <c r="ED357" s="634"/>
      <c r="EE357" s="634"/>
      <c r="EF357" s="634"/>
      <c r="EG357" s="634"/>
      <c r="EH357" s="634"/>
      <c r="EI357" s="634"/>
      <c r="EJ357" s="634"/>
      <c r="EK357" s="634"/>
      <c r="EL357" s="634"/>
      <c r="EM357" s="634"/>
      <c r="EN357" s="634"/>
      <c r="EO357" s="634"/>
      <c r="EP357" s="634"/>
      <c r="EQ357" s="634"/>
      <c r="ER357" s="634"/>
      <c r="ES357" s="634"/>
      <c r="ET357" s="634"/>
      <c r="EU357" s="634"/>
      <c r="EV357" s="634"/>
      <c r="EW357" s="634"/>
      <c r="EX357" s="634"/>
      <c r="EY357" s="634"/>
      <c r="EZ357" s="634"/>
      <c r="FA357" s="634"/>
      <c r="FB357" s="634"/>
      <c r="FC357" s="634"/>
      <c r="FD357" s="634"/>
      <c r="FE357" s="634"/>
      <c r="FF357" s="634"/>
      <c r="FG357" s="634"/>
      <c r="FH357" s="634"/>
      <c r="FI357" s="634"/>
      <c r="FJ357" s="634"/>
      <c r="FK357" s="634"/>
      <c r="FL357" s="634"/>
      <c r="FM357" s="634"/>
      <c r="FN357" s="634"/>
      <c r="FO357" s="634"/>
      <c r="FP357" s="634"/>
      <c r="FQ357" s="634"/>
      <c r="FR357" s="634"/>
      <c r="FS357" s="634"/>
      <c r="FT357" s="634"/>
      <c r="FU357" s="634"/>
      <c r="FV357" s="634"/>
      <c r="FW357" s="634"/>
      <c r="FX357" s="634"/>
      <c r="FY357" s="634"/>
      <c r="FZ357" s="634"/>
      <c r="GA357" s="634"/>
      <c r="GB357" s="634"/>
      <c r="GC357" s="634"/>
      <c r="GD357" s="634"/>
      <c r="GE357" s="634"/>
      <c r="GF357" s="634"/>
      <c r="GG357" s="634"/>
      <c r="GH357" s="634"/>
      <c r="GI357" s="634"/>
      <c r="GJ357" s="634"/>
      <c r="GK357" s="634"/>
      <c r="GL357" s="634"/>
      <c r="GM357" s="634"/>
      <c r="GN357" s="634"/>
      <c r="GO357" s="634"/>
      <c r="GP357" s="634"/>
      <c r="GQ357" s="634"/>
      <c r="GR357" s="634"/>
      <c r="GS357" s="634"/>
      <c r="GT357" s="634"/>
      <c r="GU357" s="634"/>
      <c r="GV357" s="634"/>
      <c r="GW357" s="634"/>
      <c r="GX357" s="634"/>
      <c r="GY357" s="634"/>
      <c r="GZ357" s="634"/>
      <c r="HA357" s="634"/>
      <c r="HB357" s="634"/>
      <c r="HC357" s="634"/>
      <c r="HD357" s="634"/>
      <c r="HE357" s="634"/>
      <c r="HF357" s="634"/>
      <c r="HG357" s="634"/>
      <c r="HH357" s="634"/>
      <c r="HI357" s="634"/>
      <c r="HJ357" s="634"/>
      <c r="HK357" s="634"/>
      <c r="HL357" s="634"/>
      <c r="HM357" s="634"/>
      <c r="HN357" s="634"/>
      <c r="HO357" s="634"/>
      <c r="HP357" s="634"/>
      <c r="HQ357" s="634"/>
      <c r="HR357" s="634"/>
      <c r="HS357" s="634"/>
      <c r="HT357" s="634"/>
      <c r="HU357" s="634"/>
      <c r="HV357" s="634"/>
      <c r="HW357" s="634"/>
      <c r="HX357" s="634"/>
      <c r="HY357" s="634"/>
      <c r="HZ357" s="634"/>
      <c r="IA357" s="634"/>
      <c r="IB357" s="634"/>
      <c r="IC357" s="634"/>
      <c r="ID357" s="634"/>
      <c r="IE357" s="634"/>
      <c r="IF357" s="634"/>
      <c r="IG357" s="634"/>
      <c r="IH357" s="634"/>
      <c r="II357" s="634"/>
      <c r="IJ357" s="634"/>
      <c r="IK357" s="634"/>
      <c r="IL357" s="634"/>
      <c r="IM357" s="634"/>
      <c r="IN357" s="634"/>
      <c r="IO357" s="634"/>
      <c r="IP357" s="634"/>
      <c r="IQ357" s="634"/>
      <c r="IR357" s="634"/>
      <c r="IS357" s="634"/>
      <c r="IT357" s="634"/>
      <c r="IU357" s="634"/>
      <c r="IV357" s="634"/>
      <c r="IW357" s="634"/>
    </row>
    <row r="358" spans="1:257" s="889" customFormat="1">
      <c r="A358" s="939" t="s">
        <v>91</v>
      </c>
      <c r="B358" s="902" t="s">
        <v>108</v>
      </c>
      <c r="C358" s="774"/>
      <c r="D358" s="774"/>
      <c r="E358" s="676"/>
      <c r="F358" s="676">
        <v>48000000</v>
      </c>
      <c r="G358" s="740"/>
      <c r="H358" s="740"/>
      <c r="I358" s="740"/>
      <c r="J358" s="676">
        <v>72000000</v>
      </c>
      <c r="K358" s="676">
        <v>72000000</v>
      </c>
      <c r="L358" s="1305">
        <v>72000000</v>
      </c>
      <c r="M358" s="676"/>
      <c r="N358" s="940"/>
      <c r="O358" s="940"/>
      <c r="P358" s="903"/>
      <c r="Q358" s="903"/>
      <c r="R358" s="861"/>
      <c r="S358" s="861"/>
      <c r="T358" s="862"/>
      <c r="U358" s="987"/>
      <c r="V358" s="632"/>
      <c r="W358" s="632"/>
      <c r="X358" s="633"/>
      <c r="Y358" s="634"/>
      <c r="Z358" s="634"/>
      <c r="AA358" s="634"/>
      <c r="AB358" s="634"/>
      <c r="AC358" s="634"/>
      <c r="AD358" s="634"/>
      <c r="AE358" s="634"/>
      <c r="AF358" s="634"/>
      <c r="AG358" s="634"/>
      <c r="AH358" s="634"/>
      <c r="AI358" s="634"/>
      <c r="AJ358" s="634"/>
      <c r="AK358" s="634"/>
      <c r="AL358" s="634"/>
      <c r="AM358" s="634"/>
      <c r="AN358" s="634"/>
      <c r="AO358" s="634"/>
      <c r="AP358" s="634"/>
      <c r="AQ358" s="634"/>
      <c r="AR358" s="634"/>
      <c r="AS358" s="634"/>
      <c r="AT358" s="634"/>
      <c r="AU358" s="634"/>
      <c r="AV358" s="634"/>
      <c r="AW358" s="634"/>
      <c r="AX358" s="634"/>
      <c r="AY358" s="634"/>
      <c r="AZ358" s="634"/>
      <c r="BA358" s="634"/>
      <c r="BB358" s="634"/>
      <c r="BC358" s="634"/>
      <c r="BD358" s="634"/>
      <c r="BE358" s="634"/>
      <c r="BF358" s="634"/>
      <c r="BG358" s="634"/>
      <c r="BH358" s="634"/>
      <c r="BI358" s="634"/>
      <c r="BJ358" s="634"/>
      <c r="BK358" s="634"/>
      <c r="BL358" s="634"/>
      <c r="BM358" s="634"/>
      <c r="BN358" s="634"/>
      <c r="BO358" s="634"/>
      <c r="BP358" s="634"/>
      <c r="BQ358" s="634"/>
      <c r="BR358" s="634"/>
      <c r="BS358" s="634"/>
      <c r="BT358" s="634"/>
      <c r="BU358" s="634"/>
      <c r="BV358" s="634"/>
      <c r="BW358" s="634"/>
      <c r="BX358" s="634"/>
      <c r="BY358" s="634"/>
      <c r="BZ358" s="634"/>
      <c r="CA358" s="634"/>
      <c r="CB358" s="634"/>
      <c r="CC358" s="634"/>
      <c r="CD358" s="634"/>
      <c r="CE358" s="634"/>
      <c r="CF358" s="634"/>
      <c r="CG358" s="634"/>
      <c r="CH358" s="634"/>
      <c r="CI358" s="634"/>
      <c r="CJ358" s="634"/>
      <c r="CK358" s="634"/>
      <c r="CL358" s="634"/>
      <c r="CM358" s="634"/>
      <c r="CN358" s="634"/>
      <c r="CO358" s="634"/>
      <c r="CP358" s="634"/>
      <c r="CQ358" s="634"/>
      <c r="CR358" s="634"/>
      <c r="CS358" s="634"/>
      <c r="CT358" s="634"/>
      <c r="CU358" s="634"/>
      <c r="CV358" s="634"/>
      <c r="CW358" s="634"/>
      <c r="CX358" s="634"/>
      <c r="CY358" s="634"/>
      <c r="CZ358" s="634"/>
      <c r="DA358" s="634"/>
      <c r="DB358" s="634"/>
      <c r="DC358" s="634"/>
      <c r="DD358" s="634"/>
      <c r="DE358" s="634"/>
      <c r="DF358" s="634"/>
      <c r="DG358" s="634"/>
      <c r="DH358" s="634"/>
      <c r="DI358" s="634"/>
      <c r="DJ358" s="634"/>
      <c r="DK358" s="634"/>
      <c r="DL358" s="634"/>
      <c r="DM358" s="634"/>
      <c r="DN358" s="634"/>
      <c r="DO358" s="634"/>
      <c r="DP358" s="634"/>
      <c r="DQ358" s="634"/>
      <c r="DR358" s="634"/>
      <c r="DS358" s="634"/>
      <c r="DT358" s="634"/>
      <c r="DU358" s="634"/>
      <c r="DV358" s="634"/>
      <c r="DW358" s="634"/>
      <c r="DX358" s="634"/>
      <c r="DY358" s="634"/>
      <c r="DZ358" s="634"/>
      <c r="EA358" s="634"/>
      <c r="EB358" s="634"/>
      <c r="EC358" s="634"/>
      <c r="ED358" s="634"/>
      <c r="EE358" s="634"/>
      <c r="EF358" s="634"/>
      <c r="EG358" s="634"/>
      <c r="EH358" s="634"/>
      <c r="EI358" s="634"/>
      <c r="EJ358" s="634"/>
      <c r="EK358" s="634"/>
      <c r="EL358" s="634"/>
      <c r="EM358" s="634"/>
      <c r="EN358" s="634"/>
      <c r="EO358" s="634"/>
      <c r="EP358" s="634"/>
      <c r="EQ358" s="634"/>
      <c r="ER358" s="634"/>
      <c r="ES358" s="634"/>
      <c r="ET358" s="634"/>
      <c r="EU358" s="634"/>
      <c r="EV358" s="634"/>
      <c r="EW358" s="634"/>
      <c r="EX358" s="634"/>
      <c r="EY358" s="634"/>
      <c r="EZ358" s="634"/>
      <c r="FA358" s="634"/>
      <c r="FB358" s="634"/>
      <c r="FC358" s="634"/>
      <c r="FD358" s="634"/>
      <c r="FE358" s="634"/>
      <c r="FF358" s="634"/>
      <c r="FG358" s="634"/>
      <c r="FH358" s="634"/>
      <c r="FI358" s="634"/>
      <c r="FJ358" s="634"/>
      <c r="FK358" s="634"/>
      <c r="FL358" s="634"/>
      <c r="FM358" s="634"/>
      <c r="FN358" s="634"/>
      <c r="FO358" s="634"/>
      <c r="FP358" s="634"/>
      <c r="FQ358" s="634"/>
      <c r="FR358" s="634"/>
      <c r="FS358" s="634"/>
      <c r="FT358" s="634"/>
      <c r="FU358" s="634"/>
      <c r="FV358" s="634"/>
      <c r="FW358" s="634"/>
      <c r="FX358" s="634"/>
      <c r="FY358" s="634"/>
      <c r="FZ358" s="634"/>
      <c r="GA358" s="634"/>
      <c r="GB358" s="634"/>
      <c r="GC358" s="634"/>
      <c r="GD358" s="634"/>
      <c r="GE358" s="634"/>
      <c r="GF358" s="634"/>
      <c r="GG358" s="634"/>
      <c r="GH358" s="634"/>
      <c r="GI358" s="634"/>
      <c r="GJ358" s="634"/>
      <c r="GK358" s="634"/>
      <c r="GL358" s="634"/>
      <c r="GM358" s="634"/>
      <c r="GN358" s="634"/>
      <c r="GO358" s="634"/>
      <c r="GP358" s="634"/>
      <c r="GQ358" s="634"/>
      <c r="GR358" s="634"/>
      <c r="GS358" s="634"/>
      <c r="GT358" s="634"/>
      <c r="GU358" s="634"/>
      <c r="GV358" s="634"/>
      <c r="GW358" s="634"/>
      <c r="GX358" s="634"/>
      <c r="GY358" s="634"/>
      <c r="GZ358" s="634"/>
      <c r="HA358" s="634"/>
      <c r="HB358" s="634"/>
      <c r="HC358" s="634"/>
      <c r="HD358" s="634"/>
      <c r="HE358" s="634"/>
      <c r="HF358" s="634"/>
      <c r="HG358" s="634"/>
      <c r="HH358" s="634"/>
      <c r="HI358" s="634"/>
      <c r="HJ358" s="634"/>
      <c r="HK358" s="634"/>
      <c r="HL358" s="634"/>
      <c r="HM358" s="634"/>
      <c r="HN358" s="634"/>
      <c r="HO358" s="634"/>
      <c r="HP358" s="634"/>
      <c r="HQ358" s="634"/>
      <c r="HR358" s="634"/>
      <c r="HS358" s="634"/>
      <c r="HT358" s="634"/>
      <c r="HU358" s="634"/>
      <c r="HV358" s="634"/>
      <c r="HW358" s="634"/>
      <c r="HX358" s="634"/>
      <c r="HY358" s="634"/>
      <c r="HZ358" s="634"/>
      <c r="IA358" s="634"/>
      <c r="IB358" s="634"/>
      <c r="IC358" s="634"/>
      <c r="ID358" s="634"/>
      <c r="IE358" s="634"/>
      <c r="IF358" s="634"/>
      <c r="IG358" s="634"/>
      <c r="IH358" s="634"/>
      <c r="II358" s="634"/>
      <c r="IJ358" s="634"/>
      <c r="IK358" s="634"/>
      <c r="IL358" s="634"/>
      <c r="IM358" s="634"/>
      <c r="IN358" s="634"/>
      <c r="IO358" s="634"/>
      <c r="IP358" s="634"/>
      <c r="IQ358" s="634"/>
      <c r="IR358" s="634"/>
      <c r="IS358" s="634"/>
      <c r="IT358" s="634"/>
      <c r="IU358" s="634"/>
      <c r="IV358" s="634"/>
      <c r="IW358" s="634"/>
    </row>
    <row r="359" spans="1:257" s="889" customFormat="1">
      <c r="A359" s="939" t="s">
        <v>91</v>
      </c>
      <c r="B359" s="902" t="s">
        <v>990</v>
      </c>
      <c r="C359" s="988"/>
      <c r="D359" s="988"/>
      <c r="E359" s="740"/>
      <c r="F359" s="676">
        <v>170000000</v>
      </c>
      <c r="G359" s="740"/>
      <c r="H359" s="740"/>
      <c r="I359" s="740"/>
      <c r="J359" s="676">
        <v>170000000</v>
      </c>
      <c r="K359" s="676"/>
      <c r="L359" s="1305"/>
      <c r="M359" s="676"/>
      <c r="N359" s="940"/>
      <c r="O359" s="940"/>
      <c r="P359" s="903"/>
      <c r="Q359" s="903"/>
      <c r="R359" s="989"/>
      <c r="S359" s="941"/>
      <c r="T359" s="942"/>
      <c r="U359" s="762"/>
      <c r="V359" s="632"/>
      <c r="W359" s="632"/>
      <c r="X359" s="633"/>
      <c r="Y359" s="634"/>
      <c r="Z359" s="634"/>
      <c r="AA359" s="634"/>
      <c r="AB359" s="634"/>
      <c r="AC359" s="634"/>
      <c r="AD359" s="634"/>
      <c r="AE359" s="634"/>
      <c r="AF359" s="634"/>
      <c r="AG359" s="634"/>
      <c r="AH359" s="634"/>
      <c r="AI359" s="634"/>
      <c r="AJ359" s="634"/>
      <c r="AK359" s="634"/>
      <c r="AL359" s="634"/>
      <c r="AM359" s="634"/>
      <c r="AN359" s="634"/>
      <c r="AO359" s="634"/>
      <c r="AP359" s="634"/>
      <c r="AQ359" s="634"/>
      <c r="AR359" s="634"/>
      <c r="AS359" s="634"/>
      <c r="AT359" s="634"/>
      <c r="AU359" s="634"/>
      <c r="AV359" s="634"/>
      <c r="AW359" s="634"/>
      <c r="AX359" s="634"/>
      <c r="AY359" s="634"/>
      <c r="AZ359" s="634"/>
      <c r="BA359" s="634"/>
      <c r="BB359" s="634"/>
      <c r="BC359" s="634"/>
      <c r="BD359" s="634"/>
      <c r="BE359" s="634"/>
      <c r="BF359" s="634"/>
      <c r="BG359" s="634"/>
      <c r="BH359" s="634"/>
      <c r="BI359" s="634"/>
      <c r="BJ359" s="634"/>
      <c r="BK359" s="634"/>
      <c r="BL359" s="634"/>
      <c r="BM359" s="634"/>
      <c r="BN359" s="634"/>
      <c r="BO359" s="634"/>
      <c r="BP359" s="634"/>
      <c r="BQ359" s="634"/>
      <c r="BR359" s="634"/>
      <c r="BS359" s="634"/>
      <c r="BT359" s="634"/>
      <c r="BU359" s="634"/>
      <c r="BV359" s="634"/>
      <c r="BW359" s="634"/>
      <c r="BX359" s="634"/>
      <c r="BY359" s="634"/>
      <c r="BZ359" s="634"/>
      <c r="CA359" s="634"/>
      <c r="CB359" s="634"/>
      <c r="CC359" s="634"/>
      <c r="CD359" s="634"/>
      <c r="CE359" s="634"/>
      <c r="CF359" s="634"/>
      <c r="CG359" s="634"/>
      <c r="CH359" s="634"/>
      <c r="CI359" s="634"/>
      <c r="CJ359" s="634"/>
      <c r="CK359" s="634"/>
      <c r="CL359" s="634"/>
      <c r="CM359" s="634"/>
      <c r="CN359" s="634"/>
      <c r="CO359" s="634"/>
      <c r="CP359" s="634"/>
      <c r="CQ359" s="634"/>
      <c r="CR359" s="634"/>
      <c r="CS359" s="634"/>
      <c r="CT359" s="634"/>
      <c r="CU359" s="634"/>
      <c r="CV359" s="634"/>
      <c r="CW359" s="634"/>
      <c r="CX359" s="634"/>
      <c r="CY359" s="634"/>
      <c r="CZ359" s="634"/>
      <c r="DA359" s="634"/>
      <c r="DB359" s="634"/>
      <c r="DC359" s="634"/>
      <c r="DD359" s="634"/>
      <c r="DE359" s="634"/>
      <c r="DF359" s="634"/>
      <c r="DG359" s="634"/>
      <c r="DH359" s="634"/>
      <c r="DI359" s="634"/>
      <c r="DJ359" s="634"/>
      <c r="DK359" s="634"/>
      <c r="DL359" s="634"/>
      <c r="DM359" s="634"/>
      <c r="DN359" s="634"/>
      <c r="DO359" s="634"/>
      <c r="DP359" s="634"/>
      <c r="DQ359" s="634"/>
      <c r="DR359" s="634"/>
      <c r="DS359" s="634"/>
      <c r="DT359" s="634"/>
      <c r="DU359" s="634"/>
      <c r="DV359" s="634"/>
      <c r="DW359" s="634"/>
      <c r="DX359" s="634"/>
      <c r="DY359" s="634"/>
      <c r="DZ359" s="634"/>
      <c r="EA359" s="634"/>
      <c r="EB359" s="634"/>
      <c r="EC359" s="634"/>
      <c r="ED359" s="634"/>
      <c r="EE359" s="634"/>
      <c r="EF359" s="634"/>
      <c r="EG359" s="634"/>
      <c r="EH359" s="634"/>
      <c r="EI359" s="634"/>
      <c r="EJ359" s="634"/>
      <c r="EK359" s="634"/>
      <c r="EL359" s="634"/>
      <c r="EM359" s="634"/>
      <c r="EN359" s="634"/>
      <c r="EO359" s="634"/>
      <c r="EP359" s="634"/>
      <c r="EQ359" s="634"/>
      <c r="ER359" s="634"/>
      <c r="ES359" s="634"/>
      <c r="ET359" s="634"/>
      <c r="EU359" s="634"/>
      <c r="EV359" s="634"/>
      <c r="EW359" s="634"/>
      <c r="EX359" s="634"/>
      <c r="EY359" s="634"/>
      <c r="EZ359" s="634"/>
      <c r="FA359" s="634"/>
      <c r="FB359" s="634"/>
      <c r="FC359" s="634"/>
      <c r="FD359" s="634"/>
      <c r="FE359" s="634"/>
      <c r="FF359" s="634"/>
      <c r="FG359" s="634"/>
      <c r="FH359" s="634"/>
      <c r="FI359" s="634"/>
      <c r="FJ359" s="634"/>
      <c r="FK359" s="634"/>
      <c r="FL359" s="634"/>
      <c r="FM359" s="634"/>
      <c r="FN359" s="634"/>
      <c r="FO359" s="634"/>
      <c r="FP359" s="634"/>
      <c r="FQ359" s="634"/>
      <c r="FR359" s="634"/>
      <c r="FS359" s="634"/>
      <c r="FT359" s="634"/>
      <c r="FU359" s="634"/>
      <c r="FV359" s="634"/>
      <c r="FW359" s="634"/>
      <c r="FX359" s="634"/>
      <c r="FY359" s="634"/>
      <c r="FZ359" s="634"/>
      <c r="GA359" s="634"/>
      <c r="GB359" s="634"/>
      <c r="GC359" s="634"/>
      <c r="GD359" s="634"/>
      <c r="GE359" s="634"/>
      <c r="GF359" s="634"/>
      <c r="GG359" s="634"/>
      <c r="GH359" s="634"/>
      <c r="GI359" s="634"/>
      <c r="GJ359" s="634"/>
      <c r="GK359" s="634"/>
      <c r="GL359" s="634"/>
      <c r="GM359" s="634"/>
      <c r="GN359" s="634"/>
      <c r="GO359" s="634"/>
      <c r="GP359" s="634"/>
      <c r="GQ359" s="634"/>
      <c r="GR359" s="634"/>
      <c r="GS359" s="634"/>
      <c r="GT359" s="634"/>
      <c r="GU359" s="634"/>
      <c r="GV359" s="634"/>
      <c r="GW359" s="634"/>
      <c r="GX359" s="634"/>
      <c r="GY359" s="634"/>
      <c r="GZ359" s="634"/>
      <c r="HA359" s="634"/>
      <c r="HB359" s="634"/>
      <c r="HC359" s="634"/>
      <c r="HD359" s="634"/>
      <c r="HE359" s="634"/>
      <c r="HF359" s="634"/>
      <c r="HG359" s="634"/>
      <c r="HH359" s="634"/>
      <c r="HI359" s="634"/>
      <c r="HJ359" s="634"/>
      <c r="HK359" s="634"/>
      <c r="HL359" s="634"/>
      <c r="HM359" s="634"/>
      <c r="HN359" s="634"/>
      <c r="HO359" s="634"/>
      <c r="HP359" s="634"/>
      <c r="HQ359" s="634"/>
      <c r="HR359" s="634"/>
      <c r="HS359" s="634"/>
      <c r="HT359" s="634"/>
      <c r="HU359" s="634"/>
      <c r="HV359" s="634"/>
      <c r="HW359" s="634"/>
      <c r="HX359" s="634"/>
      <c r="HY359" s="634"/>
      <c r="HZ359" s="634"/>
      <c r="IA359" s="634"/>
      <c r="IB359" s="634"/>
      <c r="IC359" s="634"/>
      <c r="ID359" s="634"/>
      <c r="IE359" s="634"/>
      <c r="IF359" s="634"/>
      <c r="IG359" s="634"/>
      <c r="IH359" s="634"/>
      <c r="II359" s="634"/>
      <c r="IJ359" s="634"/>
      <c r="IK359" s="634"/>
      <c r="IL359" s="634"/>
      <c r="IM359" s="634"/>
      <c r="IN359" s="634"/>
      <c r="IO359" s="634"/>
      <c r="IP359" s="634"/>
      <c r="IQ359" s="634"/>
      <c r="IR359" s="634"/>
      <c r="IS359" s="634"/>
      <c r="IT359" s="634"/>
      <c r="IU359" s="634"/>
      <c r="IV359" s="634"/>
      <c r="IW359" s="634"/>
    </row>
    <row r="360" spans="1:257" s="889" customFormat="1">
      <c r="A360" s="939" t="s">
        <v>91</v>
      </c>
      <c r="B360" s="902" t="s">
        <v>109</v>
      </c>
      <c r="C360" s="774"/>
      <c r="D360" s="774"/>
      <c r="E360" s="676"/>
      <c r="F360" s="676">
        <v>54000000</v>
      </c>
      <c r="G360" s="676"/>
      <c r="H360" s="676"/>
      <c r="I360" s="676"/>
      <c r="J360" s="676">
        <v>53700000</v>
      </c>
      <c r="K360" s="676"/>
      <c r="L360" s="1305"/>
      <c r="M360" s="990" t="s">
        <v>991</v>
      </c>
      <c r="N360" s="940"/>
      <c r="O360" s="940"/>
      <c r="P360" s="940"/>
      <c r="Q360" s="940"/>
      <c r="R360" s="861"/>
      <c r="S360" s="941"/>
      <c r="T360" s="942"/>
      <c r="U360" s="762"/>
      <c r="V360" s="632"/>
      <c r="W360" s="632"/>
      <c r="X360" s="633"/>
      <c r="Y360" s="634"/>
      <c r="Z360" s="634"/>
      <c r="AA360" s="634"/>
      <c r="AB360" s="634"/>
      <c r="AC360" s="634"/>
      <c r="AD360" s="634"/>
      <c r="AE360" s="634"/>
      <c r="AF360" s="634"/>
      <c r="AG360" s="634"/>
      <c r="AH360" s="634"/>
      <c r="AI360" s="634"/>
      <c r="AJ360" s="634"/>
      <c r="AK360" s="634"/>
      <c r="AL360" s="634"/>
      <c r="AM360" s="634"/>
      <c r="AN360" s="634"/>
      <c r="AO360" s="634"/>
      <c r="AP360" s="634"/>
      <c r="AQ360" s="634"/>
      <c r="AR360" s="634"/>
      <c r="AS360" s="634"/>
      <c r="AT360" s="634"/>
      <c r="AU360" s="634"/>
      <c r="AV360" s="634"/>
      <c r="AW360" s="634"/>
      <c r="AX360" s="634"/>
      <c r="AY360" s="634"/>
      <c r="AZ360" s="634"/>
      <c r="BA360" s="634"/>
      <c r="BB360" s="634"/>
      <c r="BC360" s="634"/>
      <c r="BD360" s="634"/>
      <c r="BE360" s="634"/>
      <c r="BF360" s="634"/>
      <c r="BG360" s="634"/>
      <c r="BH360" s="634"/>
      <c r="BI360" s="634"/>
      <c r="BJ360" s="634"/>
      <c r="BK360" s="634"/>
      <c r="BL360" s="634"/>
      <c r="BM360" s="634"/>
      <c r="BN360" s="634"/>
      <c r="BO360" s="634"/>
      <c r="BP360" s="634"/>
      <c r="BQ360" s="634"/>
      <c r="BR360" s="634"/>
      <c r="BS360" s="634"/>
      <c r="BT360" s="634"/>
      <c r="BU360" s="634"/>
      <c r="BV360" s="634"/>
      <c r="BW360" s="634"/>
      <c r="BX360" s="634"/>
      <c r="BY360" s="634"/>
      <c r="BZ360" s="634"/>
      <c r="CA360" s="634"/>
      <c r="CB360" s="634"/>
      <c r="CC360" s="634"/>
      <c r="CD360" s="634"/>
      <c r="CE360" s="634"/>
      <c r="CF360" s="634"/>
      <c r="CG360" s="634"/>
      <c r="CH360" s="634"/>
      <c r="CI360" s="634"/>
      <c r="CJ360" s="634"/>
      <c r="CK360" s="634"/>
      <c r="CL360" s="634"/>
      <c r="CM360" s="634"/>
      <c r="CN360" s="634"/>
      <c r="CO360" s="634"/>
      <c r="CP360" s="634"/>
      <c r="CQ360" s="634"/>
      <c r="CR360" s="634"/>
      <c r="CS360" s="634"/>
      <c r="CT360" s="634"/>
      <c r="CU360" s="634"/>
      <c r="CV360" s="634"/>
      <c r="CW360" s="634"/>
      <c r="CX360" s="634"/>
      <c r="CY360" s="634"/>
      <c r="CZ360" s="634"/>
      <c r="DA360" s="634"/>
      <c r="DB360" s="634"/>
      <c r="DC360" s="634"/>
      <c r="DD360" s="634"/>
      <c r="DE360" s="634"/>
      <c r="DF360" s="634"/>
      <c r="DG360" s="634"/>
      <c r="DH360" s="634"/>
      <c r="DI360" s="634"/>
      <c r="DJ360" s="634"/>
      <c r="DK360" s="634"/>
      <c r="DL360" s="634"/>
      <c r="DM360" s="634"/>
      <c r="DN360" s="634"/>
      <c r="DO360" s="634"/>
      <c r="DP360" s="634"/>
      <c r="DQ360" s="634"/>
      <c r="DR360" s="634"/>
      <c r="DS360" s="634"/>
      <c r="DT360" s="634"/>
      <c r="DU360" s="634"/>
      <c r="DV360" s="634"/>
      <c r="DW360" s="634"/>
      <c r="DX360" s="634"/>
      <c r="DY360" s="634"/>
      <c r="DZ360" s="634"/>
      <c r="EA360" s="634"/>
      <c r="EB360" s="634"/>
      <c r="EC360" s="634"/>
      <c r="ED360" s="634"/>
      <c r="EE360" s="634"/>
      <c r="EF360" s="634"/>
      <c r="EG360" s="634"/>
      <c r="EH360" s="634"/>
      <c r="EI360" s="634"/>
      <c r="EJ360" s="634"/>
      <c r="EK360" s="634"/>
      <c r="EL360" s="634"/>
      <c r="EM360" s="634"/>
      <c r="EN360" s="634"/>
      <c r="EO360" s="634"/>
      <c r="EP360" s="634"/>
      <c r="EQ360" s="634"/>
      <c r="ER360" s="634"/>
      <c r="ES360" s="634"/>
      <c r="ET360" s="634"/>
      <c r="EU360" s="634"/>
      <c r="EV360" s="634"/>
      <c r="EW360" s="634"/>
      <c r="EX360" s="634"/>
      <c r="EY360" s="634"/>
      <c r="EZ360" s="634"/>
      <c r="FA360" s="634"/>
      <c r="FB360" s="634"/>
      <c r="FC360" s="634"/>
      <c r="FD360" s="634"/>
      <c r="FE360" s="634"/>
      <c r="FF360" s="634"/>
      <c r="FG360" s="634"/>
      <c r="FH360" s="634"/>
      <c r="FI360" s="634"/>
      <c r="FJ360" s="634"/>
      <c r="FK360" s="634"/>
      <c r="FL360" s="634"/>
      <c r="FM360" s="634"/>
      <c r="FN360" s="634"/>
      <c r="FO360" s="634"/>
      <c r="FP360" s="634"/>
      <c r="FQ360" s="634"/>
      <c r="FR360" s="634"/>
      <c r="FS360" s="634"/>
      <c r="FT360" s="634"/>
      <c r="FU360" s="634"/>
      <c r="FV360" s="634"/>
      <c r="FW360" s="634"/>
      <c r="FX360" s="634"/>
      <c r="FY360" s="634"/>
      <c r="FZ360" s="634"/>
      <c r="GA360" s="634"/>
      <c r="GB360" s="634"/>
      <c r="GC360" s="634"/>
      <c r="GD360" s="634"/>
      <c r="GE360" s="634"/>
      <c r="GF360" s="634"/>
      <c r="GG360" s="634"/>
      <c r="GH360" s="634"/>
      <c r="GI360" s="634"/>
      <c r="GJ360" s="634"/>
      <c r="GK360" s="634"/>
      <c r="GL360" s="634"/>
      <c r="GM360" s="634"/>
      <c r="GN360" s="634"/>
      <c r="GO360" s="634"/>
      <c r="GP360" s="634"/>
      <c r="GQ360" s="634"/>
      <c r="GR360" s="634"/>
      <c r="GS360" s="634"/>
      <c r="GT360" s="634"/>
      <c r="GU360" s="634"/>
      <c r="GV360" s="634"/>
      <c r="GW360" s="634"/>
      <c r="GX360" s="634"/>
      <c r="GY360" s="634"/>
      <c r="GZ360" s="634"/>
      <c r="HA360" s="634"/>
      <c r="HB360" s="634"/>
      <c r="HC360" s="634"/>
      <c r="HD360" s="634"/>
      <c r="HE360" s="634"/>
      <c r="HF360" s="634"/>
      <c r="HG360" s="634"/>
      <c r="HH360" s="634"/>
      <c r="HI360" s="634"/>
      <c r="HJ360" s="634"/>
      <c r="HK360" s="634"/>
      <c r="HL360" s="634"/>
      <c r="HM360" s="634"/>
      <c r="HN360" s="634"/>
      <c r="HO360" s="634"/>
      <c r="HP360" s="634"/>
      <c r="HQ360" s="634"/>
      <c r="HR360" s="634"/>
      <c r="HS360" s="634"/>
      <c r="HT360" s="634"/>
      <c r="HU360" s="634"/>
      <c r="HV360" s="634"/>
      <c r="HW360" s="634"/>
      <c r="HX360" s="634"/>
      <c r="HY360" s="634"/>
      <c r="HZ360" s="634"/>
      <c r="IA360" s="634"/>
      <c r="IB360" s="634"/>
      <c r="IC360" s="634"/>
      <c r="ID360" s="634"/>
      <c r="IE360" s="634"/>
      <c r="IF360" s="634"/>
      <c r="IG360" s="634"/>
      <c r="IH360" s="634"/>
      <c r="II360" s="634"/>
      <c r="IJ360" s="634"/>
      <c r="IK360" s="634"/>
      <c r="IL360" s="634"/>
      <c r="IM360" s="634"/>
      <c r="IN360" s="634"/>
      <c r="IO360" s="634"/>
      <c r="IP360" s="634"/>
      <c r="IQ360" s="634"/>
      <c r="IR360" s="634"/>
      <c r="IS360" s="634"/>
      <c r="IT360" s="634"/>
      <c r="IU360" s="634"/>
      <c r="IV360" s="634"/>
      <c r="IW360" s="634"/>
    </row>
    <row r="361" spans="1:257" s="889" customFormat="1" ht="31.5">
      <c r="A361" s="939" t="s">
        <v>91</v>
      </c>
      <c r="B361" s="902" t="s">
        <v>110</v>
      </c>
      <c r="C361" s="738"/>
      <c r="D361" s="738"/>
      <c r="E361" s="740"/>
      <c r="F361" s="676">
        <v>30000000</v>
      </c>
      <c r="G361" s="676"/>
      <c r="H361" s="676"/>
      <c r="I361" s="676"/>
      <c r="J361" s="676">
        <v>40000000</v>
      </c>
      <c r="K361" s="676"/>
      <c r="L361" s="1305"/>
      <c r="M361" s="990" t="s">
        <v>992</v>
      </c>
      <c r="N361" s="940"/>
      <c r="O361" s="940"/>
      <c r="P361" s="940"/>
      <c r="Q361" s="940"/>
      <c r="R361" s="941"/>
      <c r="S361" s="991"/>
      <c r="T361" s="992"/>
      <c r="U361" s="776"/>
      <c r="V361" s="632"/>
      <c r="W361" s="632"/>
      <c r="X361" s="633"/>
      <c r="Y361" s="634"/>
      <c r="Z361" s="634"/>
      <c r="AA361" s="634"/>
      <c r="AB361" s="634"/>
      <c r="AC361" s="634"/>
      <c r="AD361" s="634"/>
      <c r="AE361" s="634"/>
      <c r="AF361" s="634"/>
      <c r="AG361" s="634"/>
      <c r="AH361" s="634"/>
      <c r="AI361" s="634"/>
      <c r="AJ361" s="634"/>
      <c r="AK361" s="634"/>
      <c r="AL361" s="634"/>
      <c r="AM361" s="634"/>
      <c r="AN361" s="634"/>
      <c r="AO361" s="634"/>
      <c r="AP361" s="634"/>
      <c r="AQ361" s="634"/>
      <c r="AR361" s="634"/>
      <c r="AS361" s="634"/>
      <c r="AT361" s="634"/>
      <c r="AU361" s="634"/>
      <c r="AV361" s="634"/>
      <c r="AW361" s="634"/>
      <c r="AX361" s="634"/>
      <c r="AY361" s="634"/>
      <c r="AZ361" s="634"/>
      <c r="BA361" s="634"/>
      <c r="BB361" s="634"/>
      <c r="BC361" s="634"/>
      <c r="BD361" s="634"/>
      <c r="BE361" s="634"/>
      <c r="BF361" s="634"/>
      <c r="BG361" s="634"/>
      <c r="BH361" s="634"/>
      <c r="BI361" s="634"/>
      <c r="BJ361" s="634"/>
      <c r="BK361" s="634"/>
      <c r="BL361" s="634"/>
      <c r="BM361" s="634"/>
      <c r="BN361" s="634"/>
      <c r="BO361" s="634"/>
      <c r="BP361" s="634"/>
      <c r="BQ361" s="634"/>
      <c r="BR361" s="634"/>
      <c r="BS361" s="634"/>
      <c r="BT361" s="634"/>
      <c r="BU361" s="634"/>
      <c r="BV361" s="634"/>
      <c r="BW361" s="634"/>
      <c r="BX361" s="634"/>
      <c r="BY361" s="634"/>
      <c r="BZ361" s="634"/>
      <c r="CA361" s="634"/>
      <c r="CB361" s="634"/>
      <c r="CC361" s="634"/>
      <c r="CD361" s="634"/>
      <c r="CE361" s="634"/>
      <c r="CF361" s="634"/>
      <c r="CG361" s="634"/>
      <c r="CH361" s="634"/>
      <c r="CI361" s="634"/>
      <c r="CJ361" s="634"/>
      <c r="CK361" s="634"/>
      <c r="CL361" s="634"/>
      <c r="CM361" s="634"/>
      <c r="CN361" s="634"/>
      <c r="CO361" s="634"/>
      <c r="CP361" s="634"/>
      <c r="CQ361" s="634"/>
      <c r="CR361" s="634"/>
      <c r="CS361" s="634"/>
      <c r="CT361" s="634"/>
      <c r="CU361" s="634"/>
      <c r="CV361" s="634"/>
      <c r="CW361" s="634"/>
      <c r="CX361" s="634"/>
      <c r="CY361" s="634"/>
      <c r="CZ361" s="634"/>
      <c r="DA361" s="634"/>
      <c r="DB361" s="634"/>
      <c r="DC361" s="634"/>
      <c r="DD361" s="634"/>
      <c r="DE361" s="634"/>
      <c r="DF361" s="634"/>
      <c r="DG361" s="634"/>
      <c r="DH361" s="634"/>
      <c r="DI361" s="634"/>
      <c r="DJ361" s="634"/>
      <c r="DK361" s="634"/>
      <c r="DL361" s="634"/>
      <c r="DM361" s="634"/>
      <c r="DN361" s="634"/>
      <c r="DO361" s="634"/>
      <c r="DP361" s="634"/>
      <c r="DQ361" s="634"/>
      <c r="DR361" s="634"/>
      <c r="DS361" s="634"/>
      <c r="DT361" s="634"/>
      <c r="DU361" s="634"/>
      <c r="DV361" s="634"/>
      <c r="DW361" s="634"/>
      <c r="DX361" s="634"/>
      <c r="DY361" s="634"/>
      <c r="DZ361" s="634"/>
      <c r="EA361" s="634"/>
      <c r="EB361" s="634"/>
      <c r="EC361" s="634"/>
      <c r="ED361" s="634"/>
      <c r="EE361" s="634"/>
      <c r="EF361" s="634"/>
      <c r="EG361" s="634"/>
      <c r="EH361" s="634"/>
      <c r="EI361" s="634"/>
      <c r="EJ361" s="634"/>
      <c r="EK361" s="634"/>
      <c r="EL361" s="634"/>
      <c r="EM361" s="634"/>
      <c r="EN361" s="634"/>
      <c r="EO361" s="634"/>
      <c r="EP361" s="634"/>
      <c r="EQ361" s="634"/>
      <c r="ER361" s="634"/>
      <c r="ES361" s="634"/>
      <c r="ET361" s="634"/>
      <c r="EU361" s="634"/>
      <c r="EV361" s="634"/>
      <c r="EW361" s="634"/>
      <c r="EX361" s="634"/>
      <c r="EY361" s="634"/>
      <c r="EZ361" s="634"/>
      <c r="FA361" s="634"/>
      <c r="FB361" s="634"/>
      <c r="FC361" s="634"/>
      <c r="FD361" s="634"/>
      <c r="FE361" s="634"/>
      <c r="FF361" s="634"/>
      <c r="FG361" s="634"/>
      <c r="FH361" s="634"/>
      <c r="FI361" s="634"/>
      <c r="FJ361" s="634"/>
      <c r="FK361" s="634"/>
      <c r="FL361" s="634"/>
      <c r="FM361" s="634"/>
      <c r="FN361" s="634"/>
      <c r="FO361" s="634"/>
      <c r="FP361" s="634"/>
      <c r="FQ361" s="634"/>
      <c r="FR361" s="634"/>
      <c r="FS361" s="634"/>
      <c r="FT361" s="634"/>
      <c r="FU361" s="634"/>
      <c r="FV361" s="634"/>
      <c r="FW361" s="634"/>
      <c r="FX361" s="634"/>
      <c r="FY361" s="634"/>
      <c r="FZ361" s="634"/>
      <c r="GA361" s="634"/>
      <c r="GB361" s="634"/>
      <c r="GC361" s="634"/>
      <c r="GD361" s="634"/>
      <c r="GE361" s="634"/>
      <c r="GF361" s="634"/>
      <c r="GG361" s="634"/>
      <c r="GH361" s="634"/>
      <c r="GI361" s="634"/>
      <c r="GJ361" s="634"/>
      <c r="GK361" s="634"/>
      <c r="GL361" s="634"/>
      <c r="GM361" s="634"/>
      <c r="GN361" s="634"/>
      <c r="GO361" s="634"/>
      <c r="GP361" s="634"/>
      <c r="GQ361" s="634"/>
      <c r="GR361" s="634"/>
      <c r="GS361" s="634"/>
      <c r="GT361" s="634"/>
      <c r="GU361" s="634"/>
      <c r="GV361" s="634"/>
      <c r="GW361" s="634"/>
      <c r="GX361" s="634"/>
      <c r="GY361" s="634"/>
      <c r="GZ361" s="634"/>
      <c r="HA361" s="634"/>
      <c r="HB361" s="634"/>
      <c r="HC361" s="634"/>
      <c r="HD361" s="634"/>
      <c r="HE361" s="634"/>
      <c r="HF361" s="634"/>
      <c r="HG361" s="634"/>
      <c r="HH361" s="634"/>
      <c r="HI361" s="634"/>
      <c r="HJ361" s="634"/>
      <c r="HK361" s="634"/>
      <c r="HL361" s="634"/>
      <c r="HM361" s="634"/>
      <c r="HN361" s="634"/>
      <c r="HO361" s="634"/>
      <c r="HP361" s="634"/>
      <c r="HQ361" s="634"/>
      <c r="HR361" s="634"/>
      <c r="HS361" s="634"/>
      <c r="HT361" s="634"/>
      <c r="HU361" s="634"/>
      <c r="HV361" s="634"/>
      <c r="HW361" s="634"/>
      <c r="HX361" s="634"/>
      <c r="HY361" s="634"/>
      <c r="HZ361" s="634"/>
      <c r="IA361" s="634"/>
      <c r="IB361" s="634"/>
      <c r="IC361" s="634"/>
      <c r="ID361" s="634"/>
      <c r="IE361" s="634"/>
      <c r="IF361" s="634"/>
      <c r="IG361" s="634"/>
      <c r="IH361" s="634"/>
      <c r="II361" s="634"/>
      <c r="IJ361" s="634"/>
      <c r="IK361" s="634"/>
      <c r="IL361" s="634"/>
      <c r="IM361" s="634"/>
      <c r="IN361" s="634"/>
      <c r="IO361" s="634"/>
      <c r="IP361" s="634"/>
      <c r="IQ361" s="634"/>
      <c r="IR361" s="634"/>
      <c r="IS361" s="634"/>
      <c r="IT361" s="634"/>
      <c r="IU361" s="634"/>
      <c r="IV361" s="634"/>
      <c r="IW361" s="634"/>
    </row>
    <row r="362" spans="1:257" s="748" customFormat="1" ht="31.5">
      <c r="A362" s="939" t="s">
        <v>91</v>
      </c>
      <c r="B362" s="902" t="s">
        <v>111</v>
      </c>
      <c r="C362" s="774"/>
      <c r="D362" s="774"/>
      <c r="E362" s="676"/>
      <c r="F362" s="676">
        <v>30000000</v>
      </c>
      <c r="G362" s="676"/>
      <c r="H362" s="676"/>
      <c r="I362" s="676"/>
      <c r="J362" s="676">
        <v>40000000</v>
      </c>
      <c r="K362" s="676"/>
      <c r="L362" s="1305"/>
      <c r="M362" s="990" t="s">
        <v>992</v>
      </c>
      <c r="N362" s="940"/>
      <c r="O362" s="940"/>
      <c r="P362" s="940"/>
      <c r="Q362" s="940"/>
      <c r="R362" s="941"/>
      <c r="S362" s="991"/>
      <c r="T362" s="992"/>
      <c r="U362" s="762"/>
      <c r="V362" s="632"/>
      <c r="W362" s="756"/>
      <c r="X362" s="757"/>
      <c r="Y362" s="695"/>
      <c r="Z362" s="695"/>
      <c r="AA362" s="695"/>
      <c r="AB362" s="695"/>
      <c r="AC362" s="695"/>
      <c r="AD362" s="695"/>
      <c r="AE362" s="695"/>
      <c r="AF362" s="695"/>
      <c r="AG362" s="695"/>
      <c r="AH362" s="695"/>
      <c r="AI362" s="695"/>
      <c r="AJ362" s="695"/>
      <c r="AK362" s="695"/>
      <c r="AL362" s="695"/>
      <c r="AM362" s="695"/>
      <c r="AN362" s="695"/>
      <c r="AO362" s="695"/>
      <c r="AP362" s="695"/>
      <c r="AQ362" s="695"/>
      <c r="AR362" s="695"/>
      <c r="AS362" s="695"/>
      <c r="AT362" s="695"/>
      <c r="AU362" s="695"/>
      <c r="AV362" s="695"/>
      <c r="AW362" s="695"/>
      <c r="AX362" s="695"/>
      <c r="AY362" s="695"/>
      <c r="AZ362" s="695"/>
      <c r="BA362" s="695"/>
      <c r="BB362" s="695"/>
      <c r="BC362" s="695"/>
      <c r="BD362" s="695"/>
      <c r="BE362" s="695"/>
      <c r="BF362" s="695"/>
      <c r="BG362" s="695"/>
      <c r="BH362" s="695"/>
      <c r="BI362" s="695"/>
      <c r="BJ362" s="695"/>
      <c r="BK362" s="695"/>
      <c r="BL362" s="695"/>
      <c r="BM362" s="695"/>
      <c r="BN362" s="695"/>
      <c r="BO362" s="695"/>
      <c r="BP362" s="695"/>
      <c r="BQ362" s="695"/>
      <c r="BR362" s="695"/>
      <c r="BS362" s="695"/>
      <c r="BT362" s="695"/>
      <c r="BU362" s="695"/>
      <c r="BV362" s="695"/>
      <c r="BW362" s="695"/>
      <c r="BX362" s="695"/>
      <c r="BY362" s="695"/>
      <c r="BZ362" s="695"/>
      <c r="CA362" s="695"/>
      <c r="CB362" s="695"/>
      <c r="CC362" s="695"/>
      <c r="CD362" s="695"/>
      <c r="CE362" s="695"/>
      <c r="CF362" s="695"/>
      <c r="CG362" s="695"/>
      <c r="CH362" s="695"/>
      <c r="CI362" s="695"/>
      <c r="CJ362" s="695"/>
      <c r="CK362" s="695"/>
      <c r="CL362" s="695"/>
      <c r="CM362" s="695"/>
      <c r="CN362" s="695"/>
      <c r="CO362" s="695"/>
      <c r="CP362" s="695"/>
      <c r="CQ362" s="695"/>
      <c r="CR362" s="695"/>
      <c r="CS362" s="695"/>
      <c r="CT362" s="695"/>
      <c r="CU362" s="695"/>
      <c r="CV362" s="695"/>
      <c r="CW362" s="695"/>
      <c r="CX362" s="695"/>
      <c r="CY362" s="695"/>
      <c r="CZ362" s="695"/>
      <c r="DA362" s="695"/>
      <c r="DB362" s="695"/>
      <c r="DC362" s="695"/>
      <c r="DD362" s="695"/>
      <c r="DE362" s="695"/>
      <c r="DF362" s="695"/>
      <c r="DG362" s="695"/>
      <c r="DH362" s="695"/>
      <c r="DI362" s="695"/>
      <c r="DJ362" s="695"/>
      <c r="DK362" s="695"/>
      <c r="DL362" s="695"/>
      <c r="DM362" s="695"/>
      <c r="DN362" s="695"/>
      <c r="DO362" s="695"/>
      <c r="DP362" s="695"/>
      <c r="DQ362" s="695"/>
      <c r="DR362" s="695"/>
      <c r="DS362" s="695"/>
      <c r="DT362" s="695"/>
      <c r="DU362" s="695"/>
      <c r="DV362" s="695"/>
      <c r="DW362" s="695"/>
      <c r="DX362" s="695"/>
      <c r="DY362" s="695"/>
      <c r="DZ362" s="695"/>
      <c r="EA362" s="695"/>
      <c r="EB362" s="695"/>
      <c r="EC362" s="695"/>
      <c r="ED362" s="695"/>
      <c r="EE362" s="695"/>
      <c r="EF362" s="695"/>
      <c r="EG362" s="695"/>
      <c r="EH362" s="695"/>
      <c r="EI362" s="695"/>
      <c r="EJ362" s="695"/>
      <c r="EK362" s="695"/>
      <c r="EL362" s="695"/>
      <c r="EM362" s="695"/>
      <c r="EN362" s="695"/>
      <c r="EO362" s="695"/>
      <c r="EP362" s="695"/>
      <c r="EQ362" s="695"/>
      <c r="ER362" s="695"/>
      <c r="ES362" s="695"/>
      <c r="ET362" s="695"/>
      <c r="EU362" s="695"/>
      <c r="EV362" s="695"/>
      <c r="EW362" s="695"/>
      <c r="EX362" s="695"/>
      <c r="EY362" s="695"/>
      <c r="EZ362" s="695"/>
      <c r="FA362" s="695"/>
      <c r="FB362" s="695"/>
      <c r="FC362" s="695"/>
      <c r="FD362" s="695"/>
      <c r="FE362" s="695"/>
      <c r="FF362" s="695"/>
      <c r="FG362" s="695"/>
      <c r="FH362" s="695"/>
      <c r="FI362" s="695"/>
      <c r="FJ362" s="695"/>
      <c r="FK362" s="695"/>
      <c r="FL362" s="695"/>
      <c r="FM362" s="695"/>
      <c r="FN362" s="695"/>
      <c r="FO362" s="695"/>
      <c r="FP362" s="695"/>
      <c r="FQ362" s="695"/>
      <c r="FR362" s="695"/>
      <c r="FS362" s="695"/>
      <c r="FT362" s="695"/>
      <c r="FU362" s="695"/>
      <c r="FV362" s="695"/>
      <c r="FW362" s="695"/>
      <c r="FX362" s="695"/>
      <c r="FY362" s="695"/>
      <c r="FZ362" s="695"/>
      <c r="GA362" s="695"/>
      <c r="GB362" s="695"/>
      <c r="GC362" s="695"/>
      <c r="GD362" s="695"/>
      <c r="GE362" s="695"/>
      <c r="GF362" s="695"/>
      <c r="GG362" s="695"/>
      <c r="GH362" s="695"/>
      <c r="GI362" s="695"/>
      <c r="GJ362" s="695"/>
      <c r="GK362" s="695"/>
      <c r="GL362" s="695"/>
      <c r="GM362" s="695"/>
      <c r="GN362" s="695"/>
      <c r="GO362" s="695"/>
      <c r="GP362" s="695"/>
      <c r="GQ362" s="695"/>
      <c r="GR362" s="695"/>
      <c r="GS362" s="695"/>
      <c r="GT362" s="695"/>
      <c r="GU362" s="695"/>
      <c r="GV362" s="695"/>
      <c r="GW362" s="695"/>
      <c r="GX362" s="695"/>
      <c r="GY362" s="695"/>
      <c r="GZ362" s="695"/>
      <c r="HA362" s="695"/>
      <c r="HB362" s="695"/>
      <c r="HC362" s="695"/>
      <c r="HD362" s="695"/>
      <c r="HE362" s="695"/>
      <c r="HF362" s="695"/>
      <c r="HG362" s="695"/>
      <c r="HH362" s="695"/>
      <c r="HI362" s="695"/>
      <c r="HJ362" s="695"/>
      <c r="HK362" s="695"/>
      <c r="HL362" s="695"/>
      <c r="HM362" s="695"/>
      <c r="HN362" s="695"/>
      <c r="HO362" s="695"/>
      <c r="HP362" s="695"/>
      <c r="HQ362" s="695"/>
      <c r="HR362" s="695"/>
      <c r="HS362" s="695"/>
      <c r="HT362" s="695"/>
      <c r="HU362" s="695"/>
      <c r="HV362" s="695"/>
      <c r="HW362" s="695"/>
      <c r="HX362" s="695"/>
      <c r="HY362" s="695"/>
      <c r="HZ362" s="695"/>
      <c r="IA362" s="695"/>
      <c r="IB362" s="695"/>
      <c r="IC362" s="695"/>
      <c r="ID362" s="695"/>
      <c r="IE362" s="695"/>
      <c r="IF362" s="695"/>
      <c r="IG362" s="695"/>
      <c r="IH362" s="695"/>
      <c r="II362" s="695"/>
      <c r="IJ362" s="695"/>
      <c r="IK362" s="695"/>
      <c r="IL362" s="695"/>
      <c r="IM362" s="695"/>
      <c r="IN362" s="695"/>
      <c r="IO362" s="695"/>
      <c r="IP362" s="695"/>
      <c r="IQ362" s="695"/>
      <c r="IR362" s="695"/>
      <c r="IS362" s="695"/>
      <c r="IT362" s="695"/>
      <c r="IU362" s="695"/>
      <c r="IV362" s="695"/>
      <c r="IW362" s="695"/>
    </row>
    <row r="363" spans="1:257" s="748" customFormat="1">
      <c r="A363" s="939" t="s">
        <v>91</v>
      </c>
      <c r="B363" s="902" t="s">
        <v>112</v>
      </c>
      <c r="C363" s="774"/>
      <c r="D363" s="774"/>
      <c r="E363" s="676"/>
      <c r="F363" s="676">
        <v>100000000</v>
      </c>
      <c r="G363" s="676"/>
      <c r="H363" s="676"/>
      <c r="I363" s="676"/>
      <c r="J363" s="676">
        <v>100000000</v>
      </c>
      <c r="K363" s="676"/>
      <c r="L363" s="1305"/>
      <c r="M363" s="676"/>
      <c r="N363" s="940"/>
      <c r="O363" s="940"/>
      <c r="P363" s="940"/>
      <c r="Q363" s="940"/>
      <c r="R363" s="941"/>
      <c r="S363" s="991"/>
      <c r="T363" s="992"/>
      <c r="U363" s="762"/>
      <c r="V363" s="632"/>
      <c r="W363" s="756"/>
      <c r="X363" s="757"/>
      <c r="Y363" s="695"/>
      <c r="Z363" s="695"/>
      <c r="AA363" s="695"/>
      <c r="AB363" s="695"/>
      <c r="AC363" s="695"/>
      <c r="AD363" s="695"/>
      <c r="AE363" s="695"/>
      <c r="AF363" s="695"/>
      <c r="AG363" s="695"/>
      <c r="AH363" s="695"/>
      <c r="AI363" s="695"/>
      <c r="AJ363" s="695"/>
      <c r="AK363" s="695"/>
      <c r="AL363" s="695"/>
      <c r="AM363" s="695"/>
      <c r="AN363" s="695"/>
      <c r="AO363" s="695"/>
      <c r="AP363" s="695"/>
      <c r="AQ363" s="695"/>
      <c r="AR363" s="695"/>
      <c r="AS363" s="695"/>
      <c r="AT363" s="695"/>
      <c r="AU363" s="695"/>
      <c r="AV363" s="695"/>
      <c r="AW363" s="695"/>
      <c r="AX363" s="695"/>
      <c r="AY363" s="695"/>
      <c r="AZ363" s="695"/>
      <c r="BA363" s="695"/>
      <c r="BB363" s="695"/>
      <c r="BC363" s="695"/>
      <c r="BD363" s="695"/>
      <c r="BE363" s="695"/>
      <c r="BF363" s="695"/>
      <c r="BG363" s="695"/>
      <c r="BH363" s="695"/>
      <c r="BI363" s="695"/>
      <c r="BJ363" s="695"/>
      <c r="BK363" s="695"/>
      <c r="BL363" s="695"/>
      <c r="BM363" s="695"/>
      <c r="BN363" s="695"/>
      <c r="BO363" s="695"/>
      <c r="BP363" s="695"/>
      <c r="BQ363" s="695"/>
      <c r="BR363" s="695"/>
      <c r="BS363" s="695"/>
      <c r="BT363" s="695"/>
      <c r="BU363" s="695"/>
      <c r="BV363" s="695"/>
      <c r="BW363" s="695"/>
      <c r="BX363" s="695"/>
      <c r="BY363" s="695"/>
      <c r="BZ363" s="695"/>
      <c r="CA363" s="695"/>
      <c r="CB363" s="695"/>
      <c r="CC363" s="695"/>
      <c r="CD363" s="695"/>
      <c r="CE363" s="695"/>
      <c r="CF363" s="695"/>
      <c r="CG363" s="695"/>
      <c r="CH363" s="695"/>
      <c r="CI363" s="695"/>
      <c r="CJ363" s="695"/>
      <c r="CK363" s="695"/>
      <c r="CL363" s="695"/>
      <c r="CM363" s="695"/>
      <c r="CN363" s="695"/>
      <c r="CO363" s="695"/>
      <c r="CP363" s="695"/>
      <c r="CQ363" s="695"/>
      <c r="CR363" s="695"/>
      <c r="CS363" s="695"/>
      <c r="CT363" s="695"/>
      <c r="CU363" s="695"/>
      <c r="CV363" s="695"/>
      <c r="CW363" s="695"/>
      <c r="CX363" s="695"/>
      <c r="CY363" s="695"/>
      <c r="CZ363" s="695"/>
      <c r="DA363" s="695"/>
      <c r="DB363" s="695"/>
      <c r="DC363" s="695"/>
      <c r="DD363" s="695"/>
      <c r="DE363" s="695"/>
      <c r="DF363" s="695"/>
      <c r="DG363" s="695"/>
      <c r="DH363" s="695"/>
      <c r="DI363" s="695"/>
      <c r="DJ363" s="695"/>
      <c r="DK363" s="695"/>
      <c r="DL363" s="695"/>
      <c r="DM363" s="695"/>
      <c r="DN363" s="695"/>
      <c r="DO363" s="695"/>
      <c r="DP363" s="695"/>
      <c r="DQ363" s="695"/>
      <c r="DR363" s="695"/>
      <c r="DS363" s="695"/>
      <c r="DT363" s="695"/>
      <c r="DU363" s="695"/>
      <c r="DV363" s="695"/>
      <c r="DW363" s="695"/>
      <c r="DX363" s="695"/>
      <c r="DY363" s="695"/>
      <c r="DZ363" s="695"/>
      <c r="EA363" s="695"/>
      <c r="EB363" s="695"/>
      <c r="EC363" s="695"/>
      <c r="ED363" s="695"/>
      <c r="EE363" s="695"/>
      <c r="EF363" s="695"/>
      <c r="EG363" s="695"/>
      <c r="EH363" s="695"/>
      <c r="EI363" s="695"/>
      <c r="EJ363" s="695"/>
      <c r="EK363" s="695"/>
      <c r="EL363" s="695"/>
      <c r="EM363" s="695"/>
      <c r="EN363" s="695"/>
      <c r="EO363" s="695"/>
      <c r="EP363" s="695"/>
      <c r="EQ363" s="695"/>
      <c r="ER363" s="695"/>
      <c r="ES363" s="695"/>
      <c r="ET363" s="695"/>
      <c r="EU363" s="695"/>
      <c r="EV363" s="695"/>
      <c r="EW363" s="695"/>
      <c r="EX363" s="695"/>
      <c r="EY363" s="695"/>
      <c r="EZ363" s="695"/>
      <c r="FA363" s="695"/>
      <c r="FB363" s="695"/>
      <c r="FC363" s="695"/>
      <c r="FD363" s="695"/>
      <c r="FE363" s="695"/>
      <c r="FF363" s="695"/>
      <c r="FG363" s="695"/>
      <c r="FH363" s="695"/>
      <c r="FI363" s="695"/>
      <c r="FJ363" s="695"/>
      <c r="FK363" s="695"/>
      <c r="FL363" s="695"/>
      <c r="FM363" s="695"/>
      <c r="FN363" s="695"/>
      <c r="FO363" s="695"/>
      <c r="FP363" s="695"/>
      <c r="FQ363" s="695"/>
      <c r="FR363" s="695"/>
      <c r="FS363" s="695"/>
      <c r="FT363" s="695"/>
      <c r="FU363" s="695"/>
      <c r="FV363" s="695"/>
      <c r="FW363" s="695"/>
      <c r="FX363" s="695"/>
      <c r="FY363" s="695"/>
      <c r="FZ363" s="695"/>
      <c r="GA363" s="695"/>
      <c r="GB363" s="695"/>
      <c r="GC363" s="695"/>
      <c r="GD363" s="695"/>
      <c r="GE363" s="695"/>
      <c r="GF363" s="695"/>
      <c r="GG363" s="695"/>
      <c r="GH363" s="695"/>
      <c r="GI363" s="695"/>
      <c r="GJ363" s="695"/>
      <c r="GK363" s="695"/>
      <c r="GL363" s="695"/>
      <c r="GM363" s="695"/>
      <c r="GN363" s="695"/>
      <c r="GO363" s="695"/>
      <c r="GP363" s="695"/>
      <c r="GQ363" s="695"/>
      <c r="GR363" s="695"/>
      <c r="GS363" s="695"/>
      <c r="GT363" s="695"/>
      <c r="GU363" s="695"/>
      <c r="GV363" s="695"/>
      <c r="GW363" s="695"/>
      <c r="GX363" s="695"/>
      <c r="GY363" s="695"/>
      <c r="GZ363" s="695"/>
      <c r="HA363" s="695"/>
      <c r="HB363" s="695"/>
      <c r="HC363" s="695"/>
      <c r="HD363" s="695"/>
      <c r="HE363" s="695"/>
      <c r="HF363" s="695"/>
      <c r="HG363" s="695"/>
      <c r="HH363" s="695"/>
      <c r="HI363" s="695"/>
      <c r="HJ363" s="695"/>
      <c r="HK363" s="695"/>
      <c r="HL363" s="695"/>
      <c r="HM363" s="695"/>
      <c r="HN363" s="695"/>
      <c r="HO363" s="695"/>
      <c r="HP363" s="695"/>
      <c r="HQ363" s="695"/>
      <c r="HR363" s="695"/>
      <c r="HS363" s="695"/>
      <c r="HT363" s="695"/>
      <c r="HU363" s="695"/>
      <c r="HV363" s="695"/>
      <c r="HW363" s="695"/>
      <c r="HX363" s="695"/>
      <c r="HY363" s="695"/>
      <c r="HZ363" s="695"/>
      <c r="IA363" s="695"/>
      <c r="IB363" s="695"/>
      <c r="IC363" s="695"/>
      <c r="ID363" s="695"/>
      <c r="IE363" s="695"/>
      <c r="IF363" s="695"/>
      <c r="IG363" s="695"/>
      <c r="IH363" s="695"/>
      <c r="II363" s="695"/>
      <c r="IJ363" s="695"/>
      <c r="IK363" s="695"/>
      <c r="IL363" s="695"/>
      <c r="IM363" s="695"/>
      <c r="IN363" s="695"/>
      <c r="IO363" s="695"/>
      <c r="IP363" s="695"/>
      <c r="IQ363" s="695"/>
      <c r="IR363" s="695"/>
      <c r="IS363" s="695"/>
      <c r="IT363" s="695"/>
      <c r="IU363" s="695"/>
      <c r="IV363" s="695"/>
      <c r="IW363" s="695"/>
    </row>
    <row r="364" spans="1:257" s="748" customFormat="1">
      <c r="A364" s="939" t="s">
        <v>91</v>
      </c>
      <c r="B364" s="902" t="s">
        <v>993</v>
      </c>
      <c r="C364" s="774"/>
      <c r="D364" s="774"/>
      <c r="E364" s="676"/>
      <c r="F364" s="676"/>
      <c r="G364" s="676"/>
      <c r="H364" s="676"/>
      <c r="I364" s="676"/>
      <c r="J364" s="676">
        <v>45000000</v>
      </c>
      <c r="K364" s="676">
        <v>100000000</v>
      </c>
      <c r="L364" s="1305">
        <v>100000000</v>
      </c>
      <c r="M364" s="676" t="s">
        <v>1588</v>
      </c>
      <c r="N364" s="940"/>
      <c r="O364" s="940"/>
      <c r="P364" s="940"/>
      <c r="Q364" s="940"/>
      <c r="R364" s="941"/>
      <c r="S364" s="991"/>
      <c r="T364" s="992"/>
      <c r="U364" s="762"/>
      <c r="V364" s="632"/>
      <c r="W364" s="756"/>
      <c r="X364" s="757"/>
      <c r="Y364" s="695"/>
      <c r="Z364" s="695"/>
      <c r="AA364" s="695"/>
      <c r="AB364" s="695"/>
      <c r="AC364" s="695"/>
      <c r="AD364" s="695"/>
      <c r="AE364" s="695"/>
      <c r="AF364" s="695"/>
      <c r="AG364" s="695"/>
      <c r="AH364" s="695"/>
      <c r="AI364" s="695"/>
      <c r="AJ364" s="695"/>
      <c r="AK364" s="695"/>
      <c r="AL364" s="695"/>
      <c r="AM364" s="695"/>
      <c r="AN364" s="695"/>
      <c r="AO364" s="695"/>
      <c r="AP364" s="695"/>
      <c r="AQ364" s="695"/>
      <c r="AR364" s="695"/>
      <c r="AS364" s="695"/>
      <c r="AT364" s="695"/>
      <c r="AU364" s="695"/>
      <c r="AV364" s="695"/>
      <c r="AW364" s="695"/>
      <c r="AX364" s="695"/>
      <c r="AY364" s="695"/>
      <c r="AZ364" s="695"/>
      <c r="BA364" s="695"/>
      <c r="BB364" s="695"/>
      <c r="BC364" s="695"/>
      <c r="BD364" s="695"/>
      <c r="BE364" s="695"/>
      <c r="BF364" s="695"/>
      <c r="BG364" s="695"/>
      <c r="BH364" s="695"/>
      <c r="BI364" s="695"/>
      <c r="BJ364" s="695"/>
      <c r="BK364" s="695"/>
      <c r="BL364" s="695"/>
      <c r="BM364" s="695"/>
      <c r="BN364" s="695"/>
      <c r="BO364" s="695"/>
      <c r="BP364" s="695"/>
      <c r="BQ364" s="695"/>
      <c r="BR364" s="695"/>
      <c r="BS364" s="695"/>
      <c r="BT364" s="695"/>
      <c r="BU364" s="695"/>
      <c r="BV364" s="695"/>
      <c r="BW364" s="695"/>
      <c r="BX364" s="695"/>
      <c r="BY364" s="695"/>
      <c r="BZ364" s="695"/>
      <c r="CA364" s="695"/>
      <c r="CB364" s="695"/>
      <c r="CC364" s="695"/>
      <c r="CD364" s="695"/>
      <c r="CE364" s="695"/>
      <c r="CF364" s="695"/>
      <c r="CG364" s="695"/>
      <c r="CH364" s="695"/>
      <c r="CI364" s="695"/>
      <c r="CJ364" s="695"/>
      <c r="CK364" s="695"/>
      <c r="CL364" s="695"/>
      <c r="CM364" s="695"/>
      <c r="CN364" s="695"/>
      <c r="CO364" s="695"/>
      <c r="CP364" s="695"/>
      <c r="CQ364" s="695"/>
      <c r="CR364" s="695"/>
      <c r="CS364" s="695"/>
      <c r="CT364" s="695"/>
      <c r="CU364" s="695"/>
      <c r="CV364" s="695"/>
      <c r="CW364" s="695"/>
      <c r="CX364" s="695"/>
      <c r="CY364" s="695"/>
      <c r="CZ364" s="695"/>
      <c r="DA364" s="695"/>
      <c r="DB364" s="695"/>
      <c r="DC364" s="695"/>
      <c r="DD364" s="695"/>
      <c r="DE364" s="695"/>
      <c r="DF364" s="695"/>
      <c r="DG364" s="695"/>
      <c r="DH364" s="695"/>
      <c r="DI364" s="695"/>
      <c r="DJ364" s="695"/>
      <c r="DK364" s="695"/>
      <c r="DL364" s="695"/>
      <c r="DM364" s="695"/>
      <c r="DN364" s="695"/>
      <c r="DO364" s="695"/>
      <c r="DP364" s="695"/>
      <c r="DQ364" s="695"/>
      <c r="DR364" s="695"/>
      <c r="DS364" s="695"/>
      <c r="DT364" s="695"/>
      <c r="DU364" s="695"/>
      <c r="DV364" s="695"/>
      <c r="DW364" s="695"/>
      <c r="DX364" s="695"/>
      <c r="DY364" s="695"/>
      <c r="DZ364" s="695"/>
      <c r="EA364" s="695"/>
      <c r="EB364" s="695"/>
      <c r="EC364" s="695"/>
      <c r="ED364" s="695"/>
      <c r="EE364" s="695"/>
      <c r="EF364" s="695"/>
      <c r="EG364" s="695"/>
      <c r="EH364" s="695"/>
      <c r="EI364" s="695"/>
      <c r="EJ364" s="695"/>
      <c r="EK364" s="695"/>
      <c r="EL364" s="695"/>
      <c r="EM364" s="695"/>
      <c r="EN364" s="695"/>
      <c r="EO364" s="695"/>
      <c r="EP364" s="695"/>
      <c r="EQ364" s="695"/>
      <c r="ER364" s="695"/>
      <c r="ES364" s="695"/>
      <c r="ET364" s="695"/>
      <c r="EU364" s="695"/>
      <c r="EV364" s="695"/>
      <c r="EW364" s="695"/>
      <c r="EX364" s="695"/>
      <c r="EY364" s="695"/>
      <c r="EZ364" s="695"/>
      <c r="FA364" s="695"/>
      <c r="FB364" s="695"/>
      <c r="FC364" s="695"/>
      <c r="FD364" s="695"/>
      <c r="FE364" s="695"/>
      <c r="FF364" s="695"/>
      <c r="FG364" s="695"/>
      <c r="FH364" s="695"/>
      <c r="FI364" s="695"/>
      <c r="FJ364" s="695"/>
      <c r="FK364" s="695"/>
      <c r="FL364" s="695"/>
      <c r="FM364" s="695"/>
      <c r="FN364" s="695"/>
      <c r="FO364" s="695"/>
      <c r="FP364" s="695"/>
      <c r="FQ364" s="695"/>
      <c r="FR364" s="695"/>
      <c r="FS364" s="695"/>
      <c r="FT364" s="695"/>
      <c r="FU364" s="695"/>
      <c r="FV364" s="695"/>
      <c r="FW364" s="695"/>
      <c r="FX364" s="695"/>
      <c r="FY364" s="695"/>
      <c r="FZ364" s="695"/>
      <c r="GA364" s="695"/>
      <c r="GB364" s="695"/>
      <c r="GC364" s="695"/>
      <c r="GD364" s="695"/>
      <c r="GE364" s="695"/>
      <c r="GF364" s="695"/>
      <c r="GG364" s="695"/>
      <c r="GH364" s="695"/>
      <c r="GI364" s="695"/>
      <c r="GJ364" s="695"/>
      <c r="GK364" s="695"/>
      <c r="GL364" s="695"/>
      <c r="GM364" s="695"/>
      <c r="GN364" s="695"/>
      <c r="GO364" s="695"/>
      <c r="GP364" s="695"/>
      <c r="GQ364" s="695"/>
      <c r="GR364" s="695"/>
      <c r="GS364" s="695"/>
      <c r="GT364" s="695"/>
      <c r="GU364" s="695"/>
      <c r="GV364" s="695"/>
      <c r="GW364" s="695"/>
      <c r="GX364" s="695"/>
      <c r="GY364" s="695"/>
      <c r="GZ364" s="695"/>
      <c r="HA364" s="695"/>
      <c r="HB364" s="695"/>
      <c r="HC364" s="695"/>
      <c r="HD364" s="695"/>
      <c r="HE364" s="695"/>
      <c r="HF364" s="695"/>
      <c r="HG364" s="695"/>
      <c r="HH364" s="695"/>
      <c r="HI364" s="695"/>
      <c r="HJ364" s="695"/>
      <c r="HK364" s="695"/>
      <c r="HL364" s="695"/>
      <c r="HM364" s="695"/>
      <c r="HN364" s="695"/>
      <c r="HO364" s="695"/>
      <c r="HP364" s="695"/>
      <c r="HQ364" s="695"/>
      <c r="HR364" s="695"/>
      <c r="HS364" s="695"/>
      <c r="HT364" s="695"/>
      <c r="HU364" s="695"/>
      <c r="HV364" s="695"/>
      <c r="HW364" s="695"/>
      <c r="HX364" s="695"/>
      <c r="HY364" s="695"/>
      <c r="HZ364" s="695"/>
      <c r="IA364" s="695"/>
      <c r="IB364" s="695"/>
      <c r="IC364" s="695"/>
      <c r="ID364" s="695"/>
      <c r="IE364" s="695"/>
      <c r="IF364" s="695"/>
      <c r="IG364" s="695"/>
      <c r="IH364" s="695"/>
      <c r="II364" s="695"/>
      <c r="IJ364" s="695"/>
      <c r="IK364" s="695"/>
      <c r="IL364" s="695"/>
      <c r="IM364" s="695"/>
      <c r="IN364" s="695"/>
      <c r="IO364" s="695"/>
      <c r="IP364" s="695"/>
      <c r="IQ364" s="695"/>
      <c r="IR364" s="695"/>
      <c r="IS364" s="695"/>
      <c r="IT364" s="695"/>
      <c r="IU364" s="695"/>
      <c r="IV364" s="695"/>
      <c r="IW364" s="695"/>
    </row>
    <row r="365" spans="1:257" s="748" customFormat="1">
      <c r="A365" s="939" t="s">
        <v>91</v>
      </c>
      <c r="B365" s="902" t="s">
        <v>987</v>
      </c>
      <c r="C365" s="774"/>
      <c r="D365" s="774"/>
      <c r="E365" s="676"/>
      <c r="F365" s="676"/>
      <c r="G365" s="676"/>
      <c r="H365" s="676"/>
      <c r="I365" s="676"/>
      <c r="J365" s="676">
        <v>405915000</v>
      </c>
      <c r="K365" s="676">
        <f>16500000*3</f>
        <v>49500000</v>
      </c>
      <c r="L365" s="1305"/>
      <c r="M365" s="676"/>
      <c r="N365" s="940"/>
      <c r="O365" s="940"/>
      <c r="P365" s="940"/>
      <c r="Q365" s="940"/>
      <c r="R365" s="941"/>
      <c r="S365" s="991"/>
      <c r="T365" s="992"/>
      <c r="U365" s="762"/>
      <c r="V365" s="632"/>
      <c r="W365" s="756"/>
      <c r="X365" s="757"/>
      <c r="Y365" s="695"/>
      <c r="Z365" s="695"/>
      <c r="AA365" s="695"/>
      <c r="AB365" s="695"/>
      <c r="AC365" s="695"/>
      <c r="AD365" s="695"/>
      <c r="AE365" s="695"/>
      <c r="AF365" s="695"/>
      <c r="AG365" s="695"/>
      <c r="AH365" s="695"/>
      <c r="AI365" s="695"/>
      <c r="AJ365" s="695"/>
      <c r="AK365" s="695"/>
      <c r="AL365" s="695"/>
      <c r="AM365" s="695"/>
      <c r="AN365" s="695"/>
      <c r="AO365" s="695"/>
      <c r="AP365" s="695"/>
      <c r="AQ365" s="695"/>
      <c r="AR365" s="695"/>
      <c r="AS365" s="695"/>
      <c r="AT365" s="695"/>
      <c r="AU365" s="695"/>
      <c r="AV365" s="695"/>
      <c r="AW365" s="695"/>
      <c r="AX365" s="695"/>
      <c r="AY365" s="695"/>
      <c r="AZ365" s="695"/>
      <c r="BA365" s="695"/>
      <c r="BB365" s="695"/>
      <c r="BC365" s="695"/>
      <c r="BD365" s="695"/>
      <c r="BE365" s="695"/>
      <c r="BF365" s="695"/>
      <c r="BG365" s="695"/>
      <c r="BH365" s="695"/>
      <c r="BI365" s="695"/>
      <c r="BJ365" s="695"/>
      <c r="BK365" s="695"/>
      <c r="BL365" s="695"/>
      <c r="BM365" s="695"/>
      <c r="BN365" s="695"/>
      <c r="BO365" s="695"/>
      <c r="BP365" s="695"/>
      <c r="BQ365" s="695"/>
      <c r="BR365" s="695"/>
      <c r="BS365" s="695"/>
      <c r="BT365" s="695"/>
      <c r="BU365" s="695"/>
      <c r="BV365" s="695"/>
      <c r="BW365" s="695"/>
      <c r="BX365" s="695"/>
      <c r="BY365" s="695"/>
      <c r="BZ365" s="695"/>
      <c r="CA365" s="695"/>
      <c r="CB365" s="695"/>
      <c r="CC365" s="695"/>
      <c r="CD365" s="695"/>
      <c r="CE365" s="695"/>
      <c r="CF365" s="695"/>
      <c r="CG365" s="695"/>
      <c r="CH365" s="695"/>
      <c r="CI365" s="695"/>
      <c r="CJ365" s="695"/>
      <c r="CK365" s="695"/>
      <c r="CL365" s="695"/>
      <c r="CM365" s="695"/>
      <c r="CN365" s="695"/>
      <c r="CO365" s="695"/>
      <c r="CP365" s="695"/>
      <c r="CQ365" s="695"/>
      <c r="CR365" s="695"/>
      <c r="CS365" s="695"/>
      <c r="CT365" s="695"/>
      <c r="CU365" s="695"/>
      <c r="CV365" s="695"/>
      <c r="CW365" s="695"/>
      <c r="CX365" s="695"/>
      <c r="CY365" s="695"/>
      <c r="CZ365" s="695"/>
      <c r="DA365" s="695"/>
      <c r="DB365" s="695"/>
      <c r="DC365" s="695"/>
      <c r="DD365" s="695"/>
      <c r="DE365" s="695"/>
      <c r="DF365" s="695"/>
      <c r="DG365" s="695"/>
      <c r="DH365" s="695"/>
      <c r="DI365" s="695"/>
      <c r="DJ365" s="695"/>
      <c r="DK365" s="695"/>
      <c r="DL365" s="695"/>
      <c r="DM365" s="695"/>
      <c r="DN365" s="695"/>
      <c r="DO365" s="695"/>
      <c r="DP365" s="695"/>
      <c r="DQ365" s="695"/>
      <c r="DR365" s="695"/>
      <c r="DS365" s="695"/>
      <c r="DT365" s="695"/>
      <c r="DU365" s="695"/>
      <c r="DV365" s="695"/>
      <c r="DW365" s="695"/>
      <c r="DX365" s="695"/>
      <c r="DY365" s="695"/>
      <c r="DZ365" s="695"/>
      <c r="EA365" s="695"/>
      <c r="EB365" s="695"/>
      <c r="EC365" s="695"/>
      <c r="ED365" s="695"/>
      <c r="EE365" s="695"/>
      <c r="EF365" s="695"/>
      <c r="EG365" s="695"/>
      <c r="EH365" s="695"/>
      <c r="EI365" s="695"/>
      <c r="EJ365" s="695"/>
      <c r="EK365" s="695"/>
      <c r="EL365" s="695"/>
      <c r="EM365" s="695"/>
      <c r="EN365" s="695"/>
      <c r="EO365" s="695"/>
      <c r="EP365" s="695"/>
      <c r="EQ365" s="695"/>
      <c r="ER365" s="695"/>
      <c r="ES365" s="695"/>
      <c r="ET365" s="695"/>
      <c r="EU365" s="695"/>
      <c r="EV365" s="695"/>
      <c r="EW365" s="695"/>
      <c r="EX365" s="695"/>
      <c r="EY365" s="695"/>
      <c r="EZ365" s="695"/>
      <c r="FA365" s="695"/>
      <c r="FB365" s="695"/>
      <c r="FC365" s="695"/>
      <c r="FD365" s="695"/>
      <c r="FE365" s="695"/>
      <c r="FF365" s="695"/>
      <c r="FG365" s="695"/>
      <c r="FH365" s="695"/>
      <c r="FI365" s="695"/>
      <c r="FJ365" s="695"/>
      <c r="FK365" s="695"/>
      <c r="FL365" s="695"/>
      <c r="FM365" s="695"/>
      <c r="FN365" s="695"/>
      <c r="FO365" s="695"/>
      <c r="FP365" s="695"/>
      <c r="FQ365" s="695"/>
      <c r="FR365" s="695"/>
      <c r="FS365" s="695"/>
      <c r="FT365" s="695"/>
      <c r="FU365" s="695"/>
      <c r="FV365" s="695"/>
      <c r="FW365" s="695"/>
      <c r="FX365" s="695"/>
      <c r="FY365" s="695"/>
      <c r="FZ365" s="695"/>
      <c r="GA365" s="695"/>
      <c r="GB365" s="695"/>
      <c r="GC365" s="695"/>
      <c r="GD365" s="695"/>
      <c r="GE365" s="695"/>
      <c r="GF365" s="695"/>
      <c r="GG365" s="695"/>
      <c r="GH365" s="695"/>
      <c r="GI365" s="695"/>
      <c r="GJ365" s="695"/>
      <c r="GK365" s="695"/>
      <c r="GL365" s="695"/>
      <c r="GM365" s="695"/>
      <c r="GN365" s="695"/>
      <c r="GO365" s="695"/>
      <c r="GP365" s="695"/>
      <c r="GQ365" s="695"/>
      <c r="GR365" s="695"/>
      <c r="GS365" s="695"/>
      <c r="GT365" s="695"/>
      <c r="GU365" s="695"/>
      <c r="GV365" s="695"/>
      <c r="GW365" s="695"/>
      <c r="GX365" s="695"/>
      <c r="GY365" s="695"/>
      <c r="GZ365" s="695"/>
      <c r="HA365" s="695"/>
      <c r="HB365" s="695"/>
      <c r="HC365" s="695"/>
      <c r="HD365" s="695"/>
      <c r="HE365" s="695"/>
      <c r="HF365" s="695"/>
      <c r="HG365" s="695"/>
      <c r="HH365" s="695"/>
      <c r="HI365" s="695"/>
      <c r="HJ365" s="695"/>
      <c r="HK365" s="695"/>
      <c r="HL365" s="695"/>
      <c r="HM365" s="695"/>
      <c r="HN365" s="695"/>
      <c r="HO365" s="695"/>
      <c r="HP365" s="695"/>
      <c r="HQ365" s="695"/>
      <c r="HR365" s="695"/>
      <c r="HS365" s="695"/>
      <c r="HT365" s="695"/>
      <c r="HU365" s="695"/>
      <c r="HV365" s="695"/>
      <c r="HW365" s="695"/>
      <c r="HX365" s="695"/>
      <c r="HY365" s="695"/>
      <c r="HZ365" s="695"/>
      <c r="IA365" s="695"/>
      <c r="IB365" s="695"/>
      <c r="IC365" s="695"/>
      <c r="ID365" s="695"/>
      <c r="IE365" s="695"/>
      <c r="IF365" s="695"/>
      <c r="IG365" s="695"/>
      <c r="IH365" s="695"/>
      <c r="II365" s="695"/>
      <c r="IJ365" s="695"/>
      <c r="IK365" s="695"/>
      <c r="IL365" s="695"/>
      <c r="IM365" s="695"/>
      <c r="IN365" s="695"/>
      <c r="IO365" s="695"/>
      <c r="IP365" s="695"/>
      <c r="IQ365" s="695"/>
      <c r="IR365" s="695"/>
      <c r="IS365" s="695"/>
      <c r="IT365" s="695"/>
      <c r="IU365" s="695"/>
      <c r="IV365" s="695"/>
      <c r="IW365" s="695"/>
    </row>
    <row r="366" spans="1:257" s="748" customFormat="1" ht="31.5">
      <c r="A366" s="939" t="s">
        <v>91</v>
      </c>
      <c r="B366" s="902" t="s">
        <v>1590</v>
      </c>
      <c r="C366" s="774"/>
      <c r="D366" s="774"/>
      <c r="E366" s="676"/>
      <c r="F366" s="676"/>
      <c r="G366" s="676"/>
      <c r="H366" s="676"/>
      <c r="I366" s="676"/>
      <c r="J366" s="676">
        <v>100000000</v>
      </c>
      <c r="K366" s="676">
        <v>300000000</v>
      </c>
      <c r="L366" s="1305"/>
      <c r="M366" s="676" t="s">
        <v>1591</v>
      </c>
      <c r="N366" s="940"/>
      <c r="O366" s="940"/>
      <c r="P366" s="940"/>
      <c r="Q366" s="940"/>
      <c r="R366" s="941"/>
      <c r="S366" s="991"/>
      <c r="T366" s="992"/>
      <c r="U366" s="762"/>
      <c r="V366" s="632"/>
      <c r="W366" s="756"/>
      <c r="X366" s="757"/>
      <c r="Y366" s="695"/>
      <c r="Z366" s="695"/>
      <c r="AA366" s="695"/>
      <c r="AB366" s="695"/>
      <c r="AC366" s="695"/>
      <c r="AD366" s="695"/>
      <c r="AE366" s="695"/>
      <c r="AF366" s="695"/>
      <c r="AG366" s="695"/>
      <c r="AH366" s="695"/>
      <c r="AI366" s="695"/>
      <c r="AJ366" s="695"/>
      <c r="AK366" s="695"/>
      <c r="AL366" s="695"/>
      <c r="AM366" s="695"/>
      <c r="AN366" s="695"/>
      <c r="AO366" s="695"/>
      <c r="AP366" s="695"/>
      <c r="AQ366" s="695"/>
      <c r="AR366" s="695"/>
      <c r="AS366" s="695"/>
      <c r="AT366" s="695"/>
      <c r="AU366" s="695"/>
      <c r="AV366" s="695"/>
      <c r="AW366" s="695"/>
      <c r="AX366" s="695"/>
      <c r="AY366" s="695"/>
      <c r="AZ366" s="695"/>
      <c r="BA366" s="695"/>
      <c r="BB366" s="695"/>
      <c r="BC366" s="695"/>
      <c r="BD366" s="695"/>
      <c r="BE366" s="695"/>
      <c r="BF366" s="695"/>
      <c r="BG366" s="695"/>
      <c r="BH366" s="695"/>
      <c r="BI366" s="695"/>
      <c r="BJ366" s="695"/>
      <c r="BK366" s="695"/>
      <c r="BL366" s="695"/>
      <c r="BM366" s="695"/>
      <c r="BN366" s="695"/>
      <c r="BO366" s="695"/>
      <c r="BP366" s="695"/>
      <c r="BQ366" s="695"/>
      <c r="BR366" s="695"/>
      <c r="BS366" s="695"/>
      <c r="BT366" s="695"/>
      <c r="BU366" s="695"/>
      <c r="BV366" s="695"/>
      <c r="BW366" s="695"/>
      <c r="BX366" s="695"/>
      <c r="BY366" s="695"/>
      <c r="BZ366" s="695"/>
      <c r="CA366" s="695"/>
      <c r="CB366" s="695"/>
      <c r="CC366" s="695"/>
      <c r="CD366" s="695"/>
      <c r="CE366" s="695"/>
      <c r="CF366" s="695"/>
      <c r="CG366" s="695"/>
      <c r="CH366" s="695"/>
      <c r="CI366" s="695"/>
      <c r="CJ366" s="695"/>
      <c r="CK366" s="695"/>
      <c r="CL366" s="695"/>
      <c r="CM366" s="695"/>
      <c r="CN366" s="695"/>
      <c r="CO366" s="695"/>
      <c r="CP366" s="695"/>
      <c r="CQ366" s="695"/>
      <c r="CR366" s="695"/>
      <c r="CS366" s="695"/>
      <c r="CT366" s="695"/>
      <c r="CU366" s="695"/>
      <c r="CV366" s="695"/>
      <c r="CW366" s="695"/>
      <c r="CX366" s="695"/>
      <c r="CY366" s="695"/>
      <c r="CZ366" s="695"/>
      <c r="DA366" s="695"/>
      <c r="DB366" s="695"/>
      <c r="DC366" s="695"/>
      <c r="DD366" s="695"/>
      <c r="DE366" s="695"/>
      <c r="DF366" s="695"/>
      <c r="DG366" s="695"/>
      <c r="DH366" s="695"/>
      <c r="DI366" s="695"/>
      <c r="DJ366" s="695"/>
      <c r="DK366" s="695"/>
      <c r="DL366" s="695"/>
      <c r="DM366" s="695"/>
      <c r="DN366" s="695"/>
      <c r="DO366" s="695"/>
      <c r="DP366" s="695"/>
      <c r="DQ366" s="695"/>
      <c r="DR366" s="695"/>
      <c r="DS366" s="695"/>
      <c r="DT366" s="695"/>
      <c r="DU366" s="695"/>
      <c r="DV366" s="695"/>
      <c r="DW366" s="695"/>
      <c r="DX366" s="695"/>
      <c r="DY366" s="695"/>
      <c r="DZ366" s="695"/>
      <c r="EA366" s="695"/>
      <c r="EB366" s="695"/>
      <c r="EC366" s="695"/>
      <c r="ED366" s="695"/>
      <c r="EE366" s="695"/>
      <c r="EF366" s="695"/>
      <c r="EG366" s="695"/>
      <c r="EH366" s="695"/>
      <c r="EI366" s="695"/>
      <c r="EJ366" s="695"/>
      <c r="EK366" s="695"/>
      <c r="EL366" s="695"/>
      <c r="EM366" s="695"/>
      <c r="EN366" s="695"/>
      <c r="EO366" s="695"/>
      <c r="EP366" s="695"/>
      <c r="EQ366" s="695"/>
      <c r="ER366" s="695"/>
      <c r="ES366" s="695"/>
      <c r="ET366" s="695"/>
      <c r="EU366" s="695"/>
      <c r="EV366" s="695"/>
      <c r="EW366" s="695"/>
      <c r="EX366" s="695"/>
      <c r="EY366" s="695"/>
      <c r="EZ366" s="695"/>
      <c r="FA366" s="695"/>
      <c r="FB366" s="695"/>
      <c r="FC366" s="695"/>
      <c r="FD366" s="695"/>
      <c r="FE366" s="695"/>
      <c r="FF366" s="695"/>
      <c r="FG366" s="695"/>
      <c r="FH366" s="695"/>
      <c r="FI366" s="695"/>
      <c r="FJ366" s="695"/>
      <c r="FK366" s="695"/>
      <c r="FL366" s="695"/>
      <c r="FM366" s="695"/>
      <c r="FN366" s="695"/>
      <c r="FO366" s="695"/>
      <c r="FP366" s="695"/>
      <c r="FQ366" s="695"/>
      <c r="FR366" s="695"/>
      <c r="FS366" s="695"/>
      <c r="FT366" s="695"/>
      <c r="FU366" s="695"/>
      <c r="FV366" s="695"/>
      <c r="FW366" s="695"/>
      <c r="FX366" s="695"/>
      <c r="FY366" s="695"/>
      <c r="FZ366" s="695"/>
      <c r="GA366" s="695"/>
      <c r="GB366" s="695"/>
      <c r="GC366" s="695"/>
      <c r="GD366" s="695"/>
      <c r="GE366" s="695"/>
      <c r="GF366" s="695"/>
      <c r="GG366" s="695"/>
      <c r="GH366" s="695"/>
      <c r="GI366" s="695"/>
      <c r="GJ366" s="695"/>
      <c r="GK366" s="695"/>
      <c r="GL366" s="695"/>
      <c r="GM366" s="695"/>
      <c r="GN366" s="695"/>
      <c r="GO366" s="695"/>
      <c r="GP366" s="695"/>
      <c r="GQ366" s="695"/>
      <c r="GR366" s="695"/>
      <c r="GS366" s="695"/>
      <c r="GT366" s="695"/>
      <c r="GU366" s="695"/>
      <c r="GV366" s="695"/>
      <c r="GW366" s="695"/>
      <c r="GX366" s="695"/>
      <c r="GY366" s="695"/>
      <c r="GZ366" s="695"/>
      <c r="HA366" s="695"/>
      <c r="HB366" s="695"/>
      <c r="HC366" s="695"/>
      <c r="HD366" s="695"/>
      <c r="HE366" s="695"/>
      <c r="HF366" s="695"/>
      <c r="HG366" s="695"/>
      <c r="HH366" s="695"/>
      <c r="HI366" s="695"/>
      <c r="HJ366" s="695"/>
      <c r="HK366" s="695"/>
      <c r="HL366" s="695"/>
      <c r="HM366" s="695"/>
      <c r="HN366" s="695"/>
      <c r="HO366" s="695"/>
      <c r="HP366" s="695"/>
      <c r="HQ366" s="695"/>
      <c r="HR366" s="695"/>
      <c r="HS366" s="695"/>
      <c r="HT366" s="695"/>
      <c r="HU366" s="695"/>
      <c r="HV366" s="695"/>
      <c r="HW366" s="695"/>
      <c r="HX366" s="695"/>
      <c r="HY366" s="695"/>
      <c r="HZ366" s="695"/>
      <c r="IA366" s="695"/>
      <c r="IB366" s="695"/>
      <c r="IC366" s="695"/>
      <c r="ID366" s="695"/>
      <c r="IE366" s="695"/>
      <c r="IF366" s="695"/>
      <c r="IG366" s="695"/>
      <c r="IH366" s="695"/>
      <c r="II366" s="695"/>
      <c r="IJ366" s="695"/>
      <c r="IK366" s="695"/>
      <c r="IL366" s="695"/>
      <c r="IM366" s="695"/>
      <c r="IN366" s="695"/>
      <c r="IO366" s="695"/>
      <c r="IP366" s="695"/>
      <c r="IQ366" s="695"/>
      <c r="IR366" s="695"/>
      <c r="IS366" s="695"/>
      <c r="IT366" s="695"/>
      <c r="IU366" s="695"/>
      <c r="IV366" s="695"/>
      <c r="IW366" s="695"/>
    </row>
    <row r="367" spans="1:257" s="748" customFormat="1">
      <c r="A367" s="939" t="s">
        <v>91</v>
      </c>
      <c r="B367" s="902" t="s">
        <v>1592</v>
      </c>
      <c r="C367" s="774"/>
      <c r="D367" s="774"/>
      <c r="E367" s="676"/>
      <c r="F367" s="676"/>
      <c r="G367" s="676"/>
      <c r="H367" s="676"/>
      <c r="I367" s="676"/>
      <c r="J367" s="676">
        <v>15000000</v>
      </c>
      <c r="K367" s="676"/>
      <c r="L367" s="1305"/>
      <c r="M367" s="676" t="s">
        <v>1593</v>
      </c>
      <c r="N367" s="940"/>
      <c r="O367" s="940"/>
      <c r="P367" s="940"/>
      <c r="Q367" s="940"/>
      <c r="R367" s="941"/>
      <c r="S367" s="991"/>
      <c r="T367" s="992"/>
      <c r="U367" s="762"/>
      <c r="V367" s="632"/>
      <c r="W367" s="756"/>
      <c r="X367" s="757"/>
      <c r="Y367" s="695"/>
      <c r="Z367" s="695"/>
      <c r="AA367" s="695"/>
      <c r="AB367" s="695"/>
      <c r="AC367" s="695"/>
      <c r="AD367" s="695"/>
      <c r="AE367" s="695"/>
      <c r="AF367" s="695"/>
      <c r="AG367" s="695"/>
      <c r="AH367" s="695"/>
      <c r="AI367" s="695"/>
      <c r="AJ367" s="695"/>
      <c r="AK367" s="695"/>
      <c r="AL367" s="695"/>
      <c r="AM367" s="695"/>
      <c r="AN367" s="695"/>
      <c r="AO367" s="695"/>
      <c r="AP367" s="695"/>
      <c r="AQ367" s="695"/>
      <c r="AR367" s="695"/>
      <c r="AS367" s="695"/>
      <c r="AT367" s="695"/>
      <c r="AU367" s="695"/>
      <c r="AV367" s="695"/>
      <c r="AW367" s="695"/>
      <c r="AX367" s="695"/>
      <c r="AY367" s="695"/>
      <c r="AZ367" s="695"/>
      <c r="BA367" s="695"/>
      <c r="BB367" s="695"/>
      <c r="BC367" s="695"/>
      <c r="BD367" s="695"/>
      <c r="BE367" s="695"/>
      <c r="BF367" s="695"/>
      <c r="BG367" s="695"/>
      <c r="BH367" s="695"/>
      <c r="BI367" s="695"/>
      <c r="BJ367" s="695"/>
      <c r="BK367" s="695"/>
      <c r="BL367" s="695"/>
      <c r="BM367" s="695"/>
      <c r="BN367" s="695"/>
      <c r="BO367" s="695"/>
      <c r="BP367" s="695"/>
      <c r="BQ367" s="695"/>
      <c r="BR367" s="695"/>
      <c r="BS367" s="695"/>
      <c r="BT367" s="695"/>
      <c r="BU367" s="695"/>
      <c r="BV367" s="695"/>
      <c r="BW367" s="695"/>
      <c r="BX367" s="695"/>
      <c r="BY367" s="695"/>
      <c r="BZ367" s="695"/>
      <c r="CA367" s="695"/>
      <c r="CB367" s="695"/>
      <c r="CC367" s="695"/>
      <c r="CD367" s="695"/>
      <c r="CE367" s="695"/>
      <c r="CF367" s="695"/>
      <c r="CG367" s="695"/>
      <c r="CH367" s="695"/>
      <c r="CI367" s="695"/>
      <c r="CJ367" s="695"/>
      <c r="CK367" s="695"/>
      <c r="CL367" s="695"/>
      <c r="CM367" s="695"/>
      <c r="CN367" s="695"/>
      <c r="CO367" s="695"/>
      <c r="CP367" s="695"/>
      <c r="CQ367" s="695"/>
      <c r="CR367" s="695"/>
      <c r="CS367" s="695"/>
      <c r="CT367" s="695"/>
      <c r="CU367" s="695"/>
      <c r="CV367" s="695"/>
      <c r="CW367" s="695"/>
      <c r="CX367" s="695"/>
      <c r="CY367" s="695"/>
      <c r="CZ367" s="695"/>
      <c r="DA367" s="695"/>
      <c r="DB367" s="695"/>
      <c r="DC367" s="695"/>
      <c r="DD367" s="695"/>
      <c r="DE367" s="695"/>
      <c r="DF367" s="695"/>
      <c r="DG367" s="695"/>
      <c r="DH367" s="695"/>
      <c r="DI367" s="695"/>
      <c r="DJ367" s="695"/>
      <c r="DK367" s="695"/>
      <c r="DL367" s="695"/>
      <c r="DM367" s="695"/>
      <c r="DN367" s="695"/>
      <c r="DO367" s="695"/>
      <c r="DP367" s="695"/>
      <c r="DQ367" s="695"/>
      <c r="DR367" s="695"/>
      <c r="DS367" s="695"/>
      <c r="DT367" s="695"/>
      <c r="DU367" s="695"/>
      <c r="DV367" s="695"/>
      <c r="DW367" s="695"/>
      <c r="DX367" s="695"/>
      <c r="DY367" s="695"/>
      <c r="DZ367" s="695"/>
      <c r="EA367" s="695"/>
      <c r="EB367" s="695"/>
      <c r="EC367" s="695"/>
      <c r="ED367" s="695"/>
      <c r="EE367" s="695"/>
      <c r="EF367" s="695"/>
      <c r="EG367" s="695"/>
      <c r="EH367" s="695"/>
      <c r="EI367" s="695"/>
      <c r="EJ367" s="695"/>
      <c r="EK367" s="695"/>
      <c r="EL367" s="695"/>
      <c r="EM367" s="695"/>
      <c r="EN367" s="695"/>
      <c r="EO367" s="695"/>
      <c r="EP367" s="695"/>
      <c r="EQ367" s="695"/>
      <c r="ER367" s="695"/>
      <c r="ES367" s="695"/>
      <c r="ET367" s="695"/>
      <c r="EU367" s="695"/>
      <c r="EV367" s="695"/>
      <c r="EW367" s="695"/>
      <c r="EX367" s="695"/>
      <c r="EY367" s="695"/>
      <c r="EZ367" s="695"/>
      <c r="FA367" s="695"/>
      <c r="FB367" s="695"/>
      <c r="FC367" s="695"/>
      <c r="FD367" s="695"/>
      <c r="FE367" s="695"/>
      <c r="FF367" s="695"/>
      <c r="FG367" s="695"/>
      <c r="FH367" s="695"/>
      <c r="FI367" s="695"/>
      <c r="FJ367" s="695"/>
      <c r="FK367" s="695"/>
      <c r="FL367" s="695"/>
      <c r="FM367" s="695"/>
      <c r="FN367" s="695"/>
      <c r="FO367" s="695"/>
      <c r="FP367" s="695"/>
      <c r="FQ367" s="695"/>
      <c r="FR367" s="695"/>
      <c r="FS367" s="695"/>
      <c r="FT367" s="695"/>
      <c r="FU367" s="695"/>
      <c r="FV367" s="695"/>
      <c r="FW367" s="695"/>
      <c r="FX367" s="695"/>
      <c r="FY367" s="695"/>
      <c r="FZ367" s="695"/>
      <c r="GA367" s="695"/>
      <c r="GB367" s="695"/>
      <c r="GC367" s="695"/>
      <c r="GD367" s="695"/>
      <c r="GE367" s="695"/>
      <c r="GF367" s="695"/>
      <c r="GG367" s="695"/>
      <c r="GH367" s="695"/>
      <c r="GI367" s="695"/>
      <c r="GJ367" s="695"/>
      <c r="GK367" s="695"/>
      <c r="GL367" s="695"/>
      <c r="GM367" s="695"/>
      <c r="GN367" s="695"/>
      <c r="GO367" s="695"/>
      <c r="GP367" s="695"/>
      <c r="GQ367" s="695"/>
      <c r="GR367" s="695"/>
      <c r="GS367" s="695"/>
      <c r="GT367" s="695"/>
      <c r="GU367" s="695"/>
      <c r="GV367" s="695"/>
      <c r="GW367" s="695"/>
      <c r="GX367" s="695"/>
      <c r="GY367" s="695"/>
      <c r="GZ367" s="695"/>
      <c r="HA367" s="695"/>
      <c r="HB367" s="695"/>
      <c r="HC367" s="695"/>
      <c r="HD367" s="695"/>
      <c r="HE367" s="695"/>
      <c r="HF367" s="695"/>
      <c r="HG367" s="695"/>
      <c r="HH367" s="695"/>
      <c r="HI367" s="695"/>
      <c r="HJ367" s="695"/>
      <c r="HK367" s="695"/>
      <c r="HL367" s="695"/>
      <c r="HM367" s="695"/>
      <c r="HN367" s="695"/>
      <c r="HO367" s="695"/>
      <c r="HP367" s="695"/>
      <c r="HQ367" s="695"/>
      <c r="HR367" s="695"/>
      <c r="HS367" s="695"/>
      <c r="HT367" s="695"/>
      <c r="HU367" s="695"/>
      <c r="HV367" s="695"/>
      <c r="HW367" s="695"/>
      <c r="HX367" s="695"/>
      <c r="HY367" s="695"/>
      <c r="HZ367" s="695"/>
      <c r="IA367" s="695"/>
      <c r="IB367" s="695"/>
      <c r="IC367" s="695"/>
      <c r="ID367" s="695"/>
      <c r="IE367" s="695"/>
      <c r="IF367" s="695"/>
      <c r="IG367" s="695"/>
      <c r="IH367" s="695"/>
      <c r="II367" s="695"/>
      <c r="IJ367" s="695"/>
      <c r="IK367" s="695"/>
      <c r="IL367" s="695"/>
      <c r="IM367" s="695"/>
      <c r="IN367" s="695"/>
      <c r="IO367" s="695"/>
      <c r="IP367" s="695"/>
      <c r="IQ367" s="695"/>
      <c r="IR367" s="695"/>
      <c r="IS367" s="695"/>
      <c r="IT367" s="695"/>
      <c r="IU367" s="695"/>
      <c r="IV367" s="695"/>
      <c r="IW367" s="695"/>
    </row>
    <row r="368" spans="1:257" s="748" customFormat="1">
      <c r="A368" s="939" t="s">
        <v>91</v>
      </c>
      <c r="B368" s="902" t="s">
        <v>113</v>
      </c>
      <c r="C368" s="774"/>
      <c r="D368" s="774"/>
      <c r="E368" s="676"/>
      <c r="F368" s="676">
        <v>50000000</v>
      </c>
      <c r="G368" s="676"/>
      <c r="H368" s="676"/>
      <c r="I368" s="676"/>
      <c r="J368" s="676">
        <v>60000000</v>
      </c>
      <c r="K368" s="676">
        <v>50000000</v>
      </c>
      <c r="L368" s="1305">
        <v>50000000</v>
      </c>
      <c r="M368" s="676" t="s">
        <v>991</v>
      </c>
      <c r="N368" s="940"/>
      <c r="O368" s="940"/>
      <c r="P368" s="940"/>
      <c r="Q368" s="940"/>
      <c r="R368" s="993"/>
      <c r="S368" s="991"/>
      <c r="T368" s="992"/>
      <c r="U368" s="762"/>
      <c r="V368" s="632"/>
      <c r="W368" s="994"/>
      <c r="X368" s="747"/>
    </row>
    <row r="369" spans="1:257" s="748" customFormat="1">
      <c r="A369" s="939" t="s">
        <v>91</v>
      </c>
      <c r="B369" s="902" t="s">
        <v>1594</v>
      </c>
      <c r="C369" s="774"/>
      <c r="D369" s="774"/>
      <c r="E369" s="676"/>
      <c r="F369" s="676"/>
      <c r="G369" s="676"/>
      <c r="H369" s="676"/>
      <c r="I369" s="676"/>
      <c r="J369" s="676">
        <v>25000000</v>
      </c>
      <c r="K369" s="676"/>
      <c r="L369" s="1305"/>
      <c r="M369" s="676" t="s">
        <v>1595</v>
      </c>
      <c r="N369" s="940"/>
      <c r="O369" s="940"/>
      <c r="P369" s="940"/>
      <c r="Q369" s="940"/>
      <c r="R369" s="993"/>
      <c r="S369" s="991"/>
      <c r="T369" s="992"/>
      <c r="U369" s="762"/>
      <c r="V369" s="632"/>
      <c r="W369" s="994"/>
      <c r="X369" s="747"/>
    </row>
    <row r="370" spans="1:257" s="748" customFormat="1" ht="47.25">
      <c r="A370" s="939" t="s">
        <v>91</v>
      </c>
      <c r="B370" s="902" t="s">
        <v>995</v>
      </c>
      <c r="C370" s="774"/>
      <c r="D370" s="774"/>
      <c r="E370" s="676"/>
      <c r="F370" s="676">
        <v>633000000</v>
      </c>
      <c r="G370" s="676"/>
      <c r="H370" s="676"/>
      <c r="I370" s="676"/>
      <c r="J370" s="676">
        <v>630000000</v>
      </c>
      <c r="K370" s="676">
        <v>500000000</v>
      </c>
      <c r="L370" s="1305">
        <f>500000000</f>
        <v>500000000</v>
      </c>
      <c r="M370" s="676" t="s">
        <v>1597</v>
      </c>
      <c r="N370" s="940" t="s">
        <v>1587</v>
      </c>
      <c r="O370" s="940"/>
      <c r="P370" s="940"/>
      <c r="Q370" s="940"/>
      <c r="R370" s="993"/>
      <c r="S370" s="991"/>
      <c r="T370" s="992"/>
      <c r="U370" s="762"/>
      <c r="V370" s="632"/>
      <c r="W370" s="994"/>
      <c r="X370" s="747"/>
    </row>
    <row r="371" spans="1:257" s="748" customFormat="1">
      <c r="A371" s="939" t="s">
        <v>91</v>
      </c>
      <c r="B371" s="902" t="s">
        <v>996</v>
      </c>
      <c r="C371" s="774"/>
      <c r="D371" s="774"/>
      <c r="E371" s="676"/>
      <c r="F371" s="676"/>
      <c r="G371" s="676"/>
      <c r="H371" s="676"/>
      <c r="I371" s="676"/>
      <c r="J371" s="676">
        <v>130000000</v>
      </c>
      <c r="K371" s="676"/>
      <c r="L371" s="1305"/>
      <c r="M371" s="676" t="s">
        <v>997</v>
      </c>
      <c r="N371" s="940"/>
      <c r="O371" s="940"/>
      <c r="P371" s="940"/>
      <c r="Q371" s="940"/>
      <c r="R371" s="993"/>
      <c r="S371" s="991"/>
      <c r="T371" s="992"/>
      <c r="U371" s="762"/>
      <c r="V371" s="632"/>
      <c r="W371" s="994"/>
      <c r="X371" s="747"/>
    </row>
    <row r="372" spans="1:257" s="748" customFormat="1" ht="31.5">
      <c r="A372" s="939" t="s">
        <v>91</v>
      </c>
      <c r="B372" s="902" t="s">
        <v>2050</v>
      </c>
      <c r="C372" s="774"/>
      <c r="D372" s="774"/>
      <c r="E372" s="676"/>
      <c r="F372" s="676">
        <v>200000000</v>
      </c>
      <c r="G372" s="676"/>
      <c r="H372" s="676"/>
      <c r="I372" s="676"/>
      <c r="J372" s="676">
        <v>240000000</v>
      </c>
      <c r="K372" s="676">
        <v>200000000</v>
      </c>
      <c r="L372" s="1305">
        <v>240000000</v>
      </c>
      <c r="M372" s="676" t="s">
        <v>1589</v>
      </c>
      <c r="N372" s="940"/>
      <c r="O372" s="940"/>
      <c r="P372" s="940"/>
      <c r="Q372" s="940"/>
      <c r="R372" s="993"/>
      <c r="S372" s="991"/>
      <c r="T372" s="992"/>
      <c r="U372" s="762"/>
      <c r="V372" s="746"/>
      <c r="W372" s="994"/>
      <c r="X372" s="747"/>
    </row>
    <row r="373" spans="1:257" s="703" customFormat="1" ht="15.75" hidden="1" customHeight="1">
      <c r="A373" s="787" t="s">
        <v>261</v>
      </c>
      <c r="B373" s="607" t="s">
        <v>998</v>
      </c>
      <c r="C373" s="590"/>
      <c r="D373" s="590"/>
      <c r="E373" s="609"/>
      <c r="F373" s="609">
        <f>F374+F375</f>
        <v>0</v>
      </c>
      <c r="G373" s="609"/>
      <c r="H373" s="609"/>
      <c r="I373" s="609"/>
      <c r="J373" s="609"/>
      <c r="K373" s="609"/>
      <c r="L373" s="1303"/>
      <c r="M373" s="609"/>
      <c r="N373" s="830"/>
      <c r="O373" s="830"/>
      <c r="P373" s="830"/>
      <c r="Q373" s="830"/>
      <c r="R373" s="995"/>
      <c r="S373" s="867"/>
      <c r="T373" s="856"/>
      <c r="U373" s="667"/>
      <c r="V373" s="701"/>
      <c r="W373" s="807"/>
      <c r="X373" s="702"/>
    </row>
    <row r="374" spans="1:257" s="582" customFormat="1" ht="15.75" hidden="1" customHeight="1">
      <c r="A374" s="672"/>
      <c r="B374" s="696" t="s">
        <v>999</v>
      </c>
      <c r="C374" s="635"/>
      <c r="D374" s="635"/>
      <c r="E374" s="651"/>
      <c r="F374" s="651"/>
      <c r="G374" s="651">
        <v>150000000</v>
      </c>
      <c r="H374" s="651"/>
      <c r="I374" s="651"/>
      <c r="J374" s="651"/>
      <c r="K374" s="651"/>
      <c r="L374" s="1305"/>
      <c r="M374" s="651"/>
      <c r="N374" s="826"/>
      <c r="O374" s="826"/>
      <c r="P374" s="826"/>
      <c r="Q374" s="826"/>
      <c r="R374" s="996"/>
      <c r="S374" s="867"/>
      <c r="T374" s="856"/>
      <c r="U374" s="670"/>
      <c r="V374" s="581"/>
      <c r="W374" s="790"/>
      <c r="X374" s="578"/>
    </row>
    <row r="375" spans="1:257" s="582" customFormat="1" ht="15.75" hidden="1" customHeight="1">
      <c r="A375" s="672"/>
      <c r="B375" s="696" t="s">
        <v>1000</v>
      </c>
      <c r="C375" s="635"/>
      <c r="D375" s="635"/>
      <c r="E375" s="651"/>
      <c r="F375" s="651"/>
      <c r="G375" s="651">
        <v>30000000</v>
      </c>
      <c r="H375" s="651"/>
      <c r="I375" s="651"/>
      <c r="J375" s="651"/>
      <c r="K375" s="651"/>
      <c r="L375" s="1305"/>
      <c r="M375" s="651"/>
      <c r="N375" s="826"/>
      <c r="O375" s="826"/>
      <c r="P375" s="826"/>
      <c r="Q375" s="826"/>
      <c r="R375" s="996"/>
      <c r="S375" s="867"/>
      <c r="T375" s="856"/>
      <c r="U375" s="670"/>
      <c r="V375" s="581"/>
      <c r="W375" s="790"/>
      <c r="X375" s="578"/>
    </row>
    <row r="376" spans="1:257" s="737" customFormat="1">
      <c r="A376" s="729" t="s">
        <v>298</v>
      </c>
      <c r="B376" s="833" t="s">
        <v>262</v>
      </c>
      <c r="C376" s="729"/>
      <c r="D376" s="729"/>
      <c r="E376" s="731"/>
      <c r="F376" s="731">
        <f t="shared" ref="F376:L376" si="45">F377</f>
        <v>142700000</v>
      </c>
      <c r="G376" s="731">
        <f t="shared" si="45"/>
        <v>0</v>
      </c>
      <c r="H376" s="731">
        <f t="shared" si="45"/>
        <v>0</v>
      </c>
      <c r="I376" s="731">
        <f t="shared" si="45"/>
        <v>0</v>
      </c>
      <c r="J376" s="731">
        <f t="shared" si="45"/>
        <v>221461500</v>
      </c>
      <c r="K376" s="731">
        <f t="shared" si="45"/>
        <v>131950000</v>
      </c>
      <c r="L376" s="1310">
        <f t="shared" si="45"/>
        <v>103000000</v>
      </c>
      <c r="M376" s="660"/>
      <c r="N376" s="951"/>
      <c r="O376" s="951"/>
      <c r="P376" s="997"/>
      <c r="Q376" s="997"/>
      <c r="R376" s="991"/>
      <c r="S376" s="991"/>
      <c r="T376" s="992"/>
      <c r="U376" s="998"/>
      <c r="V376" s="735"/>
      <c r="W376" s="735"/>
      <c r="X376" s="736"/>
    </row>
    <row r="377" spans="1:257" s="748" customFormat="1">
      <c r="A377" s="999"/>
      <c r="B377" s="759" t="s">
        <v>263</v>
      </c>
      <c r="C377" s="758"/>
      <c r="D377" s="758"/>
      <c r="E377" s="760"/>
      <c r="F377" s="761">
        <f>SUM(F359:F372)*10%+F373*10%+F355*10%</f>
        <v>142700000</v>
      </c>
      <c r="G377" s="961"/>
      <c r="H377" s="961"/>
      <c r="I377" s="961"/>
      <c r="J377" s="761">
        <f>(J355+J359+J360+J361+J362+J363+J364+J365+J366+J367+J368+J369+J370+J371+J372)*10%</f>
        <v>221461500</v>
      </c>
      <c r="K377" s="761">
        <f>(K355+K357-K358)*10%</f>
        <v>131950000</v>
      </c>
      <c r="L377" s="1306">
        <f>(L355+L357-L358)*10%</f>
        <v>103000000</v>
      </c>
      <c r="M377" s="761"/>
      <c r="N377" s="1000"/>
      <c r="O377" s="1000"/>
      <c r="P377" s="957"/>
      <c r="Q377" s="957"/>
      <c r="R377" s="1001"/>
      <c r="S377" s="991"/>
      <c r="T377" s="992"/>
      <c r="U377" s="762"/>
      <c r="V377" s="746"/>
      <c r="W377" s="746"/>
      <c r="X377" s="747"/>
    </row>
    <row r="378" spans="1:257" s="682" customFormat="1" ht="47.25">
      <c r="A378" s="622">
        <v>5</v>
      </c>
      <c r="B378" s="623" t="s">
        <v>198</v>
      </c>
      <c r="C378" s="622"/>
      <c r="D378" s="622"/>
      <c r="E378" s="660"/>
      <c r="F378" s="626">
        <f t="shared" ref="F378:J378" si="46">F379+F387</f>
        <v>1990000000</v>
      </c>
      <c r="G378" s="626">
        <f t="shared" si="46"/>
        <v>606000000</v>
      </c>
      <c r="H378" s="626">
        <f t="shared" si="46"/>
        <v>0</v>
      </c>
      <c r="I378" s="626">
        <f t="shared" si="46"/>
        <v>0</v>
      </c>
      <c r="J378" s="626">
        <f t="shared" si="46"/>
        <v>2315130000</v>
      </c>
      <c r="K378" s="626">
        <f>K379+K387</f>
        <v>2245000000</v>
      </c>
      <c r="L378" s="1302">
        <f>L379+L387</f>
        <v>2199000000</v>
      </c>
      <c r="M378" s="626" t="s">
        <v>1702</v>
      </c>
      <c r="N378" s="855"/>
      <c r="O378" s="855"/>
      <c r="P378" s="865"/>
      <c r="Q378" s="865"/>
      <c r="R378" s="891"/>
      <c r="S378" s="871"/>
      <c r="T378" s="824"/>
      <c r="U378" s="577"/>
      <c r="V378" s="581"/>
      <c r="W378" s="581"/>
      <c r="X378" s="578"/>
      <c r="Y378" s="582"/>
      <c r="Z378" s="582"/>
      <c r="AA378" s="582"/>
      <c r="AB378" s="582"/>
      <c r="AC378" s="582"/>
      <c r="AD378" s="582"/>
      <c r="AE378" s="582"/>
      <c r="AF378" s="582"/>
      <c r="AG378" s="582"/>
      <c r="AH378" s="582"/>
      <c r="AI378" s="582"/>
      <c r="AJ378" s="582"/>
      <c r="AK378" s="582"/>
      <c r="AL378" s="582"/>
      <c r="AM378" s="582"/>
      <c r="AN378" s="582"/>
      <c r="AO378" s="582"/>
      <c r="AP378" s="582"/>
      <c r="AQ378" s="582"/>
      <c r="AR378" s="582"/>
      <c r="AS378" s="582"/>
      <c r="AT378" s="582"/>
      <c r="AU378" s="582"/>
      <c r="AV378" s="582"/>
      <c r="AW378" s="582"/>
      <c r="AX378" s="582"/>
      <c r="AY378" s="582"/>
      <c r="AZ378" s="582"/>
      <c r="BA378" s="582"/>
      <c r="BB378" s="582"/>
      <c r="BC378" s="582"/>
      <c r="BD378" s="582"/>
      <c r="BE378" s="582"/>
      <c r="BF378" s="582"/>
      <c r="BG378" s="582"/>
      <c r="BH378" s="582"/>
      <c r="BI378" s="582"/>
      <c r="BJ378" s="582"/>
      <c r="BK378" s="582"/>
      <c r="BL378" s="582"/>
      <c r="BM378" s="582"/>
      <c r="BN378" s="582"/>
      <c r="BO378" s="582"/>
      <c r="BP378" s="582"/>
      <c r="BQ378" s="582"/>
      <c r="BR378" s="582"/>
      <c r="BS378" s="582"/>
      <c r="BT378" s="582"/>
      <c r="BU378" s="582"/>
      <c r="BV378" s="582"/>
      <c r="BW378" s="582"/>
      <c r="BX378" s="582"/>
      <c r="BY378" s="582"/>
      <c r="BZ378" s="582"/>
      <c r="CA378" s="582"/>
      <c r="CB378" s="582"/>
      <c r="CC378" s="582"/>
      <c r="CD378" s="582"/>
      <c r="CE378" s="582"/>
      <c r="CF378" s="582"/>
      <c r="CG378" s="582"/>
      <c r="CH378" s="582"/>
      <c r="CI378" s="582"/>
      <c r="CJ378" s="582"/>
      <c r="CK378" s="582"/>
      <c r="CL378" s="582"/>
      <c r="CM378" s="582"/>
      <c r="CN378" s="582"/>
      <c r="CO378" s="582"/>
      <c r="CP378" s="582"/>
      <c r="CQ378" s="582"/>
      <c r="CR378" s="582"/>
      <c r="CS378" s="582"/>
      <c r="CT378" s="582"/>
      <c r="CU378" s="582"/>
      <c r="CV378" s="582"/>
      <c r="CW378" s="582"/>
      <c r="CX378" s="582"/>
      <c r="CY378" s="582"/>
      <c r="CZ378" s="582"/>
      <c r="DA378" s="582"/>
      <c r="DB378" s="582"/>
      <c r="DC378" s="582"/>
      <c r="DD378" s="582"/>
      <c r="DE378" s="582"/>
      <c r="DF378" s="582"/>
      <c r="DG378" s="582"/>
      <c r="DH378" s="582"/>
      <c r="DI378" s="582"/>
      <c r="DJ378" s="582"/>
      <c r="DK378" s="582"/>
      <c r="DL378" s="582"/>
      <c r="DM378" s="582"/>
      <c r="DN378" s="582"/>
      <c r="DO378" s="582"/>
      <c r="DP378" s="582"/>
      <c r="DQ378" s="582"/>
      <c r="DR378" s="582"/>
      <c r="DS378" s="582"/>
      <c r="DT378" s="582"/>
      <c r="DU378" s="582"/>
      <c r="DV378" s="582"/>
      <c r="DW378" s="582"/>
      <c r="DX378" s="582"/>
      <c r="DY378" s="582"/>
      <c r="DZ378" s="582"/>
      <c r="EA378" s="582"/>
      <c r="EB378" s="582"/>
      <c r="EC378" s="582"/>
      <c r="ED378" s="582"/>
      <c r="EE378" s="582"/>
      <c r="EF378" s="582"/>
      <c r="EG378" s="582"/>
      <c r="EH378" s="582"/>
      <c r="EI378" s="582"/>
      <c r="EJ378" s="582"/>
      <c r="EK378" s="582"/>
      <c r="EL378" s="582"/>
      <c r="EM378" s="582"/>
      <c r="EN378" s="582"/>
      <c r="EO378" s="582"/>
      <c r="EP378" s="582"/>
      <c r="EQ378" s="582"/>
      <c r="ER378" s="582"/>
      <c r="ES378" s="582"/>
      <c r="ET378" s="582"/>
      <c r="EU378" s="582"/>
      <c r="EV378" s="582"/>
      <c r="EW378" s="582"/>
      <c r="EX378" s="582"/>
      <c r="EY378" s="582"/>
      <c r="EZ378" s="582"/>
      <c r="FA378" s="582"/>
      <c r="FB378" s="582"/>
      <c r="FC378" s="582"/>
      <c r="FD378" s="582"/>
      <c r="FE378" s="582"/>
      <c r="FF378" s="582"/>
      <c r="FG378" s="582"/>
      <c r="FH378" s="582"/>
      <c r="FI378" s="582"/>
      <c r="FJ378" s="582"/>
      <c r="FK378" s="582"/>
      <c r="FL378" s="582"/>
      <c r="FM378" s="582"/>
      <c r="FN378" s="582"/>
      <c r="FO378" s="582"/>
      <c r="FP378" s="582"/>
      <c r="FQ378" s="582"/>
      <c r="FR378" s="582"/>
      <c r="FS378" s="582"/>
      <c r="FT378" s="582"/>
      <c r="FU378" s="582"/>
      <c r="FV378" s="582"/>
      <c r="FW378" s="582"/>
      <c r="FX378" s="582"/>
      <c r="FY378" s="582"/>
      <c r="FZ378" s="582"/>
      <c r="GA378" s="582"/>
      <c r="GB378" s="582"/>
      <c r="GC378" s="582"/>
      <c r="GD378" s="582"/>
      <c r="GE378" s="582"/>
      <c r="GF378" s="582"/>
      <c r="GG378" s="582"/>
      <c r="GH378" s="582"/>
      <c r="GI378" s="582"/>
      <c r="GJ378" s="582"/>
      <c r="GK378" s="582"/>
      <c r="GL378" s="582"/>
      <c r="GM378" s="582"/>
      <c r="GN378" s="582"/>
      <c r="GO378" s="582"/>
      <c r="GP378" s="582"/>
      <c r="GQ378" s="582"/>
      <c r="GR378" s="582"/>
      <c r="GS378" s="582"/>
      <c r="GT378" s="582"/>
      <c r="GU378" s="582"/>
      <c r="GV378" s="582"/>
      <c r="GW378" s="582"/>
      <c r="GX378" s="582"/>
      <c r="GY378" s="582"/>
      <c r="GZ378" s="582"/>
      <c r="HA378" s="582"/>
      <c r="HB378" s="582"/>
      <c r="HC378" s="582"/>
      <c r="HD378" s="582"/>
      <c r="HE378" s="582"/>
      <c r="HF378" s="582"/>
      <c r="HG378" s="582"/>
      <c r="HH378" s="582"/>
      <c r="HI378" s="582"/>
      <c r="HJ378" s="582"/>
      <c r="HK378" s="582"/>
      <c r="HL378" s="582"/>
      <c r="HM378" s="582"/>
      <c r="HN378" s="582"/>
      <c r="HO378" s="582"/>
      <c r="HP378" s="582"/>
      <c r="HQ378" s="582"/>
      <c r="HR378" s="582"/>
      <c r="HS378" s="582"/>
      <c r="HT378" s="582"/>
      <c r="HU378" s="582"/>
      <c r="HV378" s="582"/>
      <c r="HW378" s="582"/>
      <c r="HX378" s="582"/>
      <c r="HY378" s="582"/>
      <c r="HZ378" s="582"/>
      <c r="IA378" s="582"/>
      <c r="IB378" s="582"/>
      <c r="IC378" s="582"/>
      <c r="ID378" s="582"/>
      <c r="IE378" s="582"/>
      <c r="IF378" s="582"/>
      <c r="IG378" s="582"/>
      <c r="IH378" s="582"/>
      <c r="II378" s="582"/>
      <c r="IJ378" s="582"/>
      <c r="IK378" s="582"/>
      <c r="IL378" s="582"/>
      <c r="IM378" s="582"/>
      <c r="IN378" s="582"/>
      <c r="IO378" s="582"/>
      <c r="IP378" s="582"/>
      <c r="IQ378" s="582"/>
      <c r="IR378" s="582"/>
      <c r="IS378" s="582"/>
      <c r="IT378" s="582"/>
      <c r="IU378" s="582"/>
      <c r="IV378" s="582"/>
      <c r="IW378" s="582"/>
    </row>
    <row r="379" spans="1:257" s="621" customFormat="1" ht="17.25" customHeight="1">
      <c r="A379" s="589" t="s">
        <v>222</v>
      </c>
      <c r="B379" s="1002" t="s">
        <v>252</v>
      </c>
      <c r="C379" s="589"/>
      <c r="D379" s="589"/>
      <c r="E379" s="704"/>
      <c r="F379" s="805">
        <f t="shared" ref="F379:J379" si="47">F380</f>
        <v>293000000</v>
      </c>
      <c r="G379" s="805">
        <f t="shared" si="47"/>
        <v>0</v>
      </c>
      <c r="H379" s="805">
        <f t="shared" si="47"/>
        <v>0</v>
      </c>
      <c r="I379" s="805">
        <f t="shared" si="47"/>
        <v>0</v>
      </c>
      <c r="J379" s="805">
        <f t="shared" si="47"/>
        <v>512832000</v>
      </c>
      <c r="K379" s="805">
        <f>K382+K384+K385</f>
        <v>488000000</v>
      </c>
      <c r="L379" s="1312">
        <f>L382+L384+L385</f>
        <v>617000000</v>
      </c>
      <c r="M379" s="603"/>
      <c r="N379" s="835"/>
      <c r="O379" s="835"/>
      <c r="P379" s="829"/>
      <c r="Q379" s="829"/>
      <c r="R379" s="821"/>
      <c r="S379" s="900"/>
      <c r="T379" s="822"/>
      <c r="U379" s="721"/>
      <c r="V379" s="701"/>
      <c r="W379" s="722"/>
      <c r="X379" s="723"/>
      <c r="Y379" s="724"/>
      <c r="Z379" s="724"/>
      <c r="AA379" s="724"/>
      <c r="AB379" s="724"/>
      <c r="AC379" s="724"/>
      <c r="AD379" s="724"/>
      <c r="AE379" s="724"/>
      <c r="AF379" s="724"/>
      <c r="AG379" s="724"/>
      <c r="AH379" s="724"/>
      <c r="AI379" s="724"/>
      <c r="AJ379" s="724"/>
      <c r="AK379" s="724"/>
      <c r="AL379" s="724"/>
      <c r="AM379" s="724"/>
      <c r="AN379" s="724"/>
      <c r="AO379" s="724"/>
      <c r="AP379" s="724"/>
      <c r="AQ379" s="724"/>
      <c r="AR379" s="724"/>
      <c r="AS379" s="724"/>
      <c r="AT379" s="724"/>
      <c r="AU379" s="724"/>
      <c r="AV379" s="724"/>
      <c r="AW379" s="724"/>
      <c r="AX379" s="724"/>
      <c r="AY379" s="724"/>
      <c r="AZ379" s="724"/>
      <c r="BA379" s="724"/>
      <c r="BB379" s="724"/>
      <c r="BC379" s="724"/>
      <c r="BD379" s="724"/>
      <c r="BE379" s="724"/>
      <c r="BF379" s="724"/>
      <c r="BG379" s="724"/>
      <c r="BH379" s="724"/>
      <c r="BI379" s="724"/>
      <c r="BJ379" s="724"/>
      <c r="BK379" s="724"/>
      <c r="BL379" s="724"/>
      <c r="BM379" s="724"/>
      <c r="BN379" s="724"/>
      <c r="BO379" s="724"/>
      <c r="BP379" s="724"/>
      <c r="BQ379" s="724"/>
      <c r="BR379" s="724"/>
      <c r="BS379" s="724"/>
      <c r="BT379" s="724"/>
      <c r="BU379" s="724"/>
      <c r="BV379" s="724"/>
      <c r="BW379" s="724"/>
      <c r="BX379" s="724"/>
      <c r="BY379" s="724"/>
      <c r="BZ379" s="724"/>
      <c r="CA379" s="724"/>
      <c r="CB379" s="724"/>
      <c r="CC379" s="724"/>
      <c r="CD379" s="724"/>
      <c r="CE379" s="724"/>
      <c r="CF379" s="724"/>
      <c r="CG379" s="724"/>
      <c r="CH379" s="724"/>
      <c r="CI379" s="724"/>
      <c r="CJ379" s="724"/>
      <c r="CK379" s="724"/>
      <c r="CL379" s="724"/>
      <c r="CM379" s="724"/>
      <c r="CN379" s="724"/>
      <c r="CO379" s="724"/>
      <c r="CP379" s="724"/>
      <c r="CQ379" s="724"/>
      <c r="CR379" s="724"/>
      <c r="CS379" s="724"/>
      <c r="CT379" s="724"/>
      <c r="CU379" s="724"/>
      <c r="CV379" s="724"/>
      <c r="CW379" s="724"/>
      <c r="CX379" s="724"/>
      <c r="CY379" s="724"/>
      <c r="CZ379" s="724"/>
      <c r="DA379" s="724"/>
      <c r="DB379" s="724"/>
      <c r="DC379" s="724"/>
      <c r="DD379" s="724"/>
      <c r="DE379" s="724"/>
      <c r="DF379" s="724"/>
      <c r="DG379" s="724"/>
      <c r="DH379" s="724"/>
      <c r="DI379" s="724"/>
      <c r="DJ379" s="724"/>
      <c r="DK379" s="724"/>
      <c r="DL379" s="724"/>
      <c r="DM379" s="724"/>
      <c r="DN379" s="724"/>
      <c r="DO379" s="724"/>
      <c r="DP379" s="724"/>
      <c r="DQ379" s="724"/>
      <c r="DR379" s="724"/>
      <c r="DS379" s="724"/>
      <c r="DT379" s="724"/>
      <c r="DU379" s="724"/>
      <c r="DV379" s="724"/>
      <c r="DW379" s="724"/>
      <c r="DX379" s="724"/>
      <c r="DY379" s="724"/>
      <c r="DZ379" s="724"/>
      <c r="EA379" s="724"/>
      <c r="EB379" s="724"/>
      <c r="EC379" s="724"/>
      <c r="ED379" s="724"/>
      <c r="EE379" s="724"/>
      <c r="EF379" s="724"/>
      <c r="EG379" s="724"/>
      <c r="EH379" s="724"/>
      <c r="EI379" s="724"/>
      <c r="EJ379" s="724"/>
      <c r="EK379" s="724"/>
      <c r="EL379" s="724"/>
      <c r="EM379" s="724"/>
      <c r="EN379" s="724"/>
      <c r="EO379" s="724"/>
      <c r="EP379" s="724"/>
      <c r="EQ379" s="724"/>
      <c r="ER379" s="724"/>
      <c r="ES379" s="724"/>
      <c r="ET379" s="724"/>
      <c r="EU379" s="724"/>
      <c r="EV379" s="724"/>
      <c r="EW379" s="724"/>
      <c r="EX379" s="724"/>
      <c r="EY379" s="724"/>
      <c r="EZ379" s="724"/>
      <c r="FA379" s="724"/>
      <c r="FB379" s="724"/>
      <c r="FC379" s="724"/>
      <c r="FD379" s="724"/>
      <c r="FE379" s="724"/>
      <c r="FF379" s="724"/>
      <c r="FG379" s="724"/>
      <c r="FH379" s="724"/>
      <c r="FI379" s="724"/>
      <c r="FJ379" s="724"/>
      <c r="FK379" s="724"/>
      <c r="FL379" s="724"/>
      <c r="FM379" s="724"/>
      <c r="FN379" s="724"/>
      <c r="FO379" s="724"/>
      <c r="FP379" s="724"/>
      <c r="FQ379" s="724"/>
      <c r="FR379" s="724"/>
      <c r="FS379" s="724"/>
      <c r="FT379" s="724"/>
      <c r="FU379" s="724"/>
      <c r="FV379" s="724"/>
      <c r="FW379" s="724"/>
      <c r="FX379" s="724"/>
      <c r="FY379" s="724"/>
      <c r="FZ379" s="724"/>
      <c r="GA379" s="724"/>
      <c r="GB379" s="724"/>
      <c r="GC379" s="724"/>
      <c r="GD379" s="724"/>
      <c r="GE379" s="724"/>
      <c r="GF379" s="724"/>
      <c r="GG379" s="724"/>
      <c r="GH379" s="724"/>
      <c r="GI379" s="724"/>
      <c r="GJ379" s="724"/>
      <c r="GK379" s="724"/>
      <c r="GL379" s="724"/>
      <c r="GM379" s="724"/>
      <c r="GN379" s="724"/>
      <c r="GO379" s="724"/>
      <c r="GP379" s="724"/>
      <c r="GQ379" s="724"/>
      <c r="GR379" s="724"/>
      <c r="GS379" s="724"/>
      <c r="GT379" s="724"/>
      <c r="GU379" s="724"/>
      <c r="GV379" s="724"/>
      <c r="GW379" s="724"/>
      <c r="GX379" s="724"/>
      <c r="GY379" s="724"/>
      <c r="GZ379" s="724"/>
      <c r="HA379" s="724"/>
      <c r="HB379" s="724"/>
      <c r="HC379" s="724"/>
      <c r="HD379" s="724"/>
      <c r="HE379" s="724"/>
      <c r="HF379" s="724"/>
      <c r="HG379" s="724"/>
      <c r="HH379" s="724"/>
      <c r="HI379" s="724"/>
      <c r="HJ379" s="724"/>
      <c r="HK379" s="724"/>
      <c r="HL379" s="724"/>
      <c r="HM379" s="724"/>
      <c r="HN379" s="724"/>
      <c r="HO379" s="724"/>
      <c r="HP379" s="724"/>
      <c r="HQ379" s="724"/>
      <c r="HR379" s="724"/>
      <c r="HS379" s="724"/>
      <c r="HT379" s="724"/>
      <c r="HU379" s="724"/>
      <c r="HV379" s="724"/>
      <c r="HW379" s="724"/>
      <c r="HX379" s="724"/>
      <c r="HY379" s="724"/>
      <c r="HZ379" s="724"/>
      <c r="IA379" s="724"/>
      <c r="IB379" s="724"/>
      <c r="IC379" s="724"/>
      <c r="ID379" s="724"/>
      <c r="IE379" s="724"/>
      <c r="IF379" s="724"/>
      <c r="IG379" s="724"/>
      <c r="IH379" s="724"/>
      <c r="II379" s="724"/>
      <c r="IJ379" s="724"/>
      <c r="IK379" s="724"/>
      <c r="IL379" s="724"/>
      <c r="IM379" s="724"/>
      <c r="IN379" s="724"/>
      <c r="IO379" s="724"/>
      <c r="IP379" s="724"/>
      <c r="IQ379" s="724"/>
      <c r="IR379" s="724"/>
      <c r="IS379" s="724"/>
      <c r="IT379" s="724"/>
      <c r="IU379" s="724"/>
      <c r="IV379" s="724"/>
      <c r="IW379" s="724"/>
    </row>
    <row r="380" spans="1:257" s="621" customFormat="1" ht="15.75" customHeight="1">
      <c r="A380" s="809" t="s">
        <v>91</v>
      </c>
      <c r="B380" s="808" t="s">
        <v>264</v>
      </c>
      <c r="C380" s="713"/>
      <c r="D380" s="713"/>
      <c r="E380" s="725"/>
      <c r="F380" s="810">
        <f t="shared" ref="F380:J380" si="48">F381+F385+F386</f>
        <v>293000000</v>
      </c>
      <c r="G380" s="810">
        <f t="shared" si="48"/>
        <v>0</v>
      </c>
      <c r="H380" s="810">
        <f t="shared" si="48"/>
        <v>0</v>
      </c>
      <c r="I380" s="810">
        <f t="shared" si="48"/>
        <v>0</v>
      </c>
      <c r="J380" s="810">
        <f t="shared" si="48"/>
        <v>512832000</v>
      </c>
      <c r="K380" s="810"/>
      <c r="L380" s="1313"/>
      <c r="M380" s="707"/>
      <c r="N380" s="934"/>
      <c r="O380" s="934"/>
      <c r="P380" s="868"/>
      <c r="Q380" s="868"/>
      <c r="R380" s="866"/>
      <c r="S380" s="866"/>
      <c r="T380" s="839"/>
      <c r="U380" s="580"/>
      <c r="V380" s="581"/>
      <c r="W380" s="722"/>
      <c r="X380" s="723"/>
      <c r="Y380" s="724"/>
      <c r="Z380" s="724"/>
      <c r="AA380" s="724"/>
      <c r="AB380" s="724"/>
      <c r="AC380" s="724"/>
      <c r="AD380" s="724"/>
      <c r="AE380" s="724"/>
      <c r="AF380" s="724"/>
      <c r="AG380" s="724"/>
      <c r="AH380" s="724"/>
      <c r="AI380" s="724"/>
      <c r="AJ380" s="724"/>
      <c r="AK380" s="724"/>
      <c r="AL380" s="724"/>
      <c r="AM380" s="724"/>
      <c r="AN380" s="724"/>
      <c r="AO380" s="724"/>
      <c r="AP380" s="724"/>
      <c r="AQ380" s="724"/>
      <c r="AR380" s="724"/>
      <c r="AS380" s="724"/>
      <c r="AT380" s="724"/>
      <c r="AU380" s="724"/>
      <c r="AV380" s="724"/>
      <c r="AW380" s="724"/>
      <c r="AX380" s="724"/>
      <c r="AY380" s="724"/>
      <c r="AZ380" s="724"/>
      <c r="BA380" s="724"/>
      <c r="BB380" s="724"/>
      <c r="BC380" s="724"/>
      <c r="BD380" s="724"/>
      <c r="BE380" s="724"/>
      <c r="BF380" s="724"/>
      <c r="BG380" s="724"/>
      <c r="BH380" s="724"/>
      <c r="BI380" s="724"/>
      <c r="BJ380" s="724"/>
      <c r="BK380" s="724"/>
      <c r="BL380" s="724"/>
      <c r="BM380" s="724"/>
      <c r="BN380" s="724"/>
      <c r="BO380" s="724"/>
      <c r="BP380" s="724"/>
      <c r="BQ380" s="724"/>
      <c r="BR380" s="724"/>
      <c r="BS380" s="724"/>
      <c r="BT380" s="724"/>
      <c r="BU380" s="724"/>
      <c r="BV380" s="724"/>
      <c r="BW380" s="724"/>
      <c r="BX380" s="724"/>
      <c r="BY380" s="724"/>
      <c r="BZ380" s="724"/>
      <c r="CA380" s="724"/>
      <c r="CB380" s="724"/>
      <c r="CC380" s="724"/>
      <c r="CD380" s="724"/>
      <c r="CE380" s="724"/>
      <c r="CF380" s="724"/>
      <c r="CG380" s="724"/>
      <c r="CH380" s="724"/>
      <c r="CI380" s="724"/>
      <c r="CJ380" s="724"/>
      <c r="CK380" s="724"/>
      <c r="CL380" s="724"/>
      <c r="CM380" s="724"/>
      <c r="CN380" s="724"/>
      <c r="CO380" s="724"/>
      <c r="CP380" s="724"/>
      <c r="CQ380" s="724"/>
      <c r="CR380" s="724"/>
      <c r="CS380" s="724"/>
      <c r="CT380" s="724"/>
      <c r="CU380" s="724"/>
      <c r="CV380" s="724"/>
      <c r="CW380" s="724"/>
      <c r="CX380" s="724"/>
      <c r="CY380" s="724"/>
      <c r="CZ380" s="724"/>
      <c r="DA380" s="724"/>
      <c r="DB380" s="724"/>
      <c r="DC380" s="724"/>
      <c r="DD380" s="724"/>
      <c r="DE380" s="724"/>
      <c r="DF380" s="724"/>
      <c r="DG380" s="724"/>
      <c r="DH380" s="724"/>
      <c r="DI380" s="724"/>
      <c r="DJ380" s="724"/>
      <c r="DK380" s="724"/>
      <c r="DL380" s="724"/>
      <c r="DM380" s="724"/>
      <c r="DN380" s="724"/>
      <c r="DO380" s="724"/>
      <c r="DP380" s="724"/>
      <c r="DQ380" s="724"/>
      <c r="DR380" s="724"/>
      <c r="DS380" s="724"/>
      <c r="DT380" s="724"/>
      <c r="DU380" s="724"/>
      <c r="DV380" s="724"/>
      <c r="DW380" s="724"/>
      <c r="DX380" s="724"/>
      <c r="DY380" s="724"/>
      <c r="DZ380" s="724"/>
      <c r="EA380" s="724"/>
      <c r="EB380" s="724"/>
      <c r="EC380" s="724"/>
      <c r="ED380" s="724"/>
      <c r="EE380" s="724"/>
      <c r="EF380" s="724"/>
      <c r="EG380" s="724"/>
      <c r="EH380" s="724"/>
      <c r="EI380" s="724"/>
      <c r="EJ380" s="724"/>
      <c r="EK380" s="724"/>
      <c r="EL380" s="724"/>
      <c r="EM380" s="724"/>
      <c r="EN380" s="724"/>
      <c r="EO380" s="724"/>
      <c r="EP380" s="724"/>
      <c r="EQ380" s="724"/>
      <c r="ER380" s="724"/>
      <c r="ES380" s="724"/>
      <c r="ET380" s="724"/>
      <c r="EU380" s="724"/>
      <c r="EV380" s="724"/>
      <c r="EW380" s="724"/>
      <c r="EX380" s="724"/>
      <c r="EY380" s="724"/>
      <c r="EZ380" s="724"/>
      <c r="FA380" s="724"/>
      <c r="FB380" s="724"/>
      <c r="FC380" s="724"/>
      <c r="FD380" s="724"/>
      <c r="FE380" s="724"/>
      <c r="FF380" s="724"/>
      <c r="FG380" s="724"/>
      <c r="FH380" s="724"/>
      <c r="FI380" s="724"/>
      <c r="FJ380" s="724"/>
      <c r="FK380" s="724"/>
      <c r="FL380" s="724"/>
      <c r="FM380" s="724"/>
      <c r="FN380" s="724"/>
      <c r="FO380" s="724"/>
      <c r="FP380" s="724"/>
      <c r="FQ380" s="724"/>
      <c r="FR380" s="724"/>
      <c r="FS380" s="724"/>
      <c r="FT380" s="724"/>
      <c r="FU380" s="724"/>
      <c r="FV380" s="724"/>
      <c r="FW380" s="724"/>
      <c r="FX380" s="724"/>
      <c r="FY380" s="724"/>
      <c r="FZ380" s="724"/>
      <c r="GA380" s="724"/>
      <c r="GB380" s="724"/>
      <c r="GC380" s="724"/>
      <c r="GD380" s="724"/>
      <c r="GE380" s="724"/>
      <c r="GF380" s="724"/>
      <c r="GG380" s="724"/>
      <c r="GH380" s="724"/>
      <c r="GI380" s="724"/>
      <c r="GJ380" s="724"/>
      <c r="GK380" s="724"/>
      <c r="GL380" s="724"/>
      <c r="GM380" s="724"/>
      <c r="GN380" s="724"/>
      <c r="GO380" s="724"/>
      <c r="GP380" s="724"/>
      <c r="GQ380" s="724"/>
      <c r="GR380" s="724"/>
      <c r="GS380" s="724"/>
      <c r="GT380" s="724"/>
      <c r="GU380" s="724"/>
      <c r="GV380" s="724"/>
      <c r="GW380" s="724"/>
      <c r="GX380" s="724"/>
      <c r="GY380" s="724"/>
      <c r="GZ380" s="724"/>
      <c r="HA380" s="724"/>
      <c r="HB380" s="724"/>
      <c r="HC380" s="724"/>
      <c r="HD380" s="724"/>
      <c r="HE380" s="724"/>
      <c r="HF380" s="724"/>
      <c r="HG380" s="724"/>
      <c r="HH380" s="724"/>
      <c r="HI380" s="724"/>
      <c r="HJ380" s="724"/>
      <c r="HK380" s="724"/>
      <c r="HL380" s="724"/>
      <c r="HM380" s="724"/>
      <c r="HN380" s="724"/>
      <c r="HO380" s="724"/>
      <c r="HP380" s="724"/>
      <c r="HQ380" s="724"/>
      <c r="HR380" s="724"/>
      <c r="HS380" s="724"/>
      <c r="HT380" s="724"/>
      <c r="HU380" s="724"/>
      <c r="HV380" s="724"/>
      <c r="HW380" s="724"/>
      <c r="HX380" s="724"/>
      <c r="HY380" s="724"/>
      <c r="HZ380" s="724"/>
      <c r="IA380" s="724"/>
      <c r="IB380" s="724"/>
      <c r="IC380" s="724"/>
      <c r="ID380" s="724"/>
      <c r="IE380" s="724"/>
      <c r="IF380" s="724"/>
      <c r="IG380" s="724"/>
      <c r="IH380" s="724"/>
      <c r="II380" s="724"/>
      <c r="IJ380" s="724"/>
      <c r="IK380" s="724"/>
      <c r="IL380" s="724"/>
      <c r="IM380" s="724"/>
      <c r="IN380" s="724"/>
      <c r="IO380" s="724"/>
      <c r="IP380" s="724"/>
      <c r="IQ380" s="724"/>
      <c r="IR380" s="724"/>
      <c r="IS380" s="724"/>
      <c r="IT380" s="724"/>
      <c r="IU380" s="724"/>
      <c r="IV380" s="724"/>
      <c r="IW380" s="724"/>
    </row>
    <row r="381" spans="1:257" s="621" customFormat="1">
      <c r="A381" s="812" t="s">
        <v>91</v>
      </c>
      <c r="B381" s="813" t="s">
        <v>255</v>
      </c>
      <c r="C381" s="699"/>
      <c r="D381" s="713"/>
      <c r="E381" s="725"/>
      <c r="F381" s="725">
        <v>213000000</v>
      </c>
      <c r="G381" s="704"/>
      <c r="H381" s="704"/>
      <c r="I381" s="704"/>
      <c r="J381" s="725">
        <v>432832000</v>
      </c>
      <c r="K381" s="725">
        <f>K382+K383</f>
        <v>493000000</v>
      </c>
      <c r="L381" s="1311">
        <f>L382+L383</f>
        <v>696000000</v>
      </c>
      <c r="M381" s="669"/>
      <c r="N381" s="868"/>
      <c r="O381" s="868"/>
      <c r="P381" s="829"/>
      <c r="Q381" s="829"/>
      <c r="R381" s="1003" t="s">
        <v>1001</v>
      </c>
      <c r="S381" s="866"/>
      <c r="T381" s="839"/>
      <c r="U381" s="726"/>
      <c r="V381" s="722"/>
      <c r="W381" s="722"/>
      <c r="X381" s="723"/>
      <c r="Y381" s="724"/>
      <c r="Z381" s="724"/>
      <c r="AA381" s="724"/>
      <c r="AB381" s="724"/>
      <c r="AC381" s="724"/>
      <c r="AD381" s="724"/>
      <c r="AE381" s="724"/>
      <c r="AF381" s="724"/>
      <c r="AG381" s="724"/>
      <c r="AH381" s="724"/>
      <c r="AI381" s="724"/>
      <c r="AJ381" s="724"/>
      <c r="AK381" s="724"/>
      <c r="AL381" s="724"/>
      <c r="AM381" s="724"/>
      <c r="AN381" s="724"/>
      <c r="AO381" s="724"/>
      <c r="AP381" s="724"/>
      <c r="AQ381" s="724"/>
      <c r="AR381" s="724"/>
      <c r="AS381" s="724"/>
      <c r="AT381" s="724"/>
      <c r="AU381" s="724"/>
      <c r="AV381" s="724"/>
      <c r="AW381" s="724"/>
      <c r="AX381" s="724"/>
      <c r="AY381" s="724"/>
      <c r="AZ381" s="724"/>
      <c r="BA381" s="724"/>
      <c r="BB381" s="724"/>
      <c r="BC381" s="724"/>
      <c r="BD381" s="724"/>
      <c r="BE381" s="724"/>
      <c r="BF381" s="724"/>
      <c r="BG381" s="724"/>
      <c r="BH381" s="724"/>
      <c r="BI381" s="724"/>
      <c r="BJ381" s="724"/>
      <c r="BK381" s="724"/>
      <c r="BL381" s="724"/>
      <c r="BM381" s="724"/>
      <c r="BN381" s="724"/>
      <c r="BO381" s="724"/>
      <c r="BP381" s="724"/>
      <c r="BQ381" s="724"/>
      <c r="BR381" s="724"/>
      <c r="BS381" s="724"/>
      <c r="BT381" s="724"/>
      <c r="BU381" s="724"/>
      <c r="BV381" s="724"/>
      <c r="BW381" s="724"/>
      <c r="BX381" s="724"/>
      <c r="BY381" s="724"/>
      <c r="BZ381" s="724"/>
      <c r="CA381" s="724"/>
      <c r="CB381" s="724"/>
      <c r="CC381" s="724"/>
      <c r="CD381" s="724"/>
      <c r="CE381" s="724"/>
      <c r="CF381" s="724"/>
      <c r="CG381" s="724"/>
      <c r="CH381" s="724"/>
      <c r="CI381" s="724"/>
      <c r="CJ381" s="724"/>
      <c r="CK381" s="724"/>
      <c r="CL381" s="724"/>
      <c r="CM381" s="724"/>
      <c r="CN381" s="724"/>
      <c r="CO381" s="724"/>
      <c r="CP381" s="724"/>
      <c r="CQ381" s="724"/>
      <c r="CR381" s="724"/>
      <c r="CS381" s="724"/>
      <c r="CT381" s="724"/>
      <c r="CU381" s="724"/>
      <c r="CV381" s="724"/>
      <c r="CW381" s="724"/>
      <c r="CX381" s="724"/>
      <c r="CY381" s="724"/>
      <c r="CZ381" s="724"/>
      <c r="DA381" s="724"/>
      <c r="DB381" s="724"/>
      <c r="DC381" s="724"/>
      <c r="DD381" s="724"/>
      <c r="DE381" s="724"/>
      <c r="DF381" s="724"/>
      <c r="DG381" s="724"/>
      <c r="DH381" s="724"/>
      <c r="DI381" s="724"/>
      <c r="DJ381" s="724"/>
      <c r="DK381" s="724"/>
      <c r="DL381" s="724"/>
      <c r="DM381" s="724"/>
      <c r="DN381" s="724"/>
      <c r="DO381" s="724"/>
      <c r="DP381" s="724"/>
      <c r="DQ381" s="724"/>
      <c r="DR381" s="724"/>
      <c r="DS381" s="724"/>
      <c r="DT381" s="724"/>
      <c r="DU381" s="724"/>
      <c r="DV381" s="724"/>
      <c r="DW381" s="724"/>
      <c r="DX381" s="724"/>
      <c r="DY381" s="724"/>
      <c r="DZ381" s="724"/>
      <c r="EA381" s="724"/>
      <c r="EB381" s="724"/>
      <c r="EC381" s="724"/>
      <c r="ED381" s="724"/>
      <c r="EE381" s="724"/>
      <c r="EF381" s="724"/>
      <c r="EG381" s="724"/>
      <c r="EH381" s="724"/>
      <c r="EI381" s="724"/>
      <c r="EJ381" s="724"/>
      <c r="EK381" s="724"/>
      <c r="EL381" s="724"/>
      <c r="EM381" s="724"/>
      <c r="EN381" s="724"/>
      <c r="EO381" s="724"/>
      <c r="EP381" s="724"/>
      <c r="EQ381" s="724"/>
      <c r="ER381" s="724"/>
      <c r="ES381" s="724"/>
      <c r="ET381" s="724"/>
      <c r="EU381" s="724"/>
      <c r="EV381" s="724"/>
      <c r="EW381" s="724"/>
      <c r="EX381" s="724"/>
      <c r="EY381" s="724"/>
      <c r="EZ381" s="724"/>
      <c r="FA381" s="724"/>
      <c r="FB381" s="724"/>
      <c r="FC381" s="724"/>
      <c r="FD381" s="724"/>
      <c r="FE381" s="724"/>
      <c r="FF381" s="724"/>
      <c r="FG381" s="724"/>
      <c r="FH381" s="724"/>
      <c r="FI381" s="724"/>
      <c r="FJ381" s="724"/>
      <c r="FK381" s="724"/>
      <c r="FL381" s="724"/>
      <c r="FM381" s="724"/>
      <c r="FN381" s="724"/>
      <c r="FO381" s="724"/>
      <c r="FP381" s="724"/>
      <c r="FQ381" s="724"/>
      <c r="FR381" s="724"/>
      <c r="FS381" s="724"/>
      <c r="FT381" s="724"/>
      <c r="FU381" s="724"/>
      <c r="FV381" s="724"/>
      <c r="FW381" s="724"/>
      <c r="FX381" s="724"/>
      <c r="FY381" s="724"/>
      <c r="FZ381" s="724"/>
      <c r="GA381" s="724"/>
      <c r="GB381" s="724"/>
      <c r="GC381" s="724"/>
      <c r="GD381" s="724"/>
      <c r="GE381" s="724"/>
      <c r="GF381" s="724"/>
      <c r="GG381" s="724"/>
      <c r="GH381" s="724"/>
      <c r="GI381" s="724"/>
      <c r="GJ381" s="724"/>
      <c r="GK381" s="724"/>
      <c r="GL381" s="724"/>
      <c r="GM381" s="724"/>
      <c r="GN381" s="724"/>
      <c r="GO381" s="724"/>
      <c r="GP381" s="724"/>
      <c r="GQ381" s="724"/>
      <c r="GR381" s="724"/>
      <c r="GS381" s="724"/>
      <c r="GT381" s="724"/>
      <c r="GU381" s="724"/>
      <c r="GV381" s="724"/>
      <c r="GW381" s="724"/>
      <c r="GX381" s="724"/>
      <c r="GY381" s="724"/>
      <c r="GZ381" s="724"/>
      <c r="HA381" s="724"/>
      <c r="HB381" s="724"/>
      <c r="HC381" s="724"/>
      <c r="HD381" s="724"/>
      <c r="HE381" s="724"/>
      <c r="HF381" s="724"/>
      <c r="HG381" s="724"/>
      <c r="HH381" s="724"/>
      <c r="HI381" s="724"/>
      <c r="HJ381" s="724"/>
      <c r="HK381" s="724"/>
      <c r="HL381" s="724"/>
      <c r="HM381" s="724"/>
      <c r="HN381" s="724"/>
      <c r="HO381" s="724"/>
      <c r="HP381" s="724"/>
      <c r="HQ381" s="724"/>
      <c r="HR381" s="724"/>
      <c r="HS381" s="724"/>
      <c r="HT381" s="724"/>
      <c r="HU381" s="724"/>
      <c r="HV381" s="724"/>
      <c r="HW381" s="724"/>
      <c r="HX381" s="724"/>
      <c r="HY381" s="724"/>
      <c r="HZ381" s="724"/>
      <c r="IA381" s="724"/>
      <c r="IB381" s="724"/>
      <c r="IC381" s="724"/>
      <c r="ID381" s="724"/>
      <c r="IE381" s="724"/>
      <c r="IF381" s="724"/>
      <c r="IG381" s="724"/>
      <c r="IH381" s="724"/>
      <c r="II381" s="724"/>
      <c r="IJ381" s="724"/>
      <c r="IK381" s="724"/>
      <c r="IL381" s="724"/>
      <c r="IM381" s="724"/>
      <c r="IN381" s="724"/>
      <c r="IO381" s="724"/>
      <c r="IP381" s="724"/>
      <c r="IQ381" s="724"/>
      <c r="IR381" s="724"/>
      <c r="IS381" s="724"/>
      <c r="IT381" s="724"/>
      <c r="IU381" s="724"/>
      <c r="IV381" s="724"/>
      <c r="IW381" s="724"/>
    </row>
    <row r="382" spans="1:257" s="621" customFormat="1">
      <c r="A382" s="812"/>
      <c r="B382" s="684" t="s">
        <v>918</v>
      </c>
      <c r="C382" s="699"/>
      <c r="D382" s="713"/>
      <c r="E382" s="725"/>
      <c r="F382" s="725"/>
      <c r="G382" s="704"/>
      <c r="H382" s="704"/>
      <c r="I382" s="704"/>
      <c r="J382" s="725"/>
      <c r="K382" s="725">
        <v>408000000</v>
      </c>
      <c r="L382" s="1311">
        <f>37000000*12</f>
        <v>444000000</v>
      </c>
      <c r="M382" s="669"/>
      <c r="N382" s="868"/>
      <c r="O382" s="868"/>
      <c r="P382" s="829"/>
      <c r="Q382" s="829"/>
      <c r="R382" s="1003"/>
      <c r="S382" s="866"/>
      <c r="T382" s="839"/>
      <c r="U382" s="726"/>
      <c r="V382" s="722"/>
      <c r="W382" s="722"/>
      <c r="X382" s="723"/>
      <c r="Y382" s="724"/>
      <c r="Z382" s="724"/>
      <c r="AA382" s="724"/>
      <c r="AB382" s="724"/>
      <c r="AC382" s="724"/>
      <c r="AD382" s="724"/>
      <c r="AE382" s="724"/>
      <c r="AF382" s="724"/>
      <c r="AG382" s="724"/>
      <c r="AH382" s="724"/>
      <c r="AI382" s="724"/>
      <c r="AJ382" s="724"/>
      <c r="AK382" s="724"/>
      <c r="AL382" s="724"/>
      <c r="AM382" s="724"/>
      <c r="AN382" s="724"/>
      <c r="AO382" s="724"/>
      <c r="AP382" s="724"/>
      <c r="AQ382" s="724"/>
      <c r="AR382" s="724"/>
      <c r="AS382" s="724"/>
      <c r="AT382" s="724"/>
      <c r="AU382" s="724"/>
      <c r="AV382" s="724"/>
      <c r="AW382" s="724"/>
      <c r="AX382" s="724"/>
      <c r="AY382" s="724"/>
      <c r="AZ382" s="724"/>
      <c r="BA382" s="724"/>
      <c r="BB382" s="724"/>
      <c r="BC382" s="724"/>
      <c r="BD382" s="724"/>
      <c r="BE382" s="724"/>
      <c r="BF382" s="724"/>
      <c r="BG382" s="724"/>
      <c r="BH382" s="724"/>
      <c r="BI382" s="724"/>
      <c r="BJ382" s="724"/>
      <c r="BK382" s="724"/>
      <c r="BL382" s="724"/>
      <c r="BM382" s="724"/>
      <c r="BN382" s="724"/>
      <c r="BO382" s="724"/>
      <c r="BP382" s="724"/>
      <c r="BQ382" s="724"/>
      <c r="BR382" s="724"/>
      <c r="BS382" s="724"/>
      <c r="BT382" s="724"/>
      <c r="BU382" s="724"/>
      <c r="BV382" s="724"/>
      <c r="BW382" s="724"/>
      <c r="BX382" s="724"/>
      <c r="BY382" s="724"/>
      <c r="BZ382" s="724"/>
      <c r="CA382" s="724"/>
      <c r="CB382" s="724"/>
      <c r="CC382" s="724"/>
      <c r="CD382" s="724"/>
      <c r="CE382" s="724"/>
      <c r="CF382" s="724"/>
      <c r="CG382" s="724"/>
      <c r="CH382" s="724"/>
      <c r="CI382" s="724"/>
      <c r="CJ382" s="724"/>
      <c r="CK382" s="724"/>
      <c r="CL382" s="724"/>
      <c r="CM382" s="724"/>
      <c r="CN382" s="724"/>
      <c r="CO382" s="724"/>
      <c r="CP382" s="724"/>
      <c r="CQ382" s="724"/>
      <c r="CR382" s="724"/>
      <c r="CS382" s="724"/>
      <c r="CT382" s="724"/>
      <c r="CU382" s="724"/>
      <c r="CV382" s="724"/>
      <c r="CW382" s="724"/>
      <c r="CX382" s="724"/>
      <c r="CY382" s="724"/>
      <c r="CZ382" s="724"/>
      <c r="DA382" s="724"/>
      <c r="DB382" s="724"/>
      <c r="DC382" s="724"/>
      <c r="DD382" s="724"/>
      <c r="DE382" s="724"/>
      <c r="DF382" s="724"/>
      <c r="DG382" s="724"/>
      <c r="DH382" s="724"/>
      <c r="DI382" s="724"/>
      <c r="DJ382" s="724"/>
      <c r="DK382" s="724"/>
      <c r="DL382" s="724"/>
      <c r="DM382" s="724"/>
      <c r="DN382" s="724"/>
      <c r="DO382" s="724"/>
      <c r="DP382" s="724"/>
      <c r="DQ382" s="724"/>
      <c r="DR382" s="724"/>
      <c r="DS382" s="724"/>
      <c r="DT382" s="724"/>
      <c r="DU382" s="724"/>
      <c r="DV382" s="724"/>
      <c r="DW382" s="724"/>
      <c r="DX382" s="724"/>
      <c r="DY382" s="724"/>
      <c r="DZ382" s="724"/>
      <c r="EA382" s="724"/>
      <c r="EB382" s="724"/>
      <c r="EC382" s="724"/>
      <c r="ED382" s="724"/>
      <c r="EE382" s="724"/>
      <c r="EF382" s="724"/>
      <c r="EG382" s="724"/>
      <c r="EH382" s="724"/>
      <c r="EI382" s="724"/>
      <c r="EJ382" s="724"/>
      <c r="EK382" s="724"/>
      <c r="EL382" s="724"/>
      <c r="EM382" s="724"/>
      <c r="EN382" s="724"/>
      <c r="EO382" s="724"/>
      <c r="EP382" s="724"/>
      <c r="EQ382" s="724"/>
      <c r="ER382" s="724"/>
      <c r="ES382" s="724"/>
      <c r="ET382" s="724"/>
      <c r="EU382" s="724"/>
      <c r="EV382" s="724"/>
      <c r="EW382" s="724"/>
      <c r="EX382" s="724"/>
      <c r="EY382" s="724"/>
      <c r="EZ382" s="724"/>
      <c r="FA382" s="724"/>
      <c r="FB382" s="724"/>
      <c r="FC382" s="724"/>
      <c r="FD382" s="724"/>
      <c r="FE382" s="724"/>
      <c r="FF382" s="724"/>
      <c r="FG382" s="724"/>
      <c r="FH382" s="724"/>
      <c r="FI382" s="724"/>
      <c r="FJ382" s="724"/>
      <c r="FK382" s="724"/>
      <c r="FL382" s="724"/>
      <c r="FM382" s="724"/>
      <c r="FN382" s="724"/>
      <c r="FO382" s="724"/>
      <c r="FP382" s="724"/>
      <c r="FQ382" s="724"/>
      <c r="FR382" s="724"/>
      <c r="FS382" s="724"/>
      <c r="FT382" s="724"/>
      <c r="FU382" s="724"/>
      <c r="FV382" s="724"/>
      <c r="FW382" s="724"/>
      <c r="FX382" s="724"/>
      <c r="FY382" s="724"/>
      <c r="FZ382" s="724"/>
      <c r="GA382" s="724"/>
      <c r="GB382" s="724"/>
      <c r="GC382" s="724"/>
      <c r="GD382" s="724"/>
      <c r="GE382" s="724"/>
      <c r="GF382" s="724"/>
      <c r="GG382" s="724"/>
      <c r="GH382" s="724"/>
      <c r="GI382" s="724"/>
      <c r="GJ382" s="724"/>
      <c r="GK382" s="724"/>
      <c r="GL382" s="724"/>
      <c r="GM382" s="724"/>
      <c r="GN382" s="724"/>
      <c r="GO382" s="724"/>
      <c r="GP382" s="724"/>
      <c r="GQ382" s="724"/>
      <c r="GR382" s="724"/>
      <c r="GS382" s="724"/>
      <c r="GT382" s="724"/>
      <c r="GU382" s="724"/>
      <c r="GV382" s="724"/>
      <c r="GW382" s="724"/>
      <c r="GX382" s="724"/>
      <c r="GY382" s="724"/>
      <c r="GZ382" s="724"/>
      <c r="HA382" s="724"/>
      <c r="HB382" s="724"/>
      <c r="HC382" s="724"/>
      <c r="HD382" s="724"/>
      <c r="HE382" s="724"/>
      <c r="HF382" s="724"/>
      <c r="HG382" s="724"/>
      <c r="HH382" s="724"/>
      <c r="HI382" s="724"/>
      <c r="HJ382" s="724"/>
      <c r="HK382" s="724"/>
      <c r="HL382" s="724"/>
      <c r="HM382" s="724"/>
      <c r="HN382" s="724"/>
      <c r="HO382" s="724"/>
      <c r="HP382" s="724"/>
      <c r="HQ382" s="724"/>
      <c r="HR382" s="724"/>
      <c r="HS382" s="724"/>
      <c r="HT382" s="724"/>
      <c r="HU382" s="724"/>
      <c r="HV382" s="724"/>
      <c r="HW382" s="724"/>
      <c r="HX382" s="724"/>
      <c r="HY382" s="724"/>
      <c r="HZ382" s="724"/>
      <c r="IA382" s="724"/>
      <c r="IB382" s="724"/>
      <c r="IC382" s="724"/>
      <c r="ID382" s="724"/>
      <c r="IE382" s="724"/>
      <c r="IF382" s="724"/>
      <c r="IG382" s="724"/>
      <c r="IH382" s="724"/>
      <c r="II382" s="724"/>
      <c r="IJ382" s="724"/>
      <c r="IK382" s="724"/>
      <c r="IL382" s="724"/>
      <c r="IM382" s="724"/>
      <c r="IN382" s="724"/>
      <c r="IO382" s="724"/>
      <c r="IP382" s="724"/>
      <c r="IQ382" s="724"/>
      <c r="IR382" s="724"/>
      <c r="IS382" s="724"/>
      <c r="IT382" s="724"/>
      <c r="IU382" s="724"/>
      <c r="IV382" s="724"/>
      <c r="IW382" s="724"/>
    </row>
    <row r="383" spans="1:257" s="621" customFormat="1">
      <c r="A383" s="812"/>
      <c r="B383" s="684" t="s">
        <v>1369</v>
      </c>
      <c r="C383" s="699"/>
      <c r="D383" s="713"/>
      <c r="E383" s="725"/>
      <c r="F383" s="725"/>
      <c r="G383" s="704"/>
      <c r="H383" s="704"/>
      <c r="I383" s="704"/>
      <c r="J383" s="725"/>
      <c r="K383" s="725">
        <v>85000000</v>
      </c>
      <c r="L383" s="1311">
        <f>(58000000-37000000)*12</f>
        <v>252000000</v>
      </c>
      <c r="M383" s="669"/>
      <c r="N383" s="868"/>
      <c r="O383" s="868"/>
      <c r="P383" s="829"/>
      <c r="Q383" s="829"/>
      <c r="R383" s="1003"/>
      <c r="S383" s="866"/>
      <c r="T383" s="839"/>
      <c r="U383" s="726"/>
      <c r="V383" s="722"/>
      <c r="W383" s="722"/>
      <c r="X383" s="723"/>
      <c r="Y383" s="724"/>
      <c r="Z383" s="724"/>
      <c r="AA383" s="724"/>
      <c r="AB383" s="724"/>
      <c r="AC383" s="724"/>
      <c r="AD383" s="724"/>
      <c r="AE383" s="724"/>
      <c r="AF383" s="724"/>
      <c r="AG383" s="724"/>
      <c r="AH383" s="724"/>
      <c r="AI383" s="724"/>
      <c r="AJ383" s="724"/>
      <c r="AK383" s="724"/>
      <c r="AL383" s="724"/>
      <c r="AM383" s="724"/>
      <c r="AN383" s="724"/>
      <c r="AO383" s="724"/>
      <c r="AP383" s="724"/>
      <c r="AQ383" s="724"/>
      <c r="AR383" s="724"/>
      <c r="AS383" s="724"/>
      <c r="AT383" s="724"/>
      <c r="AU383" s="724"/>
      <c r="AV383" s="724"/>
      <c r="AW383" s="724"/>
      <c r="AX383" s="724"/>
      <c r="AY383" s="724"/>
      <c r="AZ383" s="724"/>
      <c r="BA383" s="724"/>
      <c r="BB383" s="724"/>
      <c r="BC383" s="724"/>
      <c r="BD383" s="724"/>
      <c r="BE383" s="724"/>
      <c r="BF383" s="724"/>
      <c r="BG383" s="724"/>
      <c r="BH383" s="724"/>
      <c r="BI383" s="724"/>
      <c r="BJ383" s="724"/>
      <c r="BK383" s="724"/>
      <c r="BL383" s="724"/>
      <c r="BM383" s="724"/>
      <c r="BN383" s="724"/>
      <c r="BO383" s="724"/>
      <c r="BP383" s="724"/>
      <c r="BQ383" s="724"/>
      <c r="BR383" s="724"/>
      <c r="BS383" s="724"/>
      <c r="BT383" s="724"/>
      <c r="BU383" s="724"/>
      <c r="BV383" s="724"/>
      <c r="BW383" s="724"/>
      <c r="BX383" s="724"/>
      <c r="BY383" s="724"/>
      <c r="BZ383" s="724"/>
      <c r="CA383" s="724"/>
      <c r="CB383" s="724"/>
      <c r="CC383" s="724"/>
      <c r="CD383" s="724"/>
      <c r="CE383" s="724"/>
      <c r="CF383" s="724"/>
      <c r="CG383" s="724"/>
      <c r="CH383" s="724"/>
      <c r="CI383" s="724"/>
      <c r="CJ383" s="724"/>
      <c r="CK383" s="724"/>
      <c r="CL383" s="724"/>
      <c r="CM383" s="724"/>
      <c r="CN383" s="724"/>
      <c r="CO383" s="724"/>
      <c r="CP383" s="724"/>
      <c r="CQ383" s="724"/>
      <c r="CR383" s="724"/>
      <c r="CS383" s="724"/>
      <c r="CT383" s="724"/>
      <c r="CU383" s="724"/>
      <c r="CV383" s="724"/>
      <c r="CW383" s="724"/>
      <c r="CX383" s="724"/>
      <c r="CY383" s="724"/>
      <c r="CZ383" s="724"/>
      <c r="DA383" s="724"/>
      <c r="DB383" s="724"/>
      <c r="DC383" s="724"/>
      <c r="DD383" s="724"/>
      <c r="DE383" s="724"/>
      <c r="DF383" s="724"/>
      <c r="DG383" s="724"/>
      <c r="DH383" s="724"/>
      <c r="DI383" s="724"/>
      <c r="DJ383" s="724"/>
      <c r="DK383" s="724"/>
      <c r="DL383" s="724"/>
      <c r="DM383" s="724"/>
      <c r="DN383" s="724"/>
      <c r="DO383" s="724"/>
      <c r="DP383" s="724"/>
      <c r="DQ383" s="724"/>
      <c r="DR383" s="724"/>
      <c r="DS383" s="724"/>
      <c r="DT383" s="724"/>
      <c r="DU383" s="724"/>
      <c r="DV383" s="724"/>
      <c r="DW383" s="724"/>
      <c r="DX383" s="724"/>
      <c r="DY383" s="724"/>
      <c r="DZ383" s="724"/>
      <c r="EA383" s="724"/>
      <c r="EB383" s="724"/>
      <c r="EC383" s="724"/>
      <c r="ED383" s="724"/>
      <c r="EE383" s="724"/>
      <c r="EF383" s="724"/>
      <c r="EG383" s="724"/>
      <c r="EH383" s="724"/>
      <c r="EI383" s="724"/>
      <c r="EJ383" s="724"/>
      <c r="EK383" s="724"/>
      <c r="EL383" s="724"/>
      <c r="EM383" s="724"/>
      <c r="EN383" s="724"/>
      <c r="EO383" s="724"/>
      <c r="EP383" s="724"/>
      <c r="EQ383" s="724"/>
      <c r="ER383" s="724"/>
      <c r="ES383" s="724"/>
      <c r="ET383" s="724"/>
      <c r="EU383" s="724"/>
      <c r="EV383" s="724"/>
      <c r="EW383" s="724"/>
      <c r="EX383" s="724"/>
      <c r="EY383" s="724"/>
      <c r="EZ383" s="724"/>
      <c r="FA383" s="724"/>
      <c r="FB383" s="724"/>
      <c r="FC383" s="724"/>
      <c r="FD383" s="724"/>
      <c r="FE383" s="724"/>
      <c r="FF383" s="724"/>
      <c r="FG383" s="724"/>
      <c r="FH383" s="724"/>
      <c r="FI383" s="724"/>
      <c r="FJ383" s="724"/>
      <c r="FK383" s="724"/>
      <c r="FL383" s="724"/>
      <c r="FM383" s="724"/>
      <c r="FN383" s="724"/>
      <c r="FO383" s="724"/>
      <c r="FP383" s="724"/>
      <c r="FQ383" s="724"/>
      <c r="FR383" s="724"/>
      <c r="FS383" s="724"/>
      <c r="FT383" s="724"/>
      <c r="FU383" s="724"/>
      <c r="FV383" s="724"/>
      <c r="FW383" s="724"/>
      <c r="FX383" s="724"/>
      <c r="FY383" s="724"/>
      <c r="FZ383" s="724"/>
      <c r="GA383" s="724"/>
      <c r="GB383" s="724"/>
      <c r="GC383" s="724"/>
      <c r="GD383" s="724"/>
      <c r="GE383" s="724"/>
      <c r="GF383" s="724"/>
      <c r="GG383" s="724"/>
      <c r="GH383" s="724"/>
      <c r="GI383" s="724"/>
      <c r="GJ383" s="724"/>
      <c r="GK383" s="724"/>
      <c r="GL383" s="724"/>
      <c r="GM383" s="724"/>
      <c r="GN383" s="724"/>
      <c r="GO383" s="724"/>
      <c r="GP383" s="724"/>
      <c r="GQ383" s="724"/>
      <c r="GR383" s="724"/>
      <c r="GS383" s="724"/>
      <c r="GT383" s="724"/>
      <c r="GU383" s="724"/>
      <c r="GV383" s="724"/>
      <c r="GW383" s="724"/>
      <c r="GX383" s="724"/>
      <c r="GY383" s="724"/>
      <c r="GZ383" s="724"/>
      <c r="HA383" s="724"/>
      <c r="HB383" s="724"/>
      <c r="HC383" s="724"/>
      <c r="HD383" s="724"/>
      <c r="HE383" s="724"/>
      <c r="HF383" s="724"/>
      <c r="HG383" s="724"/>
      <c r="HH383" s="724"/>
      <c r="HI383" s="724"/>
      <c r="HJ383" s="724"/>
      <c r="HK383" s="724"/>
      <c r="HL383" s="724"/>
      <c r="HM383" s="724"/>
      <c r="HN383" s="724"/>
      <c r="HO383" s="724"/>
      <c r="HP383" s="724"/>
      <c r="HQ383" s="724"/>
      <c r="HR383" s="724"/>
      <c r="HS383" s="724"/>
      <c r="HT383" s="724"/>
      <c r="HU383" s="724"/>
      <c r="HV383" s="724"/>
      <c r="HW383" s="724"/>
      <c r="HX383" s="724"/>
      <c r="HY383" s="724"/>
      <c r="HZ383" s="724"/>
      <c r="IA383" s="724"/>
      <c r="IB383" s="724"/>
      <c r="IC383" s="724"/>
      <c r="ID383" s="724"/>
      <c r="IE383" s="724"/>
      <c r="IF383" s="724"/>
      <c r="IG383" s="724"/>
      <c r="IH383" s="724"/>
      <c r="II383" s="724"/>
      <c r="IJ383" s="724"/>
      <c r="IK383" s="724"/>
      <c r="IL383" s="724"/>
      <c r="IM383" s="724"/>
      <c r="IN383" s="724"/>
      <c r="IO383" s="724"/>
      <c r="IP383" s="724"/>
      <c r="IQ383" s="724"/>
      <c r="IR383" s="724"/>
      <c r="IS383" s="724"/>
      <c r="IT383" s="724"/>
      <c r="IU383" s="724"/>
      <c r="IV383" s="724"/>
      <c r="IW383" s="724"/>
    </row>
    <row r="384" spans="1:257" s="621" customFormat="1">
      <c r="A384" s="812"/>
      <c r="B384" s="684" t="s">
        <v>1357</v>
      </c>
      <c r="C384" s="699"/>
      <c r="D384" s="713"/>
      <c r="E384" s="725"/>
      <c r="F384" s="725"/>
      <c r="G384" s="704"/>
      <c r="H384" s="704"/>
      <c r="I384" s="704"/>
      <c r="J384" s="725"/>
      <c r="K384" s="725"/>
      <c r="L384" s="1311">
        <f>L383-L400</f>
        <v>93000000</v>
      </c>
      <c r="M384" s="669"/>
      <c r="N384" s="868"/>
      <c r="O384" s="868"/>
      <c r="P384" s="829"/>
      <c r="Q384" s="829"/>
      <c r="R384" s="1003"/>
      <c r="S384" s="866"/>
      <c r="T384" s="839"/>
      <c r="U384" s="726"/>
      <c r="V384" s="722"/>
      <c r="W384" s="722"/>
      <c r="X384" s="723"/>
      <c r="Y384" s="724"/>
      <c r="Z384" s="724"/>
      <c r="AA384" s="724"/>
      <c r="AB384" s="724"/>
      <c r="AC384" s="724"/>
      <c r="AD384" s="724"/>
      <c r="AE384" s="724"/>
      <c r="AF384" s="724"/>
      <c r="AG384" s="724"/>
      <c r="AH384" s="724"/>
      <c r="AI384" s="724"/>
      <c r="AJ384" s="724"/>
      <c r="AK384" s="724"/>
      <c r="AL384" s="724"/>
      <c r="AM384" s="724"/>
      <c r="AN384" s="724"/>
      <c r="AO384" s="724"/>
      <c r="AP384" s="724"/>
      <c r="AQ384" s="724"/>
      <c r="AR384" s="724"/>
      <c r="AS384" s="724"/>
      <c r="AT384" s="724"/>
      <c r="AU384" s="724"/>
      <c r="AV384" s="724"/>
      <c r="AW384" s="724"/>
      <c r="AX384" s="724"/>
      <c r="AY384" s="724"/>
      <c r="AZ384" s="724"/>
      <c r="BA384" s="724"/>
      <c r="BB384" s="724"/>
      <c r="BC384" s="724"/>
      <c r="BD384" s="724"/>
      <c r="BE384" s="724"/>
      <c r="BF384" s="724"/>
      <c r="BG384" s="724"/>
      <c r="BH384" s="724"/>
      <c r="BI384" s="724"/>
      <c r="BJ384" s="724"/>
      <c r="BK384" s="724"/>
      <c r="BL384" s="724"/>
      <c r="BM384" s="724"/>
      <c r="BN384" s="724"/>
      <c r="BO384" s="724"/>
      <c r="BP384" s="724"/>
      <c r="BQ384" s="724"/>
      <c r="BR384" s="724"/>
      <c r="BS384" s="724"/>
      <c r="BT384" s="724"/>
      <c r="BU384" s="724"/>
      <c r="BV384" s="724"/>
      <c r="BW384" s="724"/>
      <c r="BX384" s="724"/>
      <c r="BY384" s="724"/>
      <c r="BZ384" s="724"/>
      <c r="CA384" s="724"/>
      <c r="CB384" s="724"/>
      <c r="CC384" s="724"/>
      <c r="CD384" s="724"/>
      <c r="CE384" s="724"/>
      <c r="CF384" s="724"/>
      <c r="CG384" s="724"/>
      <c r="CH384" s="724"/>
      <c r="CI384" s="724"/>
      <c r="CJ384" s="724"/>
      <c r="CK384" s="724"/>
      <c r="CL384" s="724"/>
      <c r="CM384" s="724"/>
      <c r="CN384" s="724"/>
      <c r="CO384" s="724"/>
      <c r="CP384" s="724"/>
      <c r="CQ384" s="724"/>
      <c r="CR384" s="724"/>
      <c r="CS384" s="724"/>
      <c r="CT384" s="724"/>
      <c r="CU384" s="724"/>
      <c r="CV384" s="724"/>
      <c r="CW384" s="724"/>
      <c r="CX384" s="724"/>
      <c r="CY384" s="724"/>
      <c r="CZ384" s="724"/>
      <c r="DA384" s="724"/>
      <c r="DB384" s="724"/>
      <c r="DC384" s="724"/>
      <c r="DD384" s="724"/>
      <c r="DE384" s="724"/>
      <c r="DF384" s="724"/>
      <c r="DG384" s="724"/>
      <c r="DH384" s="724"/>
      <c r="DI384" s="724"/>
      <c r="DJ384" s="724"/>
      <c r="DK384" s="724"/>
      <c r="DL384" s="724"/>
      <c r="DM384" s="724"/>
      <c r="DN384" s="724"/>
      <c r="DO384" s="724"/>
      <c r="DP384" s="724"/>
      <c r="DQ384" s="724"/>
      <c r="DR384" s="724"/>
      <c r="DS384" s="724"/>
      <c r="DT384" s="724"/>
      <c r="DU384" s="724"/>
      <c r="DV384" s="724"/>
      <c r="DW384" s="724"/>
      <c r="DX384" s="724"/>
      <c r="DY384" s="724"/>
      <c r="DZ384" s="724"/>
      <c r="EA384" s="724"/>
      <c r="EB384" s="724"/>
      <c r="EC384" s="724"/>
      <c r="ED384" s="724"/>
      <c r="EE384" s="724"/>
      <c r="EF384" s="724"/>
      <c r="EG384" s="724"/>
      <c r="EH384" s="724"/>
      <c r="EI384" s="724"/>
      <c r="EJ384" s="724"/>
      <c r="EK384" s="724"/>
      <c r="EL384" s="724"/>
      <c r="EM384" s="724"/>
      <c r="EN384" s="724"/>
      <c r="EO384" s="724"/>
      <c r="EP384" s="724"/>
      <c r="EQ384" s="724"/>
      <c r="ER384" s="724"/>
      <c r="ES384" s="724"/>
      <c r="ET384" s="724"/>
      <c r="EU384" s="724"/>
      <c r="EV384" s="724"/>
      <c r="EW384" s="724"/>
      <c r="EX384" s="724"/>
      <c r="EY384" s="724"/>
      <c r="EZ384" s="724"/>
      <c r="FA384" s="724"/>
      <c r="FB384" s="724"/>
      <c r="FC384" s="724"/>
      <c r="FD384" s="724"/>
      <c r="FE384" s="724"/>
      <c r="FF384" s="724"/>
      <c r="FG384" s="724"/>
      <c r="FH384" s="724"/>
      <c r="FI384" s="724"/>
      <c r="FJ384" s="724"/>
      <c r="FK384" s="724"/>
      <c r="FL384" s="724"/>
      <c r="FM384" s="724"/>
      <c r="FN384" s="724"/>
      <c r="FO384" s="724"/>
      <c r="FP384" s="724"/>
      <c r="FQ384" s="724"/>
      <c r="FR384" s="724"/>
      <c r="FS384" s="724"/>
      <c r="FT384" s="724"/>
      <c r="FU384" s="724"/>
      <c r="FV384" s="724"/>
      <c r="FW384" s="724"/>
      <c r="FX384" s="724"/>
      <c r="FY384" s="724"/>
      <c r="FZ384" s="724"/>
      <c r="GA384" s="724"/>
      <c r="GB384" s="724"/>
      <c r="GC384" s="724"/>
      <c r="GD384" s="724"/>
      <c r="GE384" s="724"/>
      <c r="GF384" s="724"/>
      <c r="GG384" s="724"/>
      <c r="GH384" s="724"/>
      <c r="GI384" s="724"/>
      <c r="GJ384" s="724"/>
      <c r="GK384" s="724"/>
      <c r="GL384" s="724"/>
      <c r="GM384" s="724"/>
      <c r="GN384" s="724"/>
      <c r="GO384" s="724"/>
      <c r="GP384" s="724"/>
      <c r="GQ384" s="724"/>
      <c r="GR384" s="724"/>
      <c r="GS384" s="724"/>
      <c r="GT384" s="724"/>
      <c r="GU384" s="724"/>
      <c r="GV384" s="724"/>
      <c r="GW384" s="724"/>
      <c r="GX384" s="724"/>
      <c r="GY384" s="724"/>
      <c r="GZ384" s="724"/>
      <c r="HA384" s="724"/>
      <c r="HB384" s="724"/>
      <c r="HC384" s="724"/>
      <c r="HD384" s="724"/>
      <c r="HE384" s="724"/>
      <c r="HF384" s="724"/>
      <c r="HG384" s="724"/>
      <c r="HH384" s="724"/>
      <c r="HI384" s="724"/>
      <c r="HJ384" s="724"/>
      <c r="HK384" s="724"/>
      <c r="HL384" s="724"/>
      <c r="HM384" s="724"/>
      <c r="HN384" s="724"/>
      <c r="HO384" s="724"/>
      <c r="HP384" s="724"/>
      <c r="HQ384" s="724"/>
      <c r="HR384" s="724"/>
      <c r="HS384" s="724"/>
      <c r="HT384" s="724"/>
      <c r="HU384" s="724"/>
      <c r="HV384" s="724"/>
      <c r="HW384" s="724"/>
      <c r="HX384" s="724"/>
      <c r="HY384" s="724"/>
      <c r="HZ384" s="724"/>
      <c r="IA384" s="724"/>
      <c r="IB384" s="724"/>
      <c r="IC384" s="724"/>
      <c r="ID384" s="724"/>
      <c r="IE384" s="724"/>
      <c r="IF384" s="724"/>
      <c r="IG384" s="724"/>
      <c r="IH384" s="724"/>
      <c r="II384" s="724"/>
      <c r="IJ384" s="724"/>
      <c r="IK384" s="724"/>
      <c r="IL384" s="724"/>
      <c r="IM384" s="724"/>
      <c r="IN384" s="724"/>
      <c r="IO384" s="724"/>
      <c r="IP384" s="724"/>
      <c r="IQ384" s="724"/>
      <c r="IR384" s="724"/>
      <c r="IS384" s="724"/>
      <c r="IT384" s="724"/>
      <c r="IU384" s="724"/>
      <c r="IV384" s="724"/>
      <c r="IW384" s="724"/>
    </row>
    <row r="385" spans="1:257" s="621" customFormat="1" ht="18" customHeight="1">
      <c r="A385" s="809" t="s">
        <v>91</v>
      </c>
      <c r="B385" s="813" t="s">
        <v>256</v>
      </c>
      <c r="C385" s="713">
        <v>4</v>
      </c>
      <c r="D385" s="713"/>
      <c r="E385" s="725">
        <v>20000000</v>
      </c>
      <c r="F385" s="725">
        <f>C385*E385</f>
        <v>80000000</v>
      </c>
      <c r="G385" s="686"/>
      <c r="H385" s="686"/>
      <c r="I385" s="686"/>
      <c r="J385" s="725">
        <v>80000000</v>
      </c>
      <c r="K385" s="725">
        <f>4*20000000</f>
        <v>80000000</v>
      </c>
      <c r="L385" s="1311">
        <f>4*20000000</f>
        <v>80000000</v>
      </c>
      <c r="M385" s="669" t="s">
        <v>1002</v>
      </c>
      <c r="N385" s="868"/>
      <c r="O385" s="868"/>
      <c r="P385" s="935"/>
      <c r="Q385" s="935"/>
      <c r="R385" s="866"/>
      <c r="S385" s="866"/>
      <c r="T385" s="839"/>
      <c r="U385" s="726"/>
      <c r="V385" s="722"/>
      <c r="W385" s="722"/>
      <c r="X385" s="723"/>
      <c r="Y385" s="724"/>
      <c r="Z385" s="724"/>
      <c r="AA385" s="724"/>
      <c r="AB385" s="724"/>
      <c r="AC385" s="724"/>
      <c r="AD385" s="724"/>
      <c r="AE385" s="724"/>
      <c r="AF385" s="724"/>
      <c r="AG385" s="724"/>
      <c r="AH385" s="724"/>
      <c r="AI385" s="724"/>
      <c r="AJ385" s="724"/>
      <c r="AK385" s="724"/>
      <c r="AL385" s="724"/>
      <c r="AM385" s="724"/>
      <c r="AN385" s="724"/>
      <c r="AO385" s="724"/>
      <c r="AP385" s="724"/>
      <c r="AQ385" s="724"/>
      <c r="AR385" s="724"/>
      <c r="AS385" s="724"/>
      <c r="AT385" s="724"/>
      <c r="AU385" s="724"/>
      <c r="AV385" s="724"/>
      <c r="AW385" s="724"/>
      <c r="AX385" s="724"/>
      <c r="AY385" s="724"/>
      <c r="AZ385" s="724"/>
      <c r="BA385" s="724"/>
      <c r="BB385" s="724"/>
      <c r="BC385" s="724"/>
      <c r="BD385" s="724"/>
      <c r="BE385" s="724"/>
      <c r="BF385" s="724"/>
      <c r="BG385" s="724"/>
      <c r="BH385" s="724"/>
      <c r="BI385" s="724"/>
      <c r="BJ385" s="724"/>
      <c r="BK385" s="724"/>
      <c r="BL385" s="724"/>
      <c r="BM385" s="724"/>
      <c r="BN385" s="724"/>
      <c r="BO385" s="724"/>
      <c r="BP385" s="724"/>
      <c r="BQ385" s="724"/>
      <c r="BR385" s="724"/>
      <c r="BS385" s="724"/>
      <c r="BT385" s="724"/>
      <c r="BU385" s="724"/>
      <c r="BV385" s="724"/>
      <c r="BW385" s="724"/>
      <c r="BX385" s="724"/>
      <c r="BY385" s="724"/>
      <c r="BZ385" s="724"/>
      <c r="CA385" s="724"/>
      <c r="CB385" s="724"/>
      <c r="CC385" s="724"/>
      <c r="CD385" s="724"/>
      <c r="CE385" s="724"/>
      <c r="CF385" s="724"/>
      <c r="CG385" s="724"/>
      <c r="CH385" s="724"/>
      <c r="CI385" s="724"/>
      <c r="CJ385" s="724"/>
      <c r="CK385" s="724"/>
      <c r="CL385" s="724"/>
      <c r="CM385" s="724"/>
      <c r="CN385" s="724"/>
      <c r="CO385" s="724"/>
      <c r="CP385" s="724"/>
      <c r="CQ385" s="724"/>
      <c r="CR385" s="724"/>
      <c r="CS385" s="724"/>
      <c r="CT385" s="724"/>
      <c r="CU385" s="724"/>
      <c r="CV385" s="724"/>
      <c r="CW385" s="724"/>
      <c r="CX385" s="724"/>
      <c r="CY385" s="724"/>
      <c r="CZ385" s="724"/>
      <c r="DA385" s="724"/>
      <c r="DB385" s="724"/>
      <c r="DC385" s="724"/>
      <c r="DD385" s="724"/>
      <c r="DE385" s="724"/>
      <c r="DF385" s="724"/>
      <c r="DG385" s="724"/>
      <c r="DH385" s="724"/>
      <c r="DI385" s="724"/>
      <c r="DJ385" s="724"/>
      <c r="DK385" s="724"/>
      <c r="DL385" s="724"/>
      <c r="DM385" s="724"/>
      <c r="DN385" s="724"/>
      <c r="DO385" s="724"/>
      <c r="DP385" s="724"/>
      <c r="DQ385" s="724"/>
      <c r="DR385" s="724"/>
      <c r="DS385" s="724"/>
      <c r="DT385" s="724"/>
      <c r="DU385" s="724"/>
      <c r="DV385" s="724"/>
      <c r="DW385" s="724"/>
      <c r="DX385" s="724"/>
      <c r="DY385" s="724"/>
      <c r="DZ385" s="724"/>
      <c r="EA385" s="724"/>
      <c r="EB385" s="724"/>
      <c r="EC385" s="724"/>
      <c r="ED385" s="724"/>
      <c r="EE385" s="724"/>
      <c r="EF385" s="724"/>
      <c r="EG385" s="724"/>
      <c r="EH385" s="724"/>
      <c r="EI385" s="724"/>
      <c r="EJ385" s="724"/>
      <c r="EK385" s="724"/>
      <c r="EL385" s="724"/>
      <c r="EM385" s="724"/>
      <c r="EN385" s="724"/>
      <c r="EO385" s="724"/>
      <c r="EP385" s="724"/>
      <c r="EQ385" s="724"/>
      <c r="ER385" s="724"/>
      <c r="ES385" s="724"/>
      <c r="ET385" s="724"/>
      <c r="EU385" s="724"/>
      <c r="EV385" s="724"/>
      <c r="EW385" s="724"/>
      <c r="EX385" s="724"/>
      <c r="EY385" s="724"/>
      <c r="EZ385" s="724"/>
      <c r="FA385" s="724"/>
      <c r="FB385" s="724"/>
      <c r="FC385" s="724"/>
      <c r="FD385" s="724"/>
      <c r="FE385" s="724"/>
      <c r="FF385" s="724"/>
      <c r="FG385" s="724"/>
      <c r="FH385" s="724"/>
      <c r="FI385" s="724"/>
      <c r="FJ385" s="724"/>
      <c r="FK385" s="724"/>
      <c r="FL385" s="724"/>
      <c r="FM385" s="724"/>
      <c r="FN385" s="724"/>
      <c r="FO385" s="724"/>
      <c r="FP385" s="724"/>
      <c r="FQ385" s="724"/>
      <c r="FR385" s="724"/>
      <c r="FS385" s="724"/>
      <c r="FT385" s="724"/>
      <c r="FU385" s="724"/>
      <c r="FV385" s="724"/>
      <c r="FW385" s="724"/>
      <c r="FX385" s="724"/>
      <c r="FY385" s="724"/>
      <c r="FZ385" s="724"/>
      <c r="GA385" s="724"/>
      <c r="GB385" s="724"/>
      <c r="GC385" s="724"/>
      <c r="GD385" s="724"/>
      <c r="GE385" s="724"/>
      <c r="GF385" s="724"/>
      <c r="GG385" s="724"/>
      <c r="GH385" s="724"/>
      <c r="GI385" s="724"/>
      <c r="GJ385" s="724"/>
      <c r="GK385" s="724"/>
      <c r="GL385" s="724"/>
      <c r="GM385" s="724"/>
      <c r="GN385" s="724"/>
      <c r="GO385" s="724"/>
      <c r="GP385" s="724"/>
      <c r="GQ385" s="724"/>
      <c r="GR385" s="724"/>
      <c r="GS385" s="724"/>
      <c r="GT385" s="724"/>
      <c r="GU385" s="724"/>
      <c r="GV385" s="724"/>
      <c r="GW385" s="724"/>
      <c r="GX385" s="724"/>
      <c r="GY385" s="724"/>
      <c r="GZ385" s="724"/>
      <c r="HA385" s="724"/>
      <c r="HB385" s="724"/>
      <c r="HC385" s="724"/>
      <c r="HD385" s="724"/>
      <c r="HE385" s="724"/>
      <c r="HF385" s="724"/>
      <c r="HG385" s="724"/>
      <c r="HH385" s="724"/>
      <c r="HI385" s="724"/>
      <c r="HJ385" s="724"/>
      <c r="HK385" s="724"/>
      <c r="HL385" s="724"/>
      <c r="HM385" s="724"/>
      <c r="HN385" s="724"/>
      <c r="HO385" s="724"/>
      <c r="HP385" s="724"/>
      <c r="HQ385" s="724"/>
      <c r="HR385" s="724"/>
      <c r="HS385" s="724"/>
      <c r="HT385" s="724"/>
      <c r="HU385" s="724"/>
      <c r="HV385" s="724"/>
      <c r="HW385" s="724"/>
      <c r="HX385" s="724"/>
      <c r="HY385" s="724"/>
      <c r="HZ385" s="724"/>
      <c r="IA385" s="724"/>
      <c r="IB385" s="724"/>
      <c r="IC385" s="724"/>
      <c r="ID385" s="724"/>
      <c r="IE385" s="724"/>
      <c r="IF385" s="724"/>
      <c r="IG385" s="724"/>
      <c r="IH385" s="724"/>
      <c r="II385" s="724"/>
      <c r="IJ385" s="724"/>
      <c r="IK385" s="724"/>
      <c r="IL385" s="724"/>
      <c r="IM385" s="724"/>
      <c r="IN385" s="724"/>
      <c r="IO385" s="724"/>
      <c r="IP385" s="724"/>
      <c r="IQ385" s="724"/>
      <c r="IR385" s="724"/>
      <c r="IS385" s="724"/>
      <c r="IT385" s="724"/>
      <c r="IU385" s="724"/>
      <c r="IV385" s="724"/>
      <c r="IW385" s="724"/>
    </row>
    <row r="386" spans="1:257" s="582" customFormat="1" ht="22.5" hidden="1" customHeight="1">
      <c r="A386" s="809" t="s">
        <v>91</v>
      </c>
      <c r="B386" s="813" t="s">
        <v>306</v>
      </c>
      <c r="C386" s="713"/>
      <c r="D386" s="713"/>
      <c r="E386" s="725"/>
      <c r="F386" s="725"/>
      <c r="G386" s="686"/>
      <c r="H386" s="686"/>
      <c r="I386" s="686"/>
      <c r="J386" s="725"/>
      <c r="K386" s="725"/>
      <c r="L386" s="1311"/>
      <c r="M386" s="669"/>
      <c r="N386" s="868"/>
      <c r="O386" s="868"/>
      <c r="P386" s="935"/>
      <c r="Q386" s="935"/>
      <c r="R386" s="866"/>
      <c r="S386" s="866"/>
      <c r="T386" s="839"/>
      <c r="U386" s="726"/>
      <c r="V386" s="722"/>
      <c r="W386" s="639"/>
      <c r="X386" s="640"/>
      <c r="Y386" s="641"/>
      <c r="Z386" s="641"/>
      <c r="AA386" s="641"/>
      <c r="AB386" s="641"/>
      <c r="AC386" s="641"/>
      <c r="AD386" s="641"/>
      <c r="AE386" s="641"/>
      <c r="AF386" s="641"/>
      <c r="AG386" s="641"/>
      <c r="AH386" s="641"/>
      <c r="AI386" s="641"/>
      <c r="AJ386" s="641"/>
      <c r="AK386" s="641"/>
      <c r="AL386" s="641"/>
      <c r="AM386" s="641"/>
      <c r="AN386" s="641"/>
      <c r="AO386" s="641"/>
      <c r="AP386" s="641"/>
      <c r="AQ386" s="641"/>
      <c r="AR386" s="641"/>
      <c r="AS386" s="641"/>
      <c r="AT386" s="641"/>
      <c r="AU386" s="641"/>
      <c r="AV386" s="641"/>
      <c r="AW386" s="641"/>
      <c r="AX386" s="641"/>
      <c r="AY386" s="641"/>
      <c r="AZ386" s="641"/>
      <c r="BA386" s="641"/>
      <c r="BB386" s="641"/>
      <c r="BC386" s="641"/>
      <c r="BD386" s="641"/>
      <c r="BE386" s="641"/>
      <c r="BF386" s="641"/>
      <c r="BG386" s="641"/>
      <c r="BH386" s="641"/>
      <c r="BI386" s="641"/>
      <c r="BJ386" s="641"/>
      <c r="BK386" s="641"/>
      <c r="BL386" s="641"/>
      <c r="BM386" s="641"/>
      <c r="BN386" s="641"/>
      <c r="BO386" s="641"/>
      <c r="BP386" s="641"/>
      <c r="BQ386" s="641"/>
      <c r="BR386" s="641"/>
      <c r="BS386" s="641"/>
      <c r="BT386" s="641"/>
      <c r="BU386" s="641"/>
      <c r="BV386" s="641"/>
      <c r="BW386" s="641"/>
      <c r="BX386" s="641"/>
      <c r="BY386" s="641"/>
      <c r="BZ386" s="641"/>
      <c r="CA386" s="641"/>
      <c r="CB386" s="641"/>
      <c r="CC386" s="641"/>
      <c r="CD386" s="641"/>
      <c r="CE386" s="641"/>
      <c r="CF386" s="641"/>
      <c r="CG386" s="641"/>
      <c r="CH386" s="641"/>
      <c r="CI386" s="641"/>
      <c r="CJ386" s="641"/>
      <c r="CK386" s="641"/>
      <c r="CL386" s="641"/>
      <c r="CM386" s="641"/>
      <c r="CN386" s="641"/>
      <c r="CO386" s="641"/>
      <c r="CP386" s="641"/>
      <c r="CQ386" s="641"/>
      <c r="CR386" s="641"/>
      <c r="CS386" s="641"/>
      <c r="CT386" s="641"/>
      <c r="CU386" s="641"/>
      <c r="CV386" s="641"/>
      <c r="CW386" s="641"/>
      <c r="CX386" s="641"/>
      <c r="CY386" s="641"/>
      <c r="CZ386" s="641"/>
      <c r="DA386" s="641"/>
      <c r="DB386" s="641"/>
      <c r="DC386" s="641"/>
      <c r="DD386" s="641"/>
      <c r="DE386" s="641"/>
      <c r="DF386" s="641"/>
      <c r="DG386" s="641"/>
      <c r="DH386" s="641"/>
      <c r="DI386" s="641"/>
      <c r="DJ386" s="641"/>
      <c r="DK386" s="641"/>
      <c r="DL386" s="641"/>
      <c r="DM386" s="641"/>
      <c r="DN386" s="641"/>
      <c r="DO386" s="641"/>
      <c r="DP386" s="641"/>
      <c r="DQ386" s="641"/>
      <c r="DR386" s="641"/>
      <c r="DS386" s="641"/>
      <c r="DT386" s="641"/>
      <c r="DU386" s="641"/>
      <c r="DV386" s="641"/>
      <c r="DW386" s="641"/>
      <c r="DX386" s="641"/>
      <c r="DY386" s="641"/>
      <c r="DZ386" s="641"/>
      <c r="EA386" s="641"/>
      <c r="EB386" s="641"/>
      <c r="EC386" s="641"/>
      <c r="ED386" s="641"/>
      <c r="EE386" s="641"/>
      <c r="EF386" s="641"/>
      <c r="EG386" s="641"/>
      <c r="EH386" s="641"/>
      <c r="EI386" s="641"/>
      <c r="EJ386" s="641"/>
      <c r="EK386" s="641"/>
      <c r="EL386" s="641"/>
      <c r="EM386" s="641"/>
      <c r="EN386" s="641"/>
      <c r="EO386" s="641"/>
      <c r="EP386" s="641"/>
      <c r="EQ386" s="641"/>
      <c r="ER386" s="641"/>
      <c r="ES386" s="641"/>
      <c r="ET386" s="641"/>
      <c r="EU386" s="641"/>
      <c r="EV386" s="641"/>
      <c r="EW386" s="641"/>
      <c r="EX386" s="641"/>
      <c r="EY386" s="641"/>
      <c r="EZ386" s="641"/>
      <c r="FA386" s="641"/>
      <c r="FB386" s="641"/>
      <c r="FC386" s="641"/>
      <c r="FD386" s="641"/>
      <c r="FE386" s="641"/>
      <c r="FF386" s="641"/>
      <c r="FG386" s="641"/>
      <c r="FH386" s="641"/>
      <c r="FI386" s="641"/>
      <c r="FJ386" s="641"/>
      <c r="FK386" s="641"/>
      <c r="FL386" s="641"/>
      <c r="FM386" s="641"/>
      <c r="FN386" s="641"/>
      <c r="FO386" s="641"/>
      <c r="FP386" s="641"/>
      <c r="FQ386" s="641"/>
      <c r="FR386" s="641"/>
      <c r="FS386" s="641"/>
      <c r="FT386" s="641"/>
      <c r="FU386" s="641"/>
      <c r="FV386" s="641"/>
      <c r="FW386" s="641"/>
      <c r="FX386" s="641"/>
      <c r="FY386" s="641"/>
      <c r="FZ386" s="641"/>
      <c r="GA386" s="641"/>
      <c r="GB386" s="641"/>
      <c r="GC386" s="641"/>
      <c r="GD386" s="641"/>
      <c r="GE386" s="641"/>
      <c r="GF386" s="641"/>
      <c r="GG386" s="641"/>
      <c r="GH386" s="641"/>
      <c r="GI386" s="641"/>
      <c r="GJ386" s="641"/>
      <c r="GK386" s="641"/>
      <c r="GL386" s="641"/>
      <c r="GM386" s="641"/>
      <c r="GN386" s="641"/>
      <c r="GO386" s="641"/>
      <c r="GP386" s="641"/>
      <c r="GQ386" s="641"/>
      <c r="GR386" s="641"/>
      <c r="GS386" s="641"/>
      <c r="GT386" s="641"/>
      <c r="GU386" s="641"/>
      <c r="GV386" s="641"/>
      <c r="GW386" s="641"/>
      <c r="GX386" s="641"/>
      <c r="GY386" s="641"/>
      <c r="GZ386" s="641"/>
      <c r="HA386" s="641"/>
      <c r="HB386" s="641"/>
      <c r="HC386" s="641"/>
      <c r="HD386" s="641"/>
      <c r="HE386" s="641"/>
      <c r="HF386" s="641"/>
      <c r="HG386" s="641"/>
      <c r="HH386" s="641"/>
      <c r="HI386" s="641"/>
      <c r="HJ386" s="641"/>
      <c r="HK386" s="641"/>
      <c r="HL386" s="641"/>
      <c r="HM386" s="641"/>
      <c r="HN386" s="641"/>
      <c r="HO386" s="641"/>
      <c r="HP386" s="641"/>
      <c r="HQ386" s="641"/>
      <c r="HR386" s="641"/>
      <c r="HS386" s="641"/>
      <c r="HT386" s="641"/>
      <c r="HU386" s="641"/>
      <c r="HV386" s="641"/>
      <c r="HW386" s="641"/>
      <c r="HX386" s="641"/>
      <c r="HY386" s="641"/>
      <c r="HZ386" s="641"/>
      <c r="IA386" s="641"/>
      <c r="IB386" s="641"/>
      <c r="IC386" s="641"/>
      <c r="ID386" s="641"/>
      <c r="IE386" s="641"/>
      <c r="IF386" s="641"/>
      <c r="IG386" s="641"/>
      <c r="IH386" s="641"/>
      <c r="II386" s="641"/>
      <c r="IJ386" s="641"/>
      <c r="IK386" s="641"/>
      <c r="IL386" s="641"/>
      <c r="IM386" s="641"/>
      <c r="IN386" s="641"/>
      <c r="IO386" s="641"/>
      <c r="IP386" s="641"/>
      <c r="IQ386" s="641"/>
      <c r="IR386" s="641"/>
      <c r="IS386" s="641"/>
      <c r="IT386" s="641"/>
      <c r="IU386" s="641"/>
      <c r="IV386" s="641"/>
      <c r="IW386" s="641"/>
    </row>
    <row r="387" spans="1:257" s="582" customFormat="1">
      <c r="A387" s="589" t="s">
        <v>225</v>
      </c>
      <c r="B387" s="804" t="s">
        <v>257</v>
      </c>
      <c r="C387" s="589"/>
      <c r="D387" s="589"/>
      <c r="E387" s="704"/>
      <c r="F387" s="805">
        <f t="shared" ref="F387:J387" si="49">SUM(F388:F398)</f>
        <v>1697000000</v>
      </c>
      <c r="G387" s="805">
        <f t="shared" si="49"/>
        <v>606000000</v>
      </c>
      <c r="H387" s="805">
        <f t="shared" si="49"/>
        <v>0</v>
      </c>
      <c r="I387" s="805">
        <f t="shared" si="49"/>
        <v>0</v>
      </c>
      <c r="J387" s="805">
        <f t="shared" si="49"/>
        <v>1802298000</v>
      </c>
      <c r="K387" s="805">
        <f>SUM(K388:K398)</f>
        <v>1757000000</v>
      </c>
      <c r="L387" s="1312">
        <f>SUM(L388:L398)</f>
        <v>1582000000</v>
      </c>
      <c r="M387" s="603"/>
      <c r="N387" s="835"/>
      <c r="O387" s="835"/>
      <c r="P387" s="829"/>
      <c r="Q387" s="829"/>
      <c r="R387" s="900"/>
      <c r="S387" s="866"/>
      <c r="T387" s="839"/>
      <c r="U387" s="726"/>
      <c r="V387" s="722"/>
      <c r="W387" s="689"/>
      <c r="X387" s="670"/>
      <c r="Y387" s="678"/>
      <c r="Z387" s="678"/>
      <c r="AA387" s="678"/>
      <c r="AB387" s="678"/>
      <c r="AC387" s="678"/>
      <c r="AD387" s="678"/>
      <c r="AE387" s="678"/>
      <c r="AF387" s="678"/>
      <c r="AG387" s="678"/>
      <c r="AH387" s="678"/>
      <c r="AI387" s="678"/>
      <c r="AJ387" s="678"/>
      <c r="AK387" s="678"/>
      <c r="AL387" s="678"/>
      <c r="AM387" s="678"/>
      <c r="AN387" s="678"/>
      <c r="AO387" s="678"/>
      <c r="AP387" s="678"/>
      <c r="AQ387" s="678"/>
      <c r="AR387" s="678"/>
      <c r="AS387" s="678"/>
      <c r="AT387" s="678"/>
      <c r="AU387" s="678"/>
      <c r="AV387" s="678"/>
      <c r="AW387" s="678"/>
      <c r="AX387" s="678"/>
      <c r="AY387" s="678"/>
      <c r="AZ387" s="678"/>
      <c r="BA387" s="678"/>
      <c r="BB387" s="678"/>
      <c r="BC387" s="678"/>
      <c r="BD387" s="678"/>
      <c r="BE387" s="678"/>
      <c r="BF387" s="678"/>
      <c r="BG387" s="678"/>
      <c r="BH387" s="678"/>
      <c r="BI387" s="678"/>
      <c r="BJ387" s="678"/>
      <c r="BK387" s="678"/>
      <c r="BL387" s="678"/>
      <c r="BM387" s="678"/>
      <c r="BN387" s="678"/>
      <c r="BO387" s="678"/>
      <c r="BP387" s="678"/>
      <c r="BQ387" s="678"/>
      <c r="BR387" s="678"/>
      <c r="BS387" s="678"/>
      <c r="BT387" s="678"/>
      <c r="BU387" s="678"/>
      <c r="BV387" s="678"/>
      <c r="BW387" s="678"/>
      <c r="BX387" s="678"/>
      <c r="BY387" s="678"/>
      <c r="BZ387" s="678"/>
      <c r="CA387" s="678"/>
      <c r="CB387" s="678"/>
      <c r="CC387" s="678"/>
      <c r="CD387" s="678"/>
      <c r="CE387" s="678"/>
      <c r="CF387" s="678"/>
      <c r="CG387" s="678"/>
      <c r="CH387" s="678"/>
      <c r="CI387" s="678"/>
      <c r="CJ387" s="678"/>
      <c r="CK387" s="678"/>
      <c r="CL387" s="678"/>
      <c r="CM387" s="678"/>
      <c r="CN387" s="678"/>
      <c r="CO387" s="678"/>
      <c r="CP387" s="678"/>
      <c r="CQ387" s="678"/>
      <c r="CR387" s="678"/>
      <c r="CS387" s="678"/>
      <c r="CT387" s="678"/>
      <c r="CU387" s="678"/>
      <c r="CV387" s="678"/>
      <c r="CW387" s="678"/>
      <c r="CX387" s="678"/>
      <c r="CY387" s="678"/>
      <c r="CZ387" s="678"/>
      <c r="DA387" s="678"/>
      <c r="DB387" s="678"/>
      <c r="DC387" s="678"/>
      <c r="DD387" s="678"/>
      <c r="DE387" s="678"/>
      <c r="DF387" s="678"/>
      <c r="DG387" s="678"/>
      <c r="DH387" s="678"/>
      <c r="DI387" s="678"/>
      <c r="DJ387" s="678"/>
      <c r="DK387" s="678"/>
      <c r="DL387" s="678"/>
      <c r="DM387" s="678"/>
      <c r="DN387" s="678"/>
      <c r="DO387" s="678"/>
      <c r="DP387" s="678"/>
      <c r="DQ387" s="678"/>
      <c r="DR387" s="678"/>
      <c r="DS387" s="678"/>
      <c r="DT387" s="678"/>
      <c r="DU387" s="678"/>
      <c r="DV387" s="678"/>
      <c r="DW387" s="678"/>
      <c r="DX387" s="678"/>
      <c r="DY387" s="678"/>
      <c r="DZ387" s="678"/>
      <c r="EA387" s="678"/>
      <c r="EB387" s="678"/>
      <c r="EC387" s="678"/>
      <c r="ED387" s="678"/>
      <c r="EE387" s="678"/>
      <c r="EF387" s="678"/>
      <c r="EG387" s="678"/>
      <c r="EH387" s="678"/>
      <c r="EI387" s="678"/>
      <c r="EJ387" s="678"/>
      <c r="EK387" s="678"/>
      <c r="EL387" s="678"/>
      <c r="EM387" s="678"/>
      <c r="EN387" s="678"/>
      <c r="EO387" s="678"/>
      <c r="EP387" s="678"/>
      <c r="EQ387" s="678"/>
      <c r="ER387" s="678"/>
      <c r="ES387" s="678"/>
      <c r="ET387" s="678"/>
      <c r="EU387" s="678"/>
      <c r="EV387" s="678"/>
      <c r="EW387" s="678"/>
      <c r="EX387" s="678"/>
      <c r="EY387" s="678"/>
      <c r="EZ387" s="678"/>
      <c r="FA387" s="678"/>
      <c r="FB387" s="678"/>
      <c r="FC387" s="678"/>
      <c r="FD387" s="678"/>
      <c r="FE387" s="678"/>
      <c r="FF387" s="678"/>
      <c r="FG387" s="678"/>
      <c r="FH387" s="678"/>
      <c r="FI387" s="678"/>
      <c r="FJ387" s="678"/>
      <c r="FK387" s="678"/>
      <c r="FL387" s="678"/>
      <c r="FM387" s="678"/>
      <c r="FN387" s="678"/>
      <c r="FO387" s="678"/>
      <c r="FP387" s="678"/>
      <c r="FQ387" s="678"/>
      <c r="FR387" s="678"/>
      <c r="FS387" s="678"/>
      <c r="FT387" s="678"/>
      <c r="FU387" s="678"/>
      <c r="FV387" s="678"/>
      <c r="FW387" s="678"/>
      <c r="FX387" s="678"/>
      <c r="FY387" s="678"/>
      <c r="FZ387" s="678"/>
      <c r="GA387" s="678"/>
      <c r="GB387" s="678"/>
      <c r="GC387" s="678"/>
      <c r="GD387" s="678"/>
      <c r="GE387" s="678"/>
      <c r="GF387" s="678"/>
      <c r="GG387" s="678"/>
      <c r="GH387" s="678"/>
      <c r="GI387" s="678"/>
      <c r="GJ387" s="678"/>
      <c r="GK387" s="678"/>
      <c r="GL387" s="678"/>
      <c r="GM387" s="678"/>
      <c r="GN387" s="678"/>
      <c r="GO387" s="678"/>
      <c r="GP387" s="678"/>
      <c r="GQ387" s="678"/>
      <c r="GR387" s="678"/>
      <c r="GS387" s="678"/>
      <c r="GT387" s="678"/>
      <c r="GU387" s="678"/>
      <c r="GV387" s="678"/>
      <c r="GW387" s="678"/>
      <c r="GX387" s="678"/>
      <c r="GY387" s="678"/>
      <c r="GZ387" s="678"/>
      <c r="HA387" s="678"/>
      <c r="HB387" s="678"/>
      <c r="HC387" s="678"/>
      <c r="HD387" s="678"/>
      <c r="HE387" s="678"/>
      <c r="HF387" s="678"/>
      <c r="HG387" s="678"/>
      <c r="HH387" s="678"/>
      <c r="HI387" s="678"/>
      <c r="HJ387" s="678"/>
      <c r="HK387" s="678"/>
      <c r="HL387" s="678"/>
      <c r="HM387" s="678"/>
      <c r="HN387" s="678"/>
      <c r="HO387" s="678"/>
      <c r="HP387" s="678"/>
      <c r="HQ387" s="678"/>
      <c r="HR387" s="678"/>
      <c r="HS387" s="678"/>
      <c r="HT387" s="678"/>
      <c r="HU387" s="678"/>
      <c r="HV387" s="678"/>
      <c r="HW387" s="678"/>
      <c r="HX387" s="678"/>
      <c r="HY387" s="678"/>
      <c r="HZ387" s="678"/>
      <c r="IA387" s="678"/>
      <c r="IB387" s="678"/>
      <c r="IC387" s="678"/>
      <c r="ID387" s="678"/>
      <c r="IE387" s="678"/>
      <c r="IF387" s="678"/>
      <c r="IG387" s="678"/>
      <c r="IH387" s="678"/>
      <c r="II387" s="678"/>
      <c r="IJ387" s="678"/>
      <c r="IK387" s="678"/>
      <c r="IL387" s="678"/>
      <c r="IM387" s="678"/>
      <c r="IN387" s="678"/>
      <c r="IO387" s="678"/>
      <c r="IP387" s="678"/>
      <c r="IQ387" s="678"/>
      <c r="IR387" s="678"/>
      <c r="IS387" s="678"/>
      <c r="IT387" s="678"/>
      <c r="IU387" s="678"/>
      <c r="IV387" s="678"/>
      <c r="IW387" s="678"/>
    </row>
    <row r="388" spans="1:257" s="582" customFormat="1" ht="53.25" hidden="1" customHeight="1">
      <c r="A388" s="683" t="s">
        <v>258</v>
      </c>
      <c r="B388" s="696" t="s">
        <v>1003</v>
      </c>
      <c r="C388" s="713"/>
      <c r="D388" s="713"/>
      <c r="E388" s="725"/>
      <c r="F388" s="651"/>
      <c r="G388" s="709" t="s">
        <v>1448</v>
      </c>
      <c r="H388" s="709"/>
      <c r="I388" s="709"/>
      <c r="J388" s="651"/>
      <c r="K388" s="651"/>
      <c r="L388" s="1305"/>
      <c r="M388" s="651"/>
      <c r="N388" s="826"/>
      <c r="O388" s="826"/>
      <c r="P388" s="1004"/>
      <c r="Q388" s="1004"/>
      <c r="R388" s="1005"/>
      <c r="S388" s="866"/>
      <c r="T388" s="839"/>
      <c r="U388" s="580"/>
      <c r="V388" s="639"/>
      <c r="W388" s="581"/>
      <c r="X388" s="578"/>
    </row>
    <row r="389" spans="1:257" s="582" customFormat="1">
      <c r="A389" s="683" t="s">
        <v>258</v>
      </c>
      <c r="B389" s="696" t="s">
        <v>307</v>
      </c>
      <c r="C389" s="713"/>
      <c r="D389" s="713"/>
      <c r="E389" s="725"/>
      <c r="F389" s="651">
        <v>1089000000</v>
      </c>
      <c r="G389" s="709"/>
      <c r="H389" s="709"/>
      <c r="I389" s="709"/>
      <c r="J389" s="651">
        <f>716698000+420000000+300000000</f>
        <v>1436698000</v>
      </c>
      <c r="K389" s="651">
        <v>1435000000</v>
      </c>
      <c r="L389" s="1305">
        <v>1300000000</v>
      </c>
      <c r="M389" s="651" t="s">
        <v>1415</v>
      </c>
      <c r="N389" s="826"/>
      <c r="O389" s="826"/>
      <c r="P389" s="1004"/>
      <c r="Q389" s="1004"/>
      <c r="R389" s="937"/>
      <c r="S389" s="866"/>
      <c r="T389" s="839"/>
      <c r="U389" s="580"/>
      <c r="V389" s="639"/>
      <c r="W389" s="581"/>
      <c r="X389" s="578"/>
    </row>
    <row r="390" spans="1:257" s="582" customFormat="1">
      <c r="A390" s="683" t="s">
        <v>258</v>
      </c>
      <c r="B390" s="696" t="s">
        <v>308</v>
      </c>
      <c r="C390" s="713"/>
      <c r="D390" s="713"/>
      <c r="E390" s="725"/>
      <c r="F390" s="651"/>
      <c r="G390" s="709"/>
      <c r="H390" s="709"/>
      <c r="I390" s="709"/>
      <c r="J390" s="651">
        <v>131600000</v>
      </c>
      <c r="K390" s="651">
        <v>120000000</v>
      </c>
      <c r="L390" s="1305">
        <v>120000000</v>
      </c>
      <c r="M390" s="651"/>
      <c r="N390" s="826"/>
      <c r="O390" s="826"/>
      <c r="P390" s="1004"/>
      <c r="Q390" s="1004"/>
      <c r="R390" s="937"/>
      <c r="S390" s="866"/>
      <c r="T390" s="839"/>
      <c r="U390" s="580"/>
      <c r="V390" s="639"/>
      <c r="W390" s="581"/>
      <c r="X390" s="578"/>
    </row>
    <row r="391" spans="1:257" s="582" customFormat="1">
      <c r="A391" s="683" t="s">
        <v>258</v>
      </c>
      <c r="B391" s="696" t="s">
        <v>309</v>
      </c>
      <c r="C391" s="713"/>
      <c r="D391" s="713"/>
      <c r="E391" s="725"/>
      <c r="F391" s="700">
        <v>48000000</v>
      </c>
      <c r="G391" s="1006" t="s">
        <v>1004</v>
      </c>
      <c r="H391" s="1006"/>
      <c r="I391" s="1006"/>
      <c r="J391" s="700">
        <v>48000000</v>
      </c>
      <c r="K391" s="700">
        <v>72000000</v>
      </c>
      <c r="L391" s="1315">
        <v>72000000</v>
      </c>
      <c r="M391" s="651"/>
      <c r="N391" s="820"/>
      <c r="O391" s="820"/>
      <c r="P391" s="1007"/>
      <c r="Q391" s="1007"/>
      <c r="R391" s="871"/>
      <c r="S391" s="900"/>
      <c r="T391" s="822"/>
      <c r="U391" s="577"/>
      <c r="V391" s="581"/>
      <c r="W391" s="581"/>
      <c r="X391" s="578"/>
    </row>
    <row r="392" spans="1:257" s="748" customFormat="1">
      <c r="A392" s="1008" t="s">
        <v>258</v>
      </c>
      <c r="B392" s="902" t="s">
        <v>1989</v>
      </c>
      <c r="C392" s="758"/>
      <c r="D392" s="758"/>
      <c r="E392" s="760"/>
      <c r="F392" s="740">
        <v>70000000</v>
      </c>
      <c r="G392" s="1009" t="s">
        <v>1006</v>
      </c>
      <c r="H392" s="1009"/>
      <c r="I392" s="1009"/>
      <c r="J392" s="740">
        <v>60000000</v>
      </c>
      <c r="K392" s="740">
        <v>130000000</v>
      </c>
      <c r="L392" s="1315">
        <v>90000000</v>
      </c>
      <c r="M392" s="676" t="s">
        <v>1414</v>
      </c>
      <c r="N392" s="903"/>
      <c r="O392" s="903"/>
      <c r="P392" s="1010"/>
      <c r="Q392" s="1010"/>
      <c r="R392" s="905"/>
      <c r="S392" s="952"/>
      <c r="T392" s="953"/>
      <c r="U392" s="734"/>
      <c r="V392" s="746"/>
      <c r="W392" s="746"/>
      <c r="X392" s="747"/>
    </row>
    <row r="393" spans="1:257" s="582" customFormat="1">
      <c r="A393" s="683" t="s">
        <v>258</v>
      </c>
      <c r="B393" s="696" t="s">
        <v>311</v>
      </c>
      <c r="C393" s="713"/>
      <c r="D393" s="713"/>
      <c r="E393" s="725"/>
      <c r="F393" s="700"/>
      <c r="G393" s="1006"/>
      <c r="H393" s="1006"/>
      <c r="I393" s="1006"/>
      <c r="J393" s="700">
        <v>10000000</v>
      </c>
      <c r="K393" s="700"/>
      <c r="L393" s="1315"/>
      <c r="M393" s="651"/>
      <c r="N393" s="820"/>
      <c r="O393" s="820"/>
      <c r="P393" s="1007"/>
      <c r="Q393" s="1007"/>
      <c r="R393" s="871"/>
      <c r="S393" s="900"/>
      <c r="T393" s="822"/>
      <c r="U393" s="577"/>
      <c r="V393" s="581"/>
      <c r="W393" s="581"/>
      <c r="X393" s="578"/>
    </row>
    <row r="394" spans="1:257" s="582" customFormat="1" ht="15.75" hidden="1" customHeight="1">
      <c r="A394" s="683" t="s">
        <v>258</v>
      </c>
      <c r="B394" s="696" t="s">
        <v>1007</v>
      </c>
      <c r="C394" s="713"/>
      <c r="D394" s="713"/>
      <c r="E394" s="725"/>
      <c r="F394" s="700"/>
      <c r="G394" s="1006"/>
      <c r="H394" s="1006"/>
      <c r="I394" s="1006"/>
      <c r="J394" s="700">
        <v>6000000</v>
      </c>
      <c r="K394" s="700"/>
      <c r="L394" s="1315"/>
      <c r="M394" s="651"/>
      <c r="N394" s="820"/>
      <c r="O394" s="820"/>
      <c r="P394" s="1007"/>
      <c r="Q394" s="1007"/>
      <c r="R394" s="871"/>
      <c r="S394" s="900"/>
      <c r="T394" s="822"/>
      <c r="U394" s="577"/>
      <c r="V394" s="581"/>
      <c r="W394" s="581"/>
      <c r="X394" s="578"/>
    </row>
    <row r="395" spans="1:257" s="582" customFormat="1">
      <c r="A395" s="683" t="s">
        <v>258</v>
      </c>
      <c r="B395" s="696" t="s">
        <v>1008</v>
      </c>
      <c r="C395" s="713"/>
      <c r="D395" s="713"/>
      <c r="E395" s="725"/>
      <c r="F395" s="700">
        <v>490000000</v>
      </c>
      <c r="G395" s="1006"/>
      <c r="H395" s="1006"/>
      <c r="I395" s="1006"/>
      <c r="J395" s="700"/>
      <c r="K395" s="700"/>
      <c r="L395" s="1315"/>
      <c r="M395" s="651"/>
      <c r="N395" s="820"/>
      <c r="O395" s="820"/>
      <c r="P395" s="1007"/>
      <c r="Q395" s="1007"/>
      <c r="R395" s="871"/>
      <c r="S395" s="900"/>
      <c r="T395" s="822"/>
      <c r="U395" s="577"/>
      <c r="V395" s="581"/>
      <c r="W395" s="581"/>
      <c r="X395" s="578"/>
    </row>
    <row r="396" spans="1:257" s="582" customFormat="1" ht="31.5" hidden="1" customHeight="1">
      <c r="A396" s="683" t="s">
        <v>258</v>
      </c>
      <c r="B396" s="696" t="s">
        <v>1009</v>
      </c>
      <c r="C396" s="713"/>
      <c r="D396" s="713"/>
      <c r="E396" s="725"/>
      <c r="F396" s="700"/>
      <c r="G396" s="1006"/>
      <c r="H396" s="1006"/>
      <c r="I396" s="1006"/>
      <c r="J396" s="700"/>
      <c r="K396" s="700"/>
      <c r="L396" s="1315"/>
      <c r="M396" s="651"/>
      <c r="N396" s="820"/>
      <c r="O396" s="820"/>
      <c r="P396" s="1007"/>
      <c r="Q396" s="1007"/>
      <c r="R396" s="871"/>
      <c r="S396" s="900"/>
      <c r="T396" s="1011">
        <f>T398-T397</f>
        <v>664.76666666666279</v>
      </c>
      <c r="U396" s="577"/>
      <c r="V396" s="581"/>
      <c r="W396" s="581"/>
      <c r="X396" s="578"/>
    </row>
    <row r="397" spans="1:257" s="582" customFormat="1" ht="31.5" hidden="1" customHeight="1">
      <c r="A397" s="683" t="s">
        <v>258</v>
      </c>
      <c r="B397" s="696" t="s">
        <v>1010</v>
      </c>
      <c r="C397" s="713"/>
      <c r="D397" s="713"/>
      <c r="E397" s="725"/>
      <c r="F397" s="700"/>
      <c r="G397" s="1006"/>
      <c r="H397" s="1006"/>
      <c r="I397" s="1006"/>
      <c r="J397" s="700"/>
      <c r="K397" s="700"/>
      <c r="L397" s="1315"/>
      <c r="M397" s="651"/>
      <c r="N397" s="820"/>
      <c r="O397" s="820"/>
      <c r="P397" s="1007"/>
      <c r="Q397" s="1007"/>
      <c r="R397" s="871"/>
      <c r="S397" s="900"/>
      <c r="T397" s="822">
        <v>292006</v>
      </c>
      <c r="U397" s="577"/>
      <c r="V397" s="581"/>
      <c r="W397" s="581"/>
      <c r="X397" s="578"/>
    </row>
    <row r="398" spans="1:257" s="582" customFormat="1" ht="15.75" hidden="1" customHeight="1">
      <c r="A398" s="683" t="s">
        <v>258</v>
      </c>
      <c r="B398" s="696" t="s">
        <v>312</v>
      </c>
      <c r="C398" s="713"/>
      <c r="D398" s="713"/>
      <c r="E398" s="725"/>
      <c r="F398" s="700"/>
      <c r="G398" s="700">
        <f>270000000+70000000+140000000+90000000+36000000</f>
        <v>606000000</v>
      </c>
      <c r="H398" s="700"/>
      <c r="I398" s="700"/>
      <c r="J398" s="700">
        <v>110000000</v>
      </c>
      <c r="K398" s="700"/>
      <c r="L398" s="1315"/>
      <c r="M398" s="651"/>
      <c r="N398" s="820"/>
      <c r="O398" s="820"/>
      <c r="P398" s="1012"/>
      <c r="Q398" s="1012"/>
      <c r="R398" s="1013">
        <f>364+70</f>
        <v>434</v>
      </c>
      <c r="S398" s="900">
        <v>353562</v>
      </c>
      <c r="T398" s="1014">
        <f>S398/1.8*1.49</f>
        <v>292670.76666666666</v>
      </c>
      <c r="U398" s="577">
        <f>T398+S399</f>
        <v>361321.93415637861</v>
      </c>
      <c r="V398" s="578">
        <f>S398-T398</f>
        <v>60891.233333333337</v>
      </c>
      <c r="W398" s="578">
        <f>V398-49318</f>
        <v>11573.233333333337</v>
      </c>
      <c r="X398" s="578"/>
    </row>
    <row r="399" spans="1:257" s="1016" customFormat="1">
      <c r="A399" s="589" t="s">
        <v>261</v>
      </c>
      <c r="B399" s="804" t="s">
        <v>262</v>
      </c>
      <c r="C399" s="589"/>
      <c r="D399" s="589"/>
      <c r="E399" s="704"/>
      <c r="F399" s="805">
        <f>F400</f>
        <v>64000000</v>
      </c>
      <c r="G399" s="704"/>
      <c r="H399" s="704"/>
      <c r="I399" s="704"/>
      <c r="J399" s="805">
        <f>J400</f>
        <v>183429800</v>
      </c>
      <c r="K399" s="805">
        <f>K400</f>
        <v>176500000</v>
      </c>
      <c r="L399" s="1312">
        <f>L400</f>
        <v>159000000</v>
      </c>
      <c r="M399" s="603"/>
      <c r="N399" s="835"/>
      <c r="O399" s="835"/>
      <c r="P399" s="829"/>
      <c r="Q399" s="829"/>
      <c r="R399" s="891"/>
      <c r="S399" s="945">
        <f>T398/81*19</f>
        <v>68651.167489711923</v>
      </c>
      <c r="T399" s="852"/>
      <c r="U399" s="721"/>
      <c r="V399" s="702"/>
      <c r="W399" s="702"/>
      <c r="X399" s="1015"/>
    </row>
    <row r="400" spans="1:257" s="1019" customFormat="1">
      <c r="A400" s="699"/>
      <c r="B400" s="668" t="s">
        <v>263</v>
      </c>
      <c r="C400" s="713"/>
      <c r="D400" s="713"/>
      <c r="E400" s="725"/>
      <c r="F400" s="669">
        <f>(F392+F385+F398+F395+F388)*10%</f>
        <v>64000000</v>
      </c>
      <c r="G400" s="700"/>
      <c r="H400" s="700"/>
      <c r="I400" s="700"/>
      <c r="J400" s="669">
        <f>(J385+J388+J389+J390+J392+J393+J394+J395+J398)*10%</f>
        <v>183429800</v>
      </c>
      <c r="K400" s="669">
        <f>(K385+K389+K390+K392+K393+K396+K397)*10%</f>
        <v>176500000</v>
      </c>
      <c r="L400" s="1306">
        <f>(L385+L387-L391)*10%</f>
        <v>159000000</v>
      </c>
      <c r="M400" s="669"/>
      <c r="N400" s="837"/>
      <c r="O400" s="837"/>
      <c r="P400" s="820"/>
      <c r="Q400" s="820"/>
      <c r="R400" s="891"/>
      <c r="S400" s="837">
        <v>22000</v>
      </c>
      <c r="T400" s="1017">
        <v>636</v>
      </c>
      <c r="U400" s="594">
        <v>1597</v>
      </c>
      <c r="V400" s="578">
        <v>480</v>
      </c>
      <c r="W400" s="578">
        <f>S398+S399+S400+T400+U400+V400</f>
        <v>446926.16748971189</v>
      </c>
      <c r="X400" s="1018">
        <f>W400-434053</f>
        <v>12873.167489711894</v>
      </c>
    </row>
    <row r="401" spans="1:25" s="1025" customFormat="1" ht="31.5">
      <c r="A401" s="622">
        <v>6</v>
      </c>
      <c r="B401" s="623" t="s">
        <v>313</v>
      </c>
      <c r="C401" s="661">
        <f>C403+C412+C419+C427</f>
        <v>2474</v>
      </c>
      <c r="D401" s="661">
        <f>D403+D412+D419+D427</f>
        <v>2311</v>
      </c>
      <c r="E401" s="660"/>
      <c r="F401" s="858">
        <f t="shared" ref="F401:J401" si="50">F402+F411+F419+F427+F435+F436+F439+F440+F441+F452</f>
        <v>389453000000</v>
      </c>
      <c r="G401" s="858" t="e">
        <f t="shared" si="50"/>
        <v>#VALUE!</v>
      </c>
      <c r="H401" s="858">
        <f t="shared" si="50"/>
        <v>8191000000</v>
      </c>
      <c r="I401" s="858">
        <f t="shared" si="50"/>
        <v>8191000000</v>
      </c>
      <c r="J401" s="858">
        <f t="shared" si="50"/>
        <v>478871168016</v>
      </c>
      <c r="K401" s="858">
        <v>437494000000</v>
      </c>
      <c r="L401" s="1304">
        <f>'GIÁO DỤC'!S84*1000</f>
        <v>577473000000</v>
      </c>
      <c r="M401" s="732" t="s">
        <v>1713</v>
      </c>
      <c r="N401" s="1020"/>
      <c r="O401" s="1020"/>
      <c r="P401" s="1021"/>
      <c r="Q401" s="1021"/>
      <c r="R401" s="1022" t="e">
        <f>M401-L401</f>
        <v>#VALUE!</v>
      </c>
      <c r="S401" s="861"/>
      <c r="T401" s="862"/>
      <c r="U401" s="734"/>
      <c r="V401" s="1023"/>
      <c r="W401" s="746"/>
      <c r="X401" s="1024">
        <f>(S399+S400)*10%</f>
        <v>9065.1167489711934</v>
      </c>
      <c r="Y401" s="1025" t="s">
        <v>1011</v>
      </c>
    </row>
    <row r="402" spans="1:25" s="582" customFormat="1" ht="15.75" hidden="1" customHeight="1">
      <c r="A402" s="589" t="s">
        <v>314</v>
      </c>
      <c r="B402" s="607" t="s">
        <v>315</v>
      </c>
      <c r="C402" s="589"/>
      <c r="D402" s="589"/>
      <c r="E402" s="704"/>
      <c r="F402" s="704">
        <f>F403+F406+F408+F410</f>
        <v>63249000000</v>
      </c>
      <c r="G402" s="704">
        <f>G403+G406+G408+G410</f>
        <v>805900000</v>
      </c>
      <c r="H402" s="704">
        <f>H403+H406+H408+H410</f>
        <v>0</v>
      </c>
      <c r="I402" s="704">
        <f>I403+I406+I408+I410</f>
        <v>0</v>
      </c>
      <c r="J402" s="704">
        <f>J403+J406+J408+J410</f>
        <v>71810480000</v>
      </c>
      <c r="K402" s="704">
        <f>SUM(K403:K410)</f>
        <v>149140400000</v>
      </c>
      <c r="L402" s="1310">
        <f>SUM(L403:L410)</f>
        <v>149140400000</v>
      </c>
      <c r="M402" s="609">
        <f>L403+L412+L420+L428</f>
        <v>358315000000</v>
      </c>
      <c r="N402" s="829"/>
      <c r="O402" s="829"/>
      <c r="P402" s="924"/>
      <c r="Q402" s="924"/>
      <c r="R402" s="866"/>
      <c r="S402" s="1026"/>
      <c r="T402" s="1027"/>
      <c r="U402" s="1028"/>
      <c r="V402" s="1029"/>
      <c r="W402" s="581"/>
      <c r="X402" s="578">
        <v>3019</v>
      </c>
    </row>
    <row r="403" spans="1:25" s="582" customFormat="1" ht="15.75" hidden="1" customHeight="1">
      <c r="A403" s="699" t="s">
        <v>222</v>
      </c>
      <c r="B403" s="696" t="s">
        <v>316</v>
      </c>
      <c r="C403" s="699">
        <v>551</v>
      </c>
      <c r="D403" s="699">
        <v>498</v>
      </c>
      <c r="E403" s="700"/>
      <c r="F403" s="700">
        <f>51019000000+1024000000-2000000</f>
        <v>52041000000</v>
      </c>
      <c r="G403" s="817"/>
      <c r="H403" s="817"/>
      <c r="I403" s="817"/>
      <c r="J403" s="700">
        <f>57992000000</f>
        <v>57992000000</v>
      </c>
      <c r="K403" s="700">
        <f>SUM(K404:K405)</f>
        <v>68578000000</v>
      </c>
      <c r="L403" s="1315">
        <f>SUM(L404:L405)</f>
        <v>68578000000</v>
      </c>
      <c r="M403" s="651">
        <f>L406+L415+L423+L431</f>
        <v>69574261111.111099</v>
      </c>
      <c r="N403" s="820"/>
      <c r="O403" s="820"/>
      <c r="P403" s="819"/>
      <c r="Q403" s="819"/>
      <c r="R403" s="866">
        <f>L403/1.8*1.49</f>
        <v>56767344444.444443</v>
      </c>
      <c r="S403" s="1026">
        <f>R403-K403</f>
        <v>-11810655555.555557</v>
      </c>
      <c r="T403" s="1027"/>
      <c r="U403" s="1030"/>
      <c r="V403" s="581"/>
      <c r="W403" s="581"/>
      <c r="X403" s="578">
        <f>X401+X402</f>
        <v>12084.116748971193</v>
      </c>
    </row>
    <row r="404" spans="1:25" s="682" customFormat="1" ht="15.75" hidden="1" customHeight="1">
      <c r="A404" s="713" t="s">
        <v>91</v>
      </c>
      <c r="B404" s="813" t="s">
        <v>963</v>
      </c>
      <c r="C404" s="713"/>
      <c r="D404" s="713"/>
      <c r="E404" s="725"/>
      <c r="F404" s="725"/>
      <c r="G404" s="816"/>
      <c r="H404" s="816"/>
      <c r="I404" s="816"/>
      <c r="J404" s="725"/>
      <c r="K404" s="725">
        <f>ROUND(68578000000/1.8*1.49,-6)</f>
        <v>56767000000</v>
      </c>
      <c r="L404" s="1311">
        <f>ROUND(68578000000/1.8*1.49,-6)</f>
        <v>56767000000</v>
      </c>
      <c r="M404" s="1031"/>
      <c r="N404" s="868"/>
      <c r="O404" s="868"/>
      <c r="P404" s="927"/>
      <c r="Q404" s="927"/>
      <c r="R404" s="871"/>
      <c r="S404" s="1032"/>
      <c r="T404" s="1033"/>
      <c r="U404" s="1034"/>
      <c r="V404" s="727"/>
      <c r="W404" s="727"/>
      <c r="X404" s="728">
        <f>X400-X403</f>
        <v>789.05074074070035</v>
      </c>
    </row>
    <row r="405" spans="1:25" s="682" customFormat="1" ht="15.75" hidden="1" customHeight="1">
      <c r="A405" s="713" t="s">
        <v>91</v>
      </c>
      <c r="B405" s="813" t="s">
        <v>1012</v>
      </c>
      <c r="C405" s="713"/>
      <c r="D405" s="713"/>
      <c r="E405" s="725"/>
      <c r="F405" s="725"/>
      <c r="G405" s="816"/>
      <c r="H405" s="816"/>
      <c r="I405" s="816"/>
      <c r="J405" s="725"/>
      <c r="K405" s="725">
        <f>68578000000-K404</f>
        <v>11811000000</v>
      </c>
      <c r="L405" s="1311">
        <f>68578000000-L404</f>
        <v>11811000000</v>
      </c>
      <c r="M405" s="669"/>
      <c r="N405" s="868"/>
      <c r="O405" s="868"/>
      <c r="P405" s="927"/>
      <c r="Q405" s="927"/>
      <c r="R405" s="871"/>
      <c r="S405" s="1032"/>
      <c r="T405" s="1033"/>
      <c r="U405" s="1034"/>
      <c r="V405" s="727"/>
      <c r="W405" s="727"/>
      <c r="X405" s="728"/>
    </row>
    <row r="406" spans="1:25" s="582" customFormat="1" ht="15.75" hidden="1" customHeight="1">
      <c r="A406" s="699" t="s">
        <v>225</v>
      </c>
      <c r="B406" s="696" t="s">
        <v>317</v>
      </c>
      <c r="C406" s="699"/>
      <c r="D406" s="699"/>
      <c r="E406" s="700"/>
      <c r="F406" s="700">
        <v>8059000000</v>
      </c>
      <c r="G406" s="817">
        <f>F406*10%</f>
        <v>805900000</v>
      </c>
      <c r="H406" s="817"/>
      <c r="I406" s="817"/>
      <c r="J406" s="700">
        <f>57992000000*19%</f>
        <v>11018480000</v>
      </c>
      <c r="K406" s="700">
        <f>ROUND(K404*19%/81%,-6)</f>
        <v>13316000000</v>
      </c>
      <c r="L406" s="1315">
        <f>ROUND(L404*19%/81%,-6)</f>
        <v>13316000000</v>
      </c>
      <c r="M406" s="651"/>
      <c r="N406" s="820"/>
      <c r="O406" s="820"/>
      <c r="P406" s="819"/>
      <c r="Q406" s="819"/>
      <c r="R406" s="866"/>
      <c r="S406" s="1026"/>
      <c r="T406" s="1027"/>
      <c r="U406" s="1030"/>
      <c r="V406" s="581"/>
      <c r="W406" s="581"/>
      <c r="X406" s="578"/>
    </row>
    <row r="407" spans="1:25" s="582" customFormat="1" ht="15.75" hidden="1" customHeight="1">
      <c r="A407" s="699" t="s">
        <v>261</v>
      </c>
      <c r="B407" s="696" t="s">
        <v>263</v>
      </c>
      <c r="C407" s="699"/>
      <c r="D407" s="699"/>
      <c r="E407" s="700"/>
      <c r="F407" s="700"/>
      <c r="G407" s="817"/>
      <c r="H407" s="817"/>
      <c r="I407" s="817"/>
      <c r="J407" s="700"/>
      <c r="K407" s="700">
        <f>-K406*10%</f>
        <v>-1331600000</v>
      </c>
      <c r="L407" s="1315">
        <f>-L406*10%</f>
        <v>-1331600000</v>
      </c>
      <c r="M407" s="651"/>
      <c r="N407" s="820"/>
      <c r="O407" s="820"/>
      <c r="P407" s="819"/>
      <c r="Q407" s="819"/>
      <c r="R407" s="866"/>
      <c r="S407" s="1026"/>
      <c r="T407" s="1027"/>
      <c r="U407" s="1030"/>
      <c r="V407" s="581"/>
      <c r="W407" s="581"/>
      <c r="X407" s="578"/>
    </row>
    <row r="408" spans="1:25" s="582" customFormat="1" ht="15.75" hidden="1" customHeight="1">
      <c r="A408" s="699" t="s">
        <v>298</v>
      </c>
      <c r="B408" s="696" t="s">
        <v>1013</v>
      </c>
      <c r="C408" s="699"/>
      <c r="D408" s="699"/>
      <c r="E408" s="700"/>
      <c r="F408" s="700">
        <v>2381000000</v>
      </c>
      <c r="G408" s="817"/>
      <c r="H408" s="817"/>
      <c r="I408" s="817"/>
      <c r="J408" s="700">
        <v>2800000000</v>
      </c>
      <c r="K408" s="700"/>
      <c r="L408" s="1315"/>
      <c r="M408" s="651"/>
      <c r="N408" s="820"/>
      <c r="O408" s="820"/>
      <c r="P408" s="819"/>
      <c r="Q408" s="819"/>
      <c r="R408" s="866"/>
      <c r="S408" s="1026"/>
      <c r="T408" s="1027"/>
      <c r="U408" s="1030"/>
      <c r="V408" s="581"/>
      <c r="W408" s="581"/>
      <c r="X408" s="578"/>
    </row>
    <row r="409" spans="1:25" s="582" customFormat="1" ht="15.75" hidden="1" customHeight="1">
      <c r="A409" s="699" t="s">
        <v>1014</v>
      </c>
      <c r="B409" s="696" t="s">
        <v>318</v>
      </c>
      <c r="C409" s="699"/>
      <c r="D409" s="699"/>
      <c r="E409" s="700"/>
      <c r="F409" s="700"/>
      <c r="G409" s="817"/>
      <c r="H409" s="817"/>
      <c r="I409" s="817"/>
      <c r="J409" s="700"/>
      <c r="K409" s="700"/>
      <c r="L409" s="1315"/>
      <c r="M409" s="651"/>
      <c r="N409" s="820"/>
      <c r="O409" s="820"/>
      <c r="P409" s="819"/>
      <c r="Q409" s="819"/>
      <c r="R409" s="866"/>
      <c r="S409" s="1026"/>
      <c r="T409" s="1027"/>
      <c r="U409" s="1030"/>
      <c r="V409" s="581"/>
      <c r="W409" s="581"/>
      <c r="X409" s="578"/>
    </row>
    <row r="410" spans="1:25" s="582" customFormat="1" ht="15.75" hidden="1" customHeight="1">
      <c r="A410" s="699" t="s">
        <v>1015</v>
      </c>
      <c r="B410" s="696" t="s">
        <v>319</v>
      </c>
      <c r="C410" s="699"/>
      <c r="D410" s="699"/>
      <c r="E410" s="700"/>
      <c r="F410" s="700">
        <v>768000000</v>
      </c>
      <c r="G410" s="817"/>
      <c r="H410" s="817"/>
      <c r="I410" s="817"/>
      <c r="J410" s="700"/>
      <c r="K410" s="700"/>
      <c r="L410" s="1315"/>
      <c r="M410" s="651"/>
      <c r="N410" s="820"/>
      <c r="O410" s="820"/>
      <c r="P410" s="819"/>
      <c r="Q410" s="819"/>
      <c r="R410" s="866"/>
      <c r="S410" s="1026"/>
      <c r="T410" s="1027"/>
      <c r="U410" s="1030"/>
      <c r="V410" s="581"/>
      <c r="W410" s="581"/>
      <c r="X410" s="578"/>
    </row>
    <row r="411" spans="1:25" s="582" customFormat="1" ht="15.75" hidden="1" customHeight="1">
      <c r="A411" s="589" t="s">
        <v>320</v>
      </c>
      <c r="B411" s="607" t="s">
        <v>321</v>
      </c>
      <c r="C411" s="1035"/>
      <c r="D411" s="699"/>
      <c r="E411" s="638"/>
      <c r="F411" s="704">
        <f>F412+F415+F418</f>
        <v>125636000000</v>
      </c>
      <c r="G411" s="704">
        <f>G412+G415+G418</f>
        <v>1678900000</v>
      </c>
      <c r="H411" s="704">
        <f>H412+H415+H418</f>
        <v>0</v>
      </c>
      <c r="I411" s="704">
        <f>I412+I415+I418</f>
        <v>0</v>
      </c>
      <c r="J411" s="704">
        <f>J412+J415+J418</f>
        <v>135399390000</v>
      </c>
      <c r="K411" s="704">
        <f>SUM(K412:K418)</f>
        <v>164009627901.23459</v>
      </c>
      <c r="L411" s="1310">
        <f>SUM(L412:L418)</f>
        <v>164009627901.23459</v>
      </c>
      <c r="M411" s="609"/>
      <c r="N411" s="829"/>
      <c r="O411" s="829"/>
      <c r="P411" s="819"/>
      <c r="Q411" s="819"/>
      <c r="R411" s="866"/>
      <c r="S411" s="1026"/>
      <c r="T411" s="839"/>
      <c r="U411" s="1028"/>
      <c r="V411" s="581"/>
      <c r="W411" s="581"/>
      <c r="X411" s="578"/>
    </row>
    <row r="412" spans="1:25" s="582" customFormat="1" ht="15.75" hidden="1" customHeight="1">
      <c r="A412" s="699" t="s">
        <v>222</v>
      </c>
      <c r="B412" s="696" t="s">
        <v>316</v>
      </c>
      <c r="C412" s="1035">
        <v>926</v>
      </c>
      <c r="D412" s="699">
        <v>839</v>
      </c>
      <c r="E412" s="818"/>
      <c r="F412" s="700">
        <f>106292000000+1811000000</f>
        <v>108103000000</v>
      </c>
      <c r="G412" s="817"/>
      <c r="H412" s="817"/>
      <c r="I412" s="817"/>
      <c r="J412" s="700">
        <f>113781000000</f>
        <v>113781000000</v>
      </c>
      <c r="K412" s="700">
        <v>139612000000</v>
      </c>
      <c r="L412" s="1315">
        <v>139612000000</v>
      </c>
      <c r="M412" s="651"/>
      <c r="N412" s="820"/>
      <c r="O412" s="820"/>
      <c r="P412" s="819"/>
      <c r="Q412" s="819"/>
      <c r="R412" s="866">
        <f>L412/1.8*1.49</f>
        <v>115567711111.1111</v>
      </c>
      <c r="S412" s="1026">
        <f>R412-K412</f>
        <v>-24044288888.888901</v>
      </c>
      <c r="T412" s="839"/>
      <c r="U412" s="1036"/>
      <c r="V412" s="581"/>
      <c r="W412" s="581"/>
      <c r="X412" s="578"/>
    </row>
    <row r="413" spans="1:25" s="582" customFormat="1" ht="15.75" hidden="1" customHeight="1">
      <c r="A413" s="713" t="s">
        <v>91</v>
      </c>
      <c r="B413" s="813" t="s">
        <v>963</v>
      </c>
      <c r="C413" s="1035"/>
      <c r="D413" s="699"/>
      <c r="E413" s="818"/>
      <c r="F413" s="700"/>
      <c r="G413" s="817"/>
      <c r="H413" s="817"/>
      <c r="I413" s="817"/>
      <c r="J413" s="700"/>
      <c r="K413" s="700"/>
      <c r="L413" s="1315"/>
      <c r="M413" s="651"/>
      <c r="N413" s="820"/>
      <c r="O413" s="820"/>
      <c r="P413" s="819"/>
      <c r="Q413" s="819"/>
      <c r="R413" s="866"/>
      <c r="S413" s="1026"/>
      <c r="T413" s="839"/>
      <c r="U413" s="1036"/>
      <c r="V413" s="581"/>
      <c r="W413" s="581"/>
      <c r="X413" s="578"/>
    </row>
    <row r="414" spans="1:25" s="582" customFormat="1" ht="15.75" hidden="1" customHeight="1">
      <c r="A414" s="713" t="s">
        <v>91</v>
      </c>
      <c r="B414" s="813" t="s">
        <v>1012</v>
      </c>
      <c r="C414" s="1035"/>
      <c r="D414" s="699"/>
      <c r="E414" s="818"/>
      <c r="F414" s="700"/>
      <c r="G414" s="817"/>
      <c r="H414" s="817"/>
      <c r="I414" s="817"/>
      <c r="J414" s="700"/>
      <c r="K414" s="700"/>
      <c r="L414" s="1315"/>
      <c r="M414" s="651"/>
      <c r="N414" s="820"/>
      <c r="O414" s="820"/>
      <c r="P414" s="819"/>
      <c r="Q414" s="819"/>
      <c r="R414" s="866"/>
      <c r="S414" s="1026"/>
      <c r="T414" s="839"/>
      <c r="U414" s="1036"/>
      <c r="V414" s="581"/>
      <c r="W414" s="581"/>
      <c r="X414" s="578"/>
    </row>
    <row r="415" spans="1:25" s="582" customFormat="1" ht="15.75" hidden="1" customHeight="1">
      <c r="A415" s="699" t="s">
        <v>225</v>
      </c>
      <c r="B415" s="696" t="s">
        <v>317</v>
      </c>
      <c r="C415" s="1035"/>
      <c r="D415" s="699"/>
      <c r="E415" s="818"/>
      <c r="F415" s="700">
        <v>16789000000</v>
      </c>
      <c r="G415" s="817">
        <f>F415*10%</f>
        <v>1678900000</v>
      </c>
      <c r="H415" s="817"/>
      <c r="I415" s="817"/>
      <c r="J415" s="700">
        <f>113781000000*19%</f>
        <v>21618390000</v>
      </c>
      <c r="K415" s="700">
        <f>K412/1.8*1.49*19%/81%</f>
        <v>27108475445.816185</v>
      </c>
      <c r="L415" s="1315">
        <f>L412/1.8*1.49*19%/81%</f>
        <v>27108475445.816185</v>
      </c>
      <c r="M415" s="651"/>
      <c r="N415" s="820"/>
      <c r="O415" s="820"/>
      <c r="P415" s="819"/>
      <c r="Q415" s="819"/>
      <c r="R415" s="866"/>
      <c r="S415" s="1026"/>
      <c r="T415" s="850"/>
      <c r="U415" s="1036"/>
      <c r="V415" s="581"/>
      <c r="W415" s="581"/>
      <c r="X415" s="578"/>
    </row>
    <row r="416" spans="1:25" s="582" customFormat="1" ht="15.75" hidden="1" customHeight="1">
      <c r="A416" s="699" t="s">
        <v>261</v>
      </c>
      <c r="B416" s="696" t="s">
        <v>263</v>
      </c>
      <c r="C416" s="1035"/>
      <c r="D416" s="699"/>
      <c r="E416" s="818"/>
      <c r="F416" s="700"/>
      <c r="G416" s="817"/>
      <c r="H416" s="817"/>
      <c r="I416" s="817"/>
      <c r="J416" s="700"/>
      <c r="K416" s="700">
        <f>-K415*10%</f>
        <v>-2710847544.5816188</v>
      </c>
      <c r="L416" s="1315">
        <f>-L415*10%</f>
        <v>-2710847544.5816188</v>
      </c>
      <c r="M416" s="651"/>
      <c r="N416" s="820"/>
      <c r="O416" s="820"/>
      <c r="P416" s="819"/>
      <c r="Q416" s="819"/>
      <c r="R416" s="866"/>
      <c r="S416" s="1026"/>
      <c r="T416" s="850"/>
      <c r="U416" s="1036"/>
      <c r="V416" s="581"/>
      <c r="W416" s="581"/>
      <c r="X416" s="578"/>
    </row>
    <row r="417" spans="1:24" s="582" customFormat="1" ht="15.75" hidden="1" customHeight="1">
      <c r="A417" s="699" t="s">
        <v>298</v>
      </c>
      <c r="B417" s="696" t="s">
        <v>318</v>
      </c>
      <c r="C417" s="1035"/>
      <c r="D417" s="699"/>
      <c r="E417" s="818"/>
      <c r="F417" s="700"/>
      <c r="G417" s="817"/>
      <c r="H417" s="817"/>
      <c r="I417" s="817"/>
      <c r="J417" s="700"/>
      <c r="K417" s="700"/>
      <c r="L417" s="1315"/>
      <c r="M417" s="651"/>
      <c r="N417" s="820"/>
      <c r="O417" s="820"/>
      <c r="P417" s="819"/>
      <c r="Q417" s="819"/>
      <c r="R417" s="866"/>
      <c r="S417" s="1026"/>
      <c r="T417" s="850"/>
      <c r="U417" s="1036"/>
      <c r="V417" s="581"/>
      <c r="W417" s="581"/>
      <c r="X417" s="578"/>
    </row>
    <row r="418" spans="1:24" s="582" customFormat="1" ht="15.75" hidden="1" customHeight="1">
      <c r="A418" s="699" t="s">
        <v>1014</v>
      </c>
      <c r="B418" s="696" t="s">
        <v>319</v>
      </c>
      <c r="C418" s="699"/>
      <c r="D418" s="699"/>
      <c r="E418" s="700"/>
      <c r="F418" s="700">
        <v>744000000</v>
      </c>
      <c r="G418" s="817"/>
      <c r="H418" s="817"/>
      <c r="I418" s="817"/>
      <c r="J418" s="700"/>
      <c r="K418" s="700"/>
      <c r="L418" s="1315"/>
      <c r="M418" s="651"/>
      <c r="N418" s="820"/>
      <c r="O418" s="820"/>
      <c r="P418" s="819"/>
      <c r="Q418" s="819"/>
      <c r="R418" s="866"/>
      <c r="S418" s="1026"/>
      <c r="T418" s="850"/>
      <c r="U418" s="1036"/>
      <c r="V418" s="581"/>
      <c r="W418" s="581"/>
      <c r="X418" s="578"/>
    </row>
    <row r="419" spans="1:24" s="582" customFormat="1" ht="15.75" hidden="1" customHeight="1">
      <c r="A419" s="589" t="s">
        <v>322</v>
      </c>
      <c r="B419" s="607" t="s">
        <v>323</v>
      </c>
      <c r="C419" s="1035">
        <v>773</v>
      </c>
      <c r="D419" s="699">
        <v>759</v>
      </c>
      <c r="E419" s="638"/>
      <c r="F419" s="704">
        <f t="shared" ref="F419:J419" si="51">F420+F423+F426</f>
        <v>110345000000</v>
      </c>
      <c r="G419" s="704">
        <f t="shared" si="51"/>
        <v>1508900000</v>
      </c>
      <c r="H419" s="704">
        <f t="shared" si="51"/>
        <v>0</v>
      </c>
      <c r="I419" s="704">
        <f t="shared" si="51"/>
        <v>0</v>
      </c>
      <c r="J419" s="704">
        <f t="shared" si="51"/>
        <v>114169100000</v>
      </c>
      <c r="K419" s="704">
        <f>SUM(K420:K426)</f>
        <v>253604481666.66666</v>
      </c>
      <c r="L419" s="1310">
        <f>SUM(L420:L426)</f>
        <v>253604481666.66666</v>
      </c>
      <c r="M419" s="609"/>
      <c r="N419" s="829"/>
      <c r="O419" s="829"/>
      <c r="P419" s="1037"/>
      <c r="Q419" s="1037"/>
      <c r="R419" s="866"/>
      <c r="S419" s="1026"/>
      <c r="T419" s="839"/>
      <c r="U419" s="594"/>
      <c r="V419" s="581"/>
      <c r="W419" s="581"/>
      <c r="X419" s="578"/>
    </row>
    <row r="420" spans="1:24" s="582" customFormat="1" ht="15.75" hidden="1" customHeight="1">
      <c r="A420" s="699" t="s">
        <v>222</v>
      </c>
      <c r="B420" s="696" t="s">
        <v>316</v>
      </c>
      <c r="C420" s="700"/>
      <c r="D420" s="699"/>
      <c r="E420" s="818"/>
      <c r="F420" s="700">
        <f>93280000000+1544000000</f>
        <v>94824000000</v>
      </c>
      <c r="G420" s="817"/>
      <c r="H420" s="817"/>
      <c r="I420" s="817"/>
      <c r="J420" s="700">
        <f>95940500000</f>
        <v>95940500000</v>
      </c>
      <c r="K420" s="700">
        <f>K421+K422</f>
        <v>116613000000</v>
      </c>
      <c r="L420" s="1315">
        <f>L421+L422</f>
        <v>116613000000</v>
      </c>
      <c r="M420" s="651"/>
      <c r="N420" s="820"/>
      <c r="O420" s="820"/>
      <c r="P420" s="819"/>
      <c r="Q420" s="819"/>
      <c r="R420" s="866">
        <f>L420/1.8*1.49</f>
        <v>96529650000</v>
      </c>
      <c r="S420" s="1026">
        <f>R420-K420</f>
        <v>-20083350000</v>
      </c>
      <c r="T420" s="839"/>
      <c r="U420" s="1036"/>
      <c r="V420" s="581"/>
      <c r="W420" s="581"/>
      <c r="X420" s="578"/>
    </row>
    <row r="421" spans="1:24" s="682" customFormat="1" ht="15.75" hidden="1" customHeight="1">
      <c r="A421" s="713" t="s">
        <v>91</v>
      </c>
      <c r="B421" s="813" t="s">
        <v>963</v>
      </c>
      <c r="C421" s="725"/>
      <c r="D421" s="713"/>
      <c r="E421" s="1038"/>
      <c r="F421" s="725"/>
      <c r="G421" s="816"/>
      <c r="H421" s="816"/>
      <c r="I421" s="816"/>
      <c r="J421" s="725"/>
      <c r="K421" s="725">
        <f>116613000000/1.8*1.49</f>
        <v>96529650000</v>
      </c>
      <c r="L421" s="1311">
        <f>116613000000/1.8*1.49</f>
        <v>96529650000</v>
      </c>
      <c r="M421" s="669"/>
      <c r="N421" s="868"/>
      <c r="O421" s="868"/>
      <c r="P421" s="927"/>
      <c r="Q421" s="927"/>
      <c r="R421" s="871"/>
      <c r="S421" s="1032"/>
      <c r="T421" s="824"/>
      <c r="U421" s="1039"/>
      <c r="V421" s="727"/>
      <c r="W421" s="727"/>
      <c r="X421" s="728"/>
    </row>
    <row r="422" spans="1:24" s="682" customFormat="1" ht="15.75" hidden="1" customHeight="1">
      <c r="A422" s="713" t="s">
        <v>91</v>
      </c>
      <c r="B422" s="813" t="s">
        <v>1012</v>
      </c>
      <c r="C422" s="725"/>
      <c r="D422" s="713"/>
      <c r="E422" s="1038"/>
      <c r="F422" s="725"/>
      <c r="G422" s="816"/>
      <c r="H422" s="816"/>
      <c r="I422" s="816"/>
      <c r="J422" s="725"/>
      <c r="K422" s="725">
        <f>116613000000-K421</f>
        <v>20083350000</v>
      </c>
      <c r="L422" s="1311">
        <f>116613000000-L421</f>
        <v>20083350000</v>
      </c>
      <c r="M422" s="669"/>
      <c r="N422" s="868"/>
      <c r="O422" s="868"/>
      <c r="P422" s="927"/>
      <c r="Q422" s="927"/>
      <c r="R422" s="871"/>
      <c r="S422" s="1032"/>
      <c r="T422" s="824"/>
      <c r="U422" s="1039"/>
      <c r="V422" s="727"/>
      <c r="W422" s="727"/>
      <c r="X422" s="728"/>
    </row>
    <row r="423" spans="1:24" s="582" customFormat="1" ht="15.75" hidden="1" customHeight="1">
      <c r="A423" s="699" t="s">
        <v>225</v>
      </c>
      <c r="B423" s="696" t="s">
        <v>317</v>
      </c>
      <c r="C423" s="700"/>
      <c r="D423" s="699"/>
      <c r="E423" s="818"/>
      <c r="F423" s="700">
        <v>15089000000</v>
      </c>
      <c r="G423" s="817">
        <f>F423*10%</f>
        <v>1508900000</v>
      </c>
      <c r="H423" s="817"/>
      <c r="I423" s="817"/>
      <c r="J423" s="700">
        <f>95940000000*19%</f>
        <v>18228600000</v>
      </c>
      <c r="K423" s="700">
        <f>K420/1.8*1.49*19%/81%</f>
        <v>22642757407.407406</v>
      </c>
      <c r="L423" s="1315">
        <f>L420/1.8*1.49*19%/81%</f>
        <v>22642757407.407406</v>
      </c>
      <c r="M423" s="651"/>
      <c r="N423" s="820"/>
      <c r="O423" s="820"/>
      <c r="P423" s="819"/>
      <c r="Q423" s="819"/>
      <c r="R423" s="866"/>
      <c r="S423" s="1026"/>
      <c r="T423" s="839"/>
      <c r="U423" s="1036"/>
      <c r="V423" s="581"/>
      <c r="W423" s="581"/>
      <c r="X423" s="578"/>
    </row>
    <row r="424" spans="1:24" s="582" customFormat="1" ht="15.75" hidden="1" customHeight="1">
      <c r="A424" s="699" t="s">
        <v>261</v>
      </c>
      <c r="B424" s="696" t="s">
        <v>263</v>
      </c>
      <c r="C424" s="700"/>
      <c r="D424" s="699"/>
      <c r="E424" s="818"/>
      <c r="F424" s="700"/>
      <c r="G424" s="817"/>
      <c r="H424" s="817"/>
      <c r="I424" s="817"/>
      <c r="J424" s="700"/>
      <c r="K424" s="700">
        <f>-K423*10%</f>
        <v>-2264275740.7407408</v>
      </c>
      <c r="L424" s="1315">
        <f>-L423*10%</f>
        <v>-2264275740.7407408</v>
      </c>
      <c r="M424" s="651"/>
      <c r="N424" s="820"/>
      <c r="O424" s="820"/>
      <c r="P424" s="819"/>
      <c r="Q424" s="819"/>
      <c r="R424" s="866"/>
      <c r="S424" s="1026"/>
      <c r="T424" s="839"/>
      <c r="U424" s="1036"/>
      <c r="V424" s="581"/>
      <c r="W424" s="581"/>
      <c r="X424" s="578"/>
    </row>
    <row r="425" spans="1:24" s="582" customFormat="1" ht="15.75" hidden="1" customHeight="1">
      <c r="A425" s="699" t="s">
        <v>298</v>
      </c>
      <c r="B425" s="696" t="s">
        <v>318</v>
      </c>
      <c r="C425" s="700"/>
      <c r="D425" s="699"/>
      <c r="E425" s="818"/>
      <c r="F425" s="700"/>
      <c r="G425" s="817"/>
      <c r="H425" s="817"/>
      <c r="I425" s="817"/>
      <c r="J425" s="700"/>
      <c r="K425" s="700"/>
      <c r="L425" s="1315"/>
      <c r="M425" s="651"/>
      <c r="N425" s="820"/>
      <c r="O425" s="820"/>
      <c r="P425" s="819"/>
      <c r="Q425" s="819"/>
      <c r="R425" s="866"/>
      <c r="S425" s="1026"/>
      <c r="T425" s="839"/>
      <c r="U425" s="1036"/>
      <c r="V425" s="581"/>
      <c r="W425" s="581"/>
      <c r="X425" s="578"/>
    </row>
    <row r="426" spans="1:24" s="582" customFormat="1" ht="15.75" hidden="1" customHeight="1">
      <c r="A426" s="699" t="s">
        <v>1014</v>
      </c>
      <c r="B426" s="696" t="s">
        <v>319</v>
      </c>
      <c r="C426" s="699"/>
      <c r="D426" s="699"/>
      <c r="E426" s="700"/>
      <c r="F426" s="700">
        <v>432000000</v>
      </c>
      <c r="G426" s="817"/>
      <c r="H426" s="817"/>
      <c r="I426" s="817"/>
      <c r="J426" s="700"/>
      <c r="K426" s="700"/>
      <c r="L426" s="1315"/>
      <c r="M426" s="651"/>
      <c r="N426" s="820"/>
      <c r="O426" s="820"/>
      <c r="P426" s="819"/>
      <c r="Q426" s="819"/>
      <c r="R426" s="866"/>
      <c r="S426" s="1026"/>
      <c r="T426" s="839"/>
      <c r="U426" s="1036"/>
      <c r="V426" s="581"/>
      <c r="W426" s="581"/>
      <c r="X426" s="578"/>
    </row>
    <row r="427" spans="1:24" s="582" customFormat="1" ht="15.75" hidden="1" customHeight="1">
      <c r="A427" s="589" t="s">
        <v>324</v>
      </c>
      <c r="B427" s="607" t="s">
        <v>325</v>
      </c>
      <c r="C427" s="1035">
        <v>224</v>
      </c>
      <c r="D427" s="699">
        <v>215</v>
      </c>
      <c r="E427" s="638"/>
      <c r="F427" s="704">
        <f t="shared" ref="F427:J427" si="52">F428+F431+F434</f>
        <v>31695000000</v>
      </c>
      <c r="G427" s="704">
        <f t="shared" si="52"/>
        <v>428500000</v>
      </c>
      <c r="H427" s="704">
        <f t="shared" si="52"/>
        <v>0</v>
      </c>
      <c r="I427" s="704">
        <f t="shared" si="52"/>
        <v>0</v>
      </c>
      <c r="J427" s="704">
        <f t="shared" si="52"/>
        <v>33885250000</v>
      </c>
      <c r="K427" s="704">
        <f>SUM(K428:K434)</f>
        <v>39368325432.09877</v>
      </c>
      <c r="L427" s="1310">
        <f>SUM(L428:L434)</f>
        <v>39368325432.09877</v>
      </c>
      <c r="M427" s="609"/>
      <c r="N427" s="829"/>
      <c r="O427" s="829"/>
      <c r="P427" s="1037"/>
      <c r="Q427" s="1037"/>
      <c r="R427" s="866"/>
      <c r="S427" s="1026"/>
      <c r="T427" s="839"/>
      <c r="U427" s="1036"/>
      <c r="V427" s="581"/>
      <c r="W427" s="581"/>
      <c r="X427" s="578"/>
    </row>
    <row r="428" spans="1:24" s="582" customFormat="1" ht="15.75" hidden="1" customHeight="1">
      <c r="A428" s="699" t="s">
        <v>222</v>
      </c>
      <c r="B428" s="696" t="s">
        <v>316</v>
      </c>
      <c r="C428" s="700"/>
      <c r="D428" s="699"/>
      <c r="E428" s="818"/>
      <c r="F428" s="700">
        <f>26782000000+388000000</f>
        <v>27170000000</v>
      </c>
      <c r="G428" s="817"/>
      <c r="H428" s="817"/>
      <c r="I428" s="817"/>
      <c r="J428" s="700">
        <f>28475000000</f>
        <v>28475000000</v>
      </c>
      <c r="K428" s="700">
        <v>33512000000</v>
      </c>
      <c r="L428" s="1315">
        <v>33512000000</v>
      </c>
      <c r="M428" s="651"/>
      <c r="N428" s="820"/>
      <c r="O428" s="820"/>
      <c r="P428" s="819"/>
      <c r="Q428" s="819"/>
      <c r="R428" s="866">
        <f>L428/1.8*1.49</f>
        <v>27740488888.888889</v>
      </c>
      <c r="S428" s="1026">
        <f>R428-K428</f>
        <v>-5771511111.1111107</v>
      </c>
      <c r="T428" s="839"/>
      <c r="U428" s="1036"/>
      <c r="V428" s="581"/>
      <c r="W428" s="581"/>
      <c r="X428" s="578"/>
    </row>
    <row r="429" spans="1:24" s="582" customFormat="1" ht="15.75" hidden="1" customHeight="1">
      <c r="A429" s="713" t="s">
        <v>91</v>
      </c>
      <c r="B429" s="813" t="s">
        <v>963</v>
      </c>
      <c r="C429" s="700"/>
      <c r="D429" s="699"/>
      <c r="E429" s="818"/>
      <c r="F429" s="700"/>
      <c r="G429" s="817"/>
      <c r="H429" s="817"/>
      <c r="I429" s="817"/>
      <c r="J429" s="700"/>
      <c r="K429" s="700"/>
      <c r="L429" s="1315"/>
      <c r="M429" s="651"/>
      <c r="N429" s="820"/>
      <c r="O429" s="820"/>
      <c r="P429" s="819"/>
      <c r="Q429" s="819"/>
      <c r="R429" s="866"/>
      <c r="S429" s="1026"/>
      <c r="T429" s="839"/>
      <c r="U429" s="1036"/>
      <c r="V429" s="581"/>
      <c r="W429" s="581"/>
      <c r="X429" s="578"/>
    </row>
    <row r="430" spans="1:24" s="582" customFormat="1" ht="15.75" hidden="1" customHeight="1">
      <c r="A430" s="713" t="s">
        <v>91</v>
      </c>
      <c r="B430" s="813" t="s">
        <v>1012</v>
      </c>
      <c r="C430" s="700"/>
      <c r="D430" s="699"/>
      <c r="E430" s="818"/>
      <c r="F430" s="700"/>
      <c r="G430" s="817"/>
      <c r="H430" s="817"/>
      <c r="I430" s="817"/>
      <c r="J430" s="700"/>
      <c r="K430" s="700"/>
      <c r="L430" s="1315"/>
      <c r="M430" s="651"/>
      <c r="N430" s="820"/>
      <c r="O430" s="820"/>
      <c r="P430" s="819"/>
      <c r="Q430" s="819"/>
      <c r="R430" s="866"/>
      <c r="S430" s="1026"/>
      <c r="T430" s="839"/>
      <c r="U430" s="1036"/>
      <c r="V430" s="581"/>
      <c r="W430" s="581"/>
      <c r="X430" s="578"/>
    </row>
    <row r="431" spans="1:24" s="582" customFormat="1" ht="15.75" hidden="1" customHeight="1">
      <c r="A431" s="699" t="s">
        <v>225</v>
      </c>
      <c r="B431" s="696" t="s">
        <v>317</v>
      </c>
      <c r="C431" s="700"/>
      <c r="D431" s="699"/>
      <c r="E431" s="818"/>
      <c r="F431" s="700">
        <v>4285000000</v>
      </c>
      <c r="G431" s="817">
        <f>F431*10%</f>
        <v>428500000</v>
      </c>
      <c r="H431" s="817"/>
      <c r="I431" s="817"/>
      <c r="J431" s="700">
        <f>28475000000*19%</f>
        <v>5410250000</v>
      </c>
      <c r="K431" s="700">
        <f>K428/1.8*1.49*19%/81%</f>
        <v>6507028257.887517</v>
      </c>
      <c r="L431" s="1315">
        <f>L428/1.8*1.49*19%/81%</f>
        <v>6507028257.887517</v>
      </c>
      <c r="M431" s="651"/>
      <c r="N431" s="820"/>
      <c r="O431" s="820"/>
      <c r="P431" s="819"/>
      <c r="Q431" s="819"/>
      <c r="R431" s="866"/>
      <c r="S431" s="866">
        <f>S403+S412+S420+S428</f>
        <v>-61709805555.555573</v>
      </c>
      <c r="T431" s="839"/>
      <c r="U431" s="1036"/>
      <c r="V431" s="581"/>
      <c r="W431" s="581"/>
      <c r="X431" s="578"/>
    </row>
    <row r="432" spans="1:24" s="582" customFormat="1" ht="15.75" hidden="1" customHeight="1">
      <c r="A432" s="699" t="s">
        <v>261</v>
      </c>
      <c r="B432" s="696" t="s">
        <v>263</v>
      </c>
      <c r="C432" s="700"/>
      <c r="D432" s="699"/>
      <c r="E432" s="818"/>
      <c r="F432" s="700"/>
      <c r="G432" s="817"/>
      <c r="H432" s="817"/>
      <c r="I432" s="817"/>
      <c r="J432" s="700"/>
      <c r="K432" s="700">
        <f>-K431*10%</f>
        <v>-650702825.78875172</v>
      </c>
      <c r="L432" s="1315">
        <f>-L431*10%</f>
        <v>-650702825.78875172</v>
      </c>
      <c r="M432" s="651"/>
      <c r="N432" s="820"/>
      <c r="O432" s="820"/>
      <c r="P432" s="819"/>
      <c r="Q432" s="819"/>
      <c r="R432" s="866"/>
      <c r="S432" s="866"/>
      <c r="T432" s="839"/>
      <c r="U432" s="1036"/>
      <c r="V432" s="581"/>
      <c r="W432" s="581"/>
      <c r="X432" s="578"/>
    </row>
    <row r="433" spans="1:24" s="582" customFormat="1" ht="15.75" hidden="1" customHeight="1">
      <c r="A433" s="699" t="s">
        <v>298</v>
      </c>
      <c r="B433" s="696" t="s">
        <v>318</v>
      </c>
      <c r="C433" s="700"/>
      <c r="D433" s="699"/>
      <c r="E433" s="818"/>
      <c r="F433" s="700"/>
      <c r="G433" s="817"/>
      <c r="H433" s="817"/>
      <c r="I433" s="817"/>
      <c r="J433" s="700"/>
      <c r="K433" s="700"/>
      <c r="L433" s="1315"/>
      <c r="M433" s="651"/>
      <c r="N433" s="820"/>
      <c r="O433" s="820"/>
      <c r="P433" s="819"/>
      <c r="Q433" s="819"/>
      <c r="R433" s="866"/>
      <c r="S433" s="866"/>
      <c r="T433" s="839"/>
      <c r="U433" s="1036"/>
      <c r="V433" s="581"/>
      <c r="W433" s="581"/>
      <c r="X433" s="578"/>
    </row>
    <row r="434" spans="1:24" s="582" customFormat="1" ht="15.75" hidden="1" customHeight="1">
      <c r="A434" s="699" t="s">
        <v>1014</v>
      </c>
      <c r="B434" s="696" t="s">
        <v>319</v>
      </c>
      <c r="C434" s="699"/>
      <c r="D434" s="699"/>
      <c r="E434" s="700"/>
      <c r="F434" s="700">
        <v>240000000</v>
      </c>
      <c r="G434" s="817"/>
      <c r="H434" s="817"/>
      <c r="I434" s="817"/>
      <c r="J434" s="700"/>
      <c r="K434" s="700"/>
      <c r="L434" s="1315"/>
      <c r="M434" s="651"/>
      <c r="N434" s="820"/>
      <c r="O434" s="820"/>
      <c r="P434" s="819"/>
      <c r="Q434" s="819"/>
      <c r="R434" s="866"/>
      <c r="S434" s="866"/>
      <c r="T434" s="839"/>
      <c r="U434" s="1036"/>
      <c r="V434" s="581"/>
      <c r="W434" s="581"/>
      <c r="X434" s="578"/>
    </row>
    <row r="435" spans="1:24" s="582" customFormat="1" ht="15.75" hidden="1" customHeight="1">
      <c r="A435" s="589" t="s">
        <v>326</v>
      </c>
      <c r="B435" s="607" t="s">
        <v>327</v>
      </c>
      <c r="C435" s="1035"/>
      <c r="D435" s="699"/>
      <c r="E435" s="1040"/>
      <c r="F435" s="828">
        <v>636000000</v>
      </c>
      <c r="G435" s="877" t="s">
        <v>1016</v>
      </c>
      <c r="H435" s="877"/>
      <c r="I435" s="877"/>
      <c r="J435" s="828">
        <v>223200000</v>
      </c>
      <c r="K435" s="828">
        <v>636000000</v>
      </c>
      <c r="L435" s="1320">
        <v>636000000</v>
      </c>
      <c r="M435" s="638"/>
      <c r="N435" s="899"/>
      <c r="O435" s="899"/>
      <c r="P435" s="1037"/>
      <c r="Q435" s="1037"/>
      <c r="R435" s="866"/>
      <c r="S435" s="866"/>
      <c r="T435" s="839"/>
      <c r="U435" s="1036"/>
      <c r="V435" s="581"/>
      <c r="W435" s="581"/>
      <c r="X435" s="578"/>
    </row>
    <row r="436" spans="1:24" s="582" customFormat="1" ht="30.75" hidden="1" customHeight="1">
      <c r="A436" s="589" t="s">
        <v>328</v>
      </c>
      <c r="B436" s="607" t="s">
        <v>329</v>
      </c>
      <c r="C436" s="700"/>
      <c r="D436" s="699"/>
      <c r="E436" s="818"/>
      <c r="F436" s="704">
        <f>1117000000</f>
        <v>1117000000</v>
      </c>
      <c r="G436" s="877" t="s">
        <v>1017</v>
      </c>
      <c r="H436" s="877"/>
      <c r="I436" s="877"/>
      <c r="J436" s="704">
        <v>1224668000</v>
      </c>
      <c r="K436" s="704">
        <v>1597000000</v>
      </c>
      <c r="L436" s="1310">
        <v>1597000000</v>
      </c>
      <c r="M436" s="609"/>
      <c r="N436" s="829"/>
      <c r="O436" s="829"/>
      <c r="P436" s="1037"/>
      <c r="Q436" s="1037"/>
      <c r="R436" s="866">
        <f>1597-353</f>
        <v>1244</v>
      </c>
      <c r="S436" s="866"/>
      <c r="T436" s="839"/>
      <c r="U436" s="1036"/>
      <c r="V436" s="581"/>
      <c r="W436" s="581"/>
      <c r="X436" s="578"/>
    </row>
    <row r="437" spans="1:24" s="582" customFormat="1" ht="30.75" hidden="1" customHeight="1">
      <c r="A437" s="699"/>
      <c r="B437" s="696"/>
      <c r="C437" s="700"/>
      <c r="D437" s="699"/>
      <c r="E437" s="818"/>
      <c r="F437" s="700"/>
      <c r="G437" s="877"/>
      <c r="H437" s="877"/>
      <c r="I437" s="877"/>
      <c r="J437" s="700"/>
      <c r="K437" s="700"/>
      <c r="L437" s="1315"/>
      <c r="M437" s="651"/>
      <c r="N437" s="820"/>
      <c r="O437" s="820"/>
      <c r="P437" s="1037"/>
      <c r="Q437" s="1037"/>
      <c r="R437" s="866"/>
      <c r="S437" s="866"/>
      <c r="T437" s="839"/>
      <c r="U437" s="1036"/>
      <c r="V437" s="581"/>
      <c r="W437" s="581"/>
      <c r="X437" s="578"/>
    </row>
    <row r="438" spans="1:24" s="582" customFormat="1" ht="30.75" hidden="1" customHeight="1">
      <c r="A438" s="738" t="s">
        <v>91</v>
      </c>
      <c r="B438" s="902" t="s">
        <v>1018</v>
      </c>
      <c r="C438" s="740"/>
      <c r="D438" s="738"/>
      <c r="E438" s="963"/>
      <c r="F438" s="740"/>
      <c r="G438" s="779"/>
      <c r="H438" s="779"/>
      <c r="I438" s="779"/>
      <c r="J438" s="740"/>
      <c r="K438" s="740">
        <v>533000000</v>
      </c>
      <c r="L438" s="1315">
        <v>533000000</v>
      </c>
      <c r="M438" s="676"/>
      <c r="N438" s="820"/>
      <c r="O438" s="820"/>
      <c r="P438" s="1037"/>
      <c r="Q438" s="1037"/>
      <c r="R438" s="866"/>
      <c r="S438" s="866"/>
      <c r="T438" s="839"/>
      <c r="U438" s="1036"/>
      <c r="V438" s="581"/>
      <c r="W438" s="581"/>
      <c r="X438" s="578"/>
    </row>
    <row r="439" spans="1:24" s="582" customFormat="1" ht="15.75" hidden="1" customHeight="1">
      <c r="A439" s="589" t="s">
        <v>330</v>
      </c>
      <c r="B439" s="607" t="s">
        <v>331</v>
      </c>
      <c r="C439" s="700"/>
      <c r="D439" s="699"/>
      <c r="E439" s="818"/>
      <c r="F439" s="704">
        <v>480000000</v>
      </c>
      <c r="G439" s="877" t="s">
        <v>1016</v>
      </c>
      <c r="H439" s="877"/>
      <c r="I439" s="877"/>
      <c r="J439" s="704">
        <v>319424000</v>
      </c>
      <c r="K439" s="704">
        <v>480000000</v>
      </c>
      <c r="L439" s="1310">
        <v>480000000</v>
      </c>
      <c r="M439" s="609"/>
      <c r="N439" s="829"/>
      <c r="O439" s="829"/>
      <c r="P439" s="1037"/>
      <c r="Q439" s="1037"/>
      <c r="R439" s="866"/>
      <c r="S439" s="866"/>
      <c r="T439" s="839"/>
      <c r="U439" s="1036"/>
      <c r="V439" s="581"/>
      <c r="W439" s="581"/>
      <c r="X439" s="578"/>
    </row>
    <row r="440" spans="1:24" s="703" customFormat="1" ht="15.75" hidden="1" customHeight="1">
      <c r="A440" s="589" t="s">
        <v>332</v>
      </c>
      <c r="B440" s="607" t="s">
        <v>333</v>
      </c>
      <c r="C440" s="704"/>
      <c r="D440" s="589"/>
      <c r="E440" s="638"/>
      <c r="F440" s="704">
        <v>2800000000</v>
      </c>
      <c r="G440" s="1041"/>
      <c r="H440" s="1041"/>
      <c r="I440" s="1041"/>
      <c r="J440" s="704">
        <v>4500000000</v>
      </c>
      <c r="K440" s="704"/>
      <c r="L440" s="1310"/>
      <c r="M440" s="609"/>
      <c r="N440" s="829"/>
      <c r="O440" s="829"/>
      <c r="P440" s="1042"/>
      <c r="Q440" s="1042"/>
      <c r="R440" s="900"/>
      <c r="S440" s="900"/>
      <c r="T440" s="822"/>
      <c r="U440" s="1043"/>
      <c r="V440" s="701"/>
      <c r="W440" s="701"/>
      <c r="X440" s="702"/>
    </row>
    <row r="441" spans="1:24" s="703" customFormat="1" ht="31.5" hidden="1" customHeight="1">
      <c r="A441" s="589" t="s">
        <v>334</v>
      </c>
      <c r="B441" s="607" t="s">
        <v>335</v>
      </c>
      <c r="C441" s="704"/>
      <c r="D441" s="589"/>
      <c r="E441" s="638"/>
      <c r="F441" s="704">
        <f t="shared" ref="F441:J441" si="53">SUM(F442:F451)</f>
        <v>45300000000</v>
      </c>
      <c r="G441" s="704">
        <f t="shared" si="53"/>
        <v>0</v>
      </c>
      <c r="H441" s="704">
        <f t="shared" si="53"/>
        <v>0</v>
      </c>
      <c r="I441" s="704">
        <f t="shared" si="53"/>
        <v>0</v>
      </c>
      <c r="J441" s="704">
        <f t="shared" si="53"/>
        <v>97187000000</v>
      </c>
      <c r="K441" s="704">
        <v>22000000000</v>
      </c>
      <c r="L441" s="1310">
        <v>22000000000</v>
      </c>
      <c r="M441" s="609">
        <f>L441*10%</f>
        <v>2200000000</v>
      </c>
      <c r="N441" s="829"/>
      <c r="O441" s="829"/>
      <c r="P441" s="1044"/>
      <c r="Q441" s="1044"/>
      <c r="R441" s="900">
        <v>5000000000</v>
      </c>
      <c r="S441" s="900">
        <f>L407+L416+L424+L432-M441</f>
        <v>-9157426111.1111107</v>
      </c>
      <c r="T441" s="822"/>
      <c r="U441" s="1043"/>
      <c r="V441" s="701"/>
      <c r="W441" s="701"/>
      <c r="X441" s="702"/>
    </row>
    <row r="442" spans="1:24" s="582" customFormat="1" ht="15.75" hidden="1" customHeight="1">
      <c r="A442" s="699" t="s">
        <v>91</v>
      </c>
      <c r="B442" s="696" t="s">
        <v>336</v>
      </c>
      <c r="C442" s="700"/>
      <c r="D442" s="699"/>
      <c r="E442" s="818"/>
      <c r="F442" s="700">
        <v>24800000000</v>
      </c>
      <c r="G442" s="1045"/>
      <c r="H442" s="1045"/>
      <c r="I442" s="1045"/>
      <c r="J442" s="700">
        <v>50100000000</v>
      </c>
      <c r="K442" s="700"/>
      <c r="L442" s="1315"/>
      <c r="M442" s="651"/>
      <c r="N442" s="820"/>
      <c r="O442" s="820"/>
      <c r="P442" s="1046"/>
      <c r="Q442" s="1046"/>
      <c r="R442" s="866"/>
      <c r="S442" s="866"/>
      <c r="T442" s="839"/>
      <c r="U442" s="1036"/>
      <c r="V442" s="581"/>
      <c r="W442" s="581"/>
      <c r="X442" s="578"/>
    </row>
    <row r="443" spans="1:24" s="582" customFormat="1" ht="15.75" hidden="1" customHeight="1">
      <c r="A443" s="699" t="s">
        <v>91</v>
      </c>
      <c r="B443" s="696" t="s">
        <v>337</v>
      </c>
      <c r="C443" s="700"/>
      <c r="D443" s="699"/>
      <c r="E443" s="818"/>
      <c r="F443" s="700">
        <v>5500000000</v>
      </c>
      <c r="G443" s="1045"/>
      <c r="H443" s="1045"/>
      <c r="I443" s="1045"/>
      <c r="J443" s="700"/>
      <c r="K443" s="700"/>
      <c r="L443" s="1315"/>
      <c r="M443" s="651"/>
      <c r="N443" s="820"/>
      <c r="O443" s="820"/>
      <c r="P443" s="1046"/>
      <c r="Q443" s="1046"/>
      <c r="R443" s="866"/>
      <c r="S443" s="866"/>
      <c r="T443" s="839"/>
      <c r="U443" s="1036"/>
      <c r="V443" s="581"/>
      <c r="W443" s="581"/>
      <c r="X443" s="578"/>
    </row>
    <row r="444" spans="1:24" s="582" customFormat="1" ht="15.75" hidden="1" customHeight="1">
      <c r="A444" s="699" t="s">
        <v>91</v>
      </c>
      <c r="B444" s="696" t="s">
        <v>338</v>
      </c>
      <c r="C444" s="700"/>
      <c r="D444" s="699"/>
      <c r="E444" s="818"/>
      <c r="F444" s="700">
        <v>7000000000</v>
      </c>
      <c r="G444" s="1045"/>
      <c r="H444" s="1045"/>
      <c r="I444" s="1045"/>
      <c r="J444" s="700">
        <v>21109000000</v>
      </c>
      <c r="K444" s="700"/>
      <c r="L444" s="1315"/>
      <c r="M444" s="651"/>
      <c r="N444" s="820"/>
      <c r="O444" s="820"/>
      <c r="P444" s="1046"/>
      <c r="Q444" s="1046"/>
      <c r="R444" s="866"/>
      <c r="S444" s="866"/>
      <c r="T444" s="839"/>
      <c r="U444" s="1036"/>
      <c r="V444" s="581"/>
      <c r="W444" s="581"/>
      <c r="X444" s="578"/>
    </row>
    <row r="445" spans="1:24" s="582" customFormat="1" ht="15.75" hidden="1" customHeight="1">
      <c r="A445" s="699" t="s">
        <v>91</v>
      </c>
      <c r="B445" s="696" t="s">
        <v>1019</v>
      </c>
      <c r="C445" s="700"/>
      <c r="D445" s="699"/>
      <c r="E445" s="818"/>
      <c r="F445" s="700">
        <v>5000000000</v>
      </c>
      <c r="G445" s="1045"/>
      <c r="H445" s="1045"/>
      <c r="I445" s="1045"/>
      <c r="J445" s="700"/>
      <c r="K445" s="700"/>
      <c r="L445" s="1315"/>
      <c r="M445" s="651"/>
      <c r="N445" s="820"/>
      <c r="O445" s="820"/>
      <c r="P445" s="1046"/>
      <c r="Q445" s="1046"/>
      <c r="R445" s="866"/>
      <c r="S445" s="866"/>
      <c r="T445" s="839"/>
      <c r="U445" s="1036"/>
      <c r="V445" s="581"/>
      <c r="W445" s="581"/>
      <c r="X445" s="578"/>
    </row>
    <row r="446" spans="1:24" s="582" customFormat="1" ht="15.75" hidden="1" customHeight="1">
      <c r="A446" s="699" t="s">
        <v>91</v>
      </c>
      <c r="B446" s="696" t="s">
        <v>1020</v>
      </c>
      <c r="C446" s="700"/>
      <c r="D446" s="699"/>
      <c r="E446" s="818"/>
      <c r="F446" s="700">
        <v>1200000000</v>
      </c>
      <c r="G446" s="1045"/>
      <c r="H446" s="1045"/>
      <c r="I446" s="1045"/>
      <c r="J446" s="700">
        <v>10335000000</v>
      </c>
      <c r="K446" s="700"/>
      <c r="L446" s="1315"/>
      <c r="M446" s="651"/>
      <c r="N446" s="820"/>
      <c r="O446" s="820"/>
      <c r="P446" s="1046"/>
      <c r="Q446" s="1046"/>
      <c r="R446" s="866"/>
      <c r="S446" s="866"/>
      <c r="T446" s="839"/>
      <c r="U446" s="1036"/>
      <c r="V446" s="581"/>
      <c r="W446" s="581"/>
      <c r="X446" s="578"/>
    </row>
    <row r="447" spans="1:24" s="582" customFormat="1" ht="15.75" hidden="1" customHeight="1">
      <c r="A447" s="699" t="s">
        <v>91</v>
      </c>
      <c r="B447" s="696" t="s">
        <v>1021</v>
      </c>
      <c r="C447" s="700"/>
      <c r="D447" s="699"/>
      <c r="E447" s="818"/>
      <c r="F447" s="700"/>
      <c r="G447" s="1045"/>
      <c r="H447" s="1045"/>
      <c r="I447" s="1045"/>
      <c r="J447" s="700">
        <v>6964000000</v>
      </c>
      <c r="K447" s="700"/>
      <c r="L447" s="1315"/>
      <c r="M447" s="651"/>
      <c r="N447" s="820"/>
      <c r="O447" s="820"/>
      <c r="P447" s="1046"/>
      <c r="Q447" s="1046"/>
      <c r="R447" s="866"/>
      <c r="S447" s="866"/>
      <c r="T447" s="839"/>
      <c r="U447" s="1036"/>
      <c r="V447" s="581"/>
      <c r="W447" s="581"/>
      <c r="X447" s="578"/>
    </row>
    <row r="448" spans="1:24" s="582" customFormat="1" ht="15.75" hidden="1" customHeight="1">
      <c r="A448" s="699" t="s">
        <v>91</v>
      </c>
      <c r="B448" s="696" t="s">
        <v>1022</v>
      </c>
      <c r="C448" s="700"/>
      <c r="D448" s="699"/>
      <c r="E448" s="818"/>
      <c r="F448" s="700">
        <v>300000000</v>
      </c>
      <c r="G448" s="1045"/>
      <c r="H448" s="1045"/>
      <c r="I448" s="1045"/>
      <c r="J448" s="700">
        <v>1220000000</v>
      </c>
      <c r="K448" s="700"/>
      <c r="L448" s="1315"/>
      <c r="M448" s="651"/>
      <c r="N448" s="820"/>
      <c r="O448" s="820"/>
      <c r="P448" s="1046"/>
      <c r="Q448" s="1046"/>
      <c r="R448" s="866"/>
      <c r="S448" s="866"/>
      <c r="T448" s="839"/>
      <c r="U448" s="1036"/>
      <c r="V448" s="581"/>
      <c r="W448" s="581"/>
      <c r="X448" s="578"/>
    </row>
    <row r="449" spans="1:24" s="582" customFormat="1" ht="15.75" hidden="1" customHeight="1">
      <c r="A449" s="699" t="s">
        <v>91</v>
      </c>
      <c r="B449" s="696" t="s">
        <v>1023</v>
      </c>
      <c r="C449" s="700"/>
      <c r="D449" s="699"/>
      <c r="E449" s="818"/>
      <c r="F449" s="700">
        <v>1500000000</v>
      </c>
      <c r="G449" s="1045"/>
      <c r="H449" s="1045"/>
      <c r="I449" s="1045"/>
      <c r="J449" s="700"/>
      <c r="K449" s="700"/>
      <c r="L449" s="1315"/>
      <c r="M449" s="651"/>
      <c r="N449" s="820"/>
      <c r="O449" s="820"/>
      <c r="P449" s="1046"/>
      <c r="Q449" s="1046"/>
      <c r="R449" s="866"/>
      <c r="S449" s="866"/>
      <c r="T449" s="839"/>
      <c r="U449" s="1036"/>
      <c r="V449" s="581"/>
      <c r="W449" s="581"/>
      <c r="X449" s="578"/>
    </row>
    <row r="450" spans="1:24" s="582" customFormat="1" ht="15.75" hidden="1" customHeight="1">
      <c r="A450" s="699" t="s">
        <v>91</v>
      </c>
      <c r="B450" s="696" t="s">
        <v>1024</v>
      </c>
      <c r="C450" s="700"/>
      <c r="D450" s="699"/>
      <c r="E450" s="818"/>
      <c r="F450" s="700"/>
      <c r="G450" s="1045"/>
      <c r="H450" s="1045"/>
      <c r="I450" s="1045"/>
      <c r="J450" s="700">
        <v>6100000000</v>
      </c>
      <c r="K450" s="700"/>
      <c r="L450" s="1315"/>
      <c r="M450" s="651"/>
      <c r="N450" s="820"/>
      <c r="O450" s="820"/>
      <c r="P450" s="1046"/>
      <c r="Q450" s="1046"/>
      <c r="R450" s="866"/>
      <c r="S450" s="866"/>
      <c r="T450" s="839"/>
      <c r="U450" s="1036"/>
      <c r="V450" s="581"/>
      <c r="W450" s="581"/>
      <c r="X450" s="578"/>
    </row>
    <row r="451" spans="1:24" s="582" customFormat="1" ht="15.75" hidden="1" customHeight="1">
      <c r="A451" s="699" t="s">
        <v>91</v>
      </c>
      <c r="B451" s="696" t="s">
        <v>1025</v>
      </c>
      <c r="C451" s="700"/>
      <c r="D451" s="699"/>
      <c r="E451" s="818"/>
      <c r="F451" s="700"/>
      <c r="G451" s="1045"/>
      <c r="H451" s="1045"/>
      <c r="I451" s="1045"/>
      <c r="J451" s="700">
        <v>1359000000</v>
      </c>
      <c r="K451" s="700"/>
      <c r="L451" s="1315"/>
      <c r="M451" s="651"/>
      <c r="N451" s="820"/>
      <c r="O451" s="820"/>
      <c r="P451" s="1046"/>
      <c r="Q451" s="1046"/>
      <c r="R451" s="866"/>
      <c r="S451" s="866"/>
      <c r="T451" s="839"/>
      <c r="U451" s="1036"/>
      <c r="V451" s="581"/>
      <c r="W451" s="581"/>
      <c r="X451" s="578"/>
    </row>
    <row r="452" spans="1:24" s="582" customFormat="1" ht="18" hidden="1" customHeight="1">
      <c r="A452" s="589" t="s">
        <v>339</v>
      </c>
      <c r="B452" s="607" t="s">
        <v>340</v>
      </c>
      <c r="C452" s="700"/>
      <c r="D452" s="699"/>
      <c r="E452" s="818"/>
      <c r="F452" s="704">
        <v>8195000000</v>
      </c>
      <c r="G452" s="704">
        <v>8191000000</v>
      </c>
      <c r="H452" s="704">
        <v>8191000000</v>
      </c>
      <c r="I452" s="704">
        <v>8191000000</v>
      </c>
      <c r="J452" s="704">
        <f>SUM(J453:J461)</f>
        <v>20152656016</v>
      </c>
      <c r="K452" s="704"/>
      <c r="L452" s="1310"/>
      <c r="M452" s="609"/>
      <c r="N452" s="829"/>
      <c r="O452" s="829"/>
      <c r="P452" s="1037"/>
      <c r="Q452" s="1037"/>
      <c r="R452" s="866"/>
      <c r="S452" s="866"/>
      <c r="T452" s="839"/>
      <c r="U452" s="1036"/>
      <c r="V452" s="581"/>
      <c r="W452" s="581"/>
      <c r="X452" s="578"/>
    </row>
    <row r="453" spans="1:24" s="582" customFormat="1" ht="18" hidden="1" customHeight="1">
      <c r="A453" s="699" t="s">
        <v>91</v>
      </c>
      <c r="B453" s="696" t="s">
        <v>341</v>
      </c>
      <c r="C453" s="700"/>
      <c r="D453" s="699">
        <v>163</v>
      </c>
      <c r="E453" s="818"/>
      <c r="F453" s="700">
        <v>8500000000</v>
      </c>
      <c r="G453" s="877"/>
      <c r="H453" s="877"/>
      <c r="I453" s="877"/>
      <c r="J453" s="700">
        <v>5537000000</v>
      </c>
      <c r="K453" s="700"/>
      <c r="L453" s="1315"/>
      <c r="M453" s="651"/>
      <c r="N453" s="820"/>
      <c r="O453" s="820"/>
      <c r="P453" s="1037"/>
      <c r="Q453" s="1037"/>
      <c r="R453" s="866"/>
      <c r="S453" s="866"/>
      <c r="T453" s="839"/>
      <c r="U453" s="1036"/>
      <c r="V453" s="581"/>
      <c r="W453" s="581"/>
      <c r="X453" s="578"/>
    </row>
    <row r="454" spans="1:24" s="582" customFormat="1" ht="18" hidden="1" customHeight="1">
      <c r="A454" s="699" t="s">
        <v>91</v>
      </c>
      <c r="B454" s="696" t="s">
        <v>1026</v>
      </c>
      <c r="C454" s="700"/>
      <c r="D454" s="699"/>
      <c r="E454" s="818"/>
      <c r="F454" s="700">
        <v>2559000000</v>
      </c>
      <c r="G454" s="877"/>
      <c r="H454" s="877"/>
      <c r="I454" s="877"/>
      <c r="J454" s="700">
        <f>4652000000+1554000000</f>
        <v>6206000000</v>
      </c>
      <c r="K454" s="700"/>
      <c r="L454" s="1315"/>
      <c r="M454" s="651"/>
      <c r="N454" s="820"/>
      <c r="O454" s="820"/>
      <c r="P454" s="1037"/>
      <c r="Q454" s="1037"/>
      <c r="R454" s="866"/>
      <c r="S454" s="866"/>
      <c r="T454" s="839"/>
      <c r="U454" s="1036"/>
      <c r="V454" s="581"/>
      <c r="W454" s="581"/>
      <c r="X454" s="578"/>
    </row>
    <row r="455" spans="1:24" s="582" customFormat="1" ht="29.25" hidden="1" customHeight="1">
      <c r="A455" s="699" t="s">
        <v>91</v>
      </c>
      <c r="B455" s="696" t="s">
        <v>342</v>
      </c>
      <c r="C455" s="700"/>
      <c r="D455" s="699"/>
      <c r="E455" s="818"/>
      <c r="F455" s="700">
        <v>-5000000000</v>
      </c>
      <c r="G455" s="877"/>
      <c r="H455" s="877"/>
      <c r="I455" s="877"/>
      <c r="J455" s="700"/>
      <c r="K455" s="700"/>
      <c r="L455" s="1315"/>
      <c r="M455" s="651"/>
      <c r="N455" s="820"/>
      <c r="O455" s="820"/>
      <c r="P455" s="1037"/>
      <c r="Q455" s="1037"/>
      <c r="R455" s="866"/>
      <c r="S455" s="866"/>
      <c r="T455" s="839"/>
      <c r="U455" s="1036"/>
      <c r="V455" s="581"/>
      <c r="W455" s="581"/>
      <c r="X455" s="578"/>
    </row>
    <row r="456" spans="1:24" s="582" customFormat="1" ht="18" hidden="1" customHeight="1">
      <c r="A456" s="699" t="s">
        <v>91</v>
      </c>
      <c r="B456" s="696" t="s">
        <v>1027</v>
      </c>
      <c r="C456" s="700"/>
      <c r="D456" s="699"/>
      <c r="E456" s="818"/>
      <c r="F456" s="700"/>
      <c r="G456" s="877"/>
      <c r="H456" s="877"/>
      <c r="I456" s="877"/>
      <c r="J456" s="700">
        <v>3400000000</v>
      </c>
      <c r="K456" s="700"/>
      <c r="L456" s="1315"/>
      <c r="M456" s="651"/>
      <c r="N456" s="820"/>
      <c r="O456" s="820"/>
      <c r="P456" s="1037"/>
      <c r="Q456" s="1037"/>
      <c r="R456" s="866"/>
      <c r="S456" s="866"/>
      <c r="T456" s="839"/>
      <c r="U456" s="1036"/>
      <c r="V456" s="581"/>
      <c r="W456" s="581"/>
      <c r="X456" s="578"/>
    </row>
    <row r="457" spans="1:24" s="582" customFormat="1" ht="18" hidden="1" customHeight="1">
      <c r="A457" s="699"/>
      <c r="B457" s="696" t="s">
        <v>1028</v>
      </c>
      <c r="C457" s="700"/>
      <c r="D457" s="699"/>
      <c r="E457" s="818"/>
      <c r="F457" s="700"/>
      <c r="G457" s="877"/>
      <c r="H457" s="877"/>
      <c r="I457" s="877"/>
      <c r="J457" s="700"/>
      <c r="K457" s="700"/>
      <c r="L457" s="1315"/>
      <c r="M457" s="651"/>
      <c r="N457" s="820"/>
      <c r="O457" s="820"/>
      <c r="P457" s="1037"/>
      <c r="Q457" s="1037"/>
      <c r="R457" s="866"/>
      <c r="S457" s="866"/>
      <c r="T457" s="839"/>
      <c r="U457" s="1036"/>
      <c r="V457" s="581"/>
      <c r="W457" s="581"/>
      <c r="X457" s="578"/>
    </row>
    <row r="458" spans="1:24" s="582" customFormat="1" ht="43.5" hidden="1" customHeight="1">
      <c r="A458" s="699" t="s">
        <v>91</v>
      </c>
      <c r="B458" s="696" t="s">
        <v>343</v>
      </c>
      <c r="C458" s="700"/>
      <c r="D458" s="699"/>
      <c r="E458" s="818"/>
      <c r="F458" s="700"/>
      <c r="G458" s="877"/>
      <c r="H458" s="877"/>
      <c r="I458" s="877"/>
      <c r="J458" s="700">
        <v>1496000000</v>
      </c>
      <c r="K458" s="700"/>
      <c r="L458" s="1315"/>
      <c r="M458" s="651"/>
      <c r="N458" s="820"/>
      <c r="O458" s="820"/>
      <c r="P458" s="1037"/>
      <c r="Q458" s="1037"/>
      <c r="R458" s="866"/>
      <c r="S458" s="866"/>
      <c r="T458" s="839"/>
      <c r="U458" s="1036"/>
      <c r="V458" s="581"/>
      <c r="W458" s="581"/>
      <c r="X458" s="578"/>
    </row>
    <row r="459" spans="1:24" s="582" customFormat="1" ht="35.25" hidden="1" customHeight="1">
      <c r="A459" s="699" t="s">
        <v>91</v>
      </c>
      <c r="B459" s="696" t="s">
        <v>344</v>
      </c>
      <c r="C459" s="700"/>
      <c r="D459" s="699"/>
      <c r="E459" s="818"/>
      <c r="F459" s="700"/>
      <c r="G459" s="877"/>
      <c r="H459" s="877"/>
      <c r="I459" s="877"/>
      <c r="J459" s="700">
        <v>3513656016</v>
      </c>
      <c r="K459" s="700"/>
      <c r="L459" s="1315"/>
      <c r="M459" s="651"/>
      <c r="N459" s="820"/>
      <c r="O459" s="820"/>
      <c r="P459" s="1037"/>
      <c r="Q459" s="1037"/>
      <c r="R459" s="866"/>
      <c r="S459" s="866"/>
      <c r="T459" s="839"/>
      <c r="U459" s="1036"/>
      <c r="V459" s="581"/>
      <c r="W459" s="581"/>
      <c r="X459" s="578"/>
    </row>
    <row r="460" spans="1:24" s="582" customFormat="1" ht="35.25" hidden="1" customHeight="1">
      <c r="A460" s="699" t="s">
        <v>91</v>
      </c>
      <c r="B460" s="696" t="s">
        <v>345</v>
      </c>
      <c r="C460" s="700"/>
      <c r="D460" s="699"/>
      <c r="E460" s="818"/>
      <c r="F460" s="700"/>
      <c r="G460" s="877"/>
      <c r="H460" s="877"/>
      <c r="I460" s="877"/>
      <c r="J460" s="700"/>
      <c r="K460" s="700"/>
      <c r="L460" s="1315"/>
      <c r="M460" s="651"/>
      <c r="N460" s="820"/>
      <c r="O460" s="820"/>
      <c r="P460" s="1037"/>
      <c r="Q460" s="1037"/>
      <c r="R460" s="866"/>
      <c r="S460" s="866"/>
      <c r="T460" s="839"/>
      <c r="U460" s="1036"/>
      <c r="V460" s="581"/>
      <c r="W460" s="581"/>
      <c r="X460" s="578"/>
    </row>
    <row r="461" spans="1:24" s="582" customFormat="1" ht="27.75" hidden="1" customHeight="1">
      <c r="A461" s="699" t="s">
        <v>91</v>
      </c>
      <c r="B461" s="696" t="s">
        <v>346</v>
      </c>
      <c r="C461" s="700"/>
      <c r="D461" s="699"/>
      <c r="E461" s="818"/>
      <c r="F461" s="700">
        <f>2300000000-168000000</f>
        <v>2132000000</v>
      </c>
      <c r="G461" s="877"/>
      <c r="H461" s="877"/>
      <c r="I461" s="877"/>
      <c r="J461" s="700"/>
      <c r="K461" s="700"/>
      <c r="L461" s="1315"/>
      <c r="M461" s="651"/>
      <c r="N461" s="820"/>
      <c r="O461" s="820"/>
      <c r="P461" s="1037"/>
      <c r="Q461" s="1037"/>
      <c r="R461" s="866"/>
      <c r="S461" s="866"/>
      <c r="T461" s="839"/>
      <c r="U461" s="1036"/>
      <c r="V461" s="581"/>
      <c r="W461" s="581"/>
      <c r="X461" s="578"/>
    </row>
    <row r="462" spans="1:24" s="582" customFormat="1" ht="15.75" hidden="1" customHeight="1">
      <c r="A462" s="699"/>
      <c r="B462" s="808" t="s">
        <v>262</v>
      </c>
      <c r="C462" s="635"/>
      <c r="D462" s="635"/>
      <c r="E462" s="635"/>
      <c r="F462" s="609">
        <f t="shared" ref="F462:J462" si="54">F463</f>
        <v>9232200000</v>
      </c>
      <c r="G462" s="609">
        <f t="shared" si="54"/>
        <v>0</v>
      </c>
      <c r="H462" s="609">
        <f t="shared" si="54"/>
        <v>0</v>
      </c>
      <c r="I462" s="609">
        <f t="shared" si="54"/>
        <v>0</v>
      </c>
      <c r="J462" s="609">
        <f t="shared" si="54"/>
        <v>15796272000</v>
      </c>
      <c r="K462" s="609"/>
      <c r="L462" s="1303"/>
      <c r="M462" s="609"/>
      <c r="N462" s="830"/>
      <c r="O462" s="830"/>
      <c r="P462" s="830"/>
      <c r="Q462" s="830"/>
      <c r="R462" s="866"/>
      <c r="S462" s="866"/>
      <c r="T462" s="839"/>
      <c r="U462" s="814"/>
      <c r="V462" s="581"/>
      <c r="W462" s="581"/>
      <c r="X462" s="578">
        <f>1.813+3.729+0.1</f>
        <v>5.6419999999999995</v>
      </c>
    </row>
    <row r="463" spans="1:24" s="582" customFormat="1" ht="15.75" hidden="1" customHeight="1">
      <c r="A463" s="699"/>
      <c r="B463" s="668" t="s">
        <v>263</v>
      </c>
      <c r="C463" s="713"/>
      <c r="D463" s="713"/>
      <c r="E463" s="725"/>
      <c r="F463" s="669">
        <f>(F406+F415+F423+F431+F440+F441)*10%</f>
        <v>9232200000</v>
      </c>
      <c r="G463" s="609"/>
      <c r="H463" s="609"/>
      <c r="I463" s="609"/>
      <c r="J463" s="669">
        <f>(J406+J415+J423+J431+J440+J441)*10%</f>
        <v>15796272000</v>
      </c>
      <c r="K463" s="669">
        <f>(K406+K415+K423+K431)*10%</f>
        <v>6957426111.1111107</v>
      </c>
      <c r="L463" s="1306">
        <f>(L406+L415+L423+L431)*10%</f>
        <v>6957426111.1111107</v>
      </c>
      <c r="M463" s="669"/>
      <c r="N463" s="837"/>
      <c r="O463" s="837"/>
      <c r="P463" s="830"/>
      <c r="Q463" s="830"/>
      <c r="R463" s="866"/>
      <c r="S463" s="866"/>
      <c r="T463" s="839"/>
      <c r="U463" s="814"/>
      <c r="V463" s="581"/>
      <c r="W463" s="581"/>
      <c r="X463" s="578"/>
    </row>
    <row r="464" spans="1:24" s="582" customFormat="1">
      <c r="A464" s="590">
        <v>7</v>
      </c>
      <c r="B464" s="609" t="s">
        <v>347</v>
      </c>
      <c r="C464" s="635"/>
      <c r="D464" s="635"/>
      <c r="E464" s="651"/>
      <c r="F464" s="603">
        <f>F465</f>
        <v>1399000000</v>
      </c>
      <c r="G464" s="696"/>
      <c r="H464" s="696"/>
      <c r="I464" s="696"/>
      <c r="J464" s="603">
        <f>J465</f>
        <v>2000000000</v>
      </c>
      <c r="K464" s="603">
        <f>3999000000-K378</f>
        <v>1754000000</v>
      </c>
      <c r="L464" s="1302">
        <v>1409000000</v>
      </c>
      <c r="M464" s="603" t="s">
        <v>1524</v>
      </c>
      <c r="N464" s="855"/>
      <c r="O464" s="855"/>
      <c r="P464" s="850"/>
      <c r="Q464" s="850"/>
      <c r="R464" s="866"/>
      <c r="S464" s="866"/>
      <c r="T464" s="839"/>
      <c r="U464" s="580"/>
      <c r="V464" s="639"/>
      <c r="W464" s="581"/>
      <c r="X464" s="578"/>
    </row>
    <row r="465" spans="1:257" s="582" customFormat="1" ht="26.25" customHeight="1">
      <c r="A465" s="590" t="s">
        <v>348</v>
      </c>
      <c r="B465" s="609" t="s">
        <v>349</v>
      </c>
      <c r="C465" s="635"/>
      <c r="D465" s="635"/>
      <c r="E465" s="651"/>
      <c r="F465" s="603">
        <f>3999000000-F378-610000000</f>
        <v>1399000000</v>
      </c>
      <c r="G465" s="609" t="s">
        <v>1029</v>
      </c>
      <c r="H465" s="609"/>
      <c r="I465" s="609"/>
      <c r="J465" s="603">
        <v>2000000000</v>
      </c>
      <c r="K465" s="603"/>
      <c r="L465" s="1302"/>
      <c r="M465" s="603"/>
      <c r="N465" s="855"/>
      <c r="O465" s="855"/>
      <c r="P465" s="830"/>
      <c r="Q465" s="830"/>
      <c r="R465" s="869"/>
      <c r="S465" s="866"/>
      <c r="T465" s="839"/>
      <c r="U465" s="580"/>
      <c r="V465" s="581"/>
      <c r="W465" s="581"/>
      <c r="X465" s="578"/>
    </row>
    <row r="466" spans="1:257" s="582" customFormat="1">
      <c r="A466" s="635"/>
      <c r="B466" s="808" t="s">
        <v>262</v>
      </c>
      <c r="C466" s="635"/>
      <c r="D466" s="635"/>
      <c r="E466" s="635"/>
      <c r="F466" s="609">
        <f t="shared" ref="F466:J466" si="55">F467</f>
        <v>139900000</v>
      </c>
      <c r="G466" s="609">
        <f t="shared" si="55"/>
        <v>0</v>
      </c>
      <c r="H466" s="609">
        <f t="shared" si="55"/>
        <v>0</v>
      </c>
      <c r="I466" s="609">
        <f t="shared" si="55"/>
        <v>0</v>
      </c>
      <c r="J466" s="609">
        <f t="shared" si="55"/>
        <v>200000000</v>
      </c>
      <c r="K466" s="609">
        <f>K467</f>
        <v>175400000</v>
      </c>
      <c r="L466" s="1303">
        <f>L467</f>
        <v>140900000</v>
      </c>
      <c r="M466" s="609"/>
      <c r="N466" s="830"/>
      <c r="O466" s="830"/>
      <c r="P466" s="830"/>
      <c r="Q466" s="830"/>
      <c r="R466" s="869"/>
      <c r="S466" s="866"/>
      <c r="T466" s="839"/>
      <c r="U466" s="637"/>
      <c r="V466" s="581"/>
      <c r="W466" s="581"/>
      <c r="X466" s="578"/>
    </row>
    <row r="467" spans="1:257" s="582" customFormat="1">
      <c r="A467" s="696"/>
      <c r="B467" s="668" t="s">
        <v>263</v>
      </c>
      <c r="C467" s="713"/>
      <c r="D467" s="713"/>
      <c r="E467" s="725"/>
      <c r="F467" s="669">
        <f>F465*10%</f>
        <v>139900000</v>
      </c>
      <c r="G467" s="609"/>
      <c r="H467" s="609"/>
      <c r="I467" s="609"/>
      <c r="J467" s="669">
        <f>J465*10%</f>
        <v>200000000</v>
      </c>
      <c r="K467" s="669">
        <f>K464*10%</f>
        <v>175400000</v>
      </c>
      <c r="L467" s="1306">
        <f>L464*10%</f>
        <v>140900000</v>
      </c>
      <c r="M467" s="669"/>
      <c r="N467" s="837"/>
      <c r="O467" s="837"/>
      <c r="P467" s="830"/>
      <c r="Q467" s="830"/>
      <c r="R467" s="869"/>
      <c r="S467" s="866"/>
      <c r="T467" s="839"/>
      <c r="U467" s="637"/>
      <c r="V467" s="581"/>
      <c r="W467" s="581"/>
      <c r="X467" s="578"/>
    </row>
    <row r="468" spans="1:257" s="582" customFormat="1" ht="15.75" hidden="1" customHeight="1">
      <c r="A468" s="696"/>
      <c r="B468" s="669"/>
      <c r="C468" s="713"/>
      <c r="D468" s="713"/>
      <c r="E468" s="725"/>
      <c r="F468" s="669"/>
      <c r="G468" s="609"/>
      <c r="H468" s="609"/>
      <c r="I468" s="609"/>
      <c r="J468" s="669"/>
      <c r="K468" s="669"/>
      <c r="L468" s="1306"/>
      <c r="M468" s="669"/>
      <c r="N468" s="837"/>
      <c r="O468" s="837"/>
      <c r="P468" s="830"/>
      <c r="Q468" s="830"/>
      <c r="R468" s="826"/>
      <c r="S468" s="866"/>
      <c r="T468" s="839"/>
      <c r="U468" s="726"/>
      <c r="V468" s="581"/>
      <c r="W468" s="581"/>
      <c r="X468" s="578"/>
    </row>
    <row r="469" spans="1:257" s="582" customFormat="1" ht="17.25" customHeight="1">
      <c r="A469" s="729">
        <v>8</v>
      </c>
      <c r="B469" s="660" t="s">
        <v>350</v>
      </c>
      <c r="C469" s="738"/>
      <c r="D469" s="738"/>
      <c r="E469" s="740"/>
      <c r="F469" s="834">
        <f t="shared" ref="F469:L469" si="56">+F470+F481</f>
        <v>122013000000</v>
      </c>
      <c r="G469" s="834">
        <f t="shared" si="56"/>
        <v>0</v>
      </c>
      <c r="H469" s="834">
        <f t="shared" si="56"/>
        <v>0</v>
      </c>
      <c r="I469" s="834">
        <f t="shared" si="56"/>
        <v>0</v>
      </c>
      <c r="J469" s="834">
        <f t="shared" si="56"/>
        <v>129727320000</v>
      </c>
      <c r="K469" s="834">
        <f>+K470+K481</f>
        <v>126857000000</v>
      </c>
      <c r="L469" s="1312">
        <f t="shared" si="56"/>
        <v>134383000000</v>
      </c>
      <c r="M469" s="626"/>
      <c r="N469" s="835">
        <v>125851000000</v>
      </c>
      <c r="O469" s="835" t="s">
        <v>1977</v>
      </c>
      <c r="P469" s="876"/>
      <c r="Q469" s="876"/>
      <c r="R469" s="900"/>
      <c r="S469" s="866"/>
      <c r="T469" s="839"/>
      <c r="U469" s="726"/>
      <c r="V469" s="581"/>
      <c r="W469" s="581"/>
      <c r="X469" s="578"/>
    </row>
    <row r="470" spans="1:257" s="582" customFormat="1">
      <c r="A470" s="738" t="s">
        <v>192</v>
      </c>
      <c r="B470" s="732" t="s">
        <v>1030</v>
      </c>
      <c r="C470" s="738"/>
      <c r="D470" s="738"/>
      <c r="E470" s="740"/>
      <c r="F470" s="731">
        <f>SUM(F471:F478)</f>
        <v>113685000000</v>
      </c>
      <c r="G470" s="731">
        <f>SUM(G471:G478)</f>
        <v>0</v>
      </c>
      <c r="H470" s="731">
        <f>SUM(H471:H478)</f>
        <v>0</v>
      </c>
      <c r="I470" s="731">
        <f>SUM(I471:I478)</f>
        <v>0</v>
      </c>
      <c r="J470" s="731">
        <f>SUM(J471:J480)</f>
        <v>121268420000</v>
      </c>
      <c r="K470" s="731">
        <f>SUM(K471:K480)</f>
        <v>118328000000</v>
      </c>
      <c r="L470" s="1310">
        <f>SUM(L471:L480)</f>
        <v>125734000000</v>
      </c>
      <c r="M470" s="660"/>
      <c r="N470" s="829">
        <f>L469+Sheet2!AJ15*1000</f>
        <v>136066844500</v>
      </c>
      <c r="O470" s="829" t="s">
        <v>1976</v>
      </c>
      <c r="P470" s="1047"/>
      <c r="Q470" s="1047"/>
      <c r="R470" s="866"/>
      <c r="S470" s="866"/>
      <c r="T470" s="839"/>
      <c r="U470" s="721"/>
      <c r="V470" s="701"/>
      <c r="W470" s="581"/>
      <c r="X470" s="578"/>
    </row>
    <row r="471" spans="1:257" s="582" customFormat="1" ht="31.5">
      <c r="A471" s="738" t="s">
        <v>91</v>
      </c>
      <c r="B471" s="1048" t="s">
        <v>352</v>
      </c>
      <c r="C471" s="738"/>
      <c r="D471" s="738"/>
      <c r="E471" s="740"/>
      <c r="F471" s="740">
        <v>112754000000</v>
      </c>
      <c r="G471" s="1049"/>
      <c r="H471" s="1049"/>
      <c r="I471" s="1049"/>
      <c r="J471" s="740">
        <v>117848160000</v>
      </c>
      <c r="K471" s="740">
        <f>112754000000+1562000000</f>
        <v>114316000000</v>
      </c>
      <c r="L471" s="1315">
        <f>112754000000+5510000000</f>
        <v>118264000000</v>
      </c>
      <c r="M471" s="676" t="s">
        <v>1556</v>
      </c>
      <c r="N471" s="820">
        <f>N470-N469</f>
        <v>10215844500</v>
      </c>
      <c r="O471" s="820" t="s">
        <v>1978</v>
      </c>
      <c r="P471" s="1047"/>
      <c r="Q471" s="1047"/>
      <c r="R471" s="866"/>
      <c r="S471" s="866"/>
      <c r="T471" s="839"/>
      <c r="U471" s="721"/>
      <c r="V471" s="701"/>
      <c r="W471" s="581"/>
      <c r="X471" s="578"/>
    </row>
    <row r="472" spans="1:257" s="703" customFormat="1" ht="31.5">
      <c r="A472" s="738" t="s">
        <v>91</v>
      </c>
      <c r="B472" s="761" t="s">
        <v>1031</v>
      </c>
      <c r="C472" s="738"/>
      <c r="D472" s="738"/>
      <c r="E472" s="765"/>
      <c r="F472" s="676">
        <v>276000000</v>
      </c>
      <c r="G472" s="740"/>
      <c r="H472" s="740"/>
      <c r="I472" s="740"/>
      <c r="J472" s="676">
        <v>480000000</v>
      </c>
      <c r="K472" s="740">
        <v>480000000</v>
      </c>
      <c r="L472" s="1315">
        <v>544000000</v>
      </c>
      <c r="M472" s="676" t="s">
        <v>1032</v>
      </c>
      <c r="N472" s="826"/>
      <c r="O472" s="826"/>
      <c r="P472" s="820"/>
      <c r="Q472" s="820"/>
      <c r="R472" s="866"/>
      <c r="S472" s="871"/>
      <c r="T472" s="824"/>
      <c r="U472" s="670"/>
      <c r="V472" s="727"/>
      <c r="W472" s="727"/>
      <c r="X472" s="728"/>
      <c r="Y472" s="682"/>
      <c r="Z472" s="682"/>
      <c r="AA472" s="682"/>
      <c r="AB472" s="682"/>
      <c r="AC472" s="682"/>
      <c r="AD472" s="682"/>
      <c r="AE472" s="682"/>
      <c r="AF472" s="682"/>
      <c r="AG472" s="682"/>
      <c r="AH472" s="682"/>
      <c r="AI472" s="682"/>
      <c r="AJ472" s="682"/>
      <c r="AK472" s="682"/>
      <c r="AL472" s="682"/>
      <c r="AM472" s="682"/>
      <c r="AN472" s="682"/>
      <c r="AO472" s="682"/>
      <c r="AP472" s="682"/>
      <c r="AQ472" s="682"/>
      <c r="AR472" s="682"/>
      <c r="AS472" s="682"/>
      <c r="AT472" s="682"/>
      <c r="AU472" s="682"/>
      <c r="AV472" s="682"/>
      <c r="AW472" s="682"/>
      <c r="AX472" s="682"/>
      <c r="AY472" s="682"/>
      <c r="AZ472" s="682"/>
      <c r="BA472" s="682"/>
      <c r="BB472" s="682"/>
      <c r="BC472" s="682"/>
      <c r="BD472" s="682"/>
      <c r="BE472" s="682"/>
      <c r="BF472" s="682"/>
      <c r="BG472" s="682"/>
      <c r="BH472" s="682"/>
      <c r="BI472" s="682"/>
      <c r="BJ472" s="682"/>
      <c r="BK472" s="682"/>
      <c r="BL472" s="682"/>
      <c r="BM472" s="682"/>
      <c r="BN472" s="682"/>
      <c r="BO472" s="682"/>
      <c r="BP472" s="682"/>
      <c r="BQ472" s="682"/>
      <c r="BR472" s="682"/>
      <c r="BS472" s="682"/>
      <c r="BT472" s="682"/>
      <c r="BU472" s="682"/>
      <c r="BV472" s="682"/>
      <c r="BW472" s="682"/>
      <c r="BX472" s="682"/>
      <c r="BY472" s="682"/>
      <c r="BZ472" s="682"/>
      <c r="CA472" s="682"/>
      <c r="CB472" s="682"/>
      <c r="CC472" s="682"/>
      <c r="CD472" s="682"/>
      <c r="CE472" s="682"/>
      <c r="CF472" s="682"/>
      <c r="CG472" s="682"/>
      <c r="CH472" s="682"/>
      <c r="CI472" s="682"/>
      <c r="CJ472" s="682"/>
      <c r="CK472" s="682"/>
      <c r="CL472" s="682"/>
      <c r="CM472" s="682"/>
      <c r="CN472" s="682"/>
      <c r="CO472" s="682"/>
      <c r="CP472" s="682"/>
      <c r="CQ472" s="682"/>
      <c r="CR472" s="682"/>
      <c r="CS472" s="682"/>
      <c r="CT472" s="682"/>
      <c r="CU472" s="682"/>
      <c r="CV472" s="682"/>
      <c r="CW472" s="682"/>
      <c r="CX472" s="682"/>
      <c r="CY472" s="682"/>
      <c r="CZ472" s="682"/>
      <c r="DA472" s="682"/>
      <c r="DB472" s="682"/>
      <c r="DC472" s="682"/>
      <c r="DD472" s="682"/>
      <c r="DE472" s="682"/>
      <c r="DF472" s="682"/>
      <c r="DG472" s="682"/>
      <c r="DH472" s="682"/>
      <c r="DI472" s="682"/>
      <c r="DJ472" s="682"/>
      <c r="DK472" s="682"/>
      <c r="DL472" s="682"/>
      <c r="DM472" s="682"/>
      <c r="DN472" s="682"/>
      <c r="DO472" s="682"/>
      <c r="DP472" s="682"/>
      <c r="DQ472" s="682"/>
      <c r="DR472" s="682"/>
      <c r="DS472" s="682"/>
      <c r="DT472" s="682"/>
      <c r="DU472" s="682"/>
      <c r="DV472" s="682"/>
      <c r="DW472" s="682"/>
      <c r="DX472" s="682"/>
      <c r="DY472" s="682"/>
      <c r="DZ472" s="682"/>
      <c r="EA472" s="682"/>
      <c r="EB472" s="682"/>
      <c r="EC472" s="682"/>
      <c r="ED472" s="682"/>
      <c r="EE472" s="682"/>
      <c r="EF472" s="682"/>
      <c r="EG472" s="682"/>
      <c r="EH472" s="682"/>
      <c r="EI472" s="682"/>
      <c r="EJ472" s="682"/>
      <c r="EK472" s="682"/>
      <c r="EL472" s="682"/>
      <c r="EM472" s="682"/>
      <c r="EN472" s="682"/>
      <c r="EO472" s="682"/>
      <c r="EP472" s="682"/>
      <c r="EQ472" s="682"/>
      <c r="ER472" s="682"/>
      <c r="ES472" s="682"/>
      <c r="ET472" s="682"/>
      <c r="EU472" s="682"/>
      <c r="EV472" s="682"/>
      <c r="EW472" s="682"/>
      <c r="EX472" s="682"/>
      <c r="EY472" s="682"/>
      <c r="EZ472" s="682"/>
      <c r="FA472" s="682"/>
      <c r="FB472" s="682"/>
      <c r="FC472" s="682"/>
      <c r="FD472" s="682"/>
      <c r="FE472" s="682"/>
      <c r="FF472" s="682"/>
      <c r="FG472" s="682"/>
      <c r="FH472" s="682"/>
      <c r="FI472" s="682"/>
      <c r="FJ472" s="682"/>
      <c r="FK472" s="682"/>
      <c r="FL472" s="682"/>
      <c r="FM472" s="682"/>
      <c r="FN472" s="682"/>
      <c r="FO472" s="682"/>
      <c r="FP472" s="682"/>
      <c r="FQ472" s="682"/>
      <c r="FR472" s="682"/>
      <c r="FS472" s="682"/>
      <c r="FT472" s="682"/>
      <c r="FU472" s="682"/>
      <c r="FV472" s="682"/>
      <c r="FW472" s="682"/>
      <c r="FX472" s="682"/>
      <c r="FY472" s="682"/>
      <c r="FZ472" s="682"/>
      <c r="GA472" s="682"/>
      <c r="GB472" s="682"/>
      <c r="GC472" s="682"/>
      <c r="GD472" s="682"/>
      <c r="GE472" s="682"/>
      <c r="GF472" s="682"/>
      <c r="GG472" s="682"/>
      <c r="GH472" s="682"/>
      <c r="GI472" s="682"/>
      <c r="GJ472" s="682"/>
      <c r="GK472" s="682"/>
      <c r="GL472" s="682"/>
      <c r="GM472" s="682"/>
      <c r="GN472" s="682"/>
      <c r="GO472" s="682"/>
      <c r="GP472" s="682"/>
      <c r="GQ472" s="682"/>
      <c r="GR472" s="682"/>
      <c r="GS472" s="682"/>
      <c r="GT472" s="682"/>
      <c r="GU472" s="682"/>
      <c r="GV472" s="682"/>
      <c r="GW472" s="682"/>
      <c r="GX472" s="682"/>
      <c r="GY472" s="682"/>
      <c r="GZ472" s="682"/>
      <c r="HA472" s="682"/>
      <c r="HB472" s="682"/>
      <c r="HC472" s="682"/>
      <c r="HD472" s="682"/>
      <c r="HE472" s="682"/>
      <c r="HF472" s="682"/>
      <c r="HG472" s="682"/>
      <c r="HH472" s="682"/>
      <c r="HI472" s="682"/>
      <c r="HJ472" s="682"/>
      <c r="HK472" s="682"/>
      <c r="HL472" s="682"/>
      <c r="HM472" s="682"/>
      <c r="HN472" s="682"/>
      <c r="HO472" s="682"/>
      <c r="HP472" s="682"/>
      <c r="HQ472" s="682"/>
      <c r="HR472" s="682"/>
      <c r="HS472" s="682"/>
      <c r="HT472" s="682"/>
      <c r="HU472" s="682"/>
      <c r="HV472" s="682"/>
      <c r="HW472" s="682"/>
      <c r="HX472" s="682"/>
      <c r="HY472" s="682"/>
      <c r="HZ472" s="682"/>
      <c r="IA472" s="682"/>
      <c r="IB472" s="682"/>
      <c r="IC472" s="682"/>
      <c r="ID472" s="682"/>
      <c r="IE472" s="682"/>
      <c r="IF472" s="682"/>
      <c r="IG472" s="682"/>
      <c r="IH472" s="682"/>
      <c r="II472" s="682"/>
      <c r="IJ472" s="682"/>
      <c r="IK472" s="682"/>
      <c r="IL472" s="682"/>
      <c r="IM472" s="682"/>
      <c r="IN472" s="682"/>
      <c r="IO472" s="682"/>
      <c r="IP472" s="682"/>
      <c r="IQ472" s="682"/>
      <c r="IR472" s="682"/>
      <c r="IS472" s="682"/>
      <c r="IT472" s="682"/>
      <c r="IU472" s="682"/>
      <c r="IV472" s="682"/>
      <c r="IW472" s="682"/>
    </row>
    <row r="473" spans="1:257" s="682" customFormat="1">
      <c r="A473" s="738" t="s">
        <v>91</v>
      </c>
      <c r="B473" s="761" t="s">
        <v>353</v>
      </c>
      <c r="C473" s="738"/>
      <c r="D473" s="774"/>
      <c r="E473" s="972"/>
      <c r="F473" s="676">
        <v>35000000</v>
      </c>
      <c r="G473" s="676"/>
      <c r="H473" s="676"/>
      <c r="I473" s="676"/>
      <c r="J473" s="676">
        <v>67500000</v>
      </c>
      <c r="K473" s="740">
        <v>60000000</v>
      </c>
      <c r="L473" s="1315">
        <v>35000000</v>
      </c>
      <c r="M473" s="676"/>
      <c r="N473" s="826"/>
      <c r="O473" s="826"/>
      <c r="P473" s="826"/>
      <c r="Q473" s="826"/>
      <c r="R473" s="866"/>
      <c r="S473" s="866"/>
      <c r="T473" s="839"/>
      <c r="U473" s="726"/>
      <c r="V473" s="581"/>
      <c r="W473" s="581"/>
      <c r="X473" s="578"/>
      <c r="Y473" s="582"/>
      <c r="Z473" s="582"/>
      <c r="AA473" s="582"/>
      <c r="AB473" s="582"/>
      <c r="AC473" s="582"/>
      <c r="AD473" s="582"/>
      <c r="AE473" s="582"/>
      <c r="AF473" s="582"/>
      <c r="AG473" s="582"/>
      <c r="AH473" s="582"/>
      <c r="AI473" s="582"/>
      <c r="AJ473" s="582"/>
      <c r="AK473" s="582"/>
      <c r="AL473" s="582"/>
      <c r="AM473" s="582"/>
      <c r="AN473" s="582"/>
      <c r="AO473" s="582"/>
      <c r="AP473" s="582"/>
      <c r="AQ473" s="582"/>
      <c r="AR473" s="582"/>
      <c r="AS473" s="582"/>
      <c r="AT473" s="582"/>
      <c r="AU473" s="582"/>
      <c r="AV473" s="582"/>
      <c r="AW473" s="582"/>
      <c r="AX473" s="582"/>
      <c r="AY473" s="582"/>
      <c r="AZ473" s="582"/>
      <c r="BA473" s="582"/>
      <c r="BB473" s="582"/>
      <c r="BC473" s="582"/>
      <c r="BD473" s="582"/>
      <c r="BE473" s="582"/>
      <c r="BF473" s="582"/>
      <c r="BG473" s="582"/>
      <c r="BH473" s="582"/>
      <c r="BI473" s="582"/>
      <c r="BJ473" s="582"/>
      <c r="BK473" s="582"/>
      <c r="BL473" s="582"/>
      <c r="BM473" s="582"/>
      <c r="BN473" s="582"/>
      <c r="BO473" s="582"/>
      <c r="BP473" s="582"/>
      <c r="BQ473" s="582"/>
      <c r="BR473" s="582"/>
      <c r="BS473" s="582"/>
      <c r="BT473" s="582"/>
      <c r="BU473" s="582"/>
      <c r="BV473" s="582"/>
      <c r="BW473" s="582"/>
      <c r="BX473" s="582"/>
      <c r="BY473" s="582"/>
      <c r="BZ473" s="582"/>
      <c r="CA473" s="582"/>
      <c r="CB473" s="582"/>
      <c r="CC473" s="582"/>
      <c r="CD473" s="582"/>
      <c r="CE473" s="582"/>
      <c r="CF473" s="582"/>
      <c r="CG473" s="582"/>
      <c r="CH473" s="582"/>
      <c r="CI473" s="582"/>
      <c r="CJ473" s="582"/>
      <c r="CK473" s="582"/>
      <c r="CL473" s="582"/>
      <c r="CM473" s="582"/>
      <c r="CN473" s="582"/>
      <c r="CO473" s="582"/>
      <c r="CP473" s="582"/>
      <c r="CQ473" s="582"/>
      <c r="CR473" s="582"/>
      <c r="CS473" s="582"/>
      <c r="CT473" s="582"/>
      <c r="CU473" s="582"/>
      <c r="CV473" s="582"/>
      <c r="CW473" s="582"/>
      <c r="CX473" s="582"/>
      <c r="CY473" s="582"/>
      <c r="CZ473" s="582"/>
      <c r="DA473" s="582"/>
      <c r="DB473" s="582"/>
      <c r="DC473" s="582"/>
      <c r="DD473" s="582"/>
      <c r="DE473" s="582"/>
      <c r="DF473" s="582"/>
      <c r="DG473" s="582"/>
      <c r="DH473" s="582"/>
      <c r="DI473" s="582"/>
      <c r="DJ473" s="582"/>
      <c r="DK473" s="582"/>
      <c r="DL473" s="582"/>
      <c r="DM473" s="582"/>
      <c r="DN473" s="582"/>
      <c r="DO473" s="582"/>
      <c r="DP473" s="582"/>
      <c r="DQ473" s="582"/>
      <c r="DR473" s="582"/>
      <c r="DS473" s="582"/>
      <c r="DT473" s="582"/>
      <c r="DU473" s="582"/>
      <c r="DV473" s="582"/>
      <c r="DW473" s="582"/>
      <c r="DX473" s="582"/>
      <c r="DY473" s="582"/>
      <c r="DZ473" s="582"/>
      <c r="EA473" s="582"/>
      <c r="EB473" s="582"/>
      <c r="EC473" s="582"/>
      <c r="ED473" s="582"/>
      <c r="EE473" s="582"/>
      <c r="EF473" s="582"/>
      <c r="EG473" s="582"/>
      <c r="EH473" s="582"/>
      <c r="EI473" s="582"/>
      <c r="EJ473" s="582"/>
      <c r="EK473" s="582"/>
      <c r="EL473" s="582"/>
      <c r="EM473" s="582"/>
      <c r="EN473" s="582"/>
      <c r="EO473" s="582"/>
      <c r="EP473" s="582"/>
      <c r="EQ473" s="582"/>
      <c r="ER473" s="582"/>
      <c r="ES473" s="582"/>
      <c r="ET473" s="582"/>
      <c r="EU473" s="582"/>
      <c r="EV473" s="582"/>
      <c r="EW473" s="582"/>
      <c r="EX473" s="582"/>
      <c r="EY473" s="582"/>
      <c r="EZ473" s="582"/>
      <c r="FA473" s="582"/>
      <c r="FB473" s="582"/>
      <c r="FC473" s="582"/>
      <c r="FD473" s="582"/>
      <c r="FE473" s="582"/>
      <c r="FF473" s="582"/>
      <c r="FG473" s="582"/>
      <c r="FH473" s="582"/>
      <c r="FI473" s="582"/>
      <c r="FJ473" s="582"/>
      <c r="FK473" s="582"/>
      <c r="FL473" s="582"/>
      <c r="FM473" s="582"/>
      <c r="FN473" s="582"/>
      <c r="FO473" s="582"/>
      <c r="FP473" s="582"/>
      <c r="FQ473" s="582"/>
      <c r="FR473" s="582"/>
      <c r="FS473" s="582"/>
      <c r="FT473" s="582"/>
      <c r="FU473" s="582"/>
      <c r="FV473" s="582"/>
      <c r="FW473" s="582"/>
      <c r="FX473" s="582"/>
      <c r="FY473" s="582"/>
      <c r="FZ473" s="582"/>
      <c r="GA473" s="582"/>
      <c r="GB473" s="582"/>
      <c r="GC473" s="582"/>
      <c r="GD473" s="582"/>
      <c r="GE473" s="582"/>
      <c r="GF473" s="582"/>
      <c r="GG473" s="582"/>
      <c r="GH473" s="582"/>
      <c r="GI473" s="582"/>
      <c r="GJ473" s="582"/>
      <c r="GK473" s="582"/>
      <c r="GL473" s="582"/>
      <c r="GM473" s="582"/>
      <c r="GN473" s="582"/>
      <c r="GO473" s="582"/>
      <c r="GP473" s="582"/>
      <c r="GQ473" s="582"/>
      <c r="GR473" s="582"/>
      <c r="GS473" s="582"/>
      <c r="GT473" s="582"/>
      <c r="GU473" s="582"/>
      <c r="GV473" s="582"/>
      <c r="GW473" s="582"/>
      <c r="GX473" s="582"/>
      <c r="GY473" s="582"/>
      <c r="GZ473" s="582"/>
      <c r="HA473" s="582"/>
      <c r="HB473" s="582"/>
      <c r="HC473" s="582"/>
      <c r="HD473" s="582"/>
      <c r="HE473" s="582"/>
      <c r="HF473" s="582"/>
      <c r="HG473" s="582"/>
      <c r="HH473" s="582"/>
      <c r="HI473" s="582"/>
      <c r="HJ473" s="582"/>
      <c r="HK473" s="582"/>
      <c r="HL473" s="582"/>
      <c r="HM473" s="582"/>
      <c r="HN473" s="582"/>
      <c r="HO473" s="582"/>
      <c r="HP473" s="582"/>
      <c r="HQ473" s="582"/>
      <c r="HR473" s="582"/>
      <c r="HS473" s="582"/>
      <c r="HT473" s="582"/>
      <c r="HU473" s="582"/>
      <c r="HV473" s="582"/>
      <c r="HW473" s="582"/>
      <c r="HX473" s="582"/>
      <c r="HY473" s="582"/>
      <c r="HZ473" s="582"/>
      <c r="IA473" s="582"/>
      <c r="IB473" s="582"/>
      <c r="IC473" s="582"/>
      <c r="ID473" s="582"/>
      <c r="IE473" s="582"/>
      <c r="IF473" s="582"/>
      <c r="IG473" s="582"/>
      <c r="IH473" s="582"/>
      <c r="II473" s="582"/>
      <c r="IJ473" s="582"/>
      <c r="IK473" s="582"/>
      <c r="IL473" s="582"/>
      <c r="IM473" s="582"/>
      <c r="IN473" s="582"/>
      <c r="IO473" s="582"/>
      <c r="IP473" s="582"/>
      <c r="IQ473" s="582"/>
      <c r="IR473" s="582"/>
      <c r="IS473" s="582"/>
      <c r="IT473" s="582"/>
      <c r="IU473" s="582"/>
      <c r="IV473" s="582"/>
      <c r="IW473" s="582"/>
    </row>
    <row r="474" spans="1:257" s="682" customFormat="1">
      <c r="A474" s="738" t="s">
        <v>91</v>
      </c>
      <c r="B474" s="761" t="s">
        <v>1703</v>
      </c>
      <c r="C474" s="738"/>
      <c r="D474" s="738"/>
      <c r="E474" s="765"/>
      <c r="F474" s="761">
        <v>30000000</v>
      </c>
      <c r="G474" s="740"/>
      <c r="H474" s="740"/>
      <c r="I474" s="740"/>
      <c r="J474" s="761">
        <v>80000000</v>
      </c>
      <c r="K474" s="740">
        <v>1480000000</v>
      </c>
      <c r="L474" s="1315">
        <v>2000000000</v>
      </c>
      <c r="M474" s="761" t="s">
        <v>1033</v>
      </c>
      <c r="N474" s="837"/>
      <c r="O474" s="837"/>
      <c r="P474" s="820"/>
      <c r="Q474" s="820"/>
      <c r="R474" s="866"/>
      <c r="S474" s="866"/>
      <c r="T474" s="839"/>
      <c r="U474" s="726"/>
      <c r="V474" s="581"/>
      <c r="W474" s="581"/>
      <c r="X474" s="578"/>
      <c r="Y474" s="582"/>
      <c r="Z474" s="582"/>
      <c r="AA474" s="582"/>
      <c r="AB474" s="582"/>
      <c r="AC474" s="582"/>
      <c r="AD474" s="582"/>
      <c r="AE474" s="582"/>
      <c r="AF474" s="582"/>
      <c r="AG474" s="582"/>
      <c r="AH474" s="582"/>
      <c r="AI474" s="582"/>
      <c r="AJ474" s="582"/>
      <c r="AK474" s="582"/>
      <c r="AL474" s="582"/>
      <c r="AM474" s="582"/>
      <c r="AN474" s="582"/>
      <c r="AO474" s="582"/>
      <c r="AP474" s="582"/>
      <c r="AQ474" s="582"/>
      <c r="AR474" s="582"/>
      <c r="AS474" s="582"/>
      <c r="AT474" s="582"/>
      <c r="AU474" s="582"/>
      <c r="AV474" s="582"/>
      <c r="AW474" s="582"/>
      <c r="AX474" s="582"/>
      <c r="AY474" s="582"/>
      <c r="AZ474" s="582"/>
      <c r="BA474" s="582"/>
      <c r="BB474" s="582"/>
      <c r="BC474" s="582"/>
      <c r="BD474" s="582"/>
      <c r="BE474" s="582"/>
      <c r="BF474" s="582"/>
      <c r="BG474" s="582"/>
      <c r="BH474" s="582"/>
      <c r="BI474" s="582"/>
      <c r="BJ474" s="582"/>
      <c r="BK474" s="582"/>
      <c r="BL474" s="582"/>
      <c r="BM474" s="582"/>
      <c r="BN474" s="582"/>
      <c r="BO474" s="582"/>
      <c r="BP474" s="582"/>
      <c r="BQ474" s="582"/>
      <c r="BR474" s="582"/>
      <c r="BS474" s="582"/>
      <c r="BT474" s="582"/>
      <c r="BU474" s="582"/>
      <c r="BV474" s="582"/>
      <c r="BW474" s="582"/>
      <c r="BX474" s="582"/>
      <c r="BY474" s="582"/>
      <c r="BZ474" s="582"/>
      <c r="CA474" s="582"/>
      <c r="CB474" s="582"/>
      <c r="CC474" s="582"/>
      <c r="CD474" s="582"/>
      <c r="CE474" s="582"/>
      <c r="CF474" s="582"/>
      <c r="CG474" s="582"/>
      <c r="CH474" s="582"/>
      <c r="CI474" s="582"/>
      <c r="CJ474" s="582"/>
      <c r="CK474" s="582"/>
      <c r="CL474" s="582"/>
      <c r="CM474" s="582"/>
      <c r="CN474" s="582"/>
      <c r="CO474" s="582"/>
      <c r="CP474" s="582"/>
      <c r="CQ474" s="582"/>
      <c r="CR474" s="582"/>
      <c r="CS474" s="582"/>
      <c r="CT474" s="582"/>
      <c r="CU474" s="582"/>
      <c r="CV474" s="582"/>
      <c r="CW474" s="582"/>
      <c r="CX474" s="582"/>
      <c r="CY474" s="582"/>
      <c r="CZ474" s="582"/>
      <c r="DA474" s="582"/>
      <c r="DB474" s="582"/>
      <c r="DC474" s="582"/>
      <c r="DD474" s="582"/>
      <c r="DE474" s="582"/>
      <c r="DF474" s="582"/>
      <c r="DG474" s="582"/>
      <c r="DH474" s="582"/>
      <c r="DI474" s="582"/>
      <c r="DJ474" s="582"/>
      <c r="DK474" s="582"/>
      <c r="DL474" s="582"/>
      <c r="DM474" s="582"/>
      <c r="DN474" s="582"/>
      <c r="DO474" s="582"/>
      <c r="DP474" s="582"/>
      <c r="DQ474" s="582"/>
      <c r="DR474" s="582"/>
      <c r="DS474" s="582"/>
      <c r="DT474" s="582"/>
      <c r="DU474" s="582"/>
      <c r="DV474" s="582"/>
      <c r="DW474" s="582"/>
      <c r="DX474" s="582"/>
      <c r="DY474" s="582"/>
      <c r="DZ474" s="582"/>
      <c r="EA474" s="582"/>
      <c r="EB474" s="582"/>
      <c r="EC474" s="582"/>
      <c r="ED474" s="582"/>
      <c r="EE474" s="582"/>
      <c r="EF474" s="582"/>
      <c r="EG474" s="582"/>
      <c r="EH474" s="582"/>
      <c r="EI474" s="582"/>
      <c r="EJ474" s="582"/>
      <c r="EK474" s="582"/>
      <c r="EL474" s="582"/>
      <c r="EM474" s="582"/>
      <c r="EN474" s="582"/>
      <c r="EO474" s="582"/>
      <c r="EP474" s="582"/>
      <c r="EQ474" s="582"/>
      <c r="ER474" s="582"/>
      <c r="ES474" s="582"/>
      <c r="ET474" s="582"/>
      <c r="EU474" s="582"/>
      <c r="EV474" s="582"/>
      <c r="EW474" s="582"/>
      <c r="EX474" s="582"/>
      <c r="EY474" s="582"/>
      <c r="EZ474" s="582"/>
      <c r="FA474" s="582"/>
      <c r="FB474" s="582"/>
      <c r="FC474" s="582"/>
      <c r="FD474" s="582"/>
      <c r="FE474" s="582"/>
      <c r="FF474" s="582"/>
      <c r="FG474" s="582"/>
      <c r="FH474" s="582"/>
      <c r="FI474" s="582"/>
      <c r="FJ474" s="582"/>
      <c r="FK474" s="582"/>
      <c r="FL474" s="582"/>
      <c r="FM474" s="582"/>
      <c r="FN474" s="582"/>
      <c r="FO474" s="582"/>
      <c r="FP474" s="582"/>
      <c r="FQ474" s="582"/>
      <c r="FR474" s="582"/>
      <c r="FS474" s="582"/>
      <c r="FT474" s="582"/>
      <c r="FU474" s="582"/>
      <c r="FV474" s="582"/>
      <c r="FW474" s="582"/>
      <c r="FX474" s="582"/>
      <c r="FY474" s="582"/>
      <c r="FZ474" s="582"/>
      <c r="GA474" s="582"/>
      <c r="GB474" s="582"/>
      <c r="GC474" s="582"/>
      <c r="GD474" s="582"/>
      <c r="GE474" s="582"/>
      <c r="GF474" s="582"/>
      <c r="GG474" s="582"/>
      <c r="GH474" s="582"/>
      <c r="GI474" s="582"/>
      <c r="GJ474" s="582"/>
      <c r="GK474" s="582"/>
      <c r="GL474" s="582"/>
      <c r="GM474" s="582"/>
      <c r="GN474" s="582"/>
      <c r="GO474" s="582"/>
      <c r="GP474" s="582"/>
      <c r="GQ474" s="582"/>
      <c r="GR474" s="582"/>
      <c r="GS474" s="582"/>
      <c r="GT474" s="582"/>
      <c r="GU474" s="582"/>
      <c r="GV474" s="582"/>
      <c r="GW474" s="582"/>
      <c r="GX474" s="582"/>
      <c r="GY474" s="582"/>
      <c r="GZ474" s="582"/>
      <c r="HA474" s="582"/>
      <c r="HB474" s="582"/>
      <c r="HC474" s="582"/>
      <c r="HD474" s="582"/>
      <c r="HE474" s="582"/>
      <c r="HF474" s="582"/>
      <c r="HG474" s="582"/>
      <c r="HH474" s="582"/>
      <c r="HI474" s="582"/>
      <c r="HJ474" s="582"/>
      <c r="HK474" s="582"/>
      <c r="HL474" s="582"/>
      <c r="HM474" s="582"/>
      <c r="HN474" s="582"/>
      <c r="HO474" s="582"/>
      <c r="HP474" s="582"/>
      <c r="HQ474" s="582"/>
      <c r="HR474" s="582"/>
      <c r="HS474" s="582"/>
      <c r="HT474" s="582"/>
      <c r="HU474" s="582"/>
      <c r="HV474" s="582"/>
      <c r="HW474" s="582"/>
      <c r="HX474" s="582"/>
      <c r="HY474" s="582"/>
      <c r="HZ474" s="582"/>
      <c r="IA474" s="582"/>
      <c r="IB474" s="582"/>
      <c r="IC474" s="582"/>
      <c r="ID474" s="582"/>
      <c r="IE474" s="582"/>
      <c r="IF474" s="582"/>
      <c r="IG474" s="582"/>
      <c r="IH474" s="582"/>
      <c r="II474" s="582"/>
      <c r="IJ474" s="582"/>
      <c r="IK474" s="582"/>
      <c r="IL474" s="582"/>
      <c r="IM474" s="582"/>
      <c r="IN474" s="582"/>
      <c r="IO474" s="582"/>
      <c r="IP474" s="582"/>
      <c r="IQ474" s="582"/>
      <c r="IR474" s="582"/>
      <c r="IS474" s="582"/>
      <c r="IT474" s="582"/>
      <c r="IU474" s="582"/>
      <c r="IV474" s="582"/>
      <c r="IW474" s="582"/>
    </row>
    <row r="475" spans="1:257" s="682" customFormat="1">
      <c r="A475" s="738" t="s">
        <v>91</v>
      </c>
      <c r="B475" s="761" t="s">
        <v>355</v>
      </c>
      <c r="C475" s="738"/>
      <c r="D475" s="738"/>
      <c r="E475" s="765"/>
      <c r="F475" s="761">
        <v>400000000</v>
      </c>
      <c r="G475" s="740"/>
      <c r="H475" s="740"/>
      <c r="I475" s="740"/>
      <c r="J475" s="761">
        <v>1940000000</v>
      </c>
      <c r="K475" s="740">
        <v>1000000000</v>
      </c>
      <c r="L475" s="1315">
        <v>600000000</v>
      </c>
      <c r="M475" s="761"/>
      <c r="N475" s="837"/>
      <c r="O475" s="837"/>
      <c r="P475" s="820"/>
      <c r="Q475" s="820"/>
      <c r="R475" s="866"/>
      <c r="S475" s="866"/>
      <c r="T475" s="839"/>
      <c r="U475" s="726"/>
      <c r="V475" s="727"/>
      <c r="W475" s="727"/>
      <c r="X475" s="728"/>
    </row>
    <row r="476" spans="1:257" s="703" customFormat="1" ht="47.25">
      <c r="A476" s="738" t="s">
        <v>91</v>
      </c>
      <c r="B476" s="761" t="s">
        <v>356</v>
      </c>
      <c r="C476" s="738"/>
      <c r="D476" s="738"/>
      <c r="E476" s="765"/>
      <c r="F476" s="676">
        <v>150000000</v>
      </c>
      <c r="G476" s="740"/>
      <c r="H476" s="740"/>
      <c r="I476" s="740"/>
      <c r="J476" s="676">
        <v>196500000</v>
      </c>
      <c r="K476" s="740">
        <v>226000000</v>
      </c>
      <c r="L476" s="1315">
        <v>240000000</v>
      </c>
      <c r="M476" s="676"/>
      <c r="N476" s="826"/>
      <c r="O476" s="826"/>
      <c r="P476" s="820"/>
      <c r="Q476" s="820"/>
      <c r="R476" s="866"/>
      <c r="S476" s="866"/>
      <c r="T476" s="839"/>
      <c r="U476" s="670"/>
      <c r="V476" s="727"/>
      <c r="W476" s="727"/>
      <c r="X476" s="728"/>
      <c r="Y476" s="682"/>
      <c r="Z476" s="682"/>
      <c r="AA476" s="682"/>
      <c r="AB476" s="682"/>
      <c r="AC476" s="682"/>
      <c r="AD476" s="682"/>
      <c r="AE476" s="682"/>
      <c r="AF476" s="682"/>
      <c r="AG476" s="682"/>
      <c r="AH476" s="682"/>
      <c r="AI476" s="682"/>
      <c r="AJ476" s="682"/>
      <c r="AK476" s="682"/>
      <c r="AL476" s="682"/>
      <c r="AM476" s="682"/>
      <c r="AN476" s="682"/>
      <c r="AO476" s="682"/>
      <c r="AP476" s="682"/>
      <c r="AQ476" s="682"/>
      <c r="AR476" s="682"/>
      <c r="AS476" s="682"/>
      <c r="AT476" s="682"/>
      <c r="AU476" s="682"/>
      <c r="AV476" s="682"/>
      <c r="AW476" s="682"/>
      <c r="AX476" s="682"/>
      <c r="AY476" s="682"/>
      <c r="AZ476" s="682"/>
      <c r="BA476" s="682"/>
      <c r="BB476" s="682"/>
      <c r="BC476" s="682"/>
      <c r="BD476" s="682"/>
      <c r="BE476" s="682"/>
      <c r="BF476" s="682"/>
      <c r="BG476" s="682"/>
      <c r="BH476" s="682"/>
      <c r="BI476" s="682"/>
      <c r="BJ476" s="682"/>
      <c r="BK476" s="682"/>
      <c r="BL476" s="682"/>
      <c r="BM476" s="682"/>
      <c r="BN476" s="682"/>
      <c r="BO476" s="682"/>
      <c r="BP476" s="682"/>
      <c r="BQ476" s="682"/>
      <c r="BR476" s="682"/>
      <c r="BS476" s="682"/>
      <c r="BT476" s="682"/>
      <c r="BU476" s="682"/>
      <c r="BV476" s="682"/>
      <c r="BW476" s="682"/>
      <c r="BX476" s="682"/>
      <c r="BY476" s="682"/>
      <c r="BZ476" s="682"/>
      <c r="CA476" s="682"/>
      <c r="CB476" s="682"/>
      <c r="CC476" s="682"/>
      <c r="CD476" s="682"/>
      <c r="CE476" s="682"/>
      <c r="CF476" s="682"/>
      <c r="CG476" s="682"/>
      <c r="CH476" s="682"/>
      <c r="CI476" s="682"/>
      <c r="CJ476" s="682"/>
      <c r="CK476" s="682"/>
      <c r="CL476" s="682"/>
      <c r="CM476" s="682"/>
      <c r="CN476" s="682"/>
      <c r="CO476" s="682"/>
      <c r="CP476" s="682"/>
      <c r="CQ476" s="682"/>
      <c r="CR476" s="682"/>
      <c r="CS476" s="682"/>
      <c r="CT476" s="682"/>
      <c r="CU476" s="682"/>
      <c r="CV476" s="682"/>
      <c r="CW476" s="682"/>
      <c r="CX476" s="682"/>
      <c r="CY476" s="682"/>
      <c r="CZ476" s="682"/>
      <c r="DA476" s="682"/>
      <c r="DB476" s="682"/>
      <c r="DC476" s="682"/>
      <c r="DD476" s="682"/>
      <c r="DE476" s="682"/>
      <c r="DF476" s="682"/>
      <c r="DG476" s="682"/>
      <c r="DH476" s="682"/>
      <c r="DI476" s="682"/>
      <c r="DJ476" s="682"/>
      <c r="DK476" s="682"/>
      <c r="DL476" s="682"/>
      <c r="DM476" s="682"/>
      <c r="DN476" s="682"/>
      <c r="DO476" s="682"/>
      <c r="DP476" s="682"/>
      <c r="DQ476" s="682"/>
      <c r="DR476" s="682"/>
      <c r="DS476" s="682"/>
      <c r="DT476" s="682"/>
      <c r="DU476" s="682"/>
      <c r="DV476" s="682"/>
      <c r="DW476" s="682"/>
      <c r="DX476" s="682"/>
      <c r="DY476" s="682"/>
      <c r="DZ476" s="682"/>
      <c r="EA476" s="682"/>
      <c r="EB476" s="682"/>
      <c r="EC476" s="682"/>
      <c r="ED476" s="682"/>
      <c r="EE476" s="682"/>
      <c r="EF476" s="682"/>
      <c r="EG476" s="682"/>
      <c r="EH476" s="682"/>
      <c r="EI476" s="682"/>
      <c r="EJ476" s="682"/>
      <c r="EK476" s="682"/>
      <c r="EL476" s="682"/>
      <c r="EM476" s="682"/>
      <c r="EN476" s="682"/>
      <c r="EO476" s="682"/>
      <c r="EP476" s="682"/>
      <c r="EQ476" s="682"/>
      <c r="ER476" s="682"/>
      <c r="ES476" s="682"/>
      <c r="ET476" s="682"/>
      <c r="EU476" s="682"/>
      <c r="EV476" s="682"/>
      <c r="EW476" s="682"/>
      <c r="EX476" s="682"/>
      <c r="EY476" s="682"/>
      <c r="EZ476" s="682"/>
      <c r="FA476" s="682"/>
      <c r="FB476" s="682"/>
      <c r="FC476" s="682"/>
      <c r="FD476" s="682"/>
      <c r="FE476" s="682"/>
      <c r="FF476" s="682"/>
      <c r="FG476" s="682"/>
      <c r="FH476" s="682"/>
      <c r="FI476" s="682"/>
      <c r="FJ476" s="682"/>
      <c r="FK476" s="682"/>
      <c r="FL476" s="682"/>
      <c r="FM476" s="682"/>
      <c r="FN476" s="682"/>
      <c r="FO476" s="682"/>
      <c r="FP476" s="682"/>
      <c r="FQ476" s="682"/>
      <c r="FR476" s="682"/>
      <c r="FS476" s="682"/>
      <c r="FT476" s="682"/>
      <c r="FU476" s="682"/>
      <c r="FV476" s="682"/>
      <c r="FW476" s="682"/>
      <c r="FX476" s="682"/>
      <c r="FY476" s="682"/>
      <c r="FZ476" s="682"/>
      <c r="GA476" s="682"/>
      <c r="GB476" s="682"/>
      <c r="GC476" s="682"/>
      <c r="GD476" s="682"/>
      <c r="GE476" s="682"/>
      <c r="GF476" s="682"/>
      <c r="GG476" s="682"/>
      <c r="GH476" s="682"/>
      <c r="GI476" s="682"/>
      <c r="GJ476" s="682"/>
      <c r="GK476" s="682"/>
      <c r="GL476" s="682"/>
      <c r="GM476" s="682"/>
      <c r="GN476" s="682"/>
      <c r="GO476" s="682"/>
      <c r="GP476" s="682"/>
      <c r="GQ476" s="682"/>
      <c r="GR476" s="682"/>
      <c r="GS476" s="682"/>
      <c r="GT476" s="682"/>
      <c r="GU476" s="682"/>
      <c r="GV476" s="682"/>
      <c r="GW476" s="682"/>
      <c r="GX476" s="682"/>
      <c r="GY476" s="682"/>
      <c r="GZ476" s="682"/>
      <c r="HA476" s="682"/>
      <c r="HB476" s="682"/>
      <c r="HC476" s="682"/>
      <c r="HD476" s="682"/>
      <c r="HE476" s="682"/>
      <c r="HF476" s="682"/>
      <c r="HG476" s="682"/>
      <c r="HH476" s="682"/>
      <c r="HI476" s="682"/>
      <c r="HJ476" s="682"/>
      <c r="HK476" s="682"/>
      <c r="HL476" s="682"/>
      <c r="HM476" s="682"/>
      <c r="HN476" s="682"/>
      <c r="HO476" s="682"/>
      <c r="HP476" s="682"/>
      <c r="HQ476" s="682"/>
      <c r="HR476" s="682"/>
      <c r="HS476" s="682"/>
      <c r="HT476" s="682"/>
      <c r="HU476" s="682"/>
      <c r="HV476" s="682"/>
      <c r="HW476" s="682"/>
      <c r="HX476" s="682"/>
      <c r="HY476" s="682"/>
      <c r="HZ476" s="682"/>
      <c r="IA476" s="682"/>
      <c r="IB476" s="682"/>
      <c r="IC476" s="682"/>
      <c r="ID476" s="682"/>
      <c r="IE476" s="682"/>
      <c r="IF476" s="682"/>
      <c r="IG476" s="682"/>
      <c r="IH476" s="682"/>
      <c r="II476" s="682"/>
      <c r="IJ476" s="682"/>
      <c r="IK476" s="682"/>
      <c r="IL476" s="682"/>
      <c r="IM476" s="682"/>
      <c r="IN476" s="682"/>
      <c r="IO476" s="682"/>
      <c r="IP476" s="682"/>
      <c r="IQ476" s="682"/>
      <c r="IR476" s="682"/>
      <c r="IS476" s="682"/>
      <c r="IT476" s="682"/>
      <c r="IU476" s="682"/>
      <c r="IV476" s="682"/>
      <c r="IW476" s="682"/>
    </row>
    <row r="477" spans="1:257" s="703" customFormat="1">
      <c r="A477" s="738" t="s">
        <v>91</v>
      </c>
      <c r="B477" s="761" t="s">
        <v>357</v>
      </c>
      <c r="C477" s="738"/>
      <c r="D477" s="738"/>
      <c r="E477" s="765"/>
      <c r="F477" s="676"/>
      <c r="G477" s="740"/>
      <c r="H477" s="740"/>
      <c r="I477" s="740"/>
      <c r="J477" s="676">
        <v>23000000</v>
      </c>
      <c r="K477" s="740">
        <v>23000000</v>
      </c>
      <c r="L477" s="1315">
        <v>23000000</v>
      </c>
      <c r="M477" s="676"/>
      <c r="N477" s="826"/>
      <c r="O477" s="826"/>
      <c r="P477" s="820"/>
      <c r="Q477" s="820"/>
      <c r="R477" s="866"/>
      <c r="S477" s="866"/>
      <c r="T477" s="839"/>
      <c r="U477" s="670"/>
      <c r="V477" s="727"/>
      <c r="W477" s="727"/>
      <c r="X477" s="728"/>
      <c r="Y477" s="682"/>
      <c r="Z477" s="682"/>
      <c r="AA477" s="682"/>
      <c r="AB477" s="682"/>
      <c r="AC477" s="682"/>
      <c r="AD477" s="682"/>
      <c r="AE477" s="682"/>
      <c r="AF477" s="682"/>
      <c r="AG477" s="682"/>
      <c r="AH477" s="682"/>
      <c r="AI477" s="682"/>
      <c r="AJ477" s="682"/>
      <c r="AK477" s="682"/>
      <c r="AL477" s="682"/>
      <c r="AM477" s="682"/>
      <c r="AN477" s="682"/>
      <c r="AO477" s="682"/>
      <c r="AP477" s="682"/>
      <c r="AQ477" s="682"/>
      <c r="AR477" s="682"/>
      <c r="AS477" s="682"/>
      <c r="AT477" s="682"/>
      <c r="AU477" s="682"/>
      <c r="AV477" s="682"/>
      <c r="AW477" s="682"/>
      <c r="AX477" s="682"/>
      <c r="AY477" s="682"/>
      <c r="AZ477" s="682"/>
      <c r="BA477" s="682"/>
      <c r="BB477" s="682"/>
      <c r="BC477" s="682"/>
      <c r="BD477" s="682"/>
      <c r="BE477" s="682"/>
      <c r="BF477" s="682"/>
      <c r="BG477" s="682"/>
      <c r="BH477" s="682"/>
      <c r="BI477" s="682"/>
      <c r="BJ477" s="682"/>
      <c r="BK477" s="682"/>
      <c r="BL477" s="682"/>
      <c r="BM477" s="682"/>
      <c r="BN477" s="682"/>
      <c r="BO477" s="682"/>
      <c r="BP477" s="682"/>
      <c r="BQ477" s="682"/>
      <c r="BR477" s="682"/>
      <c r="BS477" s="682"/>
      <c r="BT477" s="682"/>
      <c r="BU477" s="682"/>
      <c r="BV477" s="682"/>
      <c r="BW477" s="682"/>
      <c r="BX477" s="682"/>
      <c r="BY477" s="682"/>
      <c r="BZ477" s="682"/>
      <c r="CA477" s="682"/>
      <c r="CB477" s="682"/>
      <c r="CC477" s="682"/>
      <c r="CD477" s="682"/>
      <c r="CE477" s="682"/>
      <c r="CF477" s="682"/>
      <c r="CG477" s="682"/>
      <c r="CH477" s="682"/>
      <c r="CI477" s="682"/>
      <c r="CJ477" s="682"/>
      <c r="CK477" s="682"/>
      <c r="CL477" s="682"/>
      <c r="CM477" s="682"/>
      <c r="CN477" s="682"/>
      <c r="CO477" s="682"/>
      <c r="CP477" s="682"/>
      <c r="CQ477" s="682"/>
      <c r="CR477" s="682"/>
      <c r="CS477" s="682"/>
      <c r="CT477" s="682"/>
      <c r="CU477" s="682"/>
      <c r="CV477" s="682"/>
      <c r="CW477" s="682"/>
      <c r="CX477" s="682"/>
      <c r="CY477" s="682"/>
      <c r="CZ477" s="682"/>
      <c r="DA477" s="682"/>
      <c r="DB477" s="682"/>
      <c r="DC477" s="682"/>
      <c r="DD477" s="682"/>
      <c r="DE477" s="682"/>
      <c r="DF477" s="682"/>
      <c r="DG477" s="682"/>
      <c r="DH477" s="682"/>
      <c r="DI477" s="682"/>
      <c r="DJ477" s="682"/>
      <c r="DK477" s="682"/>
      <c r="DL477" s="682"/>
      <c r="DM477" s="682"/>
      <c r="DN477" s="682"/>
      <c r="DO477" s="682"/>
      <c r="DP477" s="682"/>
      <c r="DQ477" s="682"/>
      <c r="DR477" s="682"/>
      <c r="DS477" s="682"/>
      <c r="DT477" s="682"/>
      <c r="DU477" s="682"/>
      <c r="DV477" s="682"/>
      <c r="DW477" s="682"/>
      <c r="DX477" s="682"/>
      <c r="DY477" s="682"/>
      <c r="DZ477" s="682"/>
      <c r="EA477" s="682"/>
      <c r="EB477" s="682"/>
      <c r="EC477" s="682"/>
      <c r="ED477" s="682"/>
      <c r="EE477" s="682"/>
      <c r="EF477" s="682"/>
      <c r="EG477" s="682"/>
      <c r="EH477" s="682"/>
      <c r="EI477" s="682"/>
      <c r="EJ477" s="682"/>
      <c r="EK477" s="682"/>
      <c r="EL477" s="682"/>
      <c r="EM477" s="682"/>
      <c r="EN477" s="682"/>
      <c r="EO477" s="682"/>
      <c r="EP477" s="682"/>
      <c r="EQ477" s="682"/>
      <c r="ER477" s="682"/>
      <c r="ES477" s="682"/>
      <c r="ET477" s="682"/>
      <c r="EU477" s="682"/>
      <c r="EV477" s="682"/>
      <c r="EW477" s="682"/>
      <c r="EX477" s="682"/>
      <c r="EY477" s="682"/>
      <c r="EZ477" s="682"/>
      <c r="FA477" s="682"/>
      <c r="FB477" s="682"/>
      <c r="FC477" s="682"/>
      <c r="FD477" s="682"/>
      <c r="FE477" s="682"/>
      <c r="FF477" s="682"/>
      <c r="FG477" s="682"/>
      <c r="FH477" s="682"/>
      <c r="FI477" s="682"/>
      <c r="FJ477" s="682"/>
      <c r="FK477" s="682"/>
      <c r="FL477" s="682"/>
      <c r="FM477" s="682"/>
      <c r="FN477" s="682"/>
      <c r="FO477" s="682"/>
      <c r="FP477" s="682"/>
      <c r="FQ477" s="682"/>
      <c r="FR477" s="682"/>
      <c r="FS477" s="682"/>
      <c r="FT477" s="682"/>
      <c r="FU477" s="682"/>
      <c r="FV477" s="682"/>
      <c r="FW477" s="682"/>
      <c r="FX477" s="682"/>
      <c r="FY477" s="682"/>
      <c r="FZ477" s="682"/>
      <c r="GA477" s="682"/>
      <c r="GB477" s="682"/>
      <c r="GC477" s="682"/>
      <c r="GD477" s="682"/>
      <c r="GE477" s="682"/>
      <c r="GF477" s="682"/>
      <c r="GG477" s="682"/>
      <c r="GH477" s="682"/>
      <c r="GI477" s="682"/>
      <c r="GJ477" s="682"/>
      <c r="GK477" s="682"/>
      <c r="GL477" s="682"/>
      <c r="GM477" s="682"/>
      <c r="GN477" s="682"/>
      <c r="GO477" s="682"/>
      <c r="GP477" s="682"/>
      <c r="GQ477" s="682"/>
      <c r="GR477" s="682"/>
      <c r="GS477" s="682"/>
      <c r="GT477" s="682"/>
      <c r="GU477" s="682"/>
      <c r="GV477" s="682"/>
      <c r="GW477" s="682"/>
      <c r="GX477" s="682"/>
      <c r="GY477" s="682"/>
      <c r="GZ477" s="682"/>
      <c r="HA477" s="682"/>
      <c r="HB477" s="682"/>
      <c r="HC477" s="682"/>
      <c r="HD477" s="682"/>
      <c r="HE477" s="682"/>
      <c r="HF477" s="682"/>
      <c r="HG477" s="682"/>
      <c r="HH477" s="682"/>
      <c r="HI477" s="682"/>
      <c r="HJ477" s="682"/>
      <c r="HK477" s="682"/>
      <c r="HL477" s="682"/>
      <c r="HM477" s="682"/>
      <c r="HN477" s="682"/>
      <c r="HO477" s="682"/>
      <c r="HP477" s="682"/>
      <c r="HQ477" s="682"/>
      <c r="HR477" s="682"/>
      <c r="HS477" s="682"/>
      <c r="HT477" s="682"/>
      <c r="HU477" s="682"/>
      <c r="HV477" s="682"/>
      <c r="HW477" s="682"/>
      <c r="HX477" s="682"/>
      <c r="HY477" s="682"/>
      <c r="HZ477" s="682"/>
      <c r="IA477" s="682"/>
      <c r="IB477" s="682"/>
      <c r="IC477" s="682"/>
      <c r="ID477" s="682"/>
      <c r="IE477" s="682"/>
      <c r="IF477" s="682"/>
      <c r="IG477" s="682"/>
      <c r="IH477" s="682"/>
      <c r="II477" s="682"/>
      <c r="IJ477" s="682"/>
      <c r="IK477" s="682"/>
      <c r="IL477" s="682"/>
      <c r="IM477" s="682"/>
      <c r="IN477" s="682"/>
      <c r="IO477" s="682"/>
      <c r="IP477" s="682"/>
      <c r="IQ477" s="682"/>
      <c r="IR477" s="682"/>
      <c r="IS477" s="682"/>
      <c r="IT477" s="682"/>
      <c r="IU477" s="682"/>
      <c r="IV477" s="682"/>
      <c r="IW477" s="682"/>
    </row>
    <row r="478" spans="1:257" s="703" customFormat="1" ht="31.5">
      <c r="A478" s="738" t="s">
        <v>91</v>
      </c>
      <c r="B478" s="1048" t="s">
        <v>1558</v>
      </c>
      <c r="C478" s="738"/>
      <c r="D478" s="738"/>
      <c r="E478" s="765"/>
      <c r="F478" s="761">
        <v>40000000</v>
      </c>
      <c r="G478" s="740"/>
      <c r="H478" s="740"/>
      <c r="I478" s="740"/>
      <c r="J478" s="761">
        <v>40000000</v>
      </c>
      <c r="K478" s="740"/>
      <c r="L478" s="1315">
        <v>3075000000</v>
      </c>
      <c r="M478" s="761" t="s">
        <v>955</v>
      </c>
      <c r="N478" s="837">
        <f>L478</f>
        <v>3075000000</v>
      </c>
      <c r="O478" s="837"/>
      <c r="P478" s="820"/>
      <c r="Q478" s="820"/>
      <c r="R478" s="866"/>
      <c r="S478" s="871"/>
      <c r="T478" s="824"/>
      <c r="U478" s="1039"/>
      <c r="V478" s="727"/>
      <c r="W478" s="701"/>
      <c r="X478" s="702"/>
    </row>
    <row r="479" spans="1:257" s="703" customFormat="1" ht="31.5">
      <c r="A479" s="738" t="s">
        <v>91</v>
      </c>
      <c r="B479" s="1048" t="s">
        <v>1034</v>
      </c>
      <c r="C479" s="738"/>
      <c r="D479" s="738"/>
      <c r="E479" s="765"/>
      <c r="F479" s="761">
        <v>25000000</v>
      </c>
      <c r="G479" s="740"/>
      <c r="H479" s="740"/>
      <c r="I479" s="740"/>
      <c r="J479" s="761">
        <v>25000000</v>
      </c>
      <c r="K479" s="740">
        <v>60000000</v>
      </c>
      <c r="L479" s="1315">
        <v>60000000</v>
      </c>
      <c r="M479" s="761"/>
      <c r="N479" s="837"/>
      <c r="O479" s="837"/>
      <c r="P479" s="820"/>
      <c r="Q479" s="820"/>
      <c r="R479" s="866"/>
      <c r="S479" s="871"/>
      <c r="T479" s="824"/>
      <c r="U479" s="1039"/>
      <c r="V479" s="727"/>
      <c r="W479" s="701"/>
      <c r="X479" s="702"/>
    </row>
    <row r="480" spans="1:257" s="703" customFormat="1">
      <c r="A480" s="738" t="s">
        <v>91</v>
      </c>
      <c r="B480" s="1048" t="s">
        <v>361</v>
      </c>
      <c r="C480" s="738"/>
      <c r="D480" s="738"/>
      <c r="E480" s="765"/>
      <c r="F480" s="761"/>
      <c r="G480" s="740"/>
      <c r="H480" s="740"/>
      <c r="I480" s="740"/>
      <c r="J480" s="761">
        <v>568260000</v>
      </c>
      <c r="K480" s="740">
        <v>683000000</v>
      </c>
      <c r="L480" s="1315">
        <f>683000000+210000000</f>
        <v>893000000</v>
      </c>
      <c r="M480" s="761" t="s">
        <v>1557</v>
      </c>
      <c r="N480" s="837"/>
      <c r="O480" s="837"/>
      <c r="P480" s="820"/>
      <c r="Q480" s="820"/>
      <c r="R480" s="866"/>
      <c r="S480" s="871"/>
      <c r="T480" s="824"/>
      <c r="U480" s="1039"/>
      <c r="V480" s="727"/>
      <c r="W480" s="701"/>
      <c r="X480" s="702"/>
    </row>
    <row r="481" spans="1:257" s="1050" customFormat="1">
      <c r="A481" s="738" t="s">
        <v>192</v>
      </c>
      <c r="B481" s="732" t="s">
        <v>1035</v>
      </c>
      <c r="C481" s="738"/>
      <c r="D481" s="738"/>
      <c r="E481" s="765"/>
      <c r="F481" s="626">
        <f t="shared" ref="F481:J481" si="57">SUM(F482:F489)</f>
        <v>8328000000</v>
      </c>
      <c r="G481" s="626">
        <f t="shared" si="57"/>
        <v>0</v>
      </c>
      <c r="H481" s="626">
        <f t="shared" si="57"/>
        <v>0</v>
      </c>
      <c r="I481" s="626">
        <f t="shared" si="57"/>
        <v>0</v>
      </c>
      <c r="J481" s="626">
        <f t="shared" si="57"/>
        <v>8458900000</v>
      </c>
      <c r="K481" s="626">
        <f>SUM(K482:K489)</f>
        <v>8529000000</v>
      </c>
      <c r="L481" s="1302">
        <f>SUM(L482:L489)</f>
        <v>8649000000</v>
      </c>
      <c r="M481" s="626"/>
      <c r="N481" s="855"/>
      <c r="O481" s="855"/>
      <c r="P481" s="1047"/>
      <c r="Q481" s="1047"/>
      <c r="R481" s="871"/>
      <c r="S481" s="871"/>
      <c r="T481" s="824"/>
      <c r="U481" s="1039"/>
      <c r="V481" s="701"/>
      <c r="W481" s="639"/>
      <c r="X481" s="640"/>
      <c r="Y481" s="641"/>
      <c r="Z481" s="641"/>
      <c r="AA481" s="641"/>
      <c r="AB481" s="641"/>
      <c r="AC481" s="641"/>
      <c r="AD481" s="641"/>
      <c r="AE481" s="641"/>
      <c r="AF481" s="641"/>
      <c r="AG481" s="641"/>
      <c r="AH481" s="641"/>
      <c r="AI481" s="641"/>
      <c r="AJ481" s="641"/>
      <c r="AK481" s="641"/>
      <c r="AL481" s="641"/>
      <c r="AM481" s="641"/>
      <c r="AN481" s="641"/>
      <c r="AO481" s="641"/>
      <c r="AP481" s="641"/>
      <c r="AQ481" s="641"/>
      <c r="AR481" s="641"/>
      <c r="AS481" s="641"/>
      <c r="AT481" s="641"/>
      <c r="AU481" s="641"/>
      <c r="AV481" s="641"/>
      <c r="AW481" s="641"/>
      <c r="AX481" s="641"/>
      <c r="AY481" s="641"/>
      <c r="AZ481" s="641"/>
      <c r="BA481" s="641"/>
      <c r="BB481" s="641"/>
      <c r="BC481" s="641"/>
      <c r="BD481" s="641"/>
      <c r="BE481" s="641"/>
      <c r="BF481" s="641"/>
      <c r="BG481" s="641"/>
      <c r="BH481" s="641"/>
      <c r="BI481" s="641"/>
      <c r="BJ481" s="641"/>
      <c r="BK481" s="641"/>
      <c r="BL481" s="641"/>
      <c r="BM481" s="641"/>
      <c r="BN481" s="641"/>
      <c r="BO481" s="641"/>
      <c r="BP481" s="641"/>
      <c r="BQ481" s="641"/>
      <c r="BR481" s="641"/>
      <c r="BS481" s="641"/>
      <c r="BT481" s="641"/>
      <c r="BU481" s="641"/>
      <c r="BV481" s="641"/>
      <c r="BW481" s="641"/>
      <c r="BX481" s="641"/>
      <c r="BY481" s="641"/>
      <c r="BZ481" s="641"/>
      <c r="CA481" s="641"/>
      <c r="CB481" s="641"/>
      <c r="CC481" s="641"/>
      <c r="CD481" s="641"/>
      <c r="CE481" s="641"/>
      <c r="CF481" s="641"/>
      <c r="CG481" s="641"/>
      <c r="CH481" s="641"/>
      <c r="CI481" s="641"/>
      <c r="CJ481" s="641"/>
      <c r="CK481" s="641"/>
      <c r="CL481" s="641"/>
      <c r="CM481" s="641"/>
      <c r="CN481" s="641"/>
      <c r="CO481" s="641"/>
      <c r="CP481" s="641"/>
      <c r="CQ481" s="641"/>
      <c r="CR481" s="641"/>
      <c r="CS481" s="641"/>
      <c r="CT481" s="641"/>
      <c r="CU481" s="641"/>
      <c r="CV481" s="641"/>
      <c r="CW481" s="641"/>
      <c r="CX481" s="641"/>
      <c r="CY481" s="641"/>
      <c r="CZ481" s="641"/>
      <c r="DA481" s="641"/>
      <c r="DB481" s="641"/>
      <c r="DC481" s="641"/>
      <c r="DD481" s="641"/>
      <c r="DE481" s="641"/>
      <c r="DF481" s="641"/>
      <c r="DG481" s="641"/>
      <c r="DH481" s="641"/>
      <c r="DI481" s="641"/>
      <c r="DJ481" s="641"/>
      <c r="DK481" s="641"/>
      <c r="DL481" s="641"/>
      <c r="DM481" s="641"/>
      <c r="DN481" s="641"/>
      <c r="DO481" s="641"/>
      <c r="DP481" s="641"/>
      <c r="DQ481" s="641"/>
      <c r="DR481" s="641"/>
      <c r="DS481" s="641"/>
      <c r="DT481" s="641"/>
      <c r="DU481" s="641"/>
      <c r="DV481" s="641"/>
      <c r="DW481" s="641"/>
      <c r="DX481" s="641"/>
      <c r="DY481" s="641"/>
      <c r="DZ481" s="641"/>
      <c r="EA481" s="641"/>
      <c r="EB481" s="641"/>
      <c r="EC481" s="641"/>
      <c r="ED481" s="641"/>
      <c r="EE481" s="641"/>
      <c r="EF481" s="641"/>
      <c r="EG481" s="641"/>
      <c r="EH481" s="641"/>
      <c r="EI481" s="641"/>
      <c r="EJ481" s="641"/>
      <c r="EK481" s="641"/>
      <c r="EL481" s="641"/>
      <c r="EM481" s="641"/>
      <c r="EN481" s="641"/>
      <c r="EO481" s="641"/>
      <c r="EP481" s="641"/>
      <c r="EQ481" s="641"/>
      <c r="ER481" s="641"/>
      <c r="ES481" s="641"/>
      <c r="ET481" s="641"/>
      <c r="EU481" s="641"/>
      <c r="EV481" s="641"/>
      <c r="EW481" s="641"/>
      <c r="EX481" s="641"/>
      <c r="EY481" s="641"/>
      <c r="EZ481" s="641"/>
      <c r="FA481" s="641"/>
      <c r="FB481" s="641"/>
      <c r="FC481" s="641"/>
      <c r="FD481" s="641"/>
      <c r="FE481" s="641"/>
      <c r="FF481" s="641"/>
      <c r="FG481" s="641"/>
      <c r="FH481" s="641"/>
      <c r="FI481" s="641"/>
      <c r="FJ481" s="641"/>
      <c r="FK481" s="641"/>
      <c r="FL481" s="641"/>
      <c r="FM481" s="641"/>
      <c r="FN481" s="641"/>
      <c r="FO481" s="641"/>
      <c r="FP481" s="641"/>
      <c r="FQ481" s="641"/>
      <c r="FR481" s="641"/>
      <c r="FS481" s="641"/>
      <c r="FT481" s="641"/>
      <c r="FU481" s="641"/>
      <c r="FV481" s="641"/>
      <c r="FW481" s="641"/>
      <c r="FX481" s="641"/>
      <c r="FY481" s="641"/>
      <c r="FZ481" s="641"/>
      <c r="GA481" s="641"/>
      <c r="GB481" s="641"/>
      <c r="GC481" s="641"/>
      <c r="GD481" s="641"/>
      <c r="GE481" s="641"/>
      <c r="GF481" s="641"/>
      <c r="GG481" s="641"/>
      <c r="GH481" s="641"/>
      <c r="GI481" s="641"/>
      <c r="GJ481" s="641"/>
      <c r="GK481" s="641"/>
      <c r="GL481" s="641"/>
      <c r="GM481" s="641"/>
      <c r="GN481" s="641"/>
      <c r="GO481" s="641"/>
      <c r="GP481" s="641"/>
      <c r="GQ481" s="641"/>
      <c r="GR481" s="641"/>
      <c r="GS481" s="641"/>
      <c r="GT481" s="641"/>
      <c r="GU481" s="641"/>
      <c r="GV481" s="641"/>
      <c r="GW481" s="641"/>
      <c r="GX481" s="641"/>
      <c r="GY481" s="641"/>
      <c r="GZ481" s="641"/>
      <c r="HA481" s="641"/>
      <c r="HB481" s="641"/>
      <c r="HC481" s="641"/>
      <c r="HD481" s="641"/>
      <c r="HE481" s="641"/>
      <c r="HF481" s="641"/>
      <c r="HG481" s="641"/>
      <c r="HH481" s="641"/>
      <c r="HI481" s="641"/>
      <c r="HJ481" s="641"/>
      <c r="HK481" s="641"/>
      <c r="HL481" s="641"/>
      <c r="HM481" s="641"/>
      <c r="HN481" s="641"/>
      <c r="HO481" s="641"/>
      <c r="HP481" s="641"/>
      <c r="HQ481" s="641"/>
      <c r="HR481" s="641"/>
      <c r="HS481" s="641"/>
      <c r="HT481" s="641"/>
      <c r="HU481" s="641"/>
      <c r="HV481" s="641"/>
      <c r="HW481" s="641"/>
      <c r="HX481" s="641"/>
      <c r="HY481" s="641"/>
      <c r="HZ481" s="641"/>
      <c r="IA481" s="641"/>
      <c r="IB481" s="641"/>
      <c r="IC481" s="641"/>
      <c r="ID481" s="641"/>
      <c r="IE481" s="641"/>
      <c r="IF481" s="641"/>
      <c r="IG481" s="641"/>
      <c r="IH481" s="641"/>
      <c r="II481" s="641"/>
      <c r="IJ481" s="641"/>
      <c r="IK481" s="641"/>
      <c r="IL481" s="641"/>
      <c r="IM481" s="641"/>
      <c r="IN481" s="641"/>
      <c r="IO481" s="641"/>
      <c r="IP481" s="641"/>
      <c r="IQ481" s="641"/>
      <c r="IR481" s="641"/>
      <c r="IS481" s="641"/>
      <c r="IT481" s="641"/>
      <c r="IU481" s="641"/>
      <c r="IV481" s="641"/>
      <c r="IW481" s="641"/>
    </row>
    <row r="482" spans="1:257" s="1051" customFormat="1">
      <c r="A482" s="758" t="s">
        <v>91</v>
      </c>
      <c r="B482" s="969" t="s">
        <v>1036</v>
      </c>
      <c r="C482" s="758"/>
      <c r="D482" s="758"/>
      <c r="E482" s="956"/>
      <c r="F482" s="761">
        <v>18000000</v>
      </c>
      <c r="G482" s="760"/>
      <c r="H482" s="760"/>
      <c r="I482" s="760"/>
      <c r="J482" s="761"/>
      <c r="K482" s="761"/>
      <c r="L482" s="1306"/>
      <c r="M482" s="761"/>
      <c r="N482" s="837"/>
      <c r="O482" s="837"/>
      <c r="P482" s="868"/>
      <c r="Q482" s="868"/>
      <c r="R482" s="871"/>
      <c r="S482" s="871"/>
      <c r="T482" s="824"/>
      <c r="U482" s="1039"/>
      <c r="V482" s="701"/>
      <c r="W482" s="701"/>
      <c r="X482" s="702"/>
      <c r="Y482" s="703"/>
      <c r="Z482" s="703"/>
      <c r="AA482" s="703"/>
      <c r="AB482" s="703"/>
      <c r="AC482" s="703"/>
      <c r="AD482" s="703"/>
      <c r="AE482" s="703"/>
      <c r="AF482" s="703"/>
      <c r="AG482" s="703"/>
      <c r="AH482" s="703"/>
      <c r="AI482" s="703"/>
      <c r="AJ482" s="703"/>
      <c r="AK482" s="703"/>
      <c r="AL482" s="703"/>
      <c r="AM482" s="703"/>
      <c r="AN482" s="703"/>
      <c r="AO482" s="703"/>
      <c r="AP482" s="703"/>
      <c r="AQ482" s="703"/>
      <c r="AR482" s="703"/>
      <c r="AS482" s="703"/>
      <c r="AT482" s="703"/>
      <c r="AU482" s="703"/>
      <c r="AV482" s="703"/>
      <c r="AW482" s="703"/>
      <c r="AX482" s="703"/>
      <c r="AY482" s="703"/>
      <c r="AZ482" s="703"/>
      <c r="BA482" s="703"/>
      <c r="BB482" s="703"/>
      <c r="BC482" s="703"/>
      <c r="BD482" s="703"/>
      <c r="BE482" s="703"/>
      <c r="BF482" s="703"/>
      <c r="BG482" s="703"/>
      <c r="BH482" s="703"/>
      <c r="BI482" s="703"/>
      <c r="BJ482" s="703"/>
      <c r="BK482" s="703"/>
      <c r="BL482" s="703"/>
      <c r="BM482" s="703"/>
      <c r="BN482" s="703"/>
      <c r="BO482" s="703"/>
      <c r="BP482" s="703"/>
      <c r="BQ482" s="703"/>
      <c r="BR482" s="703"/>
      <c r="BS482" s="703"/>
      <c r="BT482" s="703"/>
      <c r="BU482" s="703"/>
      <c r="BV482" s="703"/>
      <c r="BW482" s="703"/>
      <c r="BX482" s="703"/>
      <c r="BY482" s="703"/>
      <c r="BZ482" s="703"/>
      <c r="CA482" s="703"/>
      <c r="CB482" s="703"/>
      <c r="CC482" s="703"/>
      <c r="CD482" s="703"/>
      <c r="CE482" s="703"/>
      <c r="CF482" s="703"/>
      <c r="CG482" s="703"/>
      <c r="CH482" s="703"/>
      <c r="CI482" s="703"/>
      <c r="CJ482" s="703"/>
      <c r="CK482" s="703"/>
      <c r="CL482" s="703"/>
      <c r="CM482" s="703"/>
      <c r="CN482" s="703"/>
      <c r="CO482" s="703"/>
      <c r="CP482" s="703"/>
      <c r="CQ482" s="703"/>
      <c r="CR482" s="703"/>
      <c r="CS482" s="703"/>
      <c r="CT482" s="703"/>
      <c r="CU482" s="703"/>
      <c r="CV482" s="703"/>
      <c r="CW482" s="703"/>
      <c r="CX482" s="703"/>
      <c r="CY482" s="703"/>
      <c r="CZ482" s="703"/>
      <c r="DA482" s="703"/>
      <c r="DB482" s="703"/>
      <c r="DC482" s="703"/>
      <c r="DD482" s="703"/>
      <c r="DE482" s="703"/>
      <c r="DF482" s="703"/>
      <c r="DG482" s="703"/>
      <c r="DH482" s="703"/>
      <c r="DI482" s="703"/>
      <c r="DJ482" s="703"/>
      <c r="DK482" s="703"/>
      <c r="DL482" s="703"/>
      <c r="DM482" s="703"/>
      <c r="DN482" s="703"/>
      <c r="DO482" s="703"/>
      <c r="DP482" s="703"/>
      <c r="DQ482" s="703"/>
      <c r="DR482" s="703"/>
      <c r="DS482" s="703"/>
      <c r="DT482" s="703"/>
      <c r="DU482" s="703"/>
      <c r="DV482" s="703"/>
      <c r="DW482" s="703"/>
      <c r="DX482" s="703"/>
      <c r="DY482" s="703"/>
      <c r="DZ482" s="703"/>
      <c r="EA482" s="703"/>
      <c r="EB482" s="703"/>
      <c r="EC482" s="703"/>
      <c r="ED482" s="703"/>
      <c r="EE482" s="703"/>
      <c r="EF482" s="703"/>
      <c r="EG482" s="703"/>
      <c r="EH482" s="703"/>
      <c r="EI482" s="703"/>
      <c r="EJ482" s="703"/>
      <c r="EK482" s="703"/>
      <c r="EL482" s="703"/>
      <c r="EM482" s="703"/>
      <c r="EN482" s="703"/>
      <c r="EO482" s="703"/>
      <c r="EP482" s="703"/>
      <c r="EQ482" s="703"/>
      <c r="ER482" s="703"/>
      <c r="ES482" s="703"/>
      <c r="ET482" s="703"/>
      <c r="EU482" s="703"/>
      <c r="EV482" s="703"/>
      <c r="EW482" s="703"/>
      <c r="EX482" s="703"/>
      <c r="EY482" s="703"/>
      <c r="EZ482" s="703"/>
      <c r="FA482" s="703"/>
      <c r="FB482" s="703"/>
      <c r="FC482" s="703"/>
      <c r="FD482" s="703"/>
      <c r="FE482" s="703"/>
      <c r="FF482" s="703"/>
      <c r="FG482" s="703"/>
      <c r="FH482" s="703"/>
      <c r="FI482" s="703"/>
      <c r="FJ482" s="703"/>
      <c r="FK482" s="703"/>
      <c r="FL482" s="703"/>
      <c r="FM482" s="703"/>
      <c r="FN482" s="703"/>
      <c r="FO482" s="703"/>
      <c r="FP482" s="703"/>
      <c r="FQ482" s="703"/>
      <c r="FR482" s="703"/>
      <c r="FS482" s="703"/>
      <c r="FT482" s="703"/>
      <c r="FU482" s="703"/>
      <c r="FV482" s="703"/>
      <c r="FW482" s="703"/>
      <c r="FX482" s="703"/>
      <c r="FY482" s="703"/>
      <c r="FZ482" s="703"/>
      <c r="GA482" s="703"/>
      <c r="GB482" s="703"/>
      <c r="GC482" s="703"/>
      <c r="GD482" s="703"/>
      <c r="GE482" s="703"/>
      <c r="GF482" s="703"/>
      <c r="GG482" s="703"/>
      <c r="GH482" s="703"/>
      <c r="GI482" s="703"/>
      <c r="GJ482" s="703"/>
      <c r="GK482" s="703"/>
      <c r="GL482" s="703"/>
      <c r="GM482" s="703"/>
      <c r="GN482" s="703"/>
      <c r="GO482" s="703"/>
      <c r="GP482" s="703"/>
      <c r="GQ482" s="703"/>
      <c r="GR482" s="703"/>
      <c r="GS482" s="703"/>
      <c r="GT482" s="703"/>
      <c r="GU482" s="703"/>
      <c r="GV482" s="703"/>
      <c r="GW482" s="703"/>
      <c r="GX482" s="703"/>
      <c r="GY482" s="703"/>
      <c r="GZ482" s="703"/>
      <c r="HA482" s="703"/>
      <c r="HB482" s="703"/>
      <c r="HC482" s="703"/>
      <c r="HD482" s="703"/>
      <c r="HE482" s="703"/>
      <c r="HF482" s="703"/>
      <c r="HG482" s="703"/>
      <c r="HH482" s="703"/>
      <c r="HI482" s="703"/>
      <c r="HJ482" s="703"/>
      <c r="HK482" s="703"/>
      <c r="HL482" s="703"/>
      <c r="HM482" s="703"/>
      <c r="HN482" s="703"/>
      <c r="HO482" s="703"/>
      <c r="HP482" s="703"/>
      <c r="HQ482" s="703"/>
      <c r="HR482" s="703"/>
      <c r="HS482" s="703"/>
      <c r="HT482" s="703"/>
      <c r="HU482" s="703"/>
      <c r="HV482" s="703"/>
      <c r="HW482" s="703"/>
      <c r="HX482" s="703"/>
      <c r="HY482" s="703"/>
      <c r="HZ482" s="703"/>
      <c r="IA482" s="703"/>
      <c r="IB482" s="703"/>
      <c r="IC482" s="703"/>
      <c r="ID482" s="703"/>
      <c r="IE482" s="703"/>
      <c r="IF482" s="703"/>
      <c r="IG482" s="703"/>
      <c r="IH482" s="703"/>
      <c r="II482" s="703"/>
      <c r="IJ482" s="703"/>
      <c r="IK482" s="703"/>
      <c r="IL482" s="703"/>
      <c r="IM482" s="703"/>
      <c r="IN482" s="703"/>
      <c r="IO482" s="703"/>
      <c r="IP482" s="703"/>
      <c r="IQ482" s="703"/>
      <c r="IR482" s="703"/>
      <c r="IS482" s="703"/>
      <c r="IT482" s="703"/>
      <c r="IU482" s="703"/>
      <c r="IV482" s="703"/>
      <c r="IW482" s="703"/>
    </row>
    <row r="483" spans="1:257" s="1051" customFormat="1" ht="31.5">
      <c r="A483" s="758" t="s">
        <v>91</v>
      </c>
      <c r="B483" s="969" t="s">
        <v>363</v>
      </c>
      <c r="C483" s="758"/>
      <c r="D483" s="758"/>
      <c r="E483" s="956"/>
      <c r="F483" s="761">
        <v>50000000</v>
      </c>
      <c r="G483" s="970" t="s">
        <v>1037</v>
      </c>
      <c r="H483" s="970"/>
      <c r="I483" s="970"/>
      <c r="J483" s="761">
        <v>120000000</v>
      </c>
      <c r="K483" s="761">
        <v>150000000</v>
      </c>
      <c r="L483" s="1306">
        <v>150000000</v>
      </c>
      <c r="M483" s="761"/>
      <c r="N483" s="837"/>
      <c r="O483" s="837"/>
      <c r="P483" s="935"/>
      <c r="Q483" s="935"/>
      <c r="R483" s="871"/>
      <c r="S483" s="871"/>
      <c r="T483" s="824"/>
      <c r="U483" s="1039"/>
      <c r="V483" s="639"/>
      <c r="W483" s="701"/>
      <c r="X483" s="702"/>
      <c r="Y483" s="703"/>
      <c r="Z483" s="703"/>
      <c r="AA483" s="703"/>
      <c r="AB483" s="703"/>
      <c r="AC483" s="703"/>
      <c r="AD483" s="703"/>
      <c r="AE483" s="703"/>
      <c r="AF483" s="703"/>
      <c r="AG483" s="703"/>
      <c r="AH483" s="703"/>
      <c r="AI483" s="703"/>
      <c r="AJ483" s="703"/>
      <c r="AK483" s="703"/>
      <c r="AL483" s="703"/>
      <c r="AM483" s="703"/>
      <c r="AN483" s="703"/>
      <c r="AO483" s="703"/>
      <c r="AP483" s="703"/>
      <c r="AQ483" s="703"/>
      <c r="AR483" s="703"/>
      <c r="AS483" s="703"/>
      <c r="AT483" s="703"/>
      <c r="AU483" s="703"/>
      <c r="AV483" s="703"/>
      <c r="AW483" s="703"/>
      <c r="AX483" s="703"/>
      <c r="AY483" s="703"/>
      <c r="AZ483" s="703"/>
      <c r="BA483" s="703"/>
      <c r="BB483" s="703"/>
      <c r="BC483" s="703"/>
      <c r="BD483" s="703"/>
      <c r="BE483" s="703"/>
      <c r="BF483" s="703"/>
      <c r="BG483" s="703"/>
      <c r="BH483" s="703"/>
      <c r="BI483" s="703"/>
      <c r="BJ483" s="703"/>
      <c r="BK483" s="703"/>
      <c r="BL483" s="703"/>
      <c r="BM483" s="703"/>
      <c r="BN483" s="703"/>
      <c r="BO483" s="703"/>
      <c r="BP483" s="703"/>
      <c r="BQ483" s="703"/>
      <c r="BR483" s="703"/>
      <c r="BS483" s="703"/>
      <c r="BT483" s="703"/>
      <c r="BU483" s="703"/>
      <c r="BV483" s="703"/>
      <c r="BW483" s="703"/>
      <c r="BX483" s="703"/>
      <c r="BY483" s="703"/>
      <c r="BZ483" s="703"/>
      <c r="CA483" s="703"/>
      <c r="CB483" s="703"/>
      <c r="CC483" s="703"/>
      <c r="CD483" s="703"/>
      <c r="CE483" s="703"/>
      <c r="CF483" s="703"/>
      <c r="CG483" s="703"/>
      <c r="CH483" s="703"/>
      <c r="CI483" s="703"/>
      <c r="CJ483" s="703"/>
      <c r="CK483" s="703"/>
      <c r="CL483" s="703"/>
      <c r="CM483" s="703"/>
      <c r="CN483" s="703"/>
      <c r="CO483" s="703"/>
      <c r="CP483" s="703"/>
      <c r="CQ483" s="703"/>
      <c r="CR483" s="703"/>
      <c r="CS483" s="703"/>
      <c r="CT483" s="703"/>
      <c r="CU483" s="703"/>
      <c r="CV483" s="703"/>
      <c r="CW483" s="703"/>
      <c r="CX483" s="703"/>
      <c r="CY483" s="703"/>
      <c r="CZ483" s="703"/>
      <c r="DA483" s="703"/>
      <c r="DB483" s="703"/>
      <c r="DC483" s="703"/>
      <c r="DD483" s="703"/>
      <c r="DE483" s="703"/>
      <c r="DF483" s="703"/>
      <c r="DG483" s="703"/>
      <c r="DH483" s="703"/>
      <c r="DI483" s="703"/>
      <c r="DJ483" s="703"/>
      <c r="DK483" s="703"/>
      <c r="DL483" s="703"/>
      <c r="DM483" s="703"/>
      <c r="DN483" s="703"/>
      <c r="DO483" s="703"/>
      <c r="DP483" s="703"/>
      <c r="DQ483" s="703"/>
      <c r="DR483" s="703"/>
      <c r="DS483" s="703"/>
      <c r="DT483" s="703"/>
      <c r="DU483" s="703"/>
      <c r="DV483" s="703"/>
      <c r="DW483" s="703"/>
      <c r="DX483" s="703"/>
      <c r="DY483" s="703"/>
      <c r="DZ483" s="703"/>
      <c r="EA483" s="703"/>
      <c r="EB483" s="703"/>
      <c r="EC483" s="703"/>
      <c r="ED483" s="703"/>
      <c r="EE483" s="703"/>
      <c r="EF483" s="703"/>
      <c r="EG483" s="703"/>
      <c r="EH483" s="703"/>
      <c r="EI483" s="703"/>
      <c r="EJ483" s="703"/>
      <c r="EK483" s="703"/>
      <c r="EL483" s="703"/>
      <c r="EM483" s="703"/>
      <c r="EN483" s="703"/>
      <c r="EO483" s="703"/>
      <c r="EP483" s="703"/>
      <c r="EQ483" s="703"/>
      <c r="ER483" s="703"/>
      <c r="ES483" s="703"/>
      <c r="ET483" s="703"/>
      <c r="EU483" s="703"/>
      <c r="EV483" s="703"/>
      <c r="EW483" s="703"/>
      <c r="EX483" s="703"/>
      <c r="EY483" s="703"/>
      <c r="EZ483" s="703"/>
      <c r="FA483" s="703"/>
      <c r="FB483" s="703"/>
      <c r="FC483" s="703"/>
      <c r="FD483" s="703"/>
      <c r="FE483" s="703"/>
      <c r="FF483" s="703"/>
      <c r="FG483" s="703"/>
      <c r="FH483" s="703"/>
      <c r="FI483" s="703"/>
      <c r="FJ483" s="703"/>
      <c r="FK483" s="703"/>
      <c r="FL483" s="703"/>
      <c r="FM483" s="703"/>
      <c r="FN483" s="703"/>
      <c r="FO483" s="703"/>
      <c r="FP483" s="703"/>
      <c r="FQ483" s="703"/>
      <c r="FR483" s="703"/>
      <c r="FS483" s="703"/>
      <c r="FT483" s="703"/>
      <c r="FU483" s="703"/>
      <c r="FV483" s="703"/>
      <c r="FW483" s="703"/>
      <c r="FX483" s="703"/>
      <c r="FY483" s="703"/>
      <c r="FZ483" s="703"/>
      <c r="GA483" s="703"/>
      <c r="GB483" s="703"/>
      <c r="GC483" s="703"/>
      <c r="GD483" s="703"/>
      <c r="GE483" s="703"/>
      <c r="GF483" s="703"/>
      <c r="GG483" s="703"/>
      <c r="GH483" s="703"/>
      <c r="GI483" s="703"/>
      <c r="GJ483" s="703"/>
      <c r="GK483" s="703"/>
      <c r="GL483" s="703"/>
      <c r="GM483" s="703"/>
      <c r="GN483" s="703"/>
      <c r="GO483" s="703"/>
      <c r="GP483" s="703"/>
      <c r="GQ483" s="703"/>
      <c r="GR483" s="703"/>
      <c r="GS483" s="703"/>
      <c r="GT483" s="703"/>
      <c r="GU483" s="703"/>
      <c r="GV483" s="703"/>
      <c r="GW483" s="703"/>
      <c r="GX483" s="703"/>
      <c r="GY483" s="703"/>
      <c r="GZ483" s="703"/>
      <c r="HA483" s="703"/>
      <c r="HB483" s="703"/>
      <c r="HC483" s="703"/>
      <c r="HD483" s="703"/>
      <c r="HE483" s="703"/>
      <c r="HF483" s="703"/>
      <c r="HG483" s="703"/>
      <c r="HH483" s="703"/>
      <c r="HI483" s="703"/>
      <c r="HJ483" s="703"/>
      <c r="HK483" s="703"/>
      <c r="HL483" s="703"/>
      <c r="HM483" s="703"/>
      <c r="HN483" s="703"/>
      <c r="HO483" s="703"/>
      <c r="HP483" s="703"/>
      <c r="HQ483" s="703"/>
      <c r="HR483" s="703"/>
      <c r="HS483" s="703"/>
      <c r="HT483" s="703"/>
      <c r="HU483" s="703"/>
      <c r="HV483" s="703"/>
      <c r="HW483" s="703"/>
      <c r="HX483" s="703"/>
      <c r="HY483" s="703"/>
      <c r="HZ483" s="703"/>
      <c r="IA483" s="703"/>
      <c r="IB483" s="703"/>
      <c r="IC483" s="703"/>
      <c r="ID483" s="703"/>
      <c r="IE483" s="703"/>
      <c r="IF483" s="703"/>
      <c r="IG483" s="703"/>
      <c r="IH483" s="703"/>
      <c r="II483" s="703"/>
      <c r="IJ483" s="703"/>
      <c r="IK483" s="703"/>
      <c r="IL483" s="703"/>
      <c r="IM483" s="703"/>
      <c r="IN483" s="703"/>
      <c r="IO483" s="703"/>
      <c r="IP483" s="703"/>
      <c r="IQ483" s="703"/>
      <c r="IR483" s="703"/>
      <c r="IS483" s="703"/>
      <c r="IT483" s="703"/>
      <c r="IU483" s="703"/>
      <c r="IV483" s="703"/>
      <c r="IW483" s="703"/>
    </row>
    <row r="484" spans="1:257" s="1051" customFormat="1">
      <c r="A484" s="758" t="s">
        <v>91</v>
      </c>
      <c r="B484" s="969" t="s">
        <v>364</v>
      </c>
      <c r="C484" s="758"/>
      <c r="D484" s="758"/>
      <c r="E484" s="956"/>
      <c r="F484" s="761">
        <f>220000000+7580400000+205000000-5400000</f>
        <v>8000000000</v>
      </c>
      <c r="G484" s="960" t="s">
        <v>1038</v>
      </c>
      <c r="H484" s="960"/>
      <c r="I484" s="960"/>
      <c r="J484" s="761">
        <v>7580400000</v>
      </c>
      <c r="K484" s="761">
        <v>7620000000</v>
      </c>
      <c r="L484" s="1306">
        <v>7710000000</v>
      </c>
      <c r="M484" s="761"/>
      <c r="N484" s="837"/>
      <c r="O484" s="837"/>
      <c r="P484" s="1052"/>
      <c r="Q484" s="1052"/>
      <c r="R484" s="871"/>
      <c r="S484" s="871"/>
      <c r="T484" s="824"/>
      <c r="U484" s="1039"/>
      <c r="V484" s="701"/>
      <c r="W484" s="1053"/>
      <c r="X484" s="1054"/>
      <c r="Y484" s="1050"/>
      <c r="Z484" s="1050"/>
      <c r="AA484" s="1050"/>
      <c r="AB484" s="1050"/>
      <c r="AC484" s="1050"/>
      <c r="AD484" s="1050"/>
      <c r="AE484" s="1050"/>
      <c r="AF484" s="1050"/>
      <c r="AG484" s="1050"/>
      <c r="AH484" s="1050"/>
      <c r="AI484" s="1050"/>
      <c r="AJ484" s="1050"/>
      <c r="AK484" s="1050"/>
      <c r="AL484" s="1050"/>
      <c r="AM484" s="1050"/>
      <c r="AN484" s="1050"/>
      <c r="AO484" s="1050"/>
      <c r="AP484" s="1050"/>
      <c r="AQ484" s="1050"/>
      <c r="AR484" s="1050"/>
      <c r="AS484" s="1050"/>
      <c r="AT484" s="1050"/>
      <c r="AU484" s="1050"/>
      <c r="AV484" s="1050"/>
      <c r="AW484" s="1050"/>
      <c r="AX484" s="1050"/>
      <c r="AY484" s="1050"/>
      <c r="AZ484" s="1050"/>
      <c r="BA484" s="1050"/>
      <c r="BB484" s="1050"/>
      <c r="BC484" s="1050"/>
      <c r="BD484" s="1050"/>
      <c r="BE484" s="1050"/>
      <c r="BF484" s="1050"/>
      <c r="BG484" s="1050"/>
      <c r="BH484" s="1050"/>
      <c r="BI484" s="1050"/>
      <c r="BJ484" s="1050"/>
      <c r="BK484" s="1050"/>
      <c r="BL484" s="1050"/>
      <c r="BM484" s="1050"/>
      <c r="BN484" s="1050"/>
      <c r="BO484" s="1050"/>
      <c r="BP484" s="1050"/>
      <c r="BQ484" s="1050"/>
      <c r="BR484" s="1050"/>
      <c r="BS484" s="1050"/>
      <c r="BT484" s="1050"/>
      <c r="BU484" s="1050"/>
      <c r="BV484" s="1050"/>
      <c r="BW484" s="1050"/>
      <c r="BX484" s="1050"/>
      <c r="BY484" s="1050"/>
      <c r="BZ484" s="1050"/>
      <c r="CA484" s="1050"/>
      <c r="CB484" s="1050"/>
      <c r="CC484" s="1050"/>
      <c r="CD484" s="1050"/>
      <c r="CE484" s="1050"/>
      <c r="CF484" s="1050"/>
      <c r="CG484" s="1050"/>
      <c r="CH484" s="1050"/>
      <c r="CI484" s="1050"/>
      <c r="CJ484" s="1050"/>
      <c r="CK484" s="1050"/>
      <c r="CL484" s="1050"/>
      <c r="CM484" s="1050"/>
      <c r="CN484" s="1050"/>
      <c r="CO484" s="1050"/>
      <c r="CP484" s="1050"/>
      <c r="CQ484" s="1050"/>
      <c r="CR484" s="1050"/>
      <c r="CS484" s="1050"/>
      <c r="CT484" s="1050"/>
      <c r="CU484" s="1050"/>
      <c r="CV484" s="1050"/>
      <c r="CW484" s="1050"/>
      <c r="CX484" s="1050"/>
      <c r="CY484" s="1050"/>
      <c r="CZ484" s="1050"/>
      <c r="DA484" s="1050"/>
      <c r="DB484" s="1050"/>
      <c r="DC484" s="1050"/>
      <c r="DD484" s="1050"/>
      <c r="DE484" s="1050"/>
      <c r="DF484" s="1050"/>
      <c r="DG484" s="1050"/>
      <c r="DH484" s="1050"/>
      <c r="DI484" s="1050"/>
      <c r="DJ484" s="1050"/>
      <c r="DK484" s="1050"/>
      <c r="DL484" s="1050"/>
      <c r="DM484" s="1050"/>
      <c r="DN484" s="1050"/>
      <c r="DO484" s="1050"/>
      <c r="DP484" s="1050"/>
      <c r="DQ484" s="1050"/>
      <c r="DR484" s="1050"/>
      <c r="DS484" s="1050"/>
      <c r="DT484" s="1050"/>
      <c r="DU484" s="1050"/>
      <c r="DV484" s="1050"/>
      <c r="DW484" s="1050"/>
      <c r="DX484" s="1050"/>
      <c r="DY484" s="1050"/>
      <c r="DZ484" s="1050"/>
      <c r="EA484" s="1050"/>
      <c r="EB484" s="1050"/>
      <c r="EC484" s="1050"/>
      <c r="ED484" s="1050"/>
      <c r="EE484" s="1050"/>
      <c r="EF484" s="1050"/>
      <c r="EG484" s="1050"/>
      <c r="EH484" s="1050"/>
      <c r="EI484" s="1050"/>
      <c r="EJ484" s="1050"/>
      <c r="EK484" s="1050"/>
      <c r="EL484" s="1050"/>
      <c r="EM484" s="1050"/>
      <c r="EN484" s="1050"/>
      <c r="EO484" s="1050"/>
      <c r="EP484" s="1050"/>
      <c r="EQ484" s="1050"/>
      <c r="ER484" s="1050"/>
      <c r="ES484" s="1050"/>
      <c r="ET484" s="1050"/>
      <c r="EU484" s="1050"/>
      <c r="EV484" s="1050"/>
      <c r="EW484" s="1050"/>
      <c r="EX484" s="1050"/>
      <c r="EY484" s="1050"/>
      <c r="EZ484" s="1050"/>
      <c r="FA484" s="1050"/>
      <c r="FB484" s="1050"/>
      <c r="FC484" s="1050"/>
      <c r="FD484" s="1050"/>
      <c r="FE484" s="1050"/>
      <c r="FF484" s="1050"/>
      <c r="FG484" s="1050"/>
      <c r="FH484" s="1050"/>
      <c r="FI484" s="1050"/>
      <c r="FJ484" s="1050"/>
      <c r="FK484" s="1050"/>
      <c r="FL484" s="1050"/>
      <c r="FM484" s="1050"/>
      <c r="FN484" s="1050"/>
      <c r="FO484" s="1050"/>
      <c r="FP484" s="1050"/>
      <c r="FQ484" s="1050"/>
      <c r="FR484" s="1050"/>
      <c r="FS484" s="1050"/>
      <c r="FT484" s="1050"/>
      <c r="FU484" s="1050"/>
      <c r="FV484" s="1050"/>
      <c r="FW484" s="1050"/>
      <c r="FX484" s="1050"/>
      <c r="FY484" s="1050"/>
      <c r="FZ484" s="1050"/>
      <c r="GA484" s="1050"/>
      <c r="GB484" s="1050"/>
      <c r="GC484" s="1050"/>
      <c r="GD484" s="1050"/>
      <c r="GE484" s="1050"/>
      <c r="GF484" s="1050"/>
      <c r="GG484" s="1050"/>
      <c r="GH484" s="1050"/>
      <c r="GI484" s="1050"/>
      <c r="GJ484" s="1050"/>
      <c r="GK484" s="1050"/>
      <c r="GL484" s="1050"/>
      <c r="GM484" s="1050"/>
      <c r="GN484" s="1050"/>
      <c r="GO484" s="1050"/>
      <c r="GP484" s="1050"/>
      <c r="GQ484" s="1050"/>
      <c r="GR484" s="1050"/>
      <c r="GS484" s="1050"/>
      <c r="GT484" s="1050"/>
      <c r="GU484" s="1050"/>
      <c r="GV484" s="1050"/>
      <c r="GW484" s="1050"/>
      <c r="GX484" s="1050"/>
      <c r="GY484" s="1050"/>
      <c r="GZ484" s="1050"/>
      <c r="HA484" s="1050"/>
      <c r="HB484" s="1050"/>
      <c r="HC484" s="1050"/>
      <c r="HD484" s="1050"/>
      <c r="HE484" s="1050"/>
      <c r="HF484" s="1050"/>
      <c r="HG484" s="1050"/>
      <c r="HH484" s="1050"/>
      <c r="HI484" s="1050"/>
      <c r="HJ484" s="1050"/>
      <c r="HK484" s="1050"/>
      <c r="HL484" s="1050"/>
      <c r="HM484" s="1050"/>
      <c r="HN484" s="1050"/>
      <c r="HO484" s="1050"/>
      <c r="HP484" s="1050"/>
      <c r="HQ484" s="1050"/>
      <c r="HR484" s="1050"/>
      <c r="HS484" s="1050"/>
      <c r="HT484" s="1050"/>
      <c r="HU484" s="1050"/>
      <c r="HV484" s="1050"/>
      <c r="HW484" s="1050"/>
      <c r="HX484" s="1050"/>
      <c r="HY484" s="1050"/>
      <c r="HZ484" s="1050"/>
      <c r="IA484" s="1050"/>
      <c r="IB484" s="1050"/>
      <c r="IC484" s="1050"/>
      <c r="ID484" s="1050"/>
      <c r="IE484" s="1050"/>
      <c r="IF484" s="1050"/>
      <c r="IG484" s="1050"/>
      <c r="IH484" s="1050"/>
      <c r="II484" s="1050"/>
      <c r="IJ484" s="1050"/>
      <c r="IK484" s="1050"/>
      <c r="IL484" s="1050"/>
      <c r="IM484" s="1050"/>
      <c r="IN484" s="1050"/>
      <c r="IO484" s="1050"/>
      <c r="IP484" s="1050"/>
      <c r="IQ484" s="1050"/>
      <c r="IR484" s="1050"/>
      <c r="IS484" s="1050"/>
      <c r="IT484" s="1050"/>
      <c r="IU484" s="1050"/>
      <c r="IV484" s="1050"/>
      <c r="IW484" s="1050"/>
    </row>
    <row r="485" spans="1:257" s="1051" customFormat="1" ht="47.25">
      <c r="A485" s="758" t="s">
        <v>91</v>
      </c>
      <c r="B485" s="969" t="s">
        <v>1559</v>
      </c>
      <c r="C485" s="758"/>
      <c r="D485" s="758"/>
      <c r="E485" s="956"/>
      <c r="F485" s="761"/>
      <c r="G485" s="960"/>
      <c r="H485" s="960"/>
      <c r="I485" s="960"/>
      <c r="J485" s="761">
        <f>202500000+217000000</f>
        <v>419500000</v>
      </c>
      <c r="K485" s="761">
        <v>420000000</v>
      </c>
      <c r="L485" s="1306">
        <v>450000000</v>
      </c>
      <c r="M485" s="761"/>
      <c r="N485" s="837"/>
      <c r="O485" s="837"/>
      <c r="P485" s="1052"/>
      <c r="Q485" s="1052"/>
      <c r="R485" s="871"/>
      <c r="S485" s="871"/>
      <c r="T485" s="824"/>
      <c r="U485" s="1039"/>
      <c r="V485" s="701"/>
      <c r="W485" s="1053"/>
      <c r="X485" s="1054"/>
      <c r="Y485" s="1050"/>
      <c r="Z485" s="1050"/>
      <c r="AA485" s="1050"/>
      <c r="AB485" s="1050"/>
      <c r="AC485" s="1050"/>
      <c r="AD485" s="1050"/>
      <c r="AE485" s="1050"/>
      <c r="AF485" s="1050"/>
      <c r="AG485" s="1050"/>
      <c r="AH485" s="1050"/>
      <c r="AI485" s="1050"/>
      <c r="AJ485" s="1050"/>
      <c r="AK485" s="1050"/>
      <c r="AL485" s="1050"/>
      <c r="AM485" s="1050"/>
      <c r="AN485" s="1050"/>
      <c r="AO485" s="1050"/>
      <c r="AP485" s="1050"/>
      <c r="AQ485" s="1050"/>
      <c r="AR485" s="1050"/>
      <c r="AS485" s="1050"/>
      <c r="AT485" s="1050"/>
      <c r="AU485" s="1050"/>
      <c r="AV485" s="1050"/>
      <c r="AW485" s="1050"/>
      <c r="AX485" s="1050"/>
      <c r="AY485" s="1050"/>
      <c r="AZ485" s="1050"/>
      <c r="BA485" s="1050"/>
      <c r="BB485" s="1050"/>
      <c r="BC485" s="1050"/>
      <c r="BD485" s="1050"/>
      <c r="BE485" s="1050"/>
      <c r="BF485" s="1050"/>
      <c r="BG485" s="1050"/>
      <c r="BH485" s="1050"/>
      <c r="BI485" s="1050"/>
      <c r="BJ485" s="1050"/>
      <c r="BK485" s="1050"/>
      <c r="BL485" s="1050"/>
      <c r="BM485" s="1050"/>
      <c r="BN485" s="1050"/>
      <c r="BO485" s="1050"/>
      <c r="BP485" s="1050"/>
      <c r="BQ485" s="1050"/>
      <c r="BR485" s="1050"/>
      <c r="BS485" s="1050"/>
      <c r="BT485" s="1050"/>
      <c r="BU485" s="1050"/>
      <c r="BV485" s="1050"/>
      <c r="BW485" s="1050"/>
      <c r="BX485" s="1050"/>
      <c r="BY485" s="1050"/>
      <c r="BZ485" s="1050"/>
      <c r="CA485" s="1050"/>
      <c r="CB485" s="1050"/>
      <c r="CC485" s="1050"/>
      <c r="CD485" s="1050"/>
      <c r="CE485" s="1050"/>
      <c r="CF485" s="1050"/>
      <c r="CG485" s="1050"/>
      <c r="CH485" s="1050"/>
      <c r="CI485" s="1050"/>
      <c r="CJ485" s="1050"/>
      <c r="CK485" s="1050"/>
      <c r="CL485" s="1050"/>
      <c r="CM485" s="1050"/>
      <c r="CN485" s="1050"/>
      <c r="CO485" s="1050"/>
      <c r="CP485" s="1050"/>
      <c r="CQ485" s="1050"/>
      <c r="CR485" s="1050"/>
      <c r="CS485" s="1050"/>
      <c r="CT485" s="1050"/>
      <c r="CU485" s="1050"/>
      <c r="CV485" s="1050"/>
      <c r="CW485" s="1050"/>
      <c r="CX485" s="1050"/>
      <c r="CY485" s="1050"/>
      <c r="CZ485" s="1050"/>
      <c r="DA485" s="1050"/>
      <c r="DB485" s="1050"/>
      <c r="DC485" s="1050"/>
      <c r="DD485" s="1050"/>
      <c r="DE485" s="1050"/>
      <c r="DF485" s="1050"/>
      <c r="DG485" s="1050"/>
      <c r="DH485" s="1050"/>
      <c r="DI485" s="1050"/>
      <c r="DJ485" s="1050"/>
      <c r="DK485" s="1050"/>
      <c r="DL485" s="1050"/>
      <c r="DM485" s="1050"/>
      <c r="DN485" s="1050"/>
      <c r="DO485" s="1050"/>
      <c r="DP485" s="1050"/>
      <c r="DQ485" s="1050"/>
      <c r="DR485" s="1050"/>
      <c r="DS485" s="1050"/>
      <c r="DT485" s="1050"/>
      <c r="DU485" s="1050"/>
      <c r="DV485" s="1050"/>
      <c r="DW485" s="1050"/>
      <c r="DX485" s="1050"/>
      <c r="DY485" s="1050"/>
      <c r="DZ485" s="1050"/>
      <c r="EA485" s="1050"/>
      <c r="EB485" s="1050"/>
      <c r="EC485" s="1050"/>
      <c r="ED485" s="1050"/>
      <c r="EE485" s="1050"/>
      <c r="EF485" s="1050"/>
      <c r="EG485" s="1050"/>
      <c r="EH485" s="1050"/>
      <c r="EI485" s="1050"/>
      <c r="EJ485" s="1050"/>
      <c r="EK485" s="1050"/>
      <c r="EL485" s="1050"/>
      <c r="EM485" s="1050"/>
      <c r="EN485" s="1050"/>
      <c r="EO485" s="1050"/>
      <c r="EP485" s="1050"/>
      <c r="EQ485" s="1050"/>
      <c r="ER485" s="1050"/>
      <c r="ES485" s="1050"/>
      <c r="ET485" s="1050"/>
      <c r="EU485" s="1050"/>
      <c r="EV485" s="1050"/>
      <c r="EW485" s="1050"/>
      <c r="EX485" s="1050"/>
      <c r="EY485" s="1050"/>
      <c r="EZ485" s="1050"/>
      <c r="FA485" s="1050"/>
      <c r="FB485" s="1050"/>
      <c r="FC485" s="1050"/>
      <c r="FD485" s="1050"/>
      <c r="FE485" s="1050"/>
      <c r="FF485" s="1050"/>
      <c r="FG485" s="1050"/>
      <c r="FH485" s="1050"/>
      <c r="FI485" s="1050"/>
      <c r="FJ485" s="1050"/>
      <c r="FK485" s="1050"/>
      <c r="FL485" s="1050"/>
      <c r="FM485" s="1050"/>
      <c r="FN485" s="1050"/>
      <c r="FO485" s="1050"/>
      <c r="FP485" s="1050"/>
      <c r="FQ485" s="1050"/>
      <c r="FR485" s="1050"/>
      <c r="FS485" s="1050"/>
      <c r="FT485" s="1050"/>
      <c r="FU485" s="1050"/>
      <c r="FV485" s="1050"/>
      <c r="FW485" s="1050"/>
      <c r="FX485" s="1050"/>
      <c r="FY485" s="1050"/>
      <c r="FZ485" s="1050"/>
      <c r="GA485" s="1050"/>
      <c r="GB485" s="1050"/>
      <c r="GC485" s="1050"/>
      <c r="GD485" s="1050"/>
      <c r="GE485" s="1050"/>
      <c r="GF485" s="1050"/>
      <c r="GG485" s="1050"/>
      <c r="GH485" s="1050"/>
      <c r="GI485" s="1050"/>
      <c r="GJ485" s="1050"/>
      <c r="GK485" s="1050"/>
      <c r="GL485" s="1050"/>
      <c r="GM485" s="1050"/>
      <c r="GN485" s="1050"/>
      <c r="GO485" s="1050"/>
      <c r="GP485" s="1050"/>
      <c r="GQ485" s="1050"/>
      <c r="GR485" s="1050"/>
      <c r="GS485" s="1050"/>
      <c r="GT485" s="1050"/>
      <c r="GU485" s="1050"/>
      <c r="GV485" s="1050"/>
      <c r="GW485" s="1050"/>
      <c r="GX485" s="1050"/>
      <c r="GY485" s="1050"/>
      <c r="GZ485" s="1050"/>
      <c r="HA485" s="1050"/>
      <c r="HB485" s="1050"/>
      <c r="HC485" s="1050"/>
      <c r="HD485" s="1050"/>
      <c r="HE485" s="1050"/>
      <c r="HF485" s="1050"/>
      <c r="HG485" s="1050"/>
      <c r="HH485" s="1050"/>
      <c r="HI485" s="1050"/>
      <c r="HJ485" s="1050"/>
      <c r="HK485" s="1050"/>
      <c r="HL485" s="1050"/>
      <c r="HM485" s="1050"/>
      <c r="HN485" s="1050"/>
      <c r="HO485" s="1050"/>
      <c r="HP485" s="1050"/>
      <c r="HQ485" s="1050"/>
      <c r="HR485" s="1050"/>
      <c r="HS485" s="1050"/>
      <c r="HT485" s="1050"/>
      <c r="HU485" s="1050"/>
      <c r="HV485" s="1050"/>
      <c r="HW485" s="1050"/>
      <c r="HX485" s="1050"/>
      <c r="HY485" s="1050"/>
      <c r="HZ485" s="1050"/>
      <c r="IA485" s="1050"/>
      <c r="IB485" s="1050"/>
      <c r="IC485" s="1050"/>
      <c r="ID485" s="1050"/>
      <c r="IE485" s="1050"/>
      <c r="IF485" s="1050"/>
      <c r="IG485" s="1050"/>
      <c r="IH485" s="1050"/>
      <c r="II485" s="1050"/>
      <c r="IJ485" s="1050"/>
      <c r="IK485" s="1050"/>
      <c r="IL485" s="1050"/>
      <c r="IM485" s="1050"/>
      <c r="IN485" s="1050"/>
      <c r="IO485" s="1050"/>
      <c r="IP485" s="1050"/>
      <c r="IQ485" s="1050"/>
      <c r="IR485" s="1050"/>
      <c r="IS485" s="1050"/>
      <c r="IT485" s="1050"/>
      <c r="IU485" s="1050"/>
      <c r="IV485" s="1050"/>
      <c r="IW485" s="1050"/>
    </row>
    <row r="486" spans="1:257" s="614" customFormat="1" ht="24" customHeight="1">
      <c r="A486" s="758" t="s">
        <v>91</v>
      </c>
      <c r="B486" s="969" t="s">
        <v>366</v>
      </c>
      <c r="C486" s="758"/>
      <c r="D486" s="758"/>
      <c r="E486" s="956"/>
      <c r="F486" s="761">
        <v>10000000</v>
      </c>
      <c r="G486" s="960"/>
      <c r="H486" s="960"/>
      <c r="I486" s="960"/>
      <c r="J486" s="761">
        <v>14000000</v>
      </c>
      <c r="K486" s="761">
        <v>14000000</v>
      </c>
      <c r="L486" s="1306">
        <v>14000000</v>
      </c>
      <c r="M486" s="761"/>
      <c r="N486" s="837"/>
      <c r="O486" s="837"/>
      <c r="P486" s="1052"/>
      <c r="Q486" s="1052"/>
      <c r="R486" s="871"/>
      <c r="S486" s="871"/>
      <c r="T486" s="824"/>
      <c r="U486" s="1039"/>
      <c r="V486" s="701"/>
      <c r="W486" s="1055"/>
      <c r="X486" s="1056"/>
      <c r="Y486" s="1051"/>
      <c r="Z486" s="1051"/>
      <c r="AA486" s="1051"/>
      <c r="AB486" s="1051"/>
      <c r="AC486" s="1051"/>
      <c r="AD486" s="1051"/>
      <c r="AE486" s="1051"/>
      <c r="AF486" s="1051"/>
      <c r="AG486" s="1051"/>
      <c r="AH486" s="1051"/>
      <c r="AI486" s="1051"/>
      <c r="AJ486" s="1051"/>
      <c r="AK486" s="1051"/>
      <c r="AL486" s="1051"/>
      <c r="AM486" s="1051"/>
      <c r="AN486" s="1051"/>
      <c r="AO486" s="1051"/>
      <c r="AP486" s="1051"/>
      <c r="AQ486" s="1051"/>
      <c r="AR486" s="1051"/>
      <c r="AS486" s="1051"/>
      <c r="AT486" s="1051"/>
      <c r="AU486" s="1051"/>
      <c r="AV486" s="1051"/>
      <c r="AW486" s="1051"/>
      <c r="AX486" s="1051"/>
      <c r="AY486" s="1051"/>
      <c r="AZ486" s="1051"/>
      <c r="BA486" s="1051"/>
      <c r="BB486" s="1051"/>
      <c r="BC486" s="1051"/>
      <c r="BD486" s="1051"/>
      <c r="BE486" s="1051"/>
      <c r="BF486" s="1051"/>
      <c r="BG486" s="1051"/>
      <c r="BH486" s="1051"/>
      <c r="BI486" s="1051"/>
      <c r="BJ486" s="1051"/>
      <c r="BK486" s="1051"/>
      <c r="BL486" s="1051"/>
      <c r="BM486" s="1051"/>
      <c r="BN486" s="1051"/>
      <c r="BO486" s="1051"/>
      <c r="BP486" s="1051"/>
      <c r="BQ486" s="1051"/>
      <c r="BR486" s="1051"/>
      <c r="BS486" s="1051"/>
      <c r="BT486" s="1051"/>
      <c r="BU486" s="1051"/>
      <c r="BV486" s="1051"/>
      <c r="BW486" s="1051"/>
      <c r="BX486" s="1051"/>
      <c r="BY486" s="1051"/>
      <c r="BZ486" s="1051"/>
      <c r="CA486" s="1051"/>
      <c r="CB486" s="1051"/>
      <c r="CC486" s="1051"/>
      <c r="CD486" s="1051"/>
      <c r="CE486" s="1051"/>
      <c r="CF486" s="1051"/>
      <c r="CG486" s="1051"/>
      <c r="CH486" s="1051"/>
      <c r="CI486" s="1051"/>
      <c r="CJ486" s="1051"/>
      <c r="CK486" s="1051"/>
      <c r="CL486" s="1051"/>
      <c r="CM486" s="1051"/>
      <c r="CN486" s="1051"/>
      <c r="CO486" s="1051"/>
      <c r="CP486" s="1051"/>
      <c r="CQ486" s="1051"/>
      <c r="CR486" s="1051"/>
      <c r="CS486" s="1051"/>
      <c r="CT486" s="1051"/>
      <c r="CU486" s="1051"/>
      <c r="CV486" s="1051"/>
      <c r="CW486" s="1051"/>
      <c r="CX486" s="1051"/>
      <c r="CY486" s="1051"/>
      <c r="CZ486" s="1051"/>
      <c r="DA486" s="1051"/>
      <c r="DB486" s="1051"/>
      <c r="DC486" s="1051"/>
      <c r="DD486" s="1051"/>
      <c r="DE486" s="1051"/>
      <c r="DF486" s="1051"/>
      <c r="DG486" s="1051"/>
      <c r="DH486" s="1051"/>
      <c r="DI486" s="1051"/>
      <c r="DJ486" s="1051"/>
      <c r="DK486" s="1051"/>
      <c r="DL486" s="1051"/>
      <c r="DM486" s="1051"/>
      <c r="DN486" s="1051"/>
      <c r="DO486" s="1051"/>
      <c r="DP486" s="1051"/>
      <c r="DQ486" s="1051"/>
      <c r="DR486" s="1051"/>
      <c r="DS486" s="1051"/>
      <c r="DT486" s="1051"/>
      <c r="DU486" s="1051"/>
      <c r="DV486" s="1051"/>
      <c r="DW486" s="1051"/>
      <c r="DX486" s="1051"/>
      <c r="DY486" s="1051"/>
      <c r="DZ486" s="1051"/>
      <c r="EA486" s="1051"/>
      <c r="EB486" s="1051"/>
      <c r="EC486" s="1051"/>
      <c r="ED486" s="1051"/>
      <c r="EE486" s="1051"/>
      <c r="EF486" s="1051"/>
      <c r="EG486" s="1051"/>
      <c r="EH486" s="1051"/>
      <c r="EI486" s="1051"/>
      <c r="EJ486" s="1051"/>
      <c r="EK486" s="1051"/>
      <c r="EL486" s="1051"/>
      <c r="EM486" s="1051"/>
      <c r="EN486" s="1051"/>
      <c r="EO486" s="1051"/>
      <c r="EP486" s="1051"/>
      <c r="EQ486" s="1051"/>
      <c r="ER486" s="1051"/>
      <c r="ES486" s="1051"/>
      <c r="ET486" s="1051"/>
      <c r="EU486" s="1051"/>
      <c r="EV486" s="1051"/>
      <c r="EW486" s="1051"/>
      <c r="EX486" s="1051"/>
      <c r="EY486" s="1051"/>
      <c r="EZ486" s="1051"/>
      <c r="FA486" s="1051"/>
      <c r="FB486" s="1051"/>
      <c r="FC486" s="1051"/>
      <c r="FD486" s="1051"/>
      <c r="FE486" s="1051"/>
      <c r="FF486" s="1051"/>
      <c r="FG486" s="1051"/>
      <c r="FH486" s="1051"/>
      <c r="FI486" s="1051"/>
      <c r="FJ486" s="1051"/>
      <c r="FK486" s="1051"/>
      <c r="FL486" s="1051"/>
      <c r="FM486" s="1051"/>
      <c r="FN486" s="1051"/>
      <c r="FO486" s="1051"/>
      <c r="FP486" s="1051"/>
      <c r="FQ486" s="1051"/>
      <c r="FR486" s="1051"/>
      <c r="FS486" s="1051"/>
      <c r="FT486" s="1051"/>
      <c r="FU486" s="1051"/>
      <c r="FV486" s="1051"/>
      <c r="FW486" s="1051"/>
      <c r="FX486" s="1051"/>
      <c r="FY486" s="1051"/>
      <c r="FZ486" s="1051"/>
      <c r="GA486" s="1051"/>
      <c r="GB486" s="1051"/>
      <c r="GC486" s="1051"/>
      <c r="GD486" s="1051"/>
      <c r="GE486" s="1051"/>
      <c r="GF486" s="1051"/>
      <c r="GG486" s="1051"/>
      <c r="GH486" s="1051"/>
      <c r="GI486" s="1051"/>
      <c r="GJ486" s="1051"/>
      <c r="GK486" s="1051"/>
      <c r="GL486" s="1051"/>
      <c r="GM486" s="1051"/>
      <c r="GN486" s="1051"/>
      <c r="GO486" s="1051"/>
      <c r="GP486" s="1051"/>
      <c r="GQ486" s="1051"/>
      <c r="GR486" s="1051"/>
      <c r="GS486" s="1051"/>
      <c r="GT486" s="1051"/>
      <c r="GU486" s="1051"/>
      <c r="GV486" s="1051"/>
      <c r="GW486" s="1051"/>
      <c r="GX486" s="1051"/>
      <c r="GY486" s="1051"/>
      <c r="GZ486" s="1051"/>
      <c r="HA486" s="1051"/>
      <c r="HB486" s="1051"/>
      <c r="HC486" s="1051"/>
      <c r="HD486" s="1051"/>
      <c r="HE486" s="1051"/>
      <c r="HF486" s="1051"/>
      <c r="HG486" s="1051"/>
      <c r="HH486" s="1051"/>
      <c r="HI486" s="1051"/>
      <c r="HJ486" s="1051"/>
      <c r="HK486" s="1051"/>
      <c r="HL486" s="1051"/>
      <c r="HM486" s="1051"/>
      <c r="HN486" s="1051"/>
      <c r="HO486" s="1051"/>
      <c r="HP486" s="1051"/>
      <c r="HQ486" s="1051"/>
      <c r="HR486" s="1051"/>
      <c r="HS486" s="1051"/>
      <c r="HT486" s="1051"/>
      <c r="HU486" s="1051"/>
      <c r="HV486" s="1051"/>
      <c r="HW486" s="1051"/>
      <c r="HX486" s="1051"/>
      <c r="HY486" s="1051"/>
      <c r="HZ486" s="1051"/>
      <c r="IA486" s="1051"/>
      <c r="IB486" s="1051"/>
      <c r="IC486" s="1051"/>
      <c r="ID486" s="1051"/>
      <c r="IE486" s="1051"/>
      <c r="IF486" s="1051"/>
      <c r="IG486" s="1051"/>
      <c r="IH486" s="1051"/>
      <c r="II486" s="1051"/>
      <c r="IJ486" s="1051"/>
      <c r="IK486" s="1051"/>
      <c r="IL486" s="1051"/>
      <c r="IM486" s="1051"/>
      <c r="IN486" s="1051"/>
      <c r="IO486" s="1051"/>
      <c r="IP486" s="1051"/>
      <c r="IQ486" s="1051"/>
      <c r="IR486" s="1051"/>
      <c r="IS486" s="1051"/>
      <c r="IT486" s="1051"/>
      <c r="IU486" s="1051"/>
      <c r="IV486" s="1051"/>
      <c r="IW486" s="1051"/>
    </row>
    <row r="487" spans="1:257" s="582" customFormat="1">
      <c r="A487" s="758" t="s">
        <v>91</v>
      </c>
      <c r="B487" s="969" t="s">
        <v>367</v>
      </c>
      <c r="C487" s="758"/>
      <c r="D487" s="758"/>
      <c r="E487" s="956"/>
      <c r="F487" s="761">
        <v>20000000</v>
      </c>
      <c r="G487" s="960"/>
      <c r="H487" s="960"/>
      <c r="I487" s="960"/>
      <c r="J487" s="761">
        <v>30000000</v>
      </c>
      <c r="K487" s="761">
        <v>30000000</v>
      </c>
      <c r="L487" s="1306">
        <v>30000000</v>
      </c>
      <c r="M487" s="761"/>
      <c r="N487" s="837"/>
      <c r="O487" s="837"/>
      <c r="P487" s="1052"/>
      <c r="Q487" s="1052"/>
      <c r="R487" s="871"/>
      <c r="S487" s="871"/>
      <c r="T487" s="824"/>
      <c r="U487" s="1039"/>
      <c r="V487" s="1053"/>
      <c r="W487" s="1055"/>
      <c r="X487" s="1056"/>
      <c r="Y487" s="1051"/>
      <c r="Z487" s="1051"/>
      <c r="AA487" s="1051"/>
      <c r="AB487" s="1051"/>
      <c r="AC487" s="1051"/>
      <c r="AD487" s="1051"/>
      <c r="AE487" s="1051"/>
      <c r="AF487" s="1051"/>
      <c r="AG487" s="1051"/>
      <c r="AH487" s="1051"/>
      <c r="AI487" s="1051"/>
      <c r="AJ487" s="1051"/>
      <c r="AK487" s="1051"/>
      <c r="AL487" s="1051"/>
      <c r="AM487" s="1051"/>
      <c r="AN487" s="1051"/>
      <c r="AO487" s="1051"/>
      <c r="AP487" s="1051"/>
      <c r="AQ487" s="1051"/>
      <c r="AR487" s="1051"/>
      <c r="AS487" s="1051"/>
      <c r="AT487" s="1051"/>
      <c r="AU487" s="1051"/>
      <c r="AV487" s="1051"/>
      <c r="AW487" s="1051"/>
      <c r="AX487" s="1051"/>
      <c r="AY487" s="1051"/>
      <c r="AZ487" s="1051"/>
      <c r="BA487" s="1051"/>
      <c r="BB487" s="1051"/>
      <c r="BC487" s="1051"/>
      <c r="BD487" s="1051"/>
      <c r="BE487" s="1051"/>
      <c r="BF487" s="1051"/>
      <c r="BG487" s="1051"/>
      <c r="BH487" s="1051"/>
      <c r="BI487" s="1051"/>
      <c r="BJ487" s="1051"/>
      <c r="BK487" s="1051"/>
      <c r="BL487" s="1051"/>
      <c r="BM487" s="1051"/>
      <c r="BN487" s="1051"/>
      <c r="BO487" s="1051"/>
      <c r="BP487" s="1051"/>
      <c r="BQ487" s="1051"/>
      <c r="BR487" s="1051"/>
      <c r="BS487" s="1051"/>
      <c r="BT487" s="1051"/>
      <c r="BU487" s="1051"/>
      <c r="BV487" s="1051"/>
      <c r="BW487" s="1051"/>
      <c r="BX487" s="1051"/>
      <c r="BY487" s="1051"/>
      <c r="BZ487" s="1051"/>
      <c r="CA487" s="1051"/>
      <c r="CB487" s="1051"/>
      <c r="CC487" s="1051"/>
      <c r="CD487" s="1051"/>
      <c r="CE487" s="1051"/>
      <c r="CF487" s="1051"/>
      <c r="CG487" s="1051"/>
      <c r="CH487" s="1051"/>
      <c r="CI487" s="1051"/>
      <c r="CJ487" s="1051"/>
      <c r="CK487" s="1051"/>
      <c r="CL487" s="1051"/>
      <c r="CM487" s="1051"/>
      <c r="CN487" s="1051"/>
      <c r="CO487" s="1051"/>
      <c r="CP487" s="1051"/>
      <c r="CQ487" s="1051"/>
      <c r="CR487" s="1051"/>
      <c r="CS487" s="1051"/>
      <c r="CT487" s="1051"/>
      <c r="CU487" s="1051"/>
      <c r="CV487" s="1051"/>
      <c r="CW487" s="1051"/>
      <c r="CX487" s="1051"/>
      <c r="CY487" s="1051"/>
      <c r="CZ487" s="1051"/>
      <c r="DA487" s="1051"/>
      <c r="DB487" s="1051"/>
      <c r="DC487" s="1051"/>
      <c r="DD487" s="1051"/>
      <c r="DE487" s="1051"/>
      <c r="DF487" s="1051"/>
      <c r="DG487" s="1051"/>
      <c r="DH487" s="1051"/>
      <c r="DI487" s="1051"/>
      <c r="DJ487" s="1051"/>
      <c r="DK487" s="1051"/>
      <c r="DL487" s="1051"/>
      <c r="DM487" s="1051"/>
      <c r="DN487" s="1051"/>
      <c r="DO487" s="1051"/>
      <c r="DP487" s="1051"/>
      <c r="DQ487" s="1051"/>
      <c r="DR487" s="1051"/>
      <c r="DS487" s="1051"/>
      <c r="DT487" s="1051"/>
      <c r="DU487" s="1051"/>
      <c r="DV487" s="1051"/>
      <c r="DW487" s="1051"/>
      <c r="DX487" s="1051"/>
      <c r="DY487" s="1051"/>
      <c r="DZ487" s="1051"/>
      <c r="EA487" s="1051"/>
      <c r="EB487" s="1051"/>
      <c r="EC487" s="1051"/>
      <c r="ED487" s="1051"/>
      <c r="EE487" s="1051"/>
      <c r="EF487" s="1051"/>
      <c r="EG487" s="1051"/>
      <c r="EH487" s="1051"/>
      <c r="EI487" s="1051"/>
      <c r="EJ487" s="1051"/>
      <c r="EK487" s="1051"/>
      <c r="EL487" s="1051"/>
      <c r="EM487" s="1051"/>
      <c r="EN487" s="1051"/>
      <c r="EO487" s="1051"/>
      <c r="EP487" s="1051"/>
      <c r="EQ487" s="1051"/>
      <c r="ER487" s="1051"/>
      <c r="ES487" s="1051"/>
      <c r="ET487" s="1051"/>
      <c r="EU487" s="1051"/>
      <c r="EV487" s="1051"/>
      <c r="EW487" s="1051"/>
      <c r="EX487" s="1051"/>
      <c r="EY487" s="1051"/>
      <c r="EZ487" s="1051"/>
      <c r="FA487" s="1051"/>
      <c r="FB487" s="1051"/>
      <c r="FC487" s="1051"/>
      <c r="FD487" s="1051"/>
      <c r="FE487" s="1051"/>
      <c r="FF487" s="1051"/>
      <c r="FG487" s="1051"/>
      <c r="FH487" s="1051"/>
      <c r="FI487" s="1051"/>
      <c r="FJ487" s="1051"/>
      <c r="FK487" s="1051"/>
      <c r="FL487" s="1051"/>
      <c r="FM487" s="1051"/>
      <c r="FN487" s="1051"/>
      <c r="FO487" s="1051"/>
      <c r="FP487" s="1051"/>
      <c r="FQ487" s="1051"/>
      <c r="FR487" s="1051"/>
      <c r="FS487" s="1051"/>
      <c r="FT487" s="1051"/>
      <c r="FU487" s="1051"/>
      <c r="FV487" s="1051"/>
      <c r="FW487" s="1051"/>
      <c r="FX487" s="1051"/>
      <c r="FY487" s="1051"/>
      <c r="FZ487" s="1051"/>
      <c r="GA487" s="1051"/>
      <c r="GB487" s="1051"/>
      <c r="GC487" s="1051"/>
      <c r="GD487" s="1051"/>
      <c r="GE487" s="1051"/>
      <c r="GF487" s="1051"/>
      <c r="GG487" s="1051"/>
      <c r="GH487" s="1051"/>
      <c r="GI487" s="1051"/>
      <c r="GJ487" s="1051"/>
      <c r="GK487" s="1051"/>
      <c r="GL487" s="1051"/>
      <c r="GM487" s="1051"/>
      <c r="GN487" s="1051"/>
      <c r="GO487" s="1051"/>
      <c r="GP487" s="1051"/>
      <c r="GQ487" s="1051"/>
      <c r="GR487" s="1051"/>
      <c r="GS487" s="1051"/>
      <c r="GT487" s="1051"/>
      <c r="GU487" s="1051"/>
      <c r="GV487" s="1051"/>
      <c r="GW487" s="1051"/>
      <c r="GX487" s="1051"/>
      <c r="GY487" s="1051"/>
      <c r="GZ487" s="1051"/>
      <c r="HA487" s="1051"/>
      <c r="HB487" s="1051"/>
      <c r="HC487" s="1051"/>
      <c r="HD487" s="1051"/>
      <c r="HE487" s="1051"/>
      <c r="HF487" s="1051"/>
      <c r="HG487" s="1051"/>
      <c r="HH487" s="1051"/>
      <c r="HI487" s="1051"/>
      <c r="HJ487" s="1051"/>
      <c r="HK487" s="1051"/>
      <c r="HL487" s="1051"/>
      <c r="HM487" s="1051"/>
      <c r="HN487" s="1051"/>
      <c r="HO487" s="1051"/>
      <c r="HP487" s="1051"/>
      <c r="HQ487" s="1051"/>
      <c r="HR487" s="1051"/>
      <c r="HS487" s="1051"/>
      <c r="HT487" s="1051"/>
      <c r="HU487" s="1051"/>
      <c r="HV487" s="1051"/>
      <c r="HW487" s="1051"/>
      <c r="HX487" s="1051"/>
      <c r="HY487" s="1051"/>
      <c r="HZ487" s="1051"/>
      <c r="IA487" s="1051"/>
      <c r="IB487" s="1051"/>
      <c r="IC487" s="1051"/>
      <c r="ID487" s="1051"/>
      <c r="IE487" s="1051"/>
      <c r="IF487" s="1051"/>
      <c r="IG487" s="1051"/>
      <c r="IH487" s="1051"/>
      <c r="II487" s="1051"/>
      <c r="IJ487" s="1051"/>
      <c r="IK487" s="1051"/>
      <c r="IL487" s="1051"/>
      <c r="IM487" s="1051"/>
      <c r="IN487" s="1051"/>
      <c r="IO487" s="1051"/>
      <c r="IP487" s="1051"/>
      <c r="IQ487" s="1051"/>
      <c r="IR487" s="1051"/>
      <c r="IS487" s="1051"/>
      <c r="IT487" s="1051"/>
      <c r="IU487" s="1051"/>
      <c r="IV487" s="1051"/>
      <c r="IW487" s="1051"/>
    </row>
    <row r="488" spans="1:257" s="582" customFormat="1">
      <c r="A488" s="758" t="s">
        <v>91</v>
      </c>
      <c r="B488" s="969" t="s">
        <v>368</v>
      </c>
      <c r="C488" s="758"/>
      <c r="D488" s="758"/>
      <c r="E488" s="956"/>
      <c r="F488" s="761">
        <v>30000000</v>
      </c>
      <c r="G488" s="960"/>
      <c r="H488" s="960"/>
      <c r="I488" s="960"/>
      <c r="J488" s="761">
        <v>35000000</v>
      </c>
      <c r="K488" s="761">
        <v>35000000</v>
      </c>
      <c r="L488" s="1306">
        <v>35000000</v>
      </c>
      <c r="M488" s="761"/>
      <c r="N488" s="837"/>
      <c r="O488" s="837"/>
      <c r="P488" s="1052"/>
      <c r="Q488" s="1052"/>
      <c r="R488" s="871"/>
      <c r="S488" s="869"/>
      <c r="T488" s="850"/>
      <c r="U488" s="1039"/>
      <c r="V488" s="1055"/>
      <c r="W488" s="613"/>
      <c r="X488" s="611"/>
      <c r="Y488" s="614"/>
      <c r="Z488" s="614"/>
      <c r="AA488" s="614"/>
      <c r="AB488" s="614"/>
      <c r="AC488" s="614"/>
      <c r="AD488" s="614"/>
      <c r="AE488" s="614"/>
      <c r="AF488" s="614"/>
      <c r="AG488" s="614"/>
      <c r="AH488" s="614"/>
      <c r="AI488" s="614"/>
      <c r="AJ488" s="614"/>
      <c r="AK488" s="614"/>
      <c r="AL488" s="614"/>
      <c r="AM488" s="614"/>
      <c r="AN488" s="614"/>
      <c r="AO488" s="614"/>
      <c r="AP488" s="614"/>
      <c r="AQ488" s="614"/>
      <c r="AR488" s="614"/>
      <c r="AS488" s="614"/>
      <c r="AT488" s="614"/>
      <c r="AU488" s="614"/>
      <c r="AV488" s="614"/>
      <c r="AW488" s="614"/>
      <c r="AX488" s="614"/>
      <c r="AY488" s="614"/>
      <c r="AZ488" s="614"/>
      <c r="BA488" s="614"/>
      <c r="BB488" s="614"/>
      <c r="BC488" s="614"/>
      <c r="BD488" s="614"/>
      <c r="BE488" s="614"/>
      <c r="BF488" s="614"/>
      <c r="BG488" s="614"/>
      <c r="BH488" s="614"/>
      <c r="BI488" s="614"/>
      <c r="BJ488" s="614"/>
      <c r="BK488" s="614"/>
      <c r="BL488" s="614"/>
      <c r="BM488" s="614"/>
      <c r="BN488" s="614"/>
      <c r="BO488" s="614"/>
      <c r="BP488" s="614"/>
      <c r="BQ488" s="614"/>
      <c r="BR488" s="614"/>
      <c r="BS488" s="614"/>
      <c r="BT488" s="614"/>
      <c r="BU488" s="614"/>
      <c r="BV488" s="614"/>
      <c r="BW488" s="614"/>
      <c r="BX488" s="614"/>
      <c r="BY488" s="614"/>
      <c r="BZ488" s="614"/>
      <c r="CA488" s="614"/>
      <c r="CB488" s="614"/>
      <c r="CC488" s="614"/>
      <c r="CD488" s="614"/>
      <c r="CE488" s="614"/>
      <c r="CF488" s="614"/>
      <c r="CG488" s="614"/>
      <c r="CH488" s="614"/>
      <c r="CI488" s="614"/>
      <c r="CJ488" s="614"/>
      <c r="CK488" s="614"/>
      <c r="CL488" s="614"/>
      <c r="CM488" s="614"/>
      <c r="CN488" s="614"/>
      <c r="CO488" s="614"/>
      <c r="CP488" s="614"/>
      <c r="CQ488" s="614"/>
      <c r="CR488" s="614"/>
      <c r="CS488" s="614"/>
      <c r="CT488" s="614"/>
      <c r="CU488" s="614"/>
      <c r="CV488" s="614"/>
      <c r="CW488" s="614"/>
      <c r="CX488" s="614"/>
      <c r="CY488" s="614"/>
      <c r="CZ488" s="614"/>
      <c r="DA488" s="614"/>
      <c r="DB488" s="614"/>
      <c r="DC488" s="614"/>
      <c r="DD488" s="614"/>
      <c r="DE488" s="614"/>
      <c r="DF488" s="614"/>
      <c r="DG488" s="614"/>
      <c r="DH488" s="614"/>
      <c r="DI488" s="614"/>
      <c r="DJ488" s="614"/>
      <c r="DK488" s="614"/>
      <c r="DL488" s="614"/>
      <c r="DM488" s="614"/>
      <c r="DN488" s="614"/>
      <c r="DO488" s="614"/>
      <c r="DP488" s="614"/>
      <c r="DQ488" s="614"/>
      <c r="DR488" s="614"/>
      <c r="DS488" s="614"/>
      <c r="DT488" s="614"/>
      <c r="DU488" s="614"/>
      <c r="DV488" s="614"/>
      <c r="DW488" s="614"/>
      <c r="DX488" s="614"/>
      <c r="DY488" s="614"/>
      <c r="DZ488" s="614"/>
      <c r="EA488" s="614"/>
      <c r="EB488" s="614"/>
      <c r="EC488" s="614"/>
      <c r="ED488" s="614"/>
      <c r="EE488" s="614"/>
      <c r="EF488" s="614"/>
      <c r="EG488" s="614"/>
      <c r="EH488" s="614"/>
      <c r="EI488" s="614"/>
      <c r="EJ488" s="614"/>
      <c r="EK488" s="614"/>
      <c r="EL488" s="614"/>
      <c r="EM488" s="614"/>
      <c r="EN488" s="614"/>
      <c r="EO488" s="614"/>
      <c r="EP488" s="614"/>
      <c r="EQ488" s="614"/>
      <c r="ER488" s="614"/>
      <c r="ES488" s="614"/>
      <c r="ET488" s="614"/>
      <c r="EU488" s="614"/>
      <c r="EV488" s="614"/>
      <c r="EW488" s="614"/>
      <c r="EX488" s="614"/>
      <c r="EY488" s="614"/>
      <c r="EZ488" s="614"/>
      <c r="FA488" s="614"/>
      <c r="FB488" s="614"/>
      <c r="FC488" s="614"/>
      <c r="FD488" s="614"/>
      <c r="FE488" s="614"/>
      <c r="FF488" s="614"/>
      <c r="FG488" s="614"/>
      <c r="FH488" s="614"/>
      <c r="FI488" s="614"/>
      <c r="FJ488" s="614"/>
      <c r="FK488" s="614"/>
      <c r="FL488" s="614"/>
      <c r="FM488" s="614"/>
      <c r="FN488" s="614"/>
      <c r="FO488" s="614"/>
      <c r="FP488" s="614"/>
      <c r="FQ488" s="614"/>
      <c r="FR488" s="614"/>
      <c r="FS488" s="614"/>
      <c r="FT488" s="614"/>
      <c r="FU488" s="614"/>
      <c r="FV488" s="614"/>
      <c r="FW488" s="614"/>
      <c r="FX488" s="614"/>
      <c r="FY488" s="614"/>
      <c r="FZ488" s="614"/>
      <c r="GA488" s="614"/>
      <c r="GB488" s="614"/>
      <c r="GC488" s="614"/>
      <c r="GD488" s="614"/>
      <c r="GE488" s="614"/>
      <c r="GF488" s="614"/>
      <c r="GG488" s="614"/>
      <c r="GH488" s="614"/>
      <c r="GI488" s="614"/>
      <c r="GJ488" s="614"/>
      <c r="GK488" s="614"/>
      <c r="GL488" s="614"/>
      <c r="GM488" s="614"/>
      <c r="GN488" s="614"/>
      <c r="GO488" s="614"/>
      <c r="GP488" s="614"/>
      <c r="GQ488" s="614"/>
      <c r="GR488" s="614"/>
      <c r="GS488" s="614"/>
      <c r="GT488" s="614"/>
      <c r="GU488" s="614"/>
      <c r="GV488" s="614"/>
      <c r="GW488" s="614"/>
      <c r="GX488" s="614"/>
      <c r="GY488" s="614"/>
      <c r="GZ488" s="614"/>
      <c r="HA488" s="614"/>
      <c r="HB488" s="614"/>
      <c r="HC488" s="614"/>
      <c r="HD488" s="614"/>
      <c r="HE488" s="614"/>
      <c r="HF488" s="614"/>
      <c r="HG488" s="614"/>
      <c r="HH488" s="614"/>
      <c r="HI488" s="614"/>
      <c r="HJ488" s="614"/>
      <c r="HK488" s="614"/>
      <c r="HL488" s="614"/>
      <c r="HM488" s="614"/>
      <c r="HN488" s="614"/>
      <c r="HO488" s="614"/>
      <c r="HP488" s="614"/>
      <c r="HQ488" s="614"/>
      <c r="HR488" s="614"/>
      <c r="HS488" s="614"/>
      <c r="HT488" s="614"/>
      <c r="HU488" s="614"/>
      <c r="HV488" s="614"/>
      <c r="HW488" s="614"/>
      <c r="HX488" s="614"/>
      <c r="HY488" s="614"/>
      <c r="HZ488" s="614"/>
      <c r="IA488" s="614"/>
      <c r="IB488" s="614"/>
      <c r="IC488" s="614"/>
      <c r="ID488" s="614"/>
      <c r="IE488" s="614"/>
      <c r="IF488" s="614"/>
      <c r="IG488" s="614"/>
      <c r="IH488" s="614"/>
      <c r="II488" s="614"/>
      <c r="IJ488" s="614"/>
      <c r="IK488" s="614"/>
      <c r="IL488" s="614"/>
      <c r="IM488" s="614"/>
      <c r="IN488" s="614"/>
      <c r="IO488" s="614"/>
      <c r="IP488" s="614"/>
      <c r="IQ488" s="614"/>
      <c r="IR488" s="614"/>
      <c r="IS488" s="614"/>
      <c r="IT488" s="614"/>
      <c r="IU488" s="614"/>
      <c r="IV488" s="614"/>
      <c r="IW488" s="614"/>
    </row>
    <row r="489" spans="1:257" s="682" customFormat="1">
      <c r="A489" s="758" t="s">
        <v>91</v>
      </c>
      <c r="B489" s="969" t="s">
        <v>369</v>
      </c>
      <c r="C489" s="758"/>
      <c r="D489" s="758"/>
      <c r="E489" s="956"/>
      <c r="F489" s="761">
        <v>200000000</v>
      </c>
      <c r="G489" s="960"/>
      <c r="H489" s="960"/>
      <c r="I489" s="960"/>
      <c r="J489" s="761">
        <v>260000000</v>
      </c>
      <c r="K489" s="761">
        <v>260000000</v>
      </c>
      <c r="L489" s="1306">
        <v>260000000</v>
      </c>
      <c r="M489" s="761"/>
      <c r="N489" s="837"/>
      <c r="O489" s="837"/>
      <c r="P489" s="1052"/>
      <c r="Q489" s="1052"/>
      <c r="R489" s="866"/>
      <c r="S489" s="869"/>
      <c r="T489" s="850"/>
      <c r="U489" s="577"/>
      <c r="V489" s="1055"/>
      <c r="W489" s="727"/>
      <c r="X489" s="728"/>
    </row>
    <row r="490" spans="1:257" s="682" customFormat="1">
      <c r="A490" s="622">
        <v>9</v>
      </c>
      <c r="B490" s="623" t="s">
        <v>370</v>
      </c>
      <c r="C490" s="774"/>
      <c r="D490" s="774"/>
      <c r="E490" s="676"/>
      <c r="F490" s="626">
        <v>2500000000</v>
      </c>
      <c r="G490" s="623" t="s">
        <v>1039</v>
      </c>
      <c r="H490" s="623"/>
      <c r="I490" s="623"/>
      <c r="J490" s="626">
        <v>5000000000</v>
      </c>
      <c r="K490" s="626"/>
      <c r="L490" s="1302"/>
      <c r="M490" s="603" t="s">
        <v>1573</v>
      </c>
      <c r="N490" s="855"/>
      <c r="O490" s="855"/>
      <c r="P490" s="852"/>
      <c r="Q490" s="852"/>
      <c r="R490" s="900"/>
      <c r="S490" s="1057"/>
      <c r="T490" s="1058"/>
      <c r="U490" s="637"/>
      <c r="V490" s="727"/>
      <c r="W490" s="727"/>
      <c r="X490" s="728"/>
    </row>
    <row r="491" spans="1:257" s="682" customFormat="1">
      <c r="A491" s="622">
        <v>10</v>
      </c>
      <c r="B491" s="623" t="s">
        <v>372</v>
      </c>
      <c r="C491" s="774"/>
      <c r="D491" s="774"/>
      <c r="E491" s="676"/>
      <c r="F491" s="660">
        <v>500000000</v>
      </c>
      <c r="G491" s="623" t="s">
        <v>218</v>
      </c>
      <c r="H491" s="623"/>
      <c r="I491" s="623"/>
      <c r="J491" s="660">
        <v>500000000</v>
      </c>
      <c r="K491" s="660"/>
      <c r="L491" s="1303"/>
      <c r="M491" s="603" t="s">
        <v>1574</v>
      </c>
      <c r="N491" s="830"/>
      <c r="O491" s="830"/>
      <c r="P491" s="852"/>
      <c r="Q491" s="852"/>
      <c r="R491" s="900"/>
      <c r="S491" s="1059"/>
      <c r="T491" s="1060"/>
      <c r="U491" s="577"/>
      <c r="V491" s="727"/>
      <c r="W491" s="581"/>
      <c r="X491" s="578"/>
      <c r="Y491" s="582"/>
      <c r="Z491" s="582"/>
      <c r="AA491" s="582"/>
      <c r="AB491" s="582"/>
      <c r="AC491" s="582"/>
      <c r="AD491" s="582"/>
      <c r="AE491" s="582"/>
      <c r="AF491" s="582"/>
      <c r="AG491" s="582"/>
      <c r="AH491" s="582"/>
      <c r="AI491" s="582"/>
      <c r="AJ491" s="582"/>
      <c r="AK491" s="582"/>
      <c r="AL491" s="582"/>
      <c r="AM491" s="582"/>
      <c r="AN491" s="582"/>
      <c r="AO491" s="582"/>
      <c r="AP491" s="582"/>
      <c r="AQ491" s="582"/>
      <c r="AR491" s="582"/>
      <c r="AS491" s="582"/>
      <c r="AT491" s="582"/>
      <c r="AU491" s="582"/>
      <c r="AV491" s="582"/>
      <c r="AW491" s="582"/>
      <c r="AX491" s="582"/>
      <c r="AY491" s="582"/>
      <c r="AZ491" s="582"/>
      <c r="BA491" s="582"/>
      <c r="BB491" s="582"/>
      <c r="BC491" s="582"/>
      <c r="BD491" s="582"/>
      <c r="BE491" s="582"/>
      <c r="BF491" s="582"/>
      <c r="BG491" s="582"/>
      <c r="BH491" s="582"/>
      <c r="BI491" s="582"/>
      <c r="BJ491" s="582"/>
      <c r="BK491" s="582"/>
      <c r="BL491" s="582"/>
      <c r="BM491" s="582"/>
      <c r="BN491" s="582"/>
      <c r="BO491" s="582"/>
      <c r="BP491" s="582"/>
      <c r="BQ491" s="582"/>
      <c r="BR491" s="582"/>
      <c r="BS491" s="582"/>
      <c r="BT491" s="582"/>
      <c r="BU491" s="582"/>
      <c r="BV491" s="582"/>
      <c r="BW491" s="582"/>
      <c r="BX491" s="582"/>
      <c r="BY491" s="582"/>
      <c r="BZ491" s="582"/>
      <c r="CA491" s="582"/>
      <c r="CB491" s="582"/>
      <c r="CC491" s="582"/>
      <c r="CD491" s="582"/>
      <c r="CE491" s="582"/>
      <c r="CF491" s="582"/>
      <c r="CG491" s="582"/>
      <c r="CH491" s="582"/>
      <c r="CI491" s="582"/>
      <c r="CJ491" s="582"/>
      <c r="CK491" s="582"/>
      <c r="CL491" s="582"/>
      <c r="CM491" s="582"/>
      <c r="CN491" s="582"/>
      <c r="CO491" s="582"/>
      <c r="CP491" s="582"/>
      <c r="CQ491" s="582"/>
      <c r="CR491" s="582"/>
      <c r="CS491" s="582"/>
      <c r="CT491" s="582"/>
      <c r="CU491" s="582"/>
      <c r="CV491" s="582"/>
      <c r="CW491" s="582"/>
      <c r="CX491" s="582"/>
      <c r="CY491" s="582"/>
      <c r="CZ491" s="582"/>
      <c r="DA491" s="582"/>
      <c r="DB491" s="582"/>
      <c r="DC491" s="582"/>
      <c r="DD491" s="582"/>
      <c r="DE491" s="582"/>
      <c r="DF491" s="582"/>
      <c r="DG491" s="582"/>
      <c r="DH491" s="582"/>
      <c r="DI491" s="582"/>
      <c r="DJ491" s="582"/>
      <c r="DK491" s="582"/>
      <c r="DL491" s="582"/>
      <c r="DM491" s="582"/>
      <c r="DN491" s="582"/>
      <c r="DO491" s="582"/>
      <c r="DP491" s="582"/>
      <c r="DQ491" s="582"/>
      <c r="DR491" s="582"/>
      <c r="DS491" s="582"/>
      <c r="DT491" s="582"/>
      <c r="DU491" s="582"/>
      <c r="DV491" s="582"/>
      <c r="DW491" s="582"/>
      <c r="DX491" s="582"/>
      <c r="DY491" s="582"/>
      <c r="DZ491" s="582"/>
      <c r="EA491" s="582"/>
      <c r="EB491" s="582"/>
      <c r="EC491" s="582"/>
      <c r="ED491" s="582"/>
      <c r="EE491" s="582"/>
      <c r="EF491" s="582"/>
      <c r="EG491" s="582"/>
      <c r="EH491" s="582"/>
      <c r="EI491" s="582"/>
      <c r="EJ491" s="582"/>
      <c r="EK491" s="582"/>
      <c r="EL491" s="582"/>
      <c r="EM491" s="582"/>
      <c r="EN491" s="582"/>
      <c r="EO491" s="582"/>
      <c r="EP491" s="582"/>
      <c r="EQ491" s="582"/>
      <c r="ER491" s="582"/>
      <c r="ES491" s="582"/>
      <c r="ET491" s="582"/>
      <c r="EU491" s="582"/>
      <c r="EV491" s="582"/>
      <c r="EW491" s="582"/>
      <c r="EX491" s="582"/>
      <c r="EY491" s="582"/>
      <c r="EZ491" s="582"/>
      <c r="FA491" s="582"/>
      <c r="FB491" s="582"/>
      <c r="FC491" s="582"/>
      <c r="FD491" s="582"/>
      <c r="FE491" s="582"/>
      <c r="FF491" s="582"/>
      <c r="FG491" s="582"/>
      <c r="FH491" s="582"/>
      <c r="FI491" s="582"/>
      <c r="FJ491" s="582"/>
      <c r="FK491" s="582"/>
      <c r="FL491" s="582"/>
      <c r="FM491" s="582"/>
      <c r="FN491" s="582"/>
      <c r="FO491" s="582"/>
      <c r="FP491" s="582"/>
      <c r="FQ491" s="582"/>
      <c r="FR491" s="582"/>
      <c r="FS491" s="582"/>
      <c r="FT491" s="582"/>
      <c r="FU491" s="582"/>
      <c r="FV491" s="582"/>
      <c r="FW491" s="582"/>
      <c r="FX491" s="582"/>
      <c r="FY491" s="582"/>
      <c r="FZ491" s="582"/>
      <c r="GA491" s="582"/>
      <c r="GB491" s="582"/>
      <c r="GC491" s="582"/>
      <c r="GD491" s="582"/>
      <c r="GE491" s="582"/>
      <c r="GF491" s="582"/>
      <c r="GG491" s="582"/>
      <c r="GH491" s="582"/>
      <c r="GI491" s="582"/>
      <c r="GJ491" s="582"/>
      <c r="GK491" s="582"/>
      <c r="GL491" s="582"/>
      <c r="GM491" s="582"/>
      <c r="GN491" s="582"/>
      <c r="GO491" s="582"/>
      <c r="GP491" s="582"/>
      <c r="GQ491" s="582"/>
      <c r="GR491" s="582"/>
      <c r="GS491" s="582"/>
      <c r="GT491" s="582"/>
      <c r="GU491" s="582"/>
      <c r="GV491" s="582"/>
      <c r="GW491" s="582"/>
      <c r="GX491" s="582"/>
      <c r="GY491" s="582"/>
      <c r="GZ491" s="582"/>
      <c r="HA491" s="582"/>
      <c r="HB491" s="582"/>
      <c r="HC491" s="582"/>
      <c r="HD491" s="582"/>
      <c r="HE491" s="582"/>
      <c r="HF491" s="582"/>
      <c r="HG491" s="582"/>
      <c r="HH491" s="582"/>
      <c r="HI491" s="582"/>
      <c r="HJ491" s="582"/>
      <c r="HK491" s="582"/>
      <c r="HL491" s="582"/>
      <c r="HM491" s="582"/>
      <c r="HN491" s="582"/>
      <c r="HO491" s="582"/>
      <c r="HP491" s="582"/>
      <c r="HQ491" s="582"/>
      <c r="HR491" s="582"/>
      <c r="HS491" s="582"/>
      <c r="HT491" s="582"/>
      <c r="HU491" s="582"/>
      <c r="HV491" s="582"/>
      <c r="HW491" s="582"/>
      <c r="HX491" s="582"/>
      <c r="HY491" s="582"/>
      <c r="HZ491" s="582"/>
      <c r="IA491" s="582"/>
      <c r="IB491" s="582"/>
      <c r="IC491" s="582"/>
      <c r="ID491" s="582"/>
      <c r="IE491" s="582"/>
      <c r="IF491" s="582"/>
      <c r="IG491" s="582"/>
      <c r="IH491" s="582"/>
      <c r="II491" s="582"/>
      <c r="IJ491" s="582"/>
      <c r="IK491" s="582"/>
      <c r="IL491" s="582"/>
      <c r="IM491" s="582"/>
      <c r="IN491" s="582"/>
      <c r="IO491" s="582"/>
      <c r="IP491" s="582"/>
      <c r="IQ491" s="582"/>
      <c r="IR491" s="582"/>
      <c r="IS491" s="582"/>
      <c r="IT491" s="582"/>
      <c r="IU491" s="582"/>
      <c r="IV491" s="582"/>
      <c r="IW491" s="582"/>
    </row>
    <row r="492" spans="1:257" s="582" customFormat="1">
      <c r="A492" s="1061" t="s">
        <v>287</v>
      </c>
      <c r="B492" s="1062" t="s">
        <v>373</v>
      </c>
      <c r="C492" s="1061">
        <f>C493+C848+C938</f>
        <v>171</v>
      </c>
      <c r="D492" s="1061">
        <f>D493+D848+D938</f>
        <v>9</v>
      </c>
      <c r="E492" s="1063"/>
      <c r="F492" s="1063">
        <f t="shared" ref="F492:K492" si="58">F493+F848+F938</f>
        <v>49539000000</v>
      </c>
      <c r="G492" s="1063" t="e">
        <f t="shared" si="58"/>
        <v>#VALUE!</v>
      </c>
      <c r="H492" s="1063">
        <f t="shared" si="58"/>
        <v>18</v>
      </c>
      <c r="I492" s="1063">
        <f t="shared" si="58"/>
        <v>27000000</v>
      </c>
      <c r="J492" s="1063">
        <f t="shared" si="58"/>
        <v>51922355000</v>
      </c>
      <c r="K492" s="1063">
        <f t="shared" si="58"/>
        <v>57206000000</v>
      </c>
      <c r="L492" s="1321">
        <f>L493+L848+L938</f>
        <v>78045374000</v>
      </c>
      <c r="M492" s="1063">
        <f>L492+(Sheet2!H15*1000)</f>
        <v>220819454399.99997</v>
      </c>
      <c r="N492" s="1064">
        <v>187750000000</v>
      </c>
      <c r="O492" s="1064" t="s">
        <v>1977</v>
      </c>
      <c r="P492" s="937"/>
      <c r="Q492" s="937"/>
      <c r="R492" s="1057"/>
      <c r="S492" s="871"/>
      <c r="T492" s="824"/>
      <c r="U492" s="1065"/>
      <c r="V492" s="581"/>
      <c r="W492" s="727"/>
      <c r="X492" s="728" t="e">
        <f>#REF!*30%-(#REF!-#REF!-#REF!-#REF!)</f>
        <v>#REF!</v>
      </c>
      <c r="Y492" s="682"/>
      <c r="Z492" s="1066"/>
      <c r="AA492" s="682"/>
      <c r="AB492" s="682"/>
      <c r="AC492" s="682"/>
      <c r="AD492" s="682"/>
      <c r="AE492" s="682"/>
      <c r="AF492" s="682"/>
      <c r="AG492" s="682"/>
      <c r="AH492" s="682"/>
      <c r="AI492" s="682"/>
      <c r="AJ492" s="682"/>
      <c r="AK492" s="682"/>
      <c r="AL492" s="682"/>
      <c r="AM492" s="682"/>
      <c r="AN492" s="682"/>
      <c r="AO492" s="682"/>
      <c r="AP492" s="682"/>
      <c r="AQ492" s="682"/>
      <c r="AR492" s="682"/>
      <c r="AS492" s="682"/>
      <c r="AT492" s="682"/>
      <c r="AU492" s="682"/>
      <c r="AV492" s="682"/>
      <c r="AW492" s="682"/>
      <c r="AX492" s="682"/>
      <c r="AY492" s="682"/>
      <c r="AZ492" s="682"/>
      <c r="BA492" s="682"/>
      <c r="BB492" s="682"/>
      <c r="BC492" s="682"/>
      <c r="BD492" s="682"/>
      <c r="BE492" s="682"/>
      <c r="BF492" s="682"/>
      <c r="BG492" s="682"/>
      <c r="BH492" s="682"/>
      <c r="BI492" s="682"/>
      <c r="BJ492" s="682"/>
      <c r="BK492" s="682"/>
      <c r="BL492" s="682"/>
      <c r="BM492" s="682"/>
      <c r="BN492" s="682"/>
      <c r="BO492" s="682"/>
      <c r="BP492" s="682"/>
      <c r="BQ492" s="682"/>
      <c r="BR492" s="682"/>
      <c r="BS492" s="682"/>
      <c r="BT492" s="682"/>
      <c r="BU492" s="682"/>
      <c r="BV492" s="682"/>
      <c r="BW492" s="682"/>
      <c r="BX492" s="682"/>
      <c r="BY492" s="682"/>
      <c r="BZ492" s="682"/>
      <c r="CA492" s="682"/>
      <c r="CB492" s="682"/>
      <c r="CC492" s="682"/>
      <c r="CD492" s="682"/>
      <c r="CE492" s="682"/>
      <c r="CF492" s="682"/>
      <c r="CG492" s="682"/>
      <c r="CH492" s="682"/>
      <c r="CI492" s="682"/>
      <c r="CJ492" s="682"/>
      <c r="CK492" s="682"/>
      <c r="CL492" s="682"/>
      <c r="CM492" s="682"/>
      <c r="CN492" s="682"/>
      <c r="CO492" s="682"/>
      <c r="CP492" s="682"/>
      <c r="CQ492" s="682"/>
      <c r="CR492" s="682"/>
      <c r="CS492" s="682"/>
      <c r="CT492" s="682"/>
      <c r="CU492" s="682"/>
      <c r="CV492" s="682"/>
      <c r="CW492" s="682"/>
      <c r="CX492" s="682"/>
      <c r="CY492" s="682"/>
      <c r="CZ492" s="682"/>
      <c r="DA492" s="682"/>
      <c r="DB492" s="682"/>
      <c r="DC492" s="682"/>
      <c r="DD492" s="682"/>
      <c r="DE492" s="682"/>
      <c r="DF492" s="682"/>
      <c r="DG492" s="682"/>
      <c r="DH492" s="682"/>
      <c r="DI492" s="682"/>
      <c r="DJ492" s="682"/>
      <c r="DK492" s="682"/>
      <c r="DL492" s="682"/>
      <c r="DM492" s="682"/>
      <c r="DN492" s="682"/>
      <c r="DO492" s="682"/>
      <c r="DP492" s="682"/>
      <c r="DQ492" s="682"/>
      <c r="DR492" s="682"/>
      <c r="DS492" s="682"/>
      <c r="DT492" s="682"/>
      <c r="DU492" s="682"/>
      <c r="DV492" s="682"/>
      <c r="DW492" s="682"/>
      <c r="DX492" s="682"/>
      <c r="DY492" s="682"/>
      <c r="DZ492" s="682"/>
      <c r="EA492" s="682"/>
      <c r="EB492" s="682"/>
      <c r="EC492" s="682"/>
      <c r="ED492" s="682"/>
      <c r="EE492" s="682"/>
      <c r="EF492" s="682"/>
      <c r="EG492" s="682"/>
      <c r="EH492" s="682"/>
      <c r="EI492" s="682"/>
      <c r="EJ492" s="682"/>
      <c r="EK492" s="682"/>
      <c r="EL492" s="682"/>
      <c r="EM492" s="682"/>
      <c r="EN492" s="682"/>
      <c r="EO492" s="682"/>
      <c r="EP492" s="682"/>
      <c r="EQ492" s="682"/>
      <c r="ER492" s="682"/>
      <c r="ES492" s="682"/>
      <c r="ET492" s="682"/>
      <c r="EU492" s="682"/>
      <c r="EV492" s="682"/>
      <c r="EW492" s="682"/>
      <c r="EX492" s="682"/>
      <c r="EY492" s="682"/>
      <c r="EZ492" s="682"/>
      <c r="FA492" s="682"/>
      <c r="FB492" s="682"/>
      <c r="FC492" s="682"/>
      <c r="FD492" s="682"/>
      <c r="FE492" s="682"/>
      <c r="FF492" s="682"/>
      <c r="FG492" s="682"/>
      <c r="FH492" s="682"/>
      <c r="FI492" s="682"/>
      <c r="FJ492" s="682"/>
      <c r="FK492" s="682"/>
      <c r="FL492" s="682"/>
      <c r="FM492" s="682"/>
      <c r="FN492" s="682"/>
      <c r="FO492" s="682"/>
      <c r="FP492" s="682"/>
      <c r="FQ492" s="682"/>
      <c r="FR492" s="682"/>
      <c r="FS492" s="682"/>
      <c r="FT492" s="682"/>
      <c r="FU492" s="682"/>
      <c r="FV492" s="682"/>
      <c r="FW492" s="682"/>
      <c r="FX492" s="682"/>
      <c r="FY492" s="682"/>
      <c r="FZ492" s="682"/>
      <c r="GA492" s="682"/>
      <c r="GB492" s="682"/>
      <c r="GC492" s="682"/>
      <c r="GD492" s="682"/>
      <c r="GE492" s="682"/>
      <c r="GF492" s="682"/>
      <c r="GG492" s="682"/>
      <c r="GH492" s="682"/>
      <c r="GI492" s="682"/>
      <c r="GJ492" s="682"/>
      <c r="GK492" s="682"/>
      <c r="GL492" s="682"/>
      <c r="GM492" s="682"/>
      <c r="GN492" s="682"/>
      <c r="GO492" s="682"/>
      <c r="GP492" s="682"/>
      <c r="GQ492" s="682"/>
      <c r="GR492" s="682"/>
      <c r="GS492" s="682"/>
      <c r="GT492" s="682"/>
      <c r="GU492" s="682"/>
      <c r="GV492" s="682"/>
      <c r="GW492" s="682"/>
      <c r="GX492" s="682"/>
      <c r="GY492" s="682"/>
      <c r="GZ492" s="682"/>
      <c r="HA492" s="682"/>
      <c r="HB492" s="682"/>
      <c r="HC492" s="682"/>
      <c r="HD492" s="682"/>
      <c r="HE492" s="682"/>
      <c r="HF492" s="682"/>
      <c r="HG492" s="682"/>
      <c r="HH492" s="682"/>
      <c r="HI492" s="682"/>
      <c r="HJ492" s="682"/>
      <c r="HK492" s="682"/>
      <c r="HL492" s="682"/>
      <c r="HM492" s="682"/>
      <c r="HN492" s="682"/>
      <c r="HO492" s="682"/>
      <c r="HP492" s="682"/>
      <c r="HQ492" s="682"/>
      <c r="HR492" s="682"/>
      <c r="HS492" s="682"/>
      <c r="HT492" s="682"/>
      <c r="HU492" s="682"/>
      <c r="HV492" s="682"/>
      <c r="HW492" s="682"/>
      <c r="HX492" s="682"/>
      <c r="HY492" s="682"/>
      <c r="HZ492" s="682"/>
      <c r="IA492" s="682"/>
      <c r="IB492" s="682"/>
      <c r="IC492" s="682"/>
      <c r="ID492" s="682"/>
      <c r="IE492" s="682"/>
      <c r="IF492" s="682"/>
      <c r="IG492" s="682"/>
      <c r="IH492" s="682"/>
      <c r="II492" s="682"/>
      <c r="IJ492" s="682"/>
      <c r="IK492" s="682"/>
      <c r="IL492" s="682"/>
      <c r="IM492" s="682"/>
      <c r="IN492" s="682"/>
      <c r="IO492" s="682"/>
      <c r="IP492" s="682"/>
      <c r="IQ492" s="682"/>
      <c r="IR492" s="682"/>
      <c r="IS492" s="682"/>
      <c r="IT492" s="682"/>
      <c r="IU492" s="682"/>
      <c r="IV492" s="682"/>
      <c r="IW492" s="682"/>
    </row>
    <row r="493" spans="1:257" s="582" customFormat="1" ht="22.5" customHeight="1">
      <c r="A493" s="1061" t="s">
        <v>374</v>
      </c>
      <c r="B493" s="1062" t="s">
        <v>375</v>
      </c>
      <c r="C493" s="1061">
        <f>SUM(C497:C804)</f>
        <v>80</v>
      </c>
      <c r="D493" s="1061">
        <f>SUM(D543:D804)</f>
        <v>0</v>
      </c>
      <c r="E493" s="1063"/>
      <c r="F493" s="1067">
        <f t="shared" ref="F493:J493" si="59">F543+F568+F597+F629+F656+F697+F730+F752+F789+F494</f>
        <v>19626000000</v>
      </c>
      <c r="G493" s="1067" t="e">
        <f t="shared" si="59"/>
        <v>#VALUE!</v>
      </c>
      <c r="H493" s="1067">
        <f t="shared" si="59"/>
        <v>18</v>
      </c>
      <c r="I493" s="1067">
        <f t="shared" si="59"/>
        <v>27000000</v>
      </c>
      <c r="J493" s="1067">
        <f t="shared" si="59"/>
        <v>20940419000</v>
      </c>
      <c r="K493" s="1067">
        <f>K543+K568+K597+K629+K656+K697+K730+K752+K789+K494+K805+K825</f>
        <v>34494000000</v>
      </c>
      <c r="L493" s="1322">
        <f>L543+L568+L597+L629+L656+L697+L730+L752+L789+L494+L805+L825</f>
        <v>48785594000</v>
      </c>
      <c r="M493" s="1067"/>
      <c r="N493" s="1068">
        <f>M492-N492</f>
        <v>33069454399.999969</v>
      </c>
      <c r="O493" s="1068" t="s">
        <v>1978</v>
      </c>
      <c r="P493" s="1069"/>
      <c r="Q493" s="1069"/>
      <c r="R493" s="1059"/>
      <c r="S493" s="871"/>
      <c r="T493" s="824"/>
      <c r="U493" s="1070"/>
      <c r="V493" s="727"/>
      <c r="W493" s="727"/>
      <c r="X493" s="728"/>
      <c r="Y493" s="682"/>
      <c r="Z493" s="682"/>
      <c r="AA493" s="682"/>
      <c r="AB493" s="682"/>
      <c r="AC493" s="682"/>
      <c r="AD493" s="682"/>
      <c r="AE493" s="682"/>
      <c r="AF493" s="682"/>
      <c r="AG493" s="682"/>
      <c r="AH493" s="682"/>
      <c r="AI493" s="682"/>
      <c r="AJ493" s="682"/>
      <c r="AK493" s="682"/>
      <c r="AL493" s="682"/>
      <c r="AM493" s="682"/>
      <c r="AN493" s="682"/>
      <c r="AO493" s="682"/>
      <c r="AP493" s="682"/>
      <c r="AQ493" s="682"/>
      <c r="AR493" s="682"/>
      <c r="AS493" s="682"/>
      <c r="AT493" s="682"/>
      <c r="AU493" s="682"/>
      <c r="AV493" s="682"/>
      <c r="AW493" s="682"/>
      <c r="AX493" s="682"/>
      <c r="AY493" s="682"/>
      <c r="AZ493" s="682"/>
      <c r="BA493" s="682"/>
      <c r="BB493" s="682"/>
      <c r="BC493" s="682"/>
      <c r="BD493" s="682"/>
      <c r="BE493" s="682"/>
      <c r="BF493" s="682"/>
      <c r="BG493" s="682"/>
      <c r="BH493" s="682"/>
      <c r="BI493" s="682"/>
      <c r="BJ493" s="682"/>
      <c r="BK493" s="682"/>
      <c r="BL493" s="682"/>
      <c r="BM493" s="682"/>
      <c r="BN493" s="682"/>
      <c r="BO493" s="682"/>
      <c r="BP493" s="682"/>
      <c r="BQ493" s="682"/>
      <c r="BR493" s="682"/>
      <c r="BS493" s="682"/>
      <c r="BT493" s="682"/>
      <c r="BU493" s="682"/>
      <c r="BV493" s="682"/>
      <c r="BW493" s="682"/>
      <c r="BX493" s="682"/>
      <c r="BY493" s="682"/>
      <c r="BZ493" s="682"/>
      <c r="CA493" s="682"/>
      <c r="CB493" s="682"/>
      <c r="CC493" s="682"/>
      <c r="CD493" s="682"/>
      <c r="CE493" s="682"/>
      <c r="CF493" s="682"/>
      <c r="CG493" s="682"/>
      <c r="CH493" s="682"/>
      <c r="CI493" s="682"/>
      <c r="CJ493" s="682"/>
      <c r="CK493" s="682"/>
      <c r="CL493" s="682"/>
      <c r="CM493" s="682"/>
      <c r="CN493" s="682"/>
      <c r="CO493" s="682"/>
      <c r="CP493" s="682"/>
      <c r="CQ493" s="682"/>
      <c r="CR493" s="682"/>
      <c r="CS493" s="682"/>
      <c r="CT493" s="682"/>
      <c r="CU493" s="682"/>
      <c r="CV493" s="682"/>
      <c r="CW493" s="682"/>
      <c r="CX493" s="682"/>
      <c r="CY493" s="682"/>
      <c r="CZ493" s="682"/>
      <c r="DA493" s="682"/>
      <c r="DB493" s="682"/>
      <c r="DC493" s="682"/>
      <c r="DD493" s="682"/>
      <c r="DE493" s="682"/>
      <c r="DF493" s="682"/>
      <c r="DG493" s="682"/>
      <c r="DH493" s="682"/>
      <c r="DI493" s="682"/>
      <c r="DJ493" s="682"/>
      <c r="DK493" s="682"/>
      <c r="DL493" s="682"/>
      <c r="DM493" s="682"/>
      <c r="DN493" s="682"/>
      <c r="DO493" s="682"/>
      <c r="DP493" s="682"/>
      <c r="DQ493" s="682"/>
      <c r="DR493" s="682"/>
      <c r="DS493" s="682"/>
      <c r="DT493" s="682"/>
      <c r="DU493" s="682"/>
      <c r="DV493" s="682"/>
      <c r="DW493" s="682"/>
      <c r="DX493" s="682"/>
      <c r="DY493" s="682"/>
      <c r="DZ493" s="682"/>
      <c r="EA493" s="682"/>
      <c r="EB493" s="682"/>
      <c r="EC493" s="682"/>
      <c r="ED493" s="682"/>
      <c r="EE493" s="682"/>
      <c r="EF493" s="682"/>
      <c r="EG493" s="682"/>
      <c r="EH493" s="682"/>
      <c r="EI493" s="682"/>
      <c r="EJ493" s="682"/>
      <c r="EK493" s="682"/>
      <c r="EL493" s="682"/>
      <c r="EM493" s="682"/>
      <c r="EN493" s="682"/>
      <c r="EO493" s="682"/>
      <c r="EP493" s="682"/>
      <c r="EQ493" s="682"/>
      <c r="ER493" s="682"/>
      <c r="ES493" s="682"/>
      <c r="ET493" s="682"/>
      <c r="EU493" s="682"/>
      <c r="EV493" s="682"/>
      <c r="EW493" s="682"/>
      <c r="EX493" s="682"/>
      <c r="EY493" s="682"/>
      <c r="EZ493" s="682"/>
      <c r="FA493" s="682"/>
      <c r="FB493" s="682"/>
      <c r="FC493" s="682"/>
      <c r="FD493" s="682"/>
      <c r="FE493" s="682"/>
      <c r="FF493" s="682"/>
      <c r="FG493" s="682"/>
      <c r="FH493" s="682"/>
      <c r="FI493" s="682"/>
      <c r="FJ493" s="682"/>
      <c r="FK493" s="682"/>
      <c r="FL493" s="682"/>
      <c r="FM493" s="682"/>
      <c r="FN493" s="682"/>
      <c r="FO493" s="682"/>
      <c r="FP493" s="682"/>
      <c r="FQ493" s="682"/>
      <c r="FR493" s="682"/>
      <c r="FS493" s="682"/>
      <c r="FT493" s="682"/>
      <c r="FU493" s="682"/>
      <c r="FV493" s="682"/>
      <c r="FW493" s="682"/>
      <c r="FX493" s="682"/>
      <c r="FY493" s="682"/>
      <c r="FZ493" s="682"/>
      <c r="GA493" s="682"/>
      <c r="GB493" s="682"/>
      <c r="GC493" s="682"/>
      <c r="GD493" s="682"/>
      <c r="GE493" s="682"/>
      <c r="GF493" s="682"/>
      <c r="GG493" s="682"/>
      <c r="GH493" s="682"/>
      <c r="GI493" s="682"/>
      <c r="GJ493" s="682"/>
      <c r="GK493" s="682"/>
      <c r="GL493" s="682"/>
      <c r="GM493" s="682"/>
      <c r="GN493" s="682"/>
      <c r="GO493" s="682"/>
      <c r="GP493" s="682"/>
      <c r="GQ493" s="682"/>
      <c r="GR493" s="682"/>
      <c r="GS493" s="682"/>
      <c r="GT493" s="682"/>
      <c r="GU493" s="682"/>
      <c r="GV493" s="682"/>
      <c r="GW493" s="682"/>
      <c r="GX493" s="682"/>
      <c r="GY493" s="682"/>
      <c r="GZ493" s="682"/>
      <c r="HA493" s="682"/>
      <c r="HB493" s="682"/>
      <c r="HC493" s="682"/>
      <c r="HD493" s="682"/>
      <c r="HE493" s="682"/>
      <c r="HF493" s="682"/>
      <c r="HG493" s="682"/>
      <c r="HH493" s="682"/>
      <c r="HI493" s="682"/>
      <c r="HJ493" s="682"/>
      <c r="HK493" s="682"/>
      <c r="HL493" s="682"/>
      <c r="HM493" s="682"/>
      <c r="HN493" s="682"/>
      <c r="HO493" s="682"/>
      <c r="HP493" s="682"/>
      <c r="HQ493" s="682"/>
      <c r="HR493" s="682"/>
      <c r="HS493" s="682"/>
      <c r="HT493" s="682"/>
      <c r="HU493" s="682"/>
      <c r="HV493" s="682"/>
      <c r="HW493" s="682"/>
      <c r="HX493" s="682"/>
      <c r="HY493" s="682"/>
      <c r="HZ493" s="682"/>
      <c r="IA493" s="682"/>
      <c r="IB493" s="682"/>
      <c r="IC493" s="682"/>
      <c r="ID493" s="682"/>
      <c r="IE493" s="682"/>
      <c r="IF493" s="682"/>
      <c r="IG493" s="682"/>
      <c r="IH493" s="682"/>
      <c r="II493" s="682"/>
      <c r="IJ493" s="682"/>
      <c r="IK493" s="682"/>
      <c r="IL493" s="682"/>
      <c r="IM493" s="682"/>
      <c r="IN493" s="682"/>
      <c r="IO493" s="682"/>
      <c r="IP493" s="682"/>
      <c r="IQ493" s="682"/>
      <c r="IR493" s="682"/>
      <c r="IS493" s="682"/>
      <c r="IT493" s="682"/>
      <c r="IU493" s="682"/>
      <c r="IV493" s="682"/>
      <c r="IW493" s="682"/>
    </row>
    <row r="494" spans="1:257" s="582" customFormat="1">
      <c r="A494" s="622">
        <v>1</v>
      </c>
      <c r="B494" s="623" t="s">
        <v>1040</v>
      </c>
      <c r="C494" s="622"/>
      <c r="D494" s="622"/>
      <c r="E494" s="660"/>
      <c r="F494" s="626">
        <f t="shared" ref="F494:J494" si="60">F496+F502</f>
        <v>2903000000</v>
      </c>
      <c r="G494" s="626">
        <f t="shared" si="60"/>
        <v>0</v>
      </c>
      <c r="H494" s="626">
        <f t="shared" si="60"/>
        <v>0</v>
      </c>
      <c r="I494" s="626">
        <f t="shared" si="60"/>
        <v>0</v>
      </c>
      <c r="J494" s="626">
        <f t="shared" si="60"/>
        <v>2941000000</v>
      </c>
      <c r="K494" s="626">
        <f>K495+K512</f>
        <v>11651000000</v>
      </c>
      <c r="L494" s="1302">
        <f>L495+L512</f>
        <v>12796800000</v>
      </c>
      <c r="M494" s="626"/>
      <c r="N494" s="855"/>
      <c r="O494" s="855"/>
      <c r="P494" s="1071"/>
      <c r="Q494" s="1071"/>
      <c r="R494" s="1026"/>
      <c r="S494" s="866"/>
      <c r="T494" s="839"/>
      <c r="U494" s="670"/>
      <c r="V494" s="581"/>
      <c r="W494" s="581"/>
      <c r="X494" s="578"/>
    </row>
    <row r="495" spans="1:257" s="976" customFormat="1">
      <c r="A495" s="791" t="s">
        <v>192</v>
      </c>
      <c r="B495" s="840" t="s">
        <v>1041</v>
      </c>
      <c r="C495" s="791"/>
      <c r="D495" s="791"/>
      <c r="E495" s="792"/>
      <c r="F495" s="793">
        <f t="shared" ref="F495:K495" si="61">F496+F502</f>
        <v>2903000000</v>
      </c>
      <c r="G495" s="793">
        <f t="shared" si="61"/>
        <v>0</v>
      </c>
      <c r="H495" s="793">
        <f t="shared" si="61"/>
        <v>0</v>
      </c>
      <c r="I495" s="793">
        <f t="shared" si="61"/>
        <v>0</v>
      </c>
      <c r="J495" s="793">
        <f t="shared" si="61"/>
        <v>2941000000</v>
      </c>
      <c r="K495" s="793">
        <f t="shared" si="61"/>
        <v>3049000000</v>
      </c>
      <c r="L495" s="1302">
        <f>L496+L502</f>
        <v>3220900000</v>
      </c>
      <c r="M495" s="793"/>
      <c r="N495" s="946"/>
      <c r="O495" s="946"/>
      <c r="P495" s="892"/>
      <c r="Q495" s="892"/>
      <c r="R495" s="1072"/>
      <c r="S495" s="947"/>
      <c r="T495" s="948"/>
      <c r="U495" s="1073"/>
      <c r="V495" s="800"/>
      <c r="W495" s="800"/>
      <c r="X495" s="975"/>
    </row>
    <row r="496" spans="1:257" s="703" customFormat="1" ht="17.25" customHeight="1">
      <c r="A496" s="589" t="s">
        <v>222</v>
      </c>
      <c r="B496" s="804" t="s">
        <v>252</v>
      </c>
      <c r="C496" s="715"/>
      <c r="D496" s="715"/>
      <c r="E496" s="716"/>
      <c r="F496" s="704">
        <f t="shared" ref="F496:J496" si="62">F497+F501</f>
        <v>379000000</v>
      </c>
      <c r="G496" s="704">
        <f t="shared" si="62"/>
        <v>0</v>
      </c>
      <c r="H496" s="704">
        <f t="shared" si="62"/>
        <v>0</v>
      </c>
      <c r="I496" s="704">
        <f t="shared" si="62"/>
        <v>0</v>
      </c>
      <c r="J496" s="704">
        <f t="shared" si="62"/>
        <v>382000000</v>
      </c>
      <c r="K496" s="704">
        <f>K498+K501</f>
        <v>492000000</v>
      </c>
      <c r="L496" s="1310">
        <f>L498+L501+L500</f>
        <v>526900000</v>
      </c>
      <c r="M496" s="609"/>
      <c r="N496" s="829"/>
      <c r="O496" s="829"/>
      <c r="P496" s="1074"/>
      <c r="Q496" s="1074"/>
      <c r="R496" s="900"/>
      <c r="S496" s="900"/>
      <c r="T496" s="822"/>
      <c r="U496" s="721"/>
      <c r="V496" s="701"/>
      <c r="W496" s="701"/>
      <c r="X496" s="702"/>
    </row>
    <row r="497" spans="1:257" s="1019" customFormat="1">
      <c r="A497" s="713" t="s">
        <v>258</v>
      </c>
      <c r="B497" s="813" t="s">
        <v>1042</v>
      </c>
      <c r="C497" s="713">
        <v>3</v>
      </c>
      <c r="D497" s="713"/>
      <c r="E497" s="725"/>
      <c r="F497" s="725">
        <v>298000000</v>
      </c>
      <c r="G497" s="700"/>
      <c r="H497" s="700"/>
      <c r="I497" s="700"/>
      <c r="J497" s="725">
        <v>301000000</v>
      </c>
      <c r="K497" s="725">
        <f>K498+K499</f>
        <v>494000000</v>
      </c>
      <c r="L497" s="1311">
        <f>L498+L499</f>
        <v>650000000</v>
      </c>
      <c r="M497" s="669"/>
      <c r="N497" s="868"/>
      <c r="O497" s="868"/>
      <c r="P497" s="820"/>
      <c r="Q497" s="820"/>
      <c r="R497" s="866"/>
      <c r="S497" s="866"/>
      <c r="T497" s="839"/>
      <c r="U497" s="726"/>
      <c r="V497" s="1075"/>
      <c r="W497" s="1029"/>
      <c r="X497" s="1018">
        <v>450</v>
      </c>
    </row>
    <row r="498" spans="1:257" s="1019" customFormat="1">
      <c r="A498" s="713"/>
      <c r="B498" s="684" t="s">
        <v>918</v>
      </c>
      <c r="C498" s="713"/>
      <c r="D498" s="713"/>
      <c r="E498" s="725"/>
      <c r="F498" s="725"/>
      <c r="G498" s="700"/>
      <c r="H498" s="700"/>
      <c r="I498" s="700"/>
      <c r="J498" s="725"/>
      <c r="K498" s="725">
        <v>411000000</v>
      </c>
      <c r="L498" s="1311">
        <v>414000000</v>
      </c>
      <c r="M498" s="669"/>
      <c r="N498" s="868"/>
      <c r="O498" s="868"/>
      <c r="P498" s="820"/>
      <c r="Q498" s="820"/>
      <c r="R498" s="866"/>
      <c r="S498" s="866"/>
      <c r="T498" s="839"/>
      <c r="U498" s="726"/>
      <c r="V498" s="1075"/>
      <c r="W498" s="1029"/>
      <c r="X498" s="1018"/>
    </row>
    <row r="499" spans="1:257" s="1019" customFormat="1">
      <c r="A499" s="713"/>
      <c r="B499" s="684" t="s">
        <v>1369</v>
      </c>
      <c r="C499" s="713"/>
      <c r="D499" s="713"/>
      <c r="E499" s="725"/>
      <c r="F499" s="725"/>
      <c r="G499" s="700"/>
      <c r="H499" s="700"/>
      <c r="I499" s="700"/>
      <c r="J499" s="725"/>
      <c r="K499" s="725">
        <v>83000000</v>
      </c>
      <c r="L499" s="1311">
        <v>236000000</v>
      </c>
      <c r="M499" s="669"/>
      <c r="N499" s="868"/>
      <c r="O499" s="868"/>
      <c r="P499" s="820"/>
      <c r="Q499" s="820"/>
      <c r="R499" s="866"/>
      <c r="S499" s="866"/>
      <c r="T499" s="839"/>
      <c r="U499" s="726"/>
      <c r="V499" s="1075"/>
      <c r="W499" s="1029"/>
      <c r="X499" s="1018"/>
    </row>
    <row r="500" spans="1:257" s="1019" customFormat="1">
      <c r="A500" s="713" t="s">
        <v>192</v>
      </c>
      <c r="B500" s="684" t="s">
        <v>1370</v>
      </c>
      <c r="C500" s="713"/>
      <c r="D500" s="713"/>
      <c r="E500" s="725"/>
      <c r="F500" s="725"/>
      <c r="G500" s="700"/>
      <c r="H500" s="700"/>
      <c r="I500" s="700"/>
      <c r="J500" s="725"/>
      <c r="K500" s="725"/>
      <c r="L500" s="1311">
        <f>L499-L510</f>
        <v>31900000</v>
      </c>
      <c r="M500" s="669"/>
      <c r="N500" s="868"/>
      <c r="O500" s="868"/>
      <c r="P500" s="820"/>
      <c r="Q500" s="820"/>
      <c r="R500" s="866"/>
      <c r="S500" s="866"/>
      <c r="T500" s="839"/>
      <c r="U500" s="726"/>
      <c r="V500" s="1075"/>
      <c r="W500" s="1029"/>
      <c r="X500" s="1018"/>
    </row>
    <row r="501" spans="1:257" s="1019" customFormat="1">
      <c r="A501" s="713" t="s">
        <v>258</v>
      </c>
      <c r="B501" s="813" t="s">
        <v>256</v>
      </c>
      <c r="C501" s="713"/>
      <c r="D501" s="713"/>
      <c r="E501" s="725">
        <v>27000000</v>
      </c>
      <c r="F501" s="725">
        <f>C497*E501</f>
        <v>81000000</v>
      </c>
      <c r="G501" s="1035"/>
      <c r="H501" s="1035"/>
      <c r="I501" s="1035"/>
      <c r="J501" s="725">
        <v>81000000</v>
      </c>
      <c r="K501" s="725">
        <f>3*27000000</f>
        <v>81000000</v>
      </c>
      <c r="L501" s="1311">
        <f>3*27000000</f>
        <v>81000000</v>
      </c>
      <c r="M501" s="669" t="s">
        <v>1043</v>
      </c>
      <c r="N501" s="868"/>
      <c r="O501" s="868"/>
      <c r="P501" s="876"/>
      <c r="Q501" s="876"/>
      <c r="R501" s="1076"/>
      <c r="S501" s="866"/>
      <c r="T501" s="839"/>
      <c r="U501" s="726"/>
      <c r="V501" s="581"/>
      <c r="W501" s="1029"/>
      <c r="X501" s="1018"/>
    </row>
    <row r="502" spans="1:257" s="1019" customFormat="1">
      <c r="A502" s="589" t="s">
        <v>225</v>
      </c>
      <c r="B502" s="804" t="s">
        <v>257</v>
      </c>
      <c r="C502" s="589"/>
      <c r="D502" s="589"/>
      <c r="E502" s="704"/>
      <c r="F502" s="805">
        <f t="shared" ref="F502:L502" si="63">SUM(F503:F509)</f>
        <v>2524000000</v>
      </c>
      <c r="G502" s="805">
        <f t="shared" si="63"/>
        <v>0</v>
      </c>
      <c r="H502" s="805">
        <f t="shared" si="63"/>
        <v>0</v>
      </c>
      <c r="I502" s="805">
        <f t="shared" si="63"/>
        <v>0</v>
      </c>
      <c r="J502" s="805">
        <f t="shared" si="63"/>
        <v>2559000000</v>
      </c>
      <c r="K502" s="805">
        <f>SUM(K503:K509)</f>
        <v>2557000000</v>
      </c>
      <c r="L502" s="1312">
        <f t="shared" si="63"/>
        <v>2694000000</v>
      </c>
      <c r="M502" s="603"/>
      <c r="N502" s="835"/>
      <c r="O502" s="835"/>
      <c r="P502" s="829"/>
      <c r="Q502" s="829"/>
      <c r="R502" s="910"/>
      <c r="S502" s="866"/>
      <c r="T502" s="839"/>
      <c r="U502" s="580"/>
      <c r="V502" s="1029"/>
      <c r="W502" s="1029"/>
      <c r="X502" s="1018"/>
    </row>
    <row r="503" spans="1:257" s="873" customFormat="1" ht="44.25" customHeight="1">
      <c r="A503" s="683" t="s">
        <v>258</v>
      </c>
      <c r="B503" s="696" t="s">
        <v>1044</v>
      </c>
      <c r="C503" s="713"/>
      <c r="D503" s="713"/>
      <c r="E503" s="725"/>
      <c r="F503" s="669">
        <v>130000000</v>
      </c>
      <c r="G503" s="700"/>
      <c r="H503" s="700"/>
      <c r="I503" s="700"/>
      <c r="J503" s="669">
        <v>100000000</v>
      </c>
      <c r="K503" s="669">
        <v>134000000</v>
      </c>
      <c r="L503" s="1306">
        <v>130000000</v>
      </c>
      <c r="M503" s="669"/>
      <c r="N503" s="837"/>
      <c r="O503" s="837"/>
      <c r="P503" s="820"/>
      <c r="Q503" s="820"/>
      <c r="R503" s="1077"/>
      <c r="S503" s="1037"/>
      <c r="T503" s="1037"/>
      <c r="U503" s="585"/>
      <c r="V503" s="639"/>
      <c r="W503" s="872"/>
      <c r="X503" s="751"/>
    </row>
    <row r="504" spans="1:257" s="582" customFormat="1">
      <c r="A504" s="683" t="s">
        <v>258</v>
      </c>
      <c r="B504" s="711" t="s">
        <v>122</v>
      </c>
      <c r="C504" s="1078"/>
      <c r="D504" s="1078"/>
      <c r="E504" s="1079"/>
      <c r="F504" s="669">
        <v>200000000</v>
      </c>
      <c r="G504" s="700"/>
      <c r="H504" s="700"/>
      <c r="I504" s="700"/>
      <c r="J504" s="669">
        <v>160000000</v>
      </c>
      <c r="K504" s="669">
        <v>130000000</v>
      </c>
      <c r="L504" s="1306">
        <v>120000000</v>
      </c>
      <c r="M504" s="669"/>
      <c r="N504" s="837">
        <f>L498+L499+L515+L516</f>
        <v>3706000000</v>
      </c>
      <c r="O504" s="837"/>
      <c r="P504" s="820"/>
      <c r="Q504" s="820"/>
      <c r="R504" s="1080"/>
      <c r="S504" s="869"/>
      <c r="T504" s="850"/>
      <c r="U504" s="827"/>
      <c r="V504" s="581"/>
      <c r="W504" s="581"/>
      <c r="X504" s="578"/>
    </row>
    <row r="505" spans="1:257" s="682" customFormat="1">
      <c r="A505" s="683" t="s">
        <v>258</v>
      </c>
      <c r="B505" s="711" t="s">
        <v>123</v>
      </c>
      <c r="C505" s="1078"/>
      <c r="D505" s="1078"/>
      <c r="E505" s="1081"/>
      <c r="F505" s="669">
        <v>94000000</v>
      </c>
      <c r="G505" s="696"/>
      <c r="H505" s="696"/>
      <c r="I505" s="696"/>
      <c r="J505" s="669">
        <v>94000000</v>
      </c>
      <c r="K505" s="669">
        <v>94000000</v>
      </c>
      <c r="L505" s="1306">
        <v>94000000</v>
      </c>
      <c r="M505" s="669"/>
      <c r="N505" s="837"/>
      <c r="O505" s="837"/>
      <c r="P505" s="850"/>
      <c r="Q505" s="850"/>
      <c r="R505" s="1026"/>
      <c r="S505" s="1026"/>
      <c r="T505" s="1027"/>
      <c r="U505" s="827"/>
      <c r="V505" s="581"/>
      <c r="W505" s="613"/>
      <c r="X505" s="611"/>
      <c r="Y505" s="614"/>
      <c r="Z505" s="614"/>
      <c r="AA505" s="614"/>
      <c r="AB505" s="614"/>
      <c r="AC505" s="614"/>
      <c r="AD505" s="614"/>
      <c r="AE505" s="614"/>
      <c r="AF505" s="614"/>
      <c r="AG505" s="614"/>
      <c r="AH505" s="614"/>
      <c r="AI505" s="614"/>
      <c r="AJ505" s="614"/>
      <c r="AK505" s="614"/>
      <c r="AL505" s="614"/>
      <c r="AM505" s="614"/>
      <c r="AN505" s="614"/>
      <c r="AO505" s="614"/>
      <c r="AP505" s="614"/>
      <c r="AQ505" s="614"/>
      <c r="AR505" s="614"/>
      <c r="AS505" s="614"/>
      <c r="AT505" s="614"/>
      <c r="AU505" s="614"/>
      <c r="AV505" s="614"/>
      <c r="AW505" s="614"/>
      <c r="AX505" s="614"/>
      <c r="AY505" s="614"/>
      <c r="AZ505" s="614"/>
      <c r="BA505" s="614"/>
      <c r="BB505" s="614"/>
      <c r="BC505" s="614"/>
      <c r="BD505" s="614"/>
      <c r="BE505" s="614"/>
      <c r="BF505" s="614"/>
      <c r="BG505" s="614"/>
      <c r="BH505" s="614"/>
      <c r="BI505" s="614"/>
      <c r="BJ505" s="614"/>
      <c r="BK505" s="614"/>
      <c r="BL505" s="614"/>
      <c r="BM505" s="614"/>
      <c r="BN505" s="614"/>
      <c r="BO505" s="614"/>
      <c r="BP505" s="614"/>
      <c r="BQ505" s="614"/>
      <c r="BR505" s="614"/>
      <c r="BS505" s="614"/>
      <c r="BT505" s="614"/>
      <c r="BU505" s="614"/>
      <c r="BV505" s="614"/>
      <c r="BW505" s="614"/>
      <c r="BX505" s="614"/>
      <c r="BY505" s="614"/>
      <c r="BZ505" s="614"/>
      <c r="CA505" s="614"/>
      <c r="CB505" s="614"/>
      <c r="CC505" s="614"/>
      <c r="CD505" s="614"/>
      <c r="CE505" s="614"/>
      <c r="CF505" s="614"/>
      <c r="CG505" s="614"/>
      <c r="CH505" s="614"/>
      <c r="CI505" s="614"/>
      <c r="CJ505" s="614"/>
      <c r="CK505" s="614"/>
      <c r="CL505" s="614"/>
      <c r="CM505" s="614"/>
      <c r="CN505" s="614"/>
      <c r="CO505" s="614"/>
      <c r="CP505" s="614"/>
      <c r="CQ505" s="614"/>
      <c r="CR505" s="614"/>
      <c r="CS505" s="614"/>
      <c r="CT505" s="614"/>
      <c r="CU505" s="614"/>
      <c r="CV505" s="614"/>
      <c r="CW505" s="614"/>
      <c r="CX505" s="614"/>
      <c r="CY505" s="614"/>
      <c r="CZ505" s="614"/>
      <c r="DA505" s="614"/>
      <c r="DB505" s="614"/>
      <c r="DC505" s="614"/>
      <c r="DD505" s="614"/>
      <c r="DE505" s="614"/>
      <c r="DF505" s="614"/>
      <c r="DG505" s="614"/>
      <c r="DH505" s="614"/>
      <c r="DI505" s="614"/>
      <c r="DJ505" s="614"/>
      <c r="DK505" s="614"/>
      <c r="DL505" s="614"/>
      <c r="DM505" s="614"/>
      <c r="DN505" s="614"/>
      <c r="DO505" s="614"/>
      <c r="DP505" s="614"/>
      <c r="DQ505" s="614"/>
      <c r="DR505" s="614"/>
      <c r="DS505" s="614"/>
      <c r="DT505" s="614"/>
      <c r="DU505" s="614"/>
      <c r="DV505" s="614"/>
      <c r="DW505" s="614"/>
      <c r="DX505" s="614"/>
      <c r="DY505" s="614"/>
      <c r="DZ505" s="614"/>
      <c r="EA505" s="614"/>
      <c r="EB505" s="614"/>
      <c r="EC505" s="614"/>
      <c r="ED505" s="614"/>
      <c r="EE505" s="614"/>
      <c r="EF505" s="614"/>
      <c r="EG505" s="614"/>
      <c r="EH505" s="614"/>
      <c r="EI505" s="614"/>
      <c r="EJ505" s="614"/>
      <c r="EK505" s="614"/>
      <c r="EL505" s="614"/>
      <c r="EM505" s="614"/>
      <c r="EN505" s="614"/>
      <c r="EO505" s="614"/>
      <c r="EP505" s="614"/>
      <c r="EQ505" s="614"/>
      <c r="ER505" s="614"/>
      <c r="ES505" s="614"/>
      <c r="ET505" s="614"/>
      <c r="EU505" s="614"/>
      <c r="EV505" s="614"/>
      <c r="EW505" s="614"/>
      <c r="EX505" s="614"/>
      <c r="EY505" s="614"/>
      <c r="EZ505" s="614"/>
      <c r="FA505" s="614"/>
      <c r="FB505" s="614"/>
      <c r="FC505" s="614"/>
      <c r="FD505" s="614"/>
      <c r="FE505" s="614"/>
      <c r="FF505" s="614"/>
      <c r="FG505" s="614"/>
      <c r="FH505" s="614"/>
      <c r="FI505" s="614"/>
      <c r="FJ505" s="614"/>
      <c r="FK505" s="614"/>
      <c r="FL505" s="614"/>
      <c r="FM505" s="614"/>
      <c r="FN505" s="614"/>
      <c r="FO505" s="614"/>
      <c r="FP505" s="614"/>
      <c r="FQ505" s="614"/>
      <c r="FR505" s="614"/>
      <c r="FS505" s="614"/>
      <c r="FT505" s="614"/>
      <c r="FU505" s="614"/>
      <c r="FV505" s="614"/>
      <c r="FW505" s="614"/>
      <c r="FX505" s="614"/>
      <c r="FY505" s="614"/>
      <c r="FZ505" s="614"/>
      <c r="GA505" s="614"/>
      <c r="GB505" s="614"/>
      <c r="GC505" s="614"/>
      <c r="GD505" s="614"/>
      <c r="GE505" s="614"/>
      <c r="GF505" s="614"/>
      <c r="GG505" s="614"/>
      <c r="GH505" s="614"/>
      <c r="GI505" s="614"/>
      <c r="GJ505" s="614"/>
      <c r="GK505" s="614"/>
      <c r="GL505" s="614"/>
      <c r="GM505" s="614"/>
      <c r="GN505" s="614"/>
      <c r="GO505" s="614"/>
      <c r="GP505" s="614"/>
      <c r="GQ505" s="614"/>
      <c r="GR505" s="614"/>
      <c r="GS505" s="614"/>
      <c r="GT505" s="614"/>
      <c r="GU505" s="614"/>
      <c r="GV505" s="614"/>
      <c r="GW505" s="614"/>
      <c r="GX505" s="614"/>
      <c r="GY505" s="614"/>
      <c r="GZ505" s="614"/>
      <c r="HA505" s="614"/>
      <c r="HB505" s="614"/>
      <c r="HC505" s="614"/>
      <c r="HD505" s="614"/>
      <c r="HE505" s="614"/>
      <c r="HF505" s="614"/>
      <c r="HG505" s="614"/>
      <c r="HH505" s="614"/>
      <c r="HI505" s="614"/>
      <c r="HJ505" s="614"/>
      <c r="HK505" s="614"/>
      <c r="HL505" s="614"/>
      <c r="HM505" s="614"/>
      <c r="HN505" s="614"/>
      <c r="HO505" s="614"/>
      <c r="HP505" s="614"/>
      <c r="HQ505" s="614"/>
      <c r="HR505" s="614"/>
      <c r="HS505" s="614"/>
      <c r="HT505" s="614"/>
      <c r="HU505" s="614"/>
      <c r="HV505" s="614"/>
      <c r="HW505" s="614"/>
      <c r="HX505" s="614"/>
      <c r="HY505" s="614"/>
      <c r="HZ505" s="614"/>
      <c r="IA505" s="614"/>
      <c r="IB505" s="614"/>
      <c r="IC505" s="614"/>
      <c r="ID505" s="614"/>
      <c r="IE505" s="614"/>
      <c r="IF505" s="614"/>
      <c r="IG505" s="614"/>
      <c r="IH505" s="614"/>
      <c r="II505" s="614"/>
      <c r="IJ505" s="614"/>
      <c r="IK505" s="614"/>
      <c r="IL505" s="614"/>
      <c r="IM505" s="614"/>
      <c r="IN505" s="614"/>
      <c r="IO505" s="614"/>
      <c r="IP505" s="614"/>
      <c r="IQ505" s="614"/>
      <c r="IR505" s="614"/>
      <c r="IS505" s="614"/>
      <c r="IT505" s="614"/>
      <c r="IU505" s="614"/>
      <c r="IV505" s="614"/>
      <c r="IW505" s="614"/>
    </row>
    <row r="506" spans="1:257" s="682" customFormat="1" ht="16.5">
      <c r="A506" s="683" t="s">
        <v>258</v>
      </c>
      <c r="B506" s="1082" t="s">
        <v>732</v>
      </c>
      <c r="C506" s="1078"/>
      <c r="D506" s="1078"/>
      <c r="E506" s="1081"/>
      <c r="F506" s="669">
        <v>550000000</v>
      </c>
      <c r="G506" s="651"/>
      <c r="H506" s="651"/>
      <c r="I506" s="651"/>
      <c r="J506" s="669">
        <v>470000000</v>
      </c>
      <c r="K506" s="669">
        <v>510000000</v>
      </c>
      <c r="L506" s="1306">
        <v>510000000</v>
      </c>
      <c r="M506" s="669"/>
      <c r="N506" s="837"/>
      <c r="O506" s="837"/>
      <c r="P506" s="826"/>
      <c r="Q506" s="826"/>
      <c r="R506" s="1026"/>
      <c r="S506" s="1026"/>
      <c r="T506" s="1027"/>
      <c r="U506" s="670"/>
      <c r="V506" s="581"/>
      <c r="W506" s="581"/>
      <c r="X506" s="578"/>
      <c r="Y506" s="582"/>
      <c r="Z506" s="582"/>
      <c r="AA506" s="582"/>
      <c r="AB506" s="582"/>
      <c r="AC506" s="582"/>
      <c r="AD506" s="582"/>
      <c r="AE506" s="582"/>
      <c r="AF506" s="582"/>
      <c r="AG506" s="582"/>
      <c r="AH506" s="582"/>
      <c r="AI506" s="582"/>
      <c r="AJ506" s="582"/>
      <c r="AK506" s="582"/>
      <c r="AL506" s="582"/>
      <c r="AM506" s="582"/>
      <c r="AN506" s="582"/>
      <c r="AO506" s="582"/>
      <c r="AP506" s="582"/>
      <c r="AQ506" s="582"/>
      <c r="AR506" s="582"/>
      <c r="AS506" s="582"/>
      <c r="AT506" s="582"/>
      <c r="AU506" s="582"/>
      <c r="AV506" s="582"/>
      <c r="AW506" s="582"/>
      <c r="AX506" s="582"/>
      <c r="AY506" s="582"/>
      <c r="AZ506" s="582"/>
      <c r="BA506" s="582"/>
      <c r="BB506" s="582"/>
      <c r="BC506" s="582"/>
      <c r="BD506" s="582"/>
      <c r="BE506" s="582"/>
      <c r="BF506" s="582"/>
      <c r="BG506" s="582"/>
      <c r="BH506" s="582"/>
      <c r="BI506" s="582"/>
      <c r="BJ506" s="582"/>
      <c r="BK506" s="582"/>
      <c r="BL506" s="582"/>
      <c r="BM506" s="582"/>
      <c r="BN506" s="582"/>
      <c r="BO506" s="582"/>
      <c r="BP506" s="582"/>
      <c r="BQ506" s="582"/>
      <c r="BR506" s="582"/>
      <c r="BS506" s="582"/>
      <c r="BT506" s="582"/>
      <c r="BU506" s="582"/>
      <c r="BV506" s="582"/>
      <c r="BW506" s="582"/>
      <c r="BX506" s="582"/>
      <c r="BY506" s="582"/>
      <c r="BZ506" s="582"/>
      <c r="CA506" s="582"/>
      <c r="CB506" s="582"/>
      <c r="CC506" s="582"/>
      <c r="CD506" s="582"/>
      <c r="CE506" s="582"/>
      <c r="CF506" s="582"/>
      <c r="CG506" s="582"/>
      <c r="CH506" s="582"/>
      <c r="CI506" s="582"/>
      <c r="CJ506" s="582"/>
      <c r="CK506" s="582"/>
      <c r="CL506" s="582"/>
      <c r="CM506" s="582"/>
      <c r="CN506" s="582"/>
      <c r="CO506" s="582"/>
      <c r="CP506" s="582"/>
      <c r="CQ506" s="582"/>
      <c r="CR506" s="582"/>
      <c r="CS506" s="582"/>
      <c r="CT506" s="582"/>
      <c r="CU506" s="582"/>
      <c r="CV506" s="582"/>
      <c r="CW506" s="582"/>
      <c r="CX506" s="582"/>
      <c r="CY506" s="582"/>
      <c r="CZ506" s="582"/>
      <c r="DA506" s="582"/>
      <c r="DB506" s="582"/>
      <c r="DC506" s="582"/>
      <c r="DD506" s="582"/>
      <c r="DE506" s="582"/>
      <c r="DF506" s="582"/>
      <c r="DG506" s="582"/>
      <c r="DH506" s="582"/>
      <c r="DI506" s="582"/>
      <c r="DJ506" s="582"/>
      <c r="DK506" s="582"/>
      <c r="DL506" s="582"/>
      <c r="DM506" s="582"/>
      <c r="DN506" s="582"/>
      <c r="DO506" s="582"/>
      <c r="DP506" s="582"/>
      <c r="DQ506" s="582"/>
      <c r="DR506" s="582"/>
      <c r="DS506" s="582"/>
      <c r="DT506" s="582"/>
      <c r="DU506" s="582"/>
      <c r="DV506" s="582"/>
      <c r="DW506" s="582"/>
      <c r="DX506" s="582"/>
      <c r="DY506" s="582"/>
      <c r="DZ506" s="582"/>
      <c r="EA506" s="582"/>
      <c r="EB506" s="582"/>
      <c r="EC506" s="582"/>
      <c r="ED506" s="582"/>
      <c r="EE506" s="582"/>
      <c r="EF506" s="582"/>
      <c r="EG506" s="582"/>
      <c r="EH506" s="582"/>
      <c r="EI506" s="582"/>
      <c r="EJ506" s="582"/>
      <c r="EK506" s="582"/>
      <c r="EL506" s="582"/>
      <c r="EM506" s="582"/>
      <c r="EN506" s="582"/>
      <c r="EO506" s="582"/>
      <c r="EP506" s="582"/>
      <c r="EQ506" s="582"/>
      <c r="ER506" s="582"/>
      <c r="ES506" s="582"/>
      <c r="ET506" s="582"/>
      <c r="EU506" s="582"/>
      <c r="EV506" s="582"/>
      <c r="EW506" s="582"/>
      <c r="EX506" s="582"/>
      <c r="EY506" s="582"/>
      <c r="EZ506" s="582"/>
      <c r="FA506" s="582"/>
      <c r="FB506" s="582"/>
      <c r="FC506" s="582"/>
      <c r="FD506" s="582"/>
      <c r="FE506" s="582"/>
      <c r="FF506" s="582"/>
      <c r="FG506" s="582"/>
      <c r="FH506" s="582"/>
      <c r="FI506" s="582"/>
      <c r="FJ506" s="582"/>
      <c r="FK506" s="582"/>
      <c r="FL506" s="582"/>
      <c r="FM506" s="582"/>
      <c r="FN506" s="582"/>
      <c r="FO506" s="582"/>
      <c r="FP506" s="582"/>
      <c r="FQ506" s="582"/>
      <c r="FR506" s="582"/>
      <c r="FS506" s="582"/>
      <c r="FT506" s="582"/>
      <c r="FU506" s="582"/>
      <c r="FV506" s="582"/>
      <c r="FW506" s="582"/>
      <c r="FX506" s="582"/>
      <c r="FY506" s="582"/>
      <c r="FZ506" s="582"/>
      <c r="GA506" s="582"/>
      <c r="GB506" s="582"/>
      <c r="GC506" s="582"/>
      <c r="GD506" s="582"/>
      <c r="GE506" s="582"/>
      <c r="GF506" s="582"/>
      <c r="GG506" s="582"/>
      <c r="GH506" s="582"/>
      <c r="GI506" s="582"/>
      <c r="GJ506" s="582"/>
      <c r="GK506" s="582"/>
      <c r="GL506" s="582"/>
      <c r="GM506" s="582"/>
      <c r="GN506" s="582"/>
      <c r="GO506" s="582"/>
      <c r="GP506" s="582"/>
      <c r="GQ506" s="582"/>
      <c r="GR506" s="582"/>
      <c r="GS506" s="582"/>
      <c r="GT506" s="582"/>
      <c r="GU506" s="582"/>
      <c r="GV506" s="582"/>
      <c r="GW506" s="582"/>
      <c r="GX506" s="582"/>
      <c r="GY506" s="582"/>
      <c r="GZ506" s="582"/>
      <c r="HA506" s="582"/>
      <c r="HB506" s="582"/>
      <c r="HC506" s="582"/>
      <c r="HD506" s="582"/>
      <c r="HE506" s="582"/>
      <c r="HF506" s="582"/>
      <c r="HG506" s="582"/>
      <c r="HH506" s="582"/>
      <c r="HI506" s="582"/>
      <c r="HJ506" s="582"/>
      <c r="HK506" s="582"/>
      <c r="HL506" s="582"/>
      <c r="HM506" s="582"/>
      <c r="HN506" s="582"/>
      <c r="HO506" s="582"/>
      <c r="HP506" s="582"/>
      <c r="HQ506" s="582"/>
      <c r="HR506" s="582"/>
      <c r="HS506" s="582"/>
      <c r="HT506" s="582"/>
      <c r="HU506" s="582"/>
      <c r="HV506" s="582"/>
      <c r="HW506" s="582"/>
      <c r="HX506" s="582"/>
      <c r="HY506" s="582"/>
      <c r="HZ506" s="582"/>
      <c r="IA506" s="582"/>
      <c r="IB506" s="582"/>
      <c r="IC506" s="582"/>
      <c r="ID506" s="582"/>
      <c r="IE506" s="582"/>
      <c r="IF506" s="582"/>
      <c r="IG506" s="582"/>
      <c r="IH506" s="582"/>
      <c r="II506" s="582"/>
      <c r="IJ506" s="582"/>
      <c r="IK506" s="582"/>
      <c r="IL506" s="582"/>
      <c r="IM506" s="582"/>
      <c r="IN506" s="582"/>
      <c r="IO506" s="582"/>
      <c r="IP506" s="582"/>
      <c r="IQ506" s="582"/>
      <c r="IR506" s="582"/>
      <c r="IS506" s="582"/>
      <c r="IT506" s="582"/>
      <c r="IU506" s="582"/>
      <c r="IV506" s="582"/>
      <c r="IW506" s="582"/>
    </row>
    <row r="507" spans="1:257" s="682" customFormat="1">
      <c r="A507" s="683" t="s">
        <v>258</v>
      </c>
      <c r="B507" s="711" t="s">
        <v>125</v>
      </c>
      <c r="C507" s="683"/>
      <c r="D507" s="683"/>
      <c r="E507" s="669"/>
      <c r="F507" s="669">
        <v>550000000</v>
      </c>
      <c r="G507" s="651"/>
      <c r="H507" s="651"/>
      <c r="I507" s="651"/>
      <c r="J507" s="669">
        <v>535000000</v>
      </c>
      <c r="K507" s="669">
        <v>589000000</v>
      </c>
      <c r="L507" s="1306">
        <v>640000000</v>
      </c>
      <c r="M507" s="669"/>
      <c r="N507" s="837"/>
      <c r="O507" s="837"/>
      <c r="P507" s="826"/>
      <c r="Q507" s="826"/>
      <c r="R507" s="1026"/>
      <c r="S507" s="1026"/>
      <c r="T507" s="1027"/>
      <c r="U507" s="670"/>
      <c r="V507" s="613"/>
      <c r="W507" s="581"/>
      <c r="X507" s="578"/>
      <c r="Y507" s="582"/>
      <c r="Z507" s="582"/>
      <c r="AA507" s="582"/>
      <c r="AB507" s="582"/>
      <c r="AC507" s="582"/>
      <c r="AD507" s="582"/>
      <c r="AE507" s="582"/>
      <c r="AF507" s="582"/>
      <c r="AG507" s="582"/>
      <c r="AH507" s="582"/>
      <c r="AI507" s="582"/>
      <c r="AJ507" s="582"/>
      <c r="AK507" s="582"/>
      <c r="AL507" s="582"/>
      <c r="AM507" s="582"/>
      <c r="AN507" s="582"/>
      <c r="AO507" s="582"/>
      <c r="AP507" s="582"/>
      <c r="AQ507" s="582"/>
      <c r="AR507" s="582"/>
      <c r="AS507" s="582"/>
      <c r="AT507" s="582"/>
      <c r="AU507" s="582"/>
      <c r="AV507" s="582"/>
      <c r="AW507" s="582"/>
      <c r="AX507" s="582"/>
      <c r="AY507" s="582"/>
      <c r="AZ507" s="582"/>
      <c r="BA507" s="582"/>
      <c r="BB507" s="582"/>
      <c r="BC507" s="582"/>
      <c r="BD507" s="582"/>
      <c r="BE507" s="582"/>
      <c r="BF507" s="582"/>
      <c r="BG507" s="582"/>
      <c r="BH507" s="582"/>
      <c r="BI507" s="582"/>
      <c r="BJ507" s="582"/>
      <c r="BK507" s="582"/>
      <c r="BL507" s="582"/>
      <c r="BM507" s="582"/>
      <c r="BN507" s="582"/>
      <c r="BO507" s="582"/>
      <c r="BP507" s="582"/>
      <c r="BQ507" s="582"/>
      <c r="BR507" s="582"/>
      <c r="BS507" s="582"/>
      <c r="BT507" s="582"/>
      <c r="BU507" s="582"/>
      <c r="BV507" s="582"/>
      <c r="BW507" s="582"/>
      <c r="BX507" s="582"/>
      <c r="BY507" s="582"/>
      <c r="BZ507" s="582"/>
      <c r="CA507" s="582"/>
      <c r="CB507" s="582"/>
      <c r="CC507" s="582"/>
      <c r="CD507" s="582"/>
      <c r="CE507" s="582"/>
      <c r="CF507" s="582"/>
      <c r="CG507" s="582"/>
      <c r="CH507" s="582"/>
      <c r="CI507" s="582"/>
      <c r="CJ507" s="582"/>
      <c r="CK507" s="582"/>
      <c r="CL507" s="582"/>
      <c r="CM507" s="582"/>
      <c r="CN507" s="582"/>
      <c r="CO507" s="582"/>
      <c r="CP507" s="582"/>
      <c r="CQ507" s="582"/>
      <c r="CR507" s="582"/>
      <c r="CS507" s="582"/>
      <c r="CT507" s="582"/>
      <c r="CU507" s="582"/>
      <c r="CV507" s="582"/>
      <c r="CW507" s="582"/>
      <c r="CX507" s="582"/>
      <c r="CY507" s="582"/>
      <c r="CZ507" s="582"/>
      <c r="DA507" s="582"/>
      <c r="DB507" s="582"/>
      <c r="DC507" s="582"/>
      <c r="DD507" s="582"/>
      <c r="DE507" s="582"/>
      <c r="DF507" s="582"/>
      <c r="DG507" s="582"/>
      <c r="DH507" s="582"/>
      <c r="DI507" s="582"/>
      <c r="DJ507" s="582"/>
      <c r="DK507" s="582"/>
      <c r="DL507" s="582"/>
      <c r="DM507" s="582"/>
      <c r="DN507" s="582"/>
      <c r="DO507" s="582"/>
      <c r="DP507" s="582"/>
      <c r="DQ507" s="582"/>
      <c r="DR507" s="582"/>
      <c r="DS507" s="582"/>
      <c r="DT507" s="582"/>
      <c r="DU507" s="582"/>
      <c r="DV507" s="582"/>
      <c r="DW507" s="582"/>
      <c r="DX507" s="582"/>
      <c r="DY507" s="582"/>
      <c r="DZ507" s="582"/>
      <c r="EA507" s="582"/>
      <c r="EB507" s="582"/>
      <c r="EC507" s="582"/>
      <c r="ED507" s="582"/>
      <c r="EE507" s="582"/>
      <c r="EF507" s="582"/>
      <c r="EG507" s="582"/>
      <c r="EH507" s="582"/>
      <c r="EI507" s="582"/>
      <c r="EJ507" s="582"/>
      <c r="EK507" s="582"/>
      <c r="EL507" s="582"/>
      <c r="EM507" s="582"/>
      <c r="EN507" s="582"/>
      <c r="EO507" s="582"/>
      <c r="EP507" s="582"/>
      <c r="EQ507" s="582"/>
      <c r="ER507" s="582"/>
      <c r="ES507" s="582"/>
      <c r="ET507" s="582"/>
      <c r="EU507" s="582"/>
      <c r="EV507" s="582"/>
      <c r="EW507" s="582"/>
      <c r="EX507" s="582"/>
      <c r="EY507" s="582"/>
      <c r="EZ507" s="582"/>
      <c r="FA507" s="582"/>
      <c r="FB507" s="582"/>
      <c r="FC507" s="582"/>
      <c r="FD507" s="582"/>
      <c r="FE507" s="582"/>
      <c r="FF507" s="582"/>
      <c r="FG507" s="582"/>
      <c r="FH507" s="582"/>
      <c r="FI507" s="582"/>
      <c r="FJ507" s="582"/>
      <c r="FK507" s="582"/>
      <c r="FL507" s="582"/>
      <c r="FM507" s="582"/>
      <c r="FN507" s="582"/>
      <c r="FO507" s="582"/>
      <c r="FP507" s="582"/>
      <c r="FQ507" s="582"/>
      <c r="FR507" s="582"/>
      <c r="FS507" s="582"/>
      <c r="FT507" s="582"/>
      <c r="FU507" s="582"/>
      <c r="FV507" s="582"/>
      <c r="FW507" s="582"/>
      <c r="FX507" s="582"/>
      <c r="FY507" s="582"/>
      <c r="FZ507" s="582"/>
      <c r="GA507" s="582"/>
      <c r="GB507" s="582"/>
      <c r="GC507" s="582"/>
      <c r="GD507" s="582"/>
      <c r="GE507" s="582"/>
      <c r="GF507" s="582"/>
      <c r="GG507" s="582"/>
      <c r="GH507" s="582"/>
      <c r="GI507" s="582"/>
      <c r="GJ507" s="582"/>
      <c r="GK507" s="582"/>
      <c r="GL507" s="582"/>
      <c r="GM507" s="582"/>
      <c r="GN507" s="582"/>
      <c r="GO507" s="582"/>
      <c r="GP507" s="582"/>
      <c r="GQ507" s="582"/>
      <c r="GR507" s="582"/>
      <c r="GS507" s="582"/>
      <c r="GT507" s="582"/>
      <c r="GU507" s="582"/>
      <c r="GV507" s="582"/>
      <c r="GW507" s="582"/>
      <c r="GX507" s="582"/>
      <c r="GY507" s="582"/>
      <c r="GZ507" s="582"/>
      <c r="HA507" s="582"/>
      <c r="HB507" s="582"/>
      <c r="HC507" s="582"/>
      <c r="HD507" s="582"/>
      <c r="HE507" s="582"/>
      <c r="HF507" s="582"/>
      <c r="HG507" s="582"/>
      <c r="HH507" s="582"/>
      <c r="HI507" s="582"/>
      <c r="HJ507" s="582"/>
      <c r="HK507" s="582"/>
      <c r="HL507" s="582"/>
      <c r="HM507" s="582"/>
      <c r="HN507" s="582"/>
      <c r="HO507" s="582"/>
      <c r="HP507" s="582"/>
      <c r="HQ507" s="582"/>
      <c r="HR507" s="582"/>
      <c r="HS507" s="582"/>
      <c r="HT507" s="582"/>
      <c r="HU507" s="582"/>
      <c r="HV507" s="582"/>
      <c r="HW507" s="582"/>
      <c r="HX507" s="582"/>
      <c r="HY507" s="582"/>
      <c r="HZ507" s="582"/>
      <c r="IA507" s="582"/>
      <c r="IB507" s="582"/>
      <c r="IC507" s="582"/>
      <c r="ID507" s="582"/>
      <c r="IE507" s="582"/>
      <c r="IF507" s="582"/>
      <c r="IG507" s="582"/>
      <c r="IH507" s="582"/>
      <c r="II507" s="582"/>
      <c r="IJ507" s="582"/>
      <c r="IK507" s="582"/>
      <c r="IL507" s="582"/>
      <c r="IM507" s="582"/>
      <c r="IN507" s="582"/>
      <c r="IO507" s="582"/>
      <c r="IP507" s="582"/>
      <c r="IQ507" s="582"/>
      <c r="IR507" s="582"/>
      <c r="IS507" s="582"/>
      <c r="IT507" s="582"/>
      <c r="IU507" s="582"/>
      <c r="IV507" s="582"/>
      <c r="IW507" s="582"/>
    </row>
    <row r="508" spans="1:257" s="582" customFormat="1">
      <c r="A508" s="683" t="s">
        <v>258</v>
      </c>
      <c r="B508" s="711" t="s">
        <v>380</v>
      </c>
      <c r="C508" s="1078"/>
      <c r="D508" s="1078"/>
      <c r="E508" s="1081"/>
      <c r="F508" s="669">
        <v>1000000000</v>
      </c>
      <c r="G508" s="651"/>
      <c r="H508" s="651"/>
      <c r="I508" s="651"/>
      <c r="J508" s="669">
        <v>1200000000</v>
      </c>
      <c r="K508" s="669">
        <v>1100000000</v>
      </c>
      <c r="L508" s="1306">
        <v>1200000000</v>
      </c>
      <c r="M508" s="669"/>
      <c r="N508" s="837"/>
      <c r="O508" s="837"/>
      <c r="P508" s="826"/>
      <c r="Q508" s="826"/>
      <c r="R508" s="826"/>
      <c r="S508" s="866"/>
      <c r="T508" s="839"/>
      <c r="U508" s="667"/>
      <c r="V508" s="581"/>
      <c r="W508" s="727"/>
      <c r="X508" s="728"/>
      <c r="Y508" s="682"/>
      <c r="Z508" s="682"/>
      <c r="AA508" s="682"/>
      <c r="AB508" s="682"/>
      <c r="AC508" s="682"/>
      <c r="AD508" s="682"/>
      <c r="AE508" s="682"/>
      <c r="AF508" s="682"/>
      <c r="AG508" s="682"/>
      <c r="AH508" s="682"/>
      <c r="AI508" s="682"/>
      <c r="AJ508" s="682"/>
      <c r="AK508" s="682"/>
      <c r="AL508" s="682"/>
      <c r="AM508" s="682"/>
      <c r="AN508" s="682"/>
      <c r="AO508" s="682"/>
      <c r="AP508" s="682"/>
      <c r="AQ508" s="682"/>
      <c r="AR508" s="682"/>
      <c r="AS508" s="682"/>
      <c r="AT508" s="682"/>
      <c r="AU508" s="682"/>
      <c r="AV508" s="682"/>
      <c r="AW508" s="682"/>
      <c r="AX508" s="682"/>
      <c r="AY508" s="682"/>
      <c r="AZ508" s="682"/>
      <c r="BA508" s="682"/>
      <c r="BB508" s="682"/>
      <c r="BC508" s="682"/>
      <c r="BD508" s="682"/>
      <c r="BE508" s="682"/>
      <c r="BF508" s="682"/>
      <c r="BG508" s="682"/>
      <c r="BH508" s="682"/>
      <c r="BI508" s="682"/>
      <c r="BJ508" s="682"/>
      <c r="BK508" s="682"/>
      <c r="BL508" s="682"/>
      <c r="BM508" s="682"/>
      <c r="BN508" s="682"/>
      <c r="BO508" s="682"/>
      <c r="BP508" s="682"/>
      <c r="BQ508" s="682"/>
      <c r="BR508" s="682"/>
      <c r="BS508" s="682"/>
      <c r="BT508" s="682"/>
      <c r="BU508" s="682"/>
      <c r="BV508" s="682"/>
      <c r="BW508" s="682"/>
      <c r="BX508" s="682"/>
      <c r="BY508" s="682"/>
      <c r="BZ508" s="682"/>
      <c r="CA508" s="682"/>
      <c r="CB508" s="682"/>
      <c r="CC508" s="682"/>
      <c r="CD508" s="682"/>
      <c r="CE508" s="682"/>
      <c r="CF508" s="682"/>
      <c r="CG508" s="682"/>
      <c r="CH508" s="682"/>
      <c r="CI508" s="682"/>
      <c r="CJ508" s="682"/>
      <c r="CK508" s="682"/>
      <c r="CL508" s="682"/>
      <c r="CM508" s="682"/>
      <c r="CN508" s="682"/>
      <c r="CO508" s="682"/>
      <c r="CP508" s="682"/>
      <c r="CQ508" s="682"/>
      <c r="CR508" s="682"/>
      <c r="CS508" s="682"/>
      <c r="CT508" s="682"/>
      <c r="CU508" s="682"/>
      <c r="CV508" s="682"/>
      <c r="CW508" s="682"/>
      <c r="CX508" s="682"/>
      <c r="CY508" s="682"/>
      <c r="CZ508" s="682"/>
      <c r="DA508" s="682"/>
      <c r="DB508" s="682"/>
      <c r="DC508" s="682"/>
      <c r="DD508" s="682"/>
      <c r="DE508" s="682"/>
      <c r="DF508" s="682"/>
      <c r="DG508" s="682"/>
      <c r="DH508" s="682"/>
      <c r="DI508" s="682"/>
      <c r="DJ508" s="682"/>
      <c r="DK508" s="682"/>
      <c r="DL508" s="682"/>
      <c r="DM508" s="682"/>
      <c r="DN508" s="682"/>
      <c r="DO508" s="682"/>
      <c r="DP508" s="682"/>
      <c r="DQ508" s="682"/>
      <c r="DR508" s="682"/>
      <c r="DS508" s="682"/>
      <c r="DT508" s="682"/>
      <c r="DU508" s="682"/>
      <c r="DV508" s="682"/>
      <c r="DW508" s="682"/>
      <c r="DX508" s="682"/>
      <c r="DY508" s="682"/>
      <c r="DZ508" s="682"/>
      <c r="EA508" s="682"/>
      <c r="EB508" s="682"/>
      <c r="EC508" s="682"/>
      <c r="ED508" s="682"/>
      <c r="EE508" s="682"/>
      <c r="EF508" s="682"/>
      <c r="EG508" s="682"/>
      <c r="EH508" s="682"/>
      <c r="EI508" s="682"/>
      <c r="EJ508" s="682"/>
      <c r="EK508" s="682"/>
      <c r="EL508" s="682"/>
      <c r="EM508" s="682"/>
      <c r="EN508" s="682"/>
      <c r="EO508" s="682"/>
      <c r="EP508" s="682"/>
      <c r="EQ508" s="682"/>
      <c r="ER508" s="682"/>
      <c r="ES508" s="682"/>
      <c r="ET508" s="682"/>
      <c r="EU508" s="682"/>
      <c r="EV508" s="682"/>
      <c r="EW508" s="682"/>
      <c r="EX508" s="682"/>
      <c r="EY508" s="682"/>
      <c r="EZ508" s="682"/>
      <c r="FA508" s="682"/>
      <c r="FB508" s="682"/>
      <c r="FC508" s="682"/>
      <c r="FD508" s="682"/>
      <c r="FE508" s="682"/>
      <c r="FF508" s="682"/>
      <c r="FG508" s="682"/>
      <c r="FH508" s="682"/>
      <c r="FI508" s="682"/>
      <c r="FJ508" s="682"/>
      <c r="FK508" s="682"/>
      <c r="FL508" s="682"/>
      <c r="FM508" s="682"/>
      <c r="FN508" s="682"/>
      <c r="FO508" s="682"/>
      <c r="FP508" s="682"/>
      <c r="FQ508" s="682"/>
      <c r="FR508" s="682"/>
      <c r="FS508" s="682"/>
      <c r="FT508" s="682"/>
      <c r="FU508" s="682"/>
      <c r="FV508" s="682"/>
      <c r="FW508" s="682"/>
      <c r="FX508" s="682"/>
      <c r="FY508" s="682"/>
      <c r="FZ508" s="682"/>
      <c r="GA508" s="682"/>
      <c r="GB508" s="682"/>
      <c r="GC508" s="682"/>
      <c r="GD508" s="682"/>
      <c r="GE508" s="682"/>
      <c r="GF508" s="682"/>
      <c r="GG508" s="682"/>
      <c r="GH508" s="682"/>
      <c r="GI508" s="682"/>
      <c r="GJ508" s="682"/>
      <c r="GK508" s="682"/>
      <c r="GL508" s="682"/>
      <c r="GM508" s="682"/>
      <c r="GN508" s="682"/>
      <c r="GO508" s="682"/>
      <c r="GP508" s="682"/>
      <c r="GQ508" s="682"/>
      <c r="GR508" s="682"/>
      <c r="GS508" s="682"/>
      <c r="GT508" s="682"/>
      <c r="GU508" s="682"/>
      <c r="GV508" s="682"/>
      <c r="GW508" s="682"/>
      <c r="GX508" s="682"/>
      <c r="GY508" s="682"/>
      <c r="GZ508" s="682"/>
      <c r="HA508" s="682"/>
      <c r="HB508" s="682"/>
      <c r="HC508" s="682"/>
      <c r="HD508" s="682"/>
      <c r="HE508" s="682"/>
      <c r="HF508" s="682"/>
      <c r="HG508" s="682"/>
      <c r="HH508" s="682"/>
      <c r="HI508" s="682"/>
      <c r="HJ508" s="682"/>
      <c r="HK508" s="682"/>
      <c r="HL508" s="682"/>
      <c r="HM508" s="682"/>
      <c r="HN508" s="682"/>
      <c r="HO508" s="682"/>
      <c r="HP508" s="682"/>
      <c r="HQ508" s="682"/>
      <c r="HR508" s="682"/>
      <c r="HS508" s="682"/>
      <c r="HT508" s="682"/>
      <c r="HU508" s="682"/>
      <c r="HV508" s="682"/>
      <c r="HW508" s="682"/>
      <c r="HX508" s="682"/>
      <c r="HY508" s="682"/>
      <c r="HZ508" s="682"/>
      <c r="IA508" s="682"/>
      <c r="IB508" s="682"/>
      <c r="IC508" s="682"/>
      <c r="ID508" s="682"/>
      <c r="IE508" s="682"/>
      <c r="IF508" s="682"/>
      <c r="IG508" s="682"/>
      <c r="IH508" s="682"/>
      <c r="II508" s="682"/>
      <c r="IJ508" s="682"/>
      <c r="IK508" s="682"/>
      <c r="IL508" s="682"/>
      <c r="IM508" s="682"/>
      <c r="IN508" s="682"/>
      <c r="IO508" s="682"/>
      <c r="IP508" s="682"/>
      <c r="IQ508" s="682"/>
      <c r="IR508" s="682"/>
      <c r="IS508" s="682"/>
      <c r="IT508" s="682"/>
      <c r="IU508" s="682"/>
      <c r="IV508" s="682"/>
      <c r="IW508" s="682"/>
    </row>
    <row r="509" spans="1:257" s="682" customFormat="1" ht="18.75" customHeight="1">
      <c r="A509" s="683" t="s">
        <v>258</v>
      </c>
      <c r="B509" s="711" t="s">
        <v>1045</v>
      </c>
      <c r="C509" s="1078"/>
      <c r="D509" s="1078"/>
      <c r="E509" s="1081"/>
      <c r="F509" s="669"/>
      <c r="G509" s="669"/>
      <c r="H509" s="669"/>
      <c r="I509" s="669"/>
      <c r="J509" s="669"/>
      <c r="K509" s="669"/>
      <c r="L509" s="1306"/>
      <c r="M509" s="669"/>
      <c r="N509" s="837"/>
      <c r="O509" s="837"/>
      <c r="P509" s="837"/>
      <c r="Q509" s="837"/>
      <c r="R509" s="1026"/>
      <c r="S509" s="945"/>
      <c r="T509" s="852"/>
      <c r="U509" s="726"/>
      <c r="V509" s="727"/>
      <c r="W509" s="581"/>
      <c r="X509" s="578"/>
      <c r="Y509" s="582"/>
      <c r="Z509" s="582"/>
      <c r="AA509" s="582"/>
      <c r="AB509" s="582"/>
      <c r="AC509" s="582"/>
      <c r="AD509" s="582"/>
      <c r="AE509" s="582"/>
      <c r="AF509" s="582"/>
      <c r="AG509" s="582"/>
      <c r="AH509" s="582"/>
      <c r="AI509" s="582"/>
      <c r="AJ509" s="582"/>
      <c r="AK509" s="582"/>
      <c r="AL509" s="582"/>
      <c r="AM509" s="582"/>
      <c r="AN509" s="582"/>
      <c r="AO509" s="582"/>
      <c r="AP509" s="582"/>
      <c r="AQ509" s="582"/>
      <c r="AR509" s="582"/>
      <c r="AS509" s="582"/>
      <c r="AT509" s="582"/>
      <c r="AU509" s="582"/>
      <c r="AV509" s="582"/>
      <c r="AW509" s="582"/>
      <c r="AX509" s="582"/>
      <c r="AY509" s="582"/>
      <c r="AZ509" s="582"/>
      <c r="BA509" s="582"/>
      <c r="BB509" s="582"/>
      <c r="BC509" s="582"/>
      <c r="BD509" s="582"/>
      <c r="BE509" s="582"/>
      <c r="BF509" s="582"/>
      <c r="BG509" s="582"/>
      <c r="BH509" s="582"/>
      <c r="BI509" s="582"/>
      <c r="BJ509" s="582"/>
      <c r="BK509" s="582"/>
      <c r="BL509" s="582"/>
      <c r="BM509" s="582"/>
      <c r="BN509" s="582"/>
      <c r="BO509" s="582"/>
      <c r="BP509" s="582"/>
      <c r="BQ509" s="582"/>
      <c r="BR509" s="582"/>
      <c r="BS509" s="582"/>
      <c r="BT509" s="582"/>
      <c r="BU509" s="582"/>
      <c r="BV509" s="582"/>
      <c r="BW509" s="582"/>
      <c r="BX509" s="582"/>
      <c r="BY509" s="582"/>
      <c r="BZ509" s="582"/>
      <c r="CA509" s="582"/>
      <c r="CB509" s="582"/>
      <c r="CC509" s="582"/>
      <c r="CD509" s="582"/>
      <c r="CE509" s="582"/>
      <c r="CF509" s="582"/>
      <c r="CG509" s="582"/>
      <c r="CH509" s="582"/>
      <c r="CI509" s="582"/>
      <c r="CJ509" s="582"/>
      <c r="CK509" s="582"/>
      <c r="CL509" s="582"/>
      <c r="CM509" s="582"/>
      <c r="CN509" s="582"/>
      <c r="CO509" s="582"/>
      <c r="CP509" s="582"/>
      <c r="CQ509" s="582"/>
      <c r="CR509" s="582"/>
      <c r="CS509" s="582"/>
      <c r="CT509" s="582"/>
      <c r="CU509" s="582"/>
      <c r="CV509" s="582"/>
      <c r="CW509" s="582"/>
      <c r="CX509" s="582"/>
      <c r="CY509" s="582"/>
      <c r="CZ509" s="582"/>
      <c r="DA509" s="582"/>
      <c r="DB509" s="582"/>
      <c r="DC509" s="582"/>
      <c r="DD509" s="582"/>
      <c r="DE509" s="582"/>
      <c r="DF509" s="582"/>
      <c r="DG509" s="582"/>
      <c r="DH509" s="582"/>
      <c r="DI509" s="582"/>
      <c r="DJ509" s="582"/>
      <c r="DK509" s="582"/>
      <c r="DL509" s="582"/>
      <c r="DM509" s="582"/>
      <c r="DN509" s="582"/>
      <c r="DO509" s="582"/>
      <c r="DP509" s="582"/>
      <c r="DQ509" s="582"/>
      <c r="DR509" s="582"/>
      <c r="DS509" s="582"/>
      <c r="DT509" s="582"/>
      <c r="DU509" s="582"/>
      <c r="DV509" s="582"/>
      <c r="DW509" s="582"/>
      <c r="DX509" s="582"/>
      <c r="DY509" s="582"/>
      <c r="DZ509" s="582"/>
      <c r="EA509" s="582"/>
      <c r="EB509" s="582"/>
      <c r="EC509" s="582"/>
      <c r="ED509" s="582"/>
      <c r="EE509" s="582"/>
      <c r="EF509" s="582"/>
      <c r="EG509" s="582"/>
      <c r="EH509" s="582"/>
      <c r="EI509" s="582"/>
      <c r="EJ509" s="582"/>
      <c r="EK509" s="582"/>
      <c r="EL509" s="582"/>
      <c r="EM509" s="582"/>
      <c r="EN509" s="582"/>
      <c r="EO509" s="582"/>
      <c r="EP509" s="582"/>
      <c r="EQ509" s="582"/>
      <c r="ER509" s="582"/>
      <c r="ES509" s="582"/>
      <c r="ET509" s="582"/>
      <c r="EU509" s="582"/>
      <c r="EV509" s="582"/>
      <c r="EW509" s="582"/>
      <c r="EX509" s="582"/>
      <c r="EY509" s="582"/>
      <c r="EZ509" s="582"/>
      <c r="FA509" s="582"/>
      <c r="FB509" s="582"/>
      <c r="FC509" s="582"/>
      <c r="FD509" s="582"/>
      <c r="FE509" s="582"/>
      <c r="FF509" s="582"/>
      <c r="FG509" s="582"/>
      <c r="FH509" s="582"/>
      <c r="FI509" s="582"/>
      <c r="FJ509" s="582"/>
      <c r="FK509" s="582"/>
      <c r="FL509" s="582"/>
      <c r="FM509" s="582"/>
      <c r="FN509" s="582"/>
      <c r="FO509" s="582"/>
      <c r="FP509" s="582"/>
      <c r="FQ509" s="582"/>
      <c r="FR509" s="582"/>
      <c r="FS509" s="582"/>
      <c r="FT509" s="582"/>
      <c r="FU509" s="582"/>
      <c r="FV509" s="582"/>
      <c r="FW509" s="582"/>
      <c r="FX509" s="582"/>
      <c r="FY509" s="582"/>
      <c r="FZ509" s="582"/>
      <c r="GA509" s="582"/>
      <c r="GB509" s="582"/>
      <c r="GC509" s="582"/>
      <c r="GD509" s="582"/>
      <c r="GE509" s="582"/>
      <c r="GF509" s="582"/>
      <c r="GG509" s="582"/>
      <c r="GH509" s="582"/>
      <c r="GI509" s="582"/>
      <c r="GJ509" s="582"/>
      <c r="GK509" s="582"/>
      <c r="GL509" s="582"/>
      <c r="GM509" s="582"/>
      <c r="GN509" s="582"/>
      <c r="GO509" s="582"/>
      <c r="GP509" s="582"/>
      <c r="GQ509" s="582"/>
      <c r="GR509" s="582"/>
      <c r="GS509" s="582"/>
      <c r="GT509" s="582"/>
      <c r="GU509" s="582"/>
      <c r="GV509" s="582"/>
      <c r="GW509" s="582"/>
      <c r="GX509" s="582"/>
      <c r="GY509" s="582"/>
      <c r="GZ509" s="582"/>
      <c r="HA509" s="582"/>
      <c r="HB509" s="582"/>
      <c r="HC509" s="582"/>
      <c r="HD509" s="582"/>
      <c r="HE509" s="582"/>
      <c r="HF509" s="582"/>
      <c r="HG509" s="582"/>
      <c r="HH509" s="582"/>
      <c r="HI509" s="582"/>
      <c r="HJ509" s="582"/>
      <c r="HK509" s="582"/>
      <c r="HL509" s="582"/>
      <c r="HM509" s="582"/>
      <c r="HN509" s="582"/>
      <c r="HO509" s="582"/>
      <c r="HP509" s="582"/>
      <c r="HQ509" s="582"/>
      <c r="HR509" s="582"/>
      <c r="HS509" s="582"/>
      <c r="HT509" s="582"/>
      <c r="HU509" s="582"/>
      <c r="HV509" s="582"/>
      <c r="HW509" s="582"/>
      <c r="HX509" s="582"/>
      <c r="HY509" s="582"/>
      <c r="HZ509" s="582"/>
      <c r="IA509" s="582"/>
      <c r="IB509" s="582"/>
      <c r="IC509" s="582"/>
      <c r="ID509" s="582"/>
      <c r="IE509" s="582"/>
      <c r="IF509" s="582"/>
      <c r="IG509" s="582"/>
      <c r="IH509" s="582"/>
      <c r="II509" s="582"/>
      <c r="IJ509" s="582"/>
      <c r="IK509" s="582"/>
      <c r="IL509" s="582"/>
      <c r="IM509" s="582"/>
      <c r="IN509" s="582"/>
      <c r="IO509" s="582"/>
      <c r="IP509" s="582"/>
      <c r="IQ509" s="582"/>
      <c r="IR509" s="582"/>
      <c r="IS509" s="582"/>
      <c r="IT509" s="582"/>
      <c r="IU509" s="582"/>
      <c r="IV509" s="582"/>
      <c r="IW509" s="582"/>
    </row>
    <row r="510" spans="1:257" s="582" customFormat="1" ht="17.25" customHeight="1">
      <c r="A510" s="699" t="s">
        <v>261</v>
      </c>
      <c r="B510" s="808" t="s">
        <v>262</v>
      </c>
      <c r="C510" s="699"/>
      <c r="D510" s="699"/>
      <c r="E510" s="700"/>
      <c r="F510" s="1083">
        <f t="shared" ref="F510:L510" si="64">F511</f>
        <v>260500000</v>
      </c>
      <c r="G510" s="1083">
        <f t="shared" si="64"/>
        <v>0</v>
      </c>
      <c r="H510" s="1083">
        <f t="shared" si="64"/>
        <v>0</v>
      </c>
      <c r="I510" s="1083">
        <f t="shared" si="64"/>
        <v>0</v>
      </c>
      <c r="J510" s="1083">
        <f t="shared" si="64"/>
        <v>210500000</v>
      </c>
      <c r="K510" s="1083">
        <f t="shared" si="64"/>
        <v>204900000</v>
      </c>
      <c r="L510" s="1323">
        <f t="shared" si="64"/>
        <v>204100000</v>
      </c>
      <c r="M510" s="1084"/>
      <c r="N510" s="1085"/>
      <c r="O510" s="1085"/>
      <c r="P510" s="820"/>
      <c r="Q510" s="820"/>
      <c r="R510" s="866"/>
      <c r="S510" s="866"/>
      <c r="T510" s="839"/>
      <c r="U510" s="580"/>
      <c r="V510" s="727"/>
      <c r="W510" s="581"/>
      <c r="X510" s="578"/>
    </row>
    <row r="511" spans="1:257" s="582" customFormat="1">
      <c r="A511" s="713"/>
      <c r="B511" s="668" t="s">
        <v>263</v>
      </c>
      <c r="C511" s="713"/>
      <c r="D511" s="713"/>
      <c r="E511" s="725"/>
      <c r="F511" s="669">
        <f>(F501+F503+F504+F505+F506+F507+F508+F509)*10%</f>
        <v>260500000</v>
      </c>
      <c r="G511" s="700"/>
      <c r="H511" s="700"/>
      <c r="I511" s="700"/>
      <c r="J511" s="669">
        <f>(J501+J503+J504+J505+J506+J508)*10%</f>
        <v>210500000</v>
      </c>
      <c r="K511" s="669">
        <f>(K501+K503+K504+K505+K506+K508)*10%</f>
        <v>204900000</v>
      </c>
      <c r="L511" s="1306">
        <f>(L501+L502-L507-L505)*10%</f>
        <v>204100000</v>
      </c>
      <c r="M511" s="669"/>
      <c r="N511" s="837"/>
      <c r="O511" s="837"/>
      <c r="P511" s="820"/>
      <c r="Q511" s="820"/>
      <c r="R511" s="866"/>
      <c r="S511" s="866"/>
      <c r="T511" s="839"/>
      <c r="U511" s="726"/>
      <c r="V511" s="727"/>
      <c r="W511" s="581"/>
      <c r="X511" s="578"/>
    </row>
    <row r="512" spans="1:257" s="703" customFormat="1">
      <c r="A512" s="589" t="s">
        <v>192</v>
      </c>
      <c r="B512" s="671" t="s">
        <v>1046</v>
      </c>
      <c r="C512" s="589"/>
      <c r="D512" s="589"/>
      <c r="E512" s="704"/>
      <c r="F512" s="609"/>
      <c r="G512" s="704"/>
      <c r="H512" s="704"/>
      <c r="I512" s="704"/>
      <c r="J512" s="609"/>
      <c r="K512" s="609">
        <f>K513+K520</f>
        <v>8602000000</v>
      </c>
      <c r="L512" s="1303">
        <f>L513+L520</f>
        <v>9575900000</v>
      </c>
      <c r="M512" s="609"/>
      <c r="N512" s="830"/>
      <c r="O512" s="830"/>
      <c r="P512" s="829"/>
      <c r="Q512" s="829"/>
      <c r="R512" s="900"/>
      <c r="S512" s="900"/>
      <c r="T512" s="822"/>
      <c r="U512" s="577"/>
      <c r="V512" s="701"/>
      <c r="W512" s="701"/>
      <c r="X512" s="702"/>
    </row>
    <row r="513" spans="1:24" s="582" customFormat="1">
      <c r="A513" s="589" t="s">
        <v>222</v>
      </c>
      <c r="B513" s="804" t="s">
        <v>252</v>
      </c>
      <c r="C513" s="713"/>
      <c r="D513" s="713"/>
      <c r="E513" s="725"/>
      <c r="F513" s="669"/>
      <c r="G513" s="700"/>
      <c r="H513" s="700"/>
      <c r="I513" s="700"/>
      <c r="J513" s="669"/>
      <c r="K513" s="669">
        <f>K515+K518+K519</f>
        <v>3302000000</v>
      </c>
      <c r="L513" s="1306">
        <f>L515+L518+L519+L517</f>
        <v>4132500000</v>
      </c>
      <c r="M513" s="669"/>
      <c r="N513" s="837"/>
      <c r="O513" s="837"/>
      <c r="P513" s="820"/>
      <c r="Q513" s="820"/>
      <c r="R513" s="866"/>
      <c r="S513" s="866"/>
      <c r="T513" s="839"/>
      <c r="U513" s="726"/>
      <c r="V513" s="727"/>
      <c r="W513" s="581"/>
      <c r="X513" s="578"/>
    </row>
    <row r="514" spans="1:24" s="582" customFormat="1">
      <c r="A514" s="713" t="s">
        <v>258</v>
      </c>
      <c r="B514" s="813" t="s">
        <v>1042</v>
      </c>
      <c r="C514" s="713"/>
      <c r="D514" s="713"/>
      <c r="E514" s="725"/>
      <c r="F514" s="669"/>
      <c r="G514" s="700"/>
      <c r="H514" s="700"/>
      <c r="I514" s="700"/>
      <c r="J514" s="669"/>
      <c r="K514" s="669">
        <f>K515+K517+K518+K519</f>
        <v>3302000000</v>
      </c>
      <c r="L514" s="1306">
        <f>L515+L517+L518+L519</f>
        <v>4132500000</v>
      </c>
      <c r="M514" s="669"/>
      <c r="N514" s="837"/>
      <c r="O514" s="837"/>
      <c r="P514" s="820"/>
      <c r="Q514" s="820"/>
      <c r="R514" s="866"/>
      <c r="S514" s="866"/>
      <c r="T514" s="839"/>
      <c r="U514" s="726"/>
      <c r="V514" s="727"/>
      <c r="W514" s="581"/>
      <c r="X514" s="578"/>
    </row>
    <row r="515" spans="1:24" s="582" customFormat="1">
      <c r="A515" s="713"/>
      <c r="B515" s="684" t="s">
        <v>918</v>
      </c>
      <c r="C515" s="713"/>
      <c r="D515" s="713"/>
      <c r="E515" s="725"/>
      <c r="F515" s="669"/>
      <c r="G515" s="700"/>
      <c r="H515" s="700"/>
      <c r="I515" s="700"/>
      <c r="J515" s="669"/>
      <c r="K515" s="669">
        <v>1858000000</v>
      </c>
      <c r="L515" s="1306">
        <v>1949000000</v>
      </c>
      <c r="M515" s="669"/>
      <c r="N515" s="837"/>
      <c r="O515" s="837"/>
      <c r="P515" s="820"/>
      <c r="Q515" s="820"/>
      <c r="R515" s="866"/>
      <c r="S515" s="866"/>
      <c r="T515" s="839"/>
      <c r="U515" s="726"/>
      <c r="V515" s="727"/>
      <c r="W515" s="581"/>
      <c r="X515" s="578"/>
    </row>
    <row r="516" spans="1:24" s="582" customFormat="1">
      <c r="A516" s="713"/>
      <c r="B516" s="684" t="s">
        <v>1369</v>
      </c>
      <c r="C516" s="713"/>
      <c r="D516" s="713"/>
      <c r="E516" s="725"/>
      <c r="F516" s="669"/>
      <c r="G516" s="700"/>
      <c r="H516" s="700"/>
      <c r="I516" s="700"/>
      <c r="J516" s="669"/>
      <c r="K516" s="669">
        <v>387000000</v>
      </c>
      <c r="L516" s="1306">
        <v>1107000000</v>
      </c>
      <c r="M516" s="669"/>
      <c r="N516" s="837"/>
      <c r="O516" s="837"/>
      <c r="P516" s="820"/>
      <c r="Q516" s="820"/>
      <c r="R516" s="866"/>
      <c r="S516" s="866"/>
      <c r="T516" s="839"/>
      <c r="U516" s="726"/>
      <c r="V516" s="727"/>
      <c r="W516" s="581"/>
      <c r="X516" s="578"/>
    </row>
    <row r="517" spans="1:24" s="582" customFormat="1">
      <c r="A517" s="713"/>
      <c r="B517" s="684" t="s">
        <v>1370</v>
      </c>
      <c r="C517" s="713"/>
      <c r="D517" s="713"/>
      <c r="E517" s="725"/>
      <c r="F517" s="669"/>
      <c r="G517" s="700"/>
      <c r="H517" s="700"/>
      <c r="I517" s="700"/>
      <c r="J517" s="669"/>
      <c r="K517" s="669"/>
      <c r="L517" s="1306">
        <f>L516-L542</f>
        <v>524500000</v>
      </c>
      <c r="M517" s="669"/>
      <c r="N517" s="837"/>
      <c r="O517" s="837"/>
      <c r="P517" s="820"/>
      <c r="Q517" s="820"/>
      <c r="R517" s="866"/>
      <c r="S517" s="866"/>
      <c r="T517" s="839"/>
      <c r="U517" s="726"/>
      <c r="V517" s="727"/>
      <c r="W517" s="581"/>
      <c r="X517" s="578"/>
    </row>
    <row r="518" spans="1:24" s="582" customFormat="1">
      <c r="A518" s="713" t="s">
        <v>91</v>
      </c>
      <c r="B518" s="684" t="s">
        <v>1491</v>
      </c>
      <c r="C518" s="713"/>
      <c r="D518" s="713"/>
      <c r="E518" s="725"/>
      <c r="F518" s="669"/>
      <c r="G518" s="700"/>
      <c r="H518" s="700"/>
      <c r="I518" s="700"/>
      <c r="J518" s="669"/>
      <c r="K518" s="669">
        <v>958000000</v>
      </c>
      <c r="L518" s="1306">
        <v>1119000000</v>
      </c>
      <c r="M518" s="669"/>
      <c r="N518" s="837"/>
      <c r="O518" s="837"/>
      <c r="P518" s="820"/>
      <c r="Q518" s="820"/>
      <c r="R518" s="866"/>
      <c r="S518" s="866"/>
      <c r="T518" s="839"/>
      <c r="U518" s="726"/>
      <c r="V518" s="727"/>
      <c r="W518" s="581"/>
      <c r="X518" s="578"/>
    </row>
    <row r="519" spans="1:24" s="582" customFormat="1">
      <c r="A519" s="713" t="s">
        <v>258</v>
      </c>
      <c r="B519" s="813" t="s">
        <v>256</v>
      </c>
      <c r="C519" s="713"/>
      <c r="D519" s="713"/>
      <c r="E519" s="725"/>
      <c r="F519" s="669"/>
      <c r="G519" s="700"/>
      <c r="H519" s="700"/>
      <c r="I519" s="700"/>
      <c r="J519" s="669"/>
      <c r="K519" s="669">
        <f>18*27000000</f>
        <v>486000000</v>
      </c>
      <c r="L519" s="1306">
        <f>20*27000000</f>
        <v>540000000</v>
      </c>
      <c r="M519" s="669" t="s">
        <v>1497</v>
      </c>
      <c r="N519" s="837"/>
      <c r="O519" s="837"/>
      <c r="P519" s="820"/>
      <c r="Q519" s="820"/>
      <c r="R519" s="866"/>
      <c r="S519" s="866"/>
      <c r="T519" s="839"/>
      <c r="U519" s="726"/>
      <c r="V519" s="727"/>
      <c r="W519" s="581"/>
      <c r="X519" s="578"/>
    </row>
    <row r="520" spans="1:24" s="582" customFormat="1">
      <c r="A520" s="589" t="s">
        <v>225</v>
      </c>
      <c r="B520" s="804" t="s">
        <v>257</v>
      </c>
      <c r="C520" s="713"/>
      <c r="D520" s="713"/>
      <c r="E520" s="725"/>
      <c r="F520" s="669"/>
      <c r="G520" s="700"/>
      <c r="H520" s="700"/>
      <c r="I520" s="700"/>
      <c r="J520" s="669"/>
      <c r="K520" s="618">
        <f>SUM(K522:K540)</f>
        <v>5300000000</v>
      </c>
      <c r="L520" s="1307">
        <f>SUM(L521:L540)</f>
        <v>5443400000</v>
      </c>
      <c r="M520" s="669"/>
      <c r="N520" s="837">
        <f>L520-'VP HĐND&amp;UBND V'!C34</f>
        <v>0</v>
      </c>
      <c r="O520" s="837"/>
      <c r="P520" s="820"/>
      <c r="Q520" s="820"/>
      <c r="R520" s="866"/>
      <c r="S520" s="866"/>
      <c r="T520" s="839"/>
      <c r="U520" s="726"/>
      <c r="V520" s="727"/>
      <c r="W520" s="581"/>
      <c r="X520" s="578"/>
    </row>
    <row r="521" spans="1:24" s="582" customFormat="1">
      <c r="A521" s="683" t="s">
        <v>258</v>
      </c>
      <c r="B521" s="696" t="s">
        <v>1047</v>
      </c>
      <c r="C521" s="713"/>
      <c r="D521" s="713"/>
      <c r="E521" s="725"/>
      <c r="F521" s="669"/>
      <c r="G521" s="700"/>
      <c r="H521" s="700"/>
      <c r="I521" s="700"/>
      <c r="J521" s="669"/>
      <c r="K521" s="669">
        <v>150000000</v>
      </c>
      <c r="L521" s="1306">
        <v>150000000</v>
      </c>
      <c r="M521" s="669"/>
      <c r="N521" s="837"/>
      <c r="O521" s="837"/>
      <c r="P521" s="820"/>
      <c r="Q521" s="820"/>
      <c r="R521" s="866"/>
      <c r="S521" s="866"/>
      <c r="T521" s="839"/>
      <c r="U521" s="726"/>
      <c r="V521" s="727"/>
      <c r="W521" s="581"/>
      <c r="X521" s="578"/>
    </row>
    <row r="522" spans="1:24" s="582" customFormat="1">
      <c r="A522" s="683" t="s">
        <v>258</v>
      </c>
      <c r="B522" s="711" t="s">
        <v>1048</v>
      </c>
      <c r="C522" s="713"/>
      <c r="D522" s="713"/>
      <c r="E522" s="725"/>
      <c r="F522" s="669"/>
      <c r="G522" s="700"/>
      <c r="H522" s="700"/>
      <c r="I522" s="700"/>
      <c r="J522" s="669"/>
      <c r="K522" s="669">
        <v>310000000</v>
      </c>
      <c r="L522" s="1306">
        <v>410000000</v>
      </c>
      <c r="M522" s="669"/>
      <c r="N522" s="837"/>
      <c r="O522" s="837"/>
      <c r="P522" s="820"/>
      <c r="Q522" s="820"/>
      <c r="R522" s="866"/>
      <c r="S522" s="866"/>
      <c r="T522" s="839"/>
      <c r="U522" s="726"/>
      <c r="V522" s="727"/>
      <c r="W522" s="581"/>
      <c r="X522" s="578"/>
    </row>
    <row r="523" spans="1:24" s="582" customFormat="1">
      <c r="A523" s="683" t="s">
        <v>258</v>
      </c>
      <c r="B523" s="711" t="s">
        <v>1049</v>
      </c>
      <c r="C523" s="713"/>
      <c r="D523" s="713"/>
      <c r="E523" s="725"/>
      <c r="F523" s="669"/>
      <c r="G523" s="700"/>
      <c r="H523" s="700"/>
      <c r="I523" s="700"/>
      <c r="J523" s="669"/>
      <c r="K523" s="669"/>
      <c r="L523" s="1306"/>
      <c r="M523" s="669"/>
      <c r="N523" s="837"/>
      <c r="O523" s="837"/>
      <c r="P523" s="820"/>
      <c r="Q523" s="820"/>
      <c r="R523" s="866"/>
      <c r="S523" s="866"/>
      <c r="T523" s="839"/>
      <c r="U523" s="726"/>
      <c r="V523" s="727"/>
      <c r="W523" s="581"/>
      <c r="X523" s="578"/>
    </row>
    <row r="524" spans="1:24" s="582" customFormat="1" ht="16.5">
      <c r="A524" s="683" t="s">
        <v>258</v>
      </c>
      <c r="B524" s="1082" t="s">
        <v>1050</v>
      </c>
      <c r="C524" s="713"/>
      <c r="D524" s="713"/>
      <c r="E524" s="725"/>
      <c r="F524" s="669"/>
      <c r="G524" s="700"/>
      <c r="H524" s="700"/>
      <c r="I524" s="700"/>
      <c r="J524" s="669"/>
      <c r="K524" s="669">
        <v>50000000</v>
      </c>
      <c r="L524" s="1306">
        <v>20000000</v>
      </c>
      <c r="M524" s="669"/>
      <c r="N524" s="837"/>
      <c r="O524" s="837"/>
      <c r="P524" s="820"/>
      <c r="Q524" s="820"/>
      <c r="R524" s="866"/>
      <c r="S524" s="866"/>
      <c r="T524" s="839"/>
      <c r="U524" s="726"/>
      <c r="V524" s="727"/>
      <c r="W524" s="581"/>
      <c r="X524" s="578"/>
    </row>
    <row r="525" spans="1:24" s="582" customFormat="1">
      <c r="A525" s="683" t="s">
        <v>258</v>
      </c>
      <c r="B525" s="711" t="s">
        <v>1051</v>
      </c>
      <c r="C525" s="713"/>
      <c r="D525" s="713"/>
      <c r="E525" s="725"/>
      <c r="F525" s="669"/>
      <c r="G525" s="700"/>
      <c r="H525" s="700"/>
      <c r="I525" s="700"/>
      <c r="J525" s="669"/>
      <c r="K525" s="669">
        <v>200000000</v>
      </c>
      <c r="L525" s="1306">
        <v>100000000</v>
      </c>
      <c r="M525" s="669"/>
      <c r="N525" s="837"/>
      <c r="O525" s="837"/>
      <c r="P525" s="820"/>
      <c r="Q525" s="820"/>
      <c r="R525" s="866"/>
      <c r="S525" s="866"/>
      <c r="T525" s="839"/>
      <c r="U525" s="726"/>
      <c r="V525" s="727"/>
      <c r="W525" s="581"/>
      <c r="X525" s="578"/>
    </row>
    <row r="526" spans="1:24" s="582" customFormat="1">
      <c r="A526" s="683" t="s">
        <v>258</v>
      </c>
      <c r="B526" s="711" t="s">
        <v>1492</v>
      </c>
      <c r="C526" s="713"/>
      <c r="D526" s="713"/>
      <c r="E526" s="725"/>
      <c r="F526" s="669"/>
      <c r="G526" s="700"/>
      <c r="H526" s="700"/>
      <c r="I526" s="700"/>
      <c r="J526" s="669"/>
      <c r="K526" s="669">
        <v>150000000</v>
      </c>
      <c r="L526" s="1306">
        <v>85000000</v>
      </c>
      <c r="M526" s="669"/>
      <c r="N526" s="837"/>
      <c r="O526" s="837"/>
      <c r="P526" s="820"/>
      <c r="Q526" s="820"/>
      <c r="R526" s="866"/>
      <c r="S526" s="866"/>
      <c r="T526" s="839"/>
      <c r="U526" s="726"/>
      <c r="V526" s="727"/>
      <c r="W526" s="581"/>
      <c r="X526" s="578"/>
    </row>
    <row r="527" spans="1:24" s="582" customFormat="1">
      <c r="A527" s="683" t="s">
        <v>258</v>
      </c>
      <c r="B527" s="673" t="s">
        <v>1052</v>
      </c>
      <c r="C527" s="713"/>
      <c r="D527" s="713"/>
      <c r="E527" s="725"/>
      <c r="F527" s="669"/>
      <c r="G527" s="700"/>
      <c r="H527" s="700"/>
      <c r="I527" s="700"/>
      <c r="J527" s="669"/>
      <c r="K527" s="669">
        <v>300000000</v>
      </c>
      <c r="L527" s="1306">
        <v>170000000</v>
      </c>
      <c r="M527" s="669"/>
      <c r="N527" s="837"/>
      <c r="O527" s="837"/>
      <c r="P527" s="820"/>
      <c r="Q527" s="820"/>
      <c r="R527" s="866"/>
      <c r="S527" s="866"/>
      <c r="T527" s="839"/>
      <c r="U527" s="726"/>
      <c r="V527" s="727"/>
      <c r="W527" s="581"/>
      <c r="X527" s="578"/>
    </row>
    <row r="528" spans="1:24" s="582" customFormat="1">
      <c r="A528" s="683" t="s">
        <v>258</v>
      </c>
      <c r="B528" s="673" t="s">
        <v>1053</v>
      </c>
      <c r="C528" s="713"/>
      <c r="D528" s="713"/>
      <c r="E528" s="725"/>
      <c r="F528" s="669"/>
      <c r="G528" s="700"/>
      <c r="H528" s="700"/>
      <c r="I528" s="700"/>
      <c r="J528" s="669"/>
      <c r="K528" s="669">
        <v>30000000</v>
      </c>
      <c r="L528" s="1306">
        <v>30000000</v>
      </c>
      <c r="M528" s="669"/>
      <c r="N528" s="837"/>
      <c r="O528" s="837"/>
      <c r="P528" s="820"/>
      <c r="Q528" s="820"/>
      <c r="R528" s="866"/>
      <c r="S528" s="866"/>
      <c r="T528" s="839"/>
      <c r="U528" s="726"/>
      <c r="V528" s="727"/>
      <c r="W528" s="581"/>
      <c r="X528" s="578"/>
    </row>
    <row r="529" spans="1:257" s="582" customFormat="1">
      <c r="A529" s="683" t="s">
        <v>258</v>
      </c>
      <c r="B529" s="673" t="s">
        <v>1054</v>
      </c>
      <c r="C529" s="713"/>
      <c r="D529" s="713"/>
      <c r="E529" s="725"/>
      <c r="F529" s="669"/>
      <c r="G529" s="700"/>
      <c r="H529" s="700"/>
      <c r="I529" s="700"/>
      <c r="J529" s="669"/>
      <c r="K529" s="669">
        <v>400000000</v>
      </c>
      <c r="L529" s="1306">
        <v>400000000</v>
      </c>
      <c r="M529" s="669"/>
      <c r="N529" s="837"/>
      <c r="O529" s="837"/>
      <c r="P529" s="820"/>
      <c r="Q529" s="820"/>
      <c r="R529" s="866"/>
      <c r="S529" s="866"/>
      <c r="T529" s="839"/>
      <c r="U529" s="726"/>
      <c r="V529" s="727"/>
      <c r="W529" s="581"/>
      <c r="X529" s="578"/>
    </row>
    <row r="530" spans="1:257" s="582" customFormat="1" ht="47.25">
      <c r="A530" s="683" t="s">
        <v>258</v>
      </c>
      <c r="B530" s="673" t="s">
        <v>1055</v>
      </c>
      <c r="C530" s="713"/>
      <c r="D530" s="713"/>
      <c r="E530" s="725"/>
      <c r="F530" s="669"/>
      <c r="G530" s="700"/>
      <c r="H530" s="700"/>
      <c r="I530" s="700"/>
      <c r="J530" s="669"/>
      <c r="K530" s="669">
        <v>120000000</v>
      </c>
      <c r="L530" s="1306">
        <v>120000000</v>
      </c>
      <c r="M530" s="669" t="s">
        <v>1056</v>
      </c>
      <c r="N530" s="837"/>
      <c r="O530" s="837"/>
      <c r="P530" s="820"/>
      <c r="Q530" s="820"/>
      <c r="R530" s="866"/>
      <c r="S530" s="866"/>
      <c r="T530" s="839"/>
      <c r="U530" s="726"/>
      <c r="V530" s="727"/>
      <c r="W530" s="581"/>
      <c r="X530" s="578"/>
    </row>
    <row r="531" spans="1:257" s="582" customFormat="1" ht="31.5">
      <c r="A531" s="683" t="s">
        <v>91</v>
      </c>
      <c r="B531" s="673" t="s">
        <v>1057</v>
      </c>
      <c r="C531" s="713"/>
      <c r="D531" s="713"/>
      <c r="E531" s="725"/>
      <c r="F531" s="669"/>
      <c r="G531" s="700"/>
      <c r="H531" s="700"/>
      <c r="I531" s="700"/>
      <c r="J531" s="669"/>
      <c r="K531" s="669">
        <v>320000000</v>
      </c>
      <c r="L531" s="1306">
        <v>320000000</v>
      </c>
      <c r="M531" s="669"/>
      <c r="N531" s="837"/>
      <c r="O531" s="837"/>
      <c r="P531" s="820"/>
      <c r="Q531" s="820"/>
      <c r="R531" s="866"/>
      <c r="S531" s="866"/>
      <c r="T531" s="839"/>
      <c r="U531" s="726"/>
      <c r="V531" s="727"/>
      <c r="W531" s="581"/>
      <c r="X531" s="578"/>
    </row>
    <row r="532" spans="1:257" s="582" customFormat="1" ht="31.5">
      <c r="A532" s="683" t="s">
        <v>258</v>
      </c>
      <c r="B532" s="673" t="s">
        <v>1494</v>
      </c>
      <c r="C532" s="713"/>
      <c r="D532" s="713"/>
      <c r="E532" s="725"/>
      <c r="F532" s="669"/>
      <c r="G532" s="700"/>
      <c r="H532" s="700"/>
      <c r="I532" s="700"/>
      <c r="J532" s="669"/>
      <c r="K532" s="669">
        <f>450000000+80000000</f>
        <v>530000000</v>
      </c>
      <c r="L532" s="1306">
        <v>0</v>
      </c>
      <c r="M532" s="669" t="s">
        <v>1493</v>
      </c>
      <c r="N532" s="837"/>
      <c r="O532" s="837"/>
      <c r="P532" s="820"/>
      <c r="Q532" s="820"/>
      <c r="R532" s="866"/>
      <c r="S532" s="866"/>
      <c r="T532" s="839"/>
      <c r="U532" s="726"/>
      <c r="V532" s="727"/>
      <c r="W532" s="581"/>
      <c r="X532" s="578"/>
    </row>
    <row r="533" spans="1:257" s="582" customFormat="1" ht="31.5">
      <c r="A533" s="683" t="s">
        <v>258</v>
      </c>
      <c r="B533" s="673" t="s">
        <v>1059</v>
      </c>
      <c r="C533" s="713"/>
      <c r="D533" s="713"/>
      <c r="E533" s="725"/>
      <c r="F533" s="669"/>
      <c r="G533" s="700"/>
      <c r="H533" s="700"/>
      <c r="I533" s="700"/>
      <c r="J533" s="669"/>
      <c r="K533" s="669">
        <v>490000000</v>
      </c>
      <c r="L533" s="1306">
        <v>0</v>
      </c>
      <c r="M533" s="669"/>
      <c r="N533" s="837"/>
      <c r="O533" s="837"/>
      <c r="P533" s="820"/>
      <c r="Q533" s="820"/>
      <c r="R533" s="866"/>
      <c r="S533" s="866"/>
      <c r="T533" s="839"/>
      <c r="U533" s="726"/>
      <c r="V533" s="727"/>
      <c r="W533" s="581"/>
      <c r="X533" s="578"/>
    </row>
    <row r="534" spans="1:257" s="582" customFormat="1">
      <c r="A534" s="683"/>
      <c r="B534" s="673" t="s">
        <v>1495</v>
      </c>
      <c r="C534" s="713"/>
      <c r="D534" s="713"/>
      <c r="E534" s="725"/>
      <c r="F534" s="669"/>
      <c r="G534" s="700"/>
      <c r="H534" s="700"/>
      <c r="I534" s="700"/>
      <c r="J534" s="669"/>
      <c r="K534" s="669"/>
      <c r="L534" s="1306">
        <v>0</v>
      </c>
      <c r="M534" s="669"/>
      <c r="N534" s="837"/>
      <c r="O534" s="837"/>
      <c r="P534" s="820"/>
      <c r="Q534" s="820"/>
      <c r="R534" s="866"/>
      <c r="S534" s="866"/>
      <c r="T534" s="839"/>
      <c r="U534" s="726"/>
      <c r="V534" s="727"/>
      <c r="W534" s="581"/>
      <c r="X534" s="578"/>
    </row>
    <row r="535" spans="1:257" s="582" customFormat="1">
      <c r="A535" s="683"/>
      <c r="B535" s="673" t="s">
        <v>1496</v>
      </c>
      <c r="C535" s="713"/>
      <c r="D535" s="713"/>
      <c r="E535" s="725"/>
      <c r="F535" s="669"/>
      <c r="G535" s="700"/>
      <c r="H535" s="700"/>
      <c r="I535" s="700"/>
      <c r="J535" s="669"/>
      <c r="K535" s="669"/>
      <c r="L535" s="1306">
        <v>100000000</v>
      </c>
      <c r="M535" s="669"/>
      <c r="N535" s="837"/>
      <c r="O535" s="837"/>
      <c r="P535" s="820"/>
      <c r="Q535" s="820"/>
      <c r="R535" s="866"/>
      <c r="S535" s="866"/>
      <c r="T535" s="839"/>
      <c r="U535" s="726"/>
      <c r="V535" s="727"/>
      <c r="W535" s="581"/>
      <c r="X535" s="578"/>
    </row>
    <row r="536" spans="1:257" s="582" customFormat="1">
      <c r="A536" s="683"/>
      <c r="B536" s="673" t="s">
        <v>1498</v>
      </c>
      <c r="C536" s="713"/>
      <c r="D536" s="713"/>
      <c r="E536" s="725"/>
      <c r="F536" s="669"/>
      <c r="G536" s="700"/>
      <c r="H536" s="700"/>
      <c r="I536" s="700"/>
      <c r="J536" s="669"/>
      <c r="K536" s="669"/>
      <c r="L536" s="1306">
        <v>14000000</v>
      </c>
      <c r="M536" s="669"/>
      <c r="N536" s="837"/>
      <c r="O536" s="837"/>
      <c r="P536" s="820"/>
      <c r="Q536" s="820"/>
      <c r="R536" s="866"/>
      <c r="S536" s="866"/>
      <c r="T536" s="839"/>
      <c r="U536" s="726"/>
      <c r="V536" s="727"/>
      <c r="W536" s="581"/>
      <c r="X536" s="578"/>
    </row>
    <row r="537" spans="1:257" s="582" customFormat="1">
      <c r="A537" s="683"/>
      <c r="B537" s="673" t="s">
        <v>1447</v>
      </c>
      <c r="C537" s="713"/>
      <c r="D537" s="713"/>
      <c r="E537" s="725"/>
      <c r="F537" s="669"/>
      <c r="G537" s="700"/>
      <c r="H537" s="700"/>
      <c r="I537" s="700"/>
      <c r="J537" s="669"/>
      <c r="K537" s="669"/>
      <c r="L537" s="1306">
        <v>24400000</v>
      </c>
      <c r="M537" s="669"/>
      <c r="N537" s="837"/>
      <c r="O537" s="837"/>
      <c r="P537" s="820"/>
      <c r="Q537" s="820"/>
      <c r="R537" s="866"/>
      <c r="S537" s="866"/>
      <c r="T537" s="839"/>
      <c r="U537" s="726"/>
      <c r="V537" s="727"/>
      <c r="W537" s="581"/>
      <c r="X537" s="578"/>
    </row>
    <row r="538" spans="1:257" s="582" customFormat="1">
      <c r="A538" s="683" t="s">
        <v>258</v>
      </c>
      <c r="B538" s="673" t="s">
        <v>1060</v>
      </c>
      <c r="C538" s="713"/>
      <c r="D538" s="713"/>
      <c r="E538" s="725"/>
      <c r="F538" s="669"/>
      <c r="G538" s="700"/>
      <c r="H538" s="700"/>
      <c r="I538" s="700"/>
      <c r="J538" s="669"/>
      <c r="K538" s="669">
        <v>1700000000</v>
      </c>
      <c r="L538" s="1306">
        <v>1800000000</v>
      </c>
      <c r="M538" s="669"/>
      <c r="N538" s="837"/>
      <c r="O538" s="837"/>
      <c r="P538" s="820"/>
      <c r="Q538" s="820"/>
      <c r="R538" s="866"/>
      <c r="S538" s="866"/>
      <c r="T538" s="839"/>
      <c r="U538" s="726"/>
      <c r="V538" s="727"/>
      <c r="W538" s="581"/>
      <c r="X538" s="578"/>
    </row>
    <row r="539" spans="1:257" s="582" customFormat="1">
      <c r="A539" s="683" t="s">
        <v>258</v>
      </c>
      <c r="B539" s="673" t="s">
        <v>1061</v>
      </c>
      <c r="C539" s="713"/>
      <c r="D539" s="713"/>
      <c r="E539" s="725"/>
      <c r="F539" s="669"/>
      <c r="G539" s="700"/>
      <c r="H539" s="700"/>
      <c r="I539" s="700"/>
      <c r="J539" s="669"/>
      <c r="K539" s="669">
        <v>200000000</v>
      </c>
      <c r="L539" s="1306">
        <v>500000000</v>
      </c>
      <c r="M539" s="669"/>
      <c r="N539" s="837"/>
      <c r="O539" s="837"/>
      <c r="P539" s="820"/>
      <c r="Q539" s="820"/>
      <c r="R539" s="866"/>
      <c r="S539" s="866"/>
      <c r="T539" s="839"/>
      <c r="U539" s="726"/>
      <c r="V539" s="727"/>
      <c r="W539" s="581"/>
      <c r="X539" s="578"/>
    </row>
    <row r="540" spans="1:257" s="582" customFormat="1" ht="31.5">
      <c r="A540" s="683" t="s">
        <v>258</v>
      </c>
      <c r="B540" s="673" t="s">
        <v>1062</v>
      </c>
      <c r="C540" s="713"/>
      <c r="D540" s="713"/>
      <c r="E540" s="725"/>
      <c r="F540" s="669"/>
      <c r="G540" s="700"/>
      <c r="H540" s="700"/>
      <c r="I540" s="700"/>
      <c r="J540" s="669"/>
      <c r="K540" s="669">
        <v>500000000</v>
      </c>
      <c r="L540" s="1306">
        <v>1200000000</v>
      </c>
      <c r="M540" s="669" t="s">
        <v>1063</v>
      </c>
      <c r="N540" s="837"/>
      <c r="O540" s="837"/>
      <c r="P540" s="820"/>
      <c r="Q540" s="820"/>
      <c r="R540" s="866"/>
      <c r="S540" s="866"/>
      <c r="T540" s="839"/>
      <c r="U540" s="726"/>
      <c r="V540" s="727"/>
      <c r="W540" s="581"/>
      <c r="X540" s="578"/>
    </row>
    <row r="541" spans="1:257" s="582" customFormat="1">
      <c r="A541" s="589" t="s">
        <v>261</v>
      </c>
      <c r="B541" s="804" t="s">
        <v>262</v>
      </c>
      <c r="C541" s="713"/>
      <c r="D541" s="713"/>
      <c r="E541" s="725"/>
      <c r="F541" s="669"/>
      <c r="G541" s="700"/>
      <c r="H541" s="700"/>
      <c r="I541" s="700"/>
      <c r="J541" s="669"/>
      <c r="K541" s="618">
        <f>K542</f>
        <v>578600000</v>
      </c>
      <c r="L541" s="1307">
        <f>L542</f>
        <v>582500000</v>
      </c>
      <c r="M541" s="669"/>
      <c r="N541" s="837">
        <f>L541-'VP HĐND&amp;UBND V'!D34</f>
        <v>54000000</v>
      </c>
      <c r="O541" s="837"/>
      <c r="P541" s="820"/>
      <c r="Q541" s="820"/>
      <c r="R541" s="866"/>
      <c r="S541" s="866"/>
      <c r="T541" s="839"/>
      <c r="U541" s="726"/>
      <c r="V541" s="727"/>
      <c r="W541" s="581"/>
      <c r="X541" s="578"/>
    </row>
    <row r="542" spans="1:257" s="582" customFormat="1">
      <c r="A542" s="713"/>
      <c r="B542" s="668" t="s">
        <v>263</v>
      </c>
      <c r="C542" s="713"/>
      <c r="D542" s="713"/>
      <c r="E542" s="725"/>
      <c r="F542" s="669"/>
      <c r="G542" s="700"/>
      <c r="H542" s="700"/>
      <c r="I542" s="700"/>
      <c r="J542" s="669"/>
      <c r="K542" s="669">
        <f>(K519+K520)*10%</f>
        <v>578600000</v>
      </c>
      <c r="L542" s="1306">
        <f>(L519+L520-L530-L536-L537)*10%</f>
        <v>582500000</v>
      </c>
      <c r="M542" s="669"/>
      <c r="N542" s="837"/>
      <c r="O542" s="837"/>
      <c r="P542" s="820"/>
      <c r="Q542" s="820"/>
      <c r="R542" s="866"/>
      <c r="S542" s="866"/>
      <c r="T542" s="839"/>
      <c r="U542" s="726"/>
      <c r="V542" s="727"/>
      <c r="W542" s="581"/>
      <c r="X542" s="578"/>
    </row>
    <row r="543" spans="1:257" s="1087" customFormat="1">
      <c r="A543" s="791">
        <v>2</v>
      </c>
      <c r="B543" s="840" t="s">
        <v>200</v>
      </c>
      <c r="C543" s="791"/>
      <c r="D543" s="791"/>
      <c r="E543" s="792"/>
      <c r="F543" s="793">
        <f t="shared" ref="F543:J543" si="65">F544+F551</f>
        <v>573000000</v>
      </c>
      <c r="G543" s="793">
        <f t="shared" si="65"/>
        <v>7000000</v>
      </c>
      <c r="H543" s="793">
        <f t="shared" si="65"/>
        <v>0</v>
      </c>
      <c r="I543" s="793">
        <f t="shared" si="65"/>
        <v>0</v>
      </c>
      <c r="J543" s="793">
        <f t="shared" si="65"/>
        <v>1182364000</v>
      </c>
      <c r="K543" s="793">
        <f>K544+K551</f>
        <v>967000000</v>
      </c>
      <c r="L543" s="1302">
        <f>L544+L551</f>
        <v>1097300000</v>
      </c>
      <c r="M543" s="793" t="s">
        <v>1064</v>
      </c>
      <c r="N543" s="946">
        <f>L543-'Y tế V'!F15</f>
        <v>0</v>
      </c>
      <c r="O543" s="946"/>
      <c r="P543" s="1086"/>
      <c r="Q543" s="1086"/>
      <c r="R543" s="843"/>
      <c r="S543" s="947"/>
      <c r="T543" s="948"/>
      <c r="U543" s="799"/>
      <c r="V543" s="800"/>
      <c r="W543" s="800"/>
      <c r="X543" s="975"/>
      <c r="Y543" s="976"/>
      <c r="Z543" s="976"/>
      <c r="AA543" s="976"/>
      <c r="AB543" s="976"/>
      <c r="AC543" s="976"/>
      <c r="AD543" s="976"/>
      <c r="AE543" s="976"/>
      <c r="AF543" s="976"/>
      <c r="AG543" s="976"/>
      <c r="AH543" s="976"/>
      <c r="AI543" s="976"/>
      <c r="AJ543" s="976"/>
      <c r="AK543" s="976"/>
      <c r="AL543" s="976"/>
      <c r="AM543" s="976"/>
      <c r="AN543" s="976"/>
      <c r="AO543" s="976"/>
      <c r="AP543" s="976"/>
      <c r="AQ543" s="976"/>
      <c r="AR543" s="976"/>
      <c r="AS543" s="976"/>
      <c r="AT543" s="976"/>
      <c r="AU543" s="976"/>
      <c r="AV543" s="976"/>
      <c r="AW543" s="976"/>
      <c r="AX543" s="976"/>
      <c r="AY543" s="976"/>
      <c r="AZ543" s="976"/>
      <c r="BA543" s="976"/>
      <c r="BB543" s="976"/>
      <c r="BC543" s="976"/>
      <c r="BD543" s="976"/>
      <c r="BE543" s="976"/>
      <c r="BF543" s="976"/>
      <c r="BG543" s="976"/>
      <c r="BH543" s="976"/>
      <c r="BI543" s="976"/>
      <c r="BJ543" s="976"/>
      <c r="BK543" s="976"/>
      <c r="BL543" s="976"/>
      <c r="BM543" s="976"/>
      <c r="BN543" s="976"/>
      <c r="BO543" s="976"/>
      <c r="BP543" s="976"/>
      <c r="BQ543" s="976"/>
      <c r="BR543" s="976"/>
      <c r="BS543" s="976"/>
      <c r="BT543" s="976"/>
      <c r="BU543" s="976"/>
      <c r="BV543" s="976"/>
      <c r="BW543" s="976"/>
      <c r="BX543" s="976"/>
      <c r="BY543" s="976"/>
      <c r="BZ543" s="976"/>
      <c r="CA543" s="976"/>
      <c r="CB543" s="976"/>
      <c r="CC543" s="976"/>
      <c r="CD543" s="976"/>
      <c r="CE543" s="976"/>
      <c r="CF543" s="976"/>
      <c r="CG543" s="976"/>
      <c r="CH543" s="976"/>
      <c r="CI543" s="976"/>
      <c r="CJ543" s="976"/>
      <c r="CK543" s="976"/>
      <c r="CL543" s="976"/>
      <c r="CM543" s="976"/>
      <c r="CN543" s="976"/>
      <c r="CO543" s="976"/>
      <c r="CP543" s="976"/>
      <c r="CQ543" s="976"/>
      <c r="CR543" s="976"/>
      <c r="CS543" s="976"/>
      <c r="CT543" s="976"/>
      <c r="CU543" s="976"/>
      <c r="CV543" s="976"/>
      <c r="CW543" s="976"/>
      <c r="CX543" s="976"/>
      <c r="CY543" s="976"/>
      <c r="CZ543" s="976"/>
      <c r="DA543" s="976"/>
      <c r="DB543" s="976"/>
      <c r="DC543" s="976"/>
      <c r="DD543" s="976"/>
      <c r="DE543" s="976"/>
      <c r="DF543" s="976"/>
      <c r="DG543" s="976"/>
      <c r="DH543" s="976"/>
      <c r="DI543" s="976"/>
      <c r="DJ543" s="976"/>
      <c r="DK543" s="976"/>
      <c r="DL543" s="976"/>
      <c r="DM543" s="976"/>
      <c r="DN543" s="976"/>
      <c r="DO543" s="976"/>
      <c r="DP543" s="976"/>
      <c r="DQ543" s="976"/>
      <c r="DR543" s="976"/>
      <c r="DS543" s="976"/>
      <c r="DT543" s="976"/>
      <c r="DU543" s="976"/>
      <c r="DV543" s="976"/>
      <c r="DW543" s="976"/>
      <c r="DX543" s="976"/>
      <c r="DY543" s="976"/>
      <c r="DZ543" s="976"/>
      <c r="EA543" s="976"/>
      <c r="EB543" s="976"/>
      <c r="EC543" s="976"/>
      <c r="ED543" s="976"/>
      <c r="EE543" s="976"/>
      <c r="EF543" s="976"/>
      <c r="EG543" s="976"/>
      <c r="EH543" s="976"/>
      <c r="EI543" s="976"/>
      <c r="EJ543" s="976"/>
      <c r="EK543" s="976"/>
      <c r="EL543" s="976"/>
      <c r="EM543" s="976"/>
      <c r="EN543" s="976"/>
      <c r="EO543" s="976"/>
      <c r="EP543" s="976"/>
      <c r="EQ543" s="976"/>
      <c r="ER543" s="976"/>
      <c r="ES543" s="976"/>
      <c r="ET543" s="976"/>
      <c r="EU543" s="976"/>
      <c r="EV543" s="976"/>
      <c r="EW543" s="976"/>
      <c r="EX543" s="976"/>
      <c r="EY543" s="976"/>
      <c r="EZ543" s="976"/>
      <c r="FA543" s="976"/>
      <c r="FB543" s="976"/>
      <c r="FC543" s="976"/>
      <c r="FD543" s="976"/>
      <c r="FE543" s="976"/>
      <c r="FF543" s="976"/>
      <c r="FG543" s="976"/>
      <c r="FH543" s="976"/>
      <c r="FI543" s="976"/>
      <c r="FJ543" s="976"/>
      <c r="FK543" s="976"/>
      <c r="FL543" s="976"/>
      <c r="FM543" s="976"/>
      <c r="FN543" s="976"/>
      <c r="FO543" s="976"/>
      <c r="FP543" s="976"/>
      <c r="FQ543" s="976"/>
      <c r="FR543" s="976"/>
      <c r="FS543" s="976"/>
      <c r="FT543" s="976"/>
      <c r="FU543" s="976"/>
      <c r="FV543" s="976"/>
      <c r="FW543" s="976"/>
      <c r="FX543" s="976"/>
      <c r="FY543" s="976"/>
      <c r="FZ543" s="976"/>
      <c r="GA543" s="976"/>
      <c r="GB543" s="976"/>
      <c r="GC543" s="976"/>
      <c r="GD543" s="976"/>
      <c r="GE543" s="976"/>
      <c r="GF543" s="976"/>
      <c r="GG543" s="976"/>
      <c r="GH543" s="976"/>
      <c r="GI543" s="976"/>
      <c r="GJ543" s="976"/>
      <c r="GK543" s="976"/>
      <c r="GL543" s="976"/>
      <c r="GM543" s="976"/>
      <c r="GN543" s="976"/>
      <c r="GO543" s="976"/>
      <c r="GP543" s="976"/>
      <c r="GQ543" s="976"/>
      <c r="GR543" s="976"/>
      <c r="GS543" s="976"/>
      <c r="GT543" s="976"/>
      <c r="GU543" s="976"/>
      <c r="GV543" s="976"/>
      <c r="GW543" s="976"/>
      <c r="GX543" s="976"/>
      <c r="GY543" s="976"/>
      <c r="GZ543" s="976"/>
      <c r="HA543" s="976"/>
      <c r="HB543" s="976"/>
      <c r="HC543" s="976"/>
      <c r="HD543" s="976"/>
      <c r="HE543" s="976"/>
      <c r="HF543" s="976"/>
      <c r="HG543" s="976"/>
      <c r="HH543" s="976"/>
      <c r="HI543" s="976"/>
      <c r="HJ543" s="976"/>
      <c r="HK543" s="976"/>
      <c r="HL543" s="976"/>
      <c r="HM543" s="976"/>
      <c r="HN543" s="976"/>
      <c r="HO543" s="976"/>
      <c r="HP543" s="976"/>
      <c r="HQ543" s="976"/>
      <c r="HR543" s="976"/>
      <c r="HS543" s="976"/>
      <c r="HT543" s="976"/>
      <c r="HU543" s="976"/>
      <c r="HV543" s="976"/>
      <c r="HW543" s="976"/>
      <c r="HX543" s="976"/>
      <c r="HY543" s="976"/>
      <c r="HZ543" s="976"/>
      <c r="IA543" s="976"/>
      <c r="IB543" s="976"/>
      <c r="IC543" s="976"/>
      <c r="ID543" s="976"/>
      <c r="IE543" s="976"/>
      <c r="IF543" s="976"/>
      <c r="IG543" s="976"/>
      <c r="IH543" s="976"/>
      <c r="II543" s="976"/>
      <c r="IJ543" s="976"/>
      <c r="IK543" s="976"/>
      <c r="IL543" s="976"/>
      <c r="IM543" s="976"/>
      <c r="IN543" s="976"/>
      <c r="IO543" s="976"/>
      <c r="IP543" s="976"/>
      <c r="IQ543" s="976"/>
      <c r="IR543" s="976"/>
      <c r="IS543" s="976"/>
      <c r="IT543" s="976"/>
      <c r="IU543" s="976"/>
      <c r="IV543" s="976"/>
      <c r="IW543" s="976"/>
    </row>
    <row r="544" spans="1:257" s="681" customFormat="1">
      <c r="A544" s="699" t="s">
        <v>222</v>
      </c>
      <c r="B544" s="808" t="s">
        <v>1371</v>
      </c>
      <c r="C544" s="715"/>
      <c r="D544" s="715"/>
      <c r="E544" s="716"/>
      <c r="F544" s="810">
        <f t="shared" ref="F544:J544" si="66">F545+F549</f>
        <v>254000000</v>
      </c>
      <c r="G544" s="810">
        <f t="shared" si="66"/>
        <v>0</v>
      </c>
      <c r="H544" s="810">
        <f t="shared" si="66"/>
        <v>0</v>
      </c>
      <c r="I544" s="810">
        <f t="shared" si="66"/>
        <v>0</v>
      </c>
      <c r="J544" s="810">
        <f t="shared" si="66"/>
        <v>289864000</v>
      </c>
      <c r="K544" s="810">
        <f>K546+K548+K549</f>
        <v>299000000</v>
      </c>
      <c r="L544" s="1313">
        <f>L546+L548+L549</f>
        <v>362600000</v>
      </c>
      <c r="M544" s="707"/>
      <c r="N544" s="934"/>
      <c r="O544" s="934"/>
      <c r="P544" s="829"/>
      <c r="Q544" s="829"/>
      <c r="R544" s="866"/>
      <c r="S544" s="871"/>
      <c r="T544" s="824"/>
      <c r="U544" s="726"/>
      <c r="V544" s="581"/>
      <c r="W544" s="581"/>
      <c r="X544" s="578"/>
      <c r="Y544" s="582"/>
      <c r="Z544" s="582"/>
      <c r="AA544" s="582"/>
      <c r="AB544" s="582"/>
      <c r="AC544" s="582"/>
      <c r="AD544" s="582"/>
      <c r="AE544" s="582"/>
      <c r="AF544" s="582"/>
      <c r="AG544" s="582"/>
      <c r="AH544" s="582"/>
      <c r="AI544" s="582"/>
      <c r="AJ544" s="582"/>
      <c r="AK544" s="582"/>
      <c r="AL544" s="582"/>
      <c r="AM544" s="582"/>
      <c r="AN544" s="582"/>
      <c r="AO544" s="582"/>
      <c r="AP544" s="582"/>
      <c r="AQ544" s="582"/>
      <c r="AR544" s="582"/>
      <c r="AS544" s="582"/>
      <c r="AT544" s="582"/>
      <c r="AU544" s="582"/>
      <c r="AV544" s="582"/>
      <c r="AW544" s="582"/>
      <c r="AX544" s="582"/>
      <c r="AY544" s="582"/>
      <c r="AZ544" s="582"/>
      <c r="BA544" s="582"/>
      <c r="BB544" s="582"/>
      <c r="BC544" s="582"/>
      <c r="BD544" s="582"/>
      <c r="BE544" s="582"/>
      <c r="BF544" s="582"/>
      <c r="BG544" s="582"/>
      <c r="BH544" s="582"/>
      <c r="BI544" s="582"/>
      <c r="BJ544" s="582"/>
      <c r="BK544" s="582"/>
      <c r="BL544" s="582"/>
      <c r="BM544" s="582"/>
      <c r="BN544" s="582"/>
      <c r="BO544" s="582"/>
      <c r="BP544" s="582"/>
      <c r="BQ544" s="582"/>
      <c r="BR544" s="582"/>
      <c r="BS544" s="582"/>
      <c r="BT544" s="582"/>
      <c r="BU544" s="582"/>
      <c r="BV544" s="582"/>
      <c r="BW544" s="582"/>
      <c r="BX544" s="582"/>
      <c r="BY544" s="582"/>
      <c r="BZ544" s="582"/>
      <c r="CA544" s="582"/>
      <c r="CB544" s="582"/>
      <c r="CC544" s="582"/>
      <c r="CD544" s="582"/>
      <c r="CE544" s="582"/>
      <c r="CF544" s="582"/>
      <c r="CG544" s="582"/>
      <c r="CH544" s="582"/>
      <c r="CI544" s="582"/>
      <c r="CJ544" s="582"/>
      <c r="CK544" s="582"/>
      <c r="CL544" s="582"/>
      <c r="CM544" s="582"/>
      <c r="CN544" s="582"/>
      <c r="CO544" s="582"/>
      <c r="CP544" s="582"/>
      <c r="CQ544" s="582"/>
      <c r="CR544" s="582"/>
      <c r="CS544" s="582"/>
      <c r="CT544" s="582"/>
      <c r="CU544" s="582"/>
      <c r="CV544" s="582"/>
      <c r="CW544" s="582"/>
      <c r="CX544" s="582"/>
      <c r="CY544" s="582"/>
      <c r="CZ544" s="582"/>
      <c r="DA544" s="582"/>
      <c r="DB544" s="582"/>
      <c r="DC544" s="582"/>
      <c r="DD544" s="582"/>
      <c r="DE544" s="582"/>
      <c r="DF544" s="582"/>
      <c r="DG544" s="582"/>
      <c r="DH544" s="582"/>
      <c r="DI544" s="582"/>
      <c r="DJ544" s="582"/>
      <c r="DK544" s="582"/>
      <c r="DL544" s="582"/>
      <c r="DM544" s="582"/>
      <c r="DN544" s="582"/>
      <c r="DO544" s="582"/>
      <c r="DP544" s="582"/>
      <c r="DQ544" s="582"/>
      <c r="DR544" s="582"/>
      <c r="DS544" s="582"/>
      <c r="DT544" s="582"/>
      <c r="DU544" s="582"/>
      <c r="DV544" s="582"/>
      <c r="DW544" s="582"/>
      <c r="DX544" s="582"/>
      <c r="DY544" s="582"/>
      <c r="DZ544" s="582"/>
      <c r="EA544" s="582"/>
      <c r="EB544" s="582"/>
      <c r="EC544" s="582"/>
      <c r="ED544" s="582"/>
      <c r="EE544" s="582"/>
      <c r="EF544" s="582"/>
      <c r="EG544" s="582"/>
      <c r="EH544" s="582"/>
      <c r="EI544" s="582"/>
      <c r="EJ544" s="582"/>
      <c r="EK544" s="582"/>
      <c r="EL544" s="582"/>
      <c r="EM544" s="582"/>
      <c r="EN544" s="582"/>
      <c r="EO544" s="582"/>
      <c r="EP544" s="582"/>
      <c r="EQ544" s="582"/>
      <c r="ER544" s="582"/>
      <c r="ES544" s="582"/>
      <c r="ET544" s="582"/>
      <c r="EU544" s="582"/>
      <c r="EV544" s="582"/>
      <c r="EW544" s="582"/>
      <c r="EX544" s="582"/>
      <c r="EY544" s="582"/>
      <c r="EZ544" s="582"/>
      <c r="FA544" s="582"/>
      <c r="FB544" s="582"/>
      <c r="FC544" s="582"/>
      <c r="FD544" s="582"/>
      <c r="FE544" s="582"/>
      <c r="FF544" s="582"/>
      <c r="FG544" s="582"/>
      <c r="FH544" s="582"/>
      <c r="FI544" s="582"/>
      <c r="FJ544" s="582"/>
      <c r="FK544" s="582"/>
      <c r="FL544" s="582"/>
      <c r="FM544" s="582"/>
      <c r="FN544" s="582"/>
      <c r="FO544" s="582"/>
      <c r="FP544" s="582"/>
      <c r="FQ544" s="582"/>
      <c r="FR544" s="582"/>
      <c r="FS544" s="582"/>
      <c r="FT544" s="582"/>
      <c r="FU544" s="582"/>
      <c r="FV544" s="582"/>
      <c r="FW544" s="582"/>
      <c r="FX544" s="582"/>
      <c r="FY544" s="582"/>
      <c r="FZ544" s="582"/>
      <c r="GA544" s="582"/>
      <c r="GB544" s="582"/>
      <c r="GC544" s="582"/>
      <c r="GD544" s="582"/>
      <c r="GE544" s="582"/>
      <c r="GF544" s="582"/>
      <c r="GG544" s="582"/>
      <c r="GH544" s="582"/>
      <c r="GI544" s="582"/>
      <c r="GJ544" s="582"/>
      <c r="GK544" s="582"/>
      <c r="GL544" s="582"/>
      <c r="GM544" s="582"/>
      <c r="GN544" s="582"/>
      <c r="GO544" s="582"/>
      <c r="GP544" s="582"/>
      <c r="GQ544" s="582"/>
      <c r="GR544" s="582"/>
      <c r="GS544" s="582"/>
      <c r="GT544" s="582"/>
      <c r="GU544" s="582"/>
      <c r="GV544" s="582"/>
      <c r="GW544" s="582"/>
      <c r="GX544" s="582"/>
      <c r="GY544" s="582"/>
      <c r="GZ544" s="582"/>
      <c r="HA544" s="582"/>
      <c r="HB544" s="582"/>
      <c r="HC544" s="582"/>
      <c r="HD544" s="582"/>
      <c r="HE544" s="582"/>
      <c r="HF544" s="582"/>
      <c r="HG544" s="582"/>
      <c r="HH544" s="582"/>
      <c r="HI544" s="582"/>
      <c r="HJ544" s="582"/>
      <c r="HK544" s="582"/>
      <c r="HL544" s="582"/>
      <c r="HM544" s="582"/>
      <c r="HN544" s="582"/>
      <c r="HO544" s="582"/>
      <c r="HP544" s="582"/>
      <c r="HQ544" s="582"/>
      <c r="HR544" s="582"/>
      <c r="HS544" s="582"/>
      <c r="HT544" s="582"/>
      <c r="HU544" s="582"/>
      <c r="HV544" s="582"/>
      <c r="HW544" s="582"/>
      <c r="HX544" s="582"/>
      <c r="HY544" s="582"/>
      <c r="HZ544" s="582"/>
      <c r="IA544" s="582"/>
      <c r="IB544" s="582"/>
      <c r="IC544" s="582"/>
      <c r="ID544" s="582"/>
      <c r="IE544" s="582"/>
      <c r="IF544" s="582"/>
      <c r="IG544" s="582"/>
      <c r="IH544" s="582"/>
      <c r="II544" s="582"/>
      <c r="IJ544" s="582"/>
      <c r="IK544" s="582"/>
      <c r="IL544" s="582"/>
      <c r="IM544" s="582"/>
      <c r="IN544" s="582"/>
      <c r="IO544" s="582"/>
      <c r="IP544" s="582"/>
      <c r="IQ544" s="582"/>
      <c r="IR544" s="582"/>
      <c r="IS544" s="582"/>
      <c r="IT544" s="582"/>
      <c r="IU544" s="582"/>
      <c r="IV544" s="582"/>
      <c r="IW544" s="582"/>
    </row>
    <row r="545" spans="1:257" s="621" customFormat="1">
      <c r="A545" s="812" t="s">
        <v>248</v>
      </c>
      <c r="B545" s="813" t="s">
        <v>1042</v>
      </c>
      <c r="C545" s="713">
        <v>2</v>
      </c>
      <c r="D545" s="713"/>
      <c r="E545" s="725">
        <v>27000000</v>
      </c>
      <c r="F545" s="725">
        <v>200000000</v>
      </c>
      <c r="G545" s="725"/>
      <c r="H545" s="725"/>
      <c r="I545" s="725"/>
      <c r="J545" s="725">
        <v>235864000</v>
      </c>
      <c r="K545" s="725">
        <f>K546+K547</f>
        <v>295000000</v>
      </c>
      <c r="L545" s="1311">
        <f>L546+L547</f>
        <v>384000000</v>
      </c>
      <c r="M545" s="669"/>
      <c r="N545" s="868"/>
      <c r="O545" s="868"/>
      <c r="P545" s="868"/>
      <c r="Q545" s="868"/>
      <c r="R545" s="871"/>
      <c r="S545" s="866"/>
      <c r="T545" s="839"/>
      <c r="U545" s="726"/>
      <c r="V545" s="581"/>
      <c r="W545" s="722"/>
      <c r="X545" s="723"/>
      <c r="Y545" s="724"/>
      <c r="Z545" s="724"/>
      <c r="AA545" s="724"/>
      <c r="AB545" s="724"/>
      <c r="AC545" s="724"/>
      <c r="AD545" s="724"/>
      <c r="AE545" s="724"/>
      <c r="AF545" s="724"/>
      <c r="AG545" s="724"/>
      <c r="AH545" s="724"/>
      <c r="AI545" s="724"/>
      <c r="AJ545" s="724"/>
      <c r="AK545" s="724"/>
      <c r="AL545" s="724"/>
      <c r="AM545" s="724"/>
      <c r="AN545" s="724"/>
      <c r="AO545" s="724"/>
      <c r="AP545" s="724"/>
      <c r="AQ545" s="724"/>
      <c r="AR545" s="724"/>
      <c r="AS545" s="724"/>
      <c r="AT545" s="724"/>
      <c r="AU545" s="724"/>
      <c r="AV545" s="724"/>
      <c r="AW545" s="724"/>
      <c r="AX545" s="724"/>
      <c r="AY545" s="724"/>
      <c r="AZ545" s="724"/>
      <c r="BA545" s="724"/>
      <c r="BB545" s="724"/>
      <c r="BC545" s="724"/>
      <c r="BD545" s="724"/>
      <c r="BE545" s="724"/>
      <c r="BF545" s="724"/>
      <c r="BG545" s="724"/>
      <c r="BH545" s="724"/>
      <c r="BI545" s="724"/>
      <c r="BJ545" s="724"/>
      <c r="BK545" s="724"/>
      <c r="BL545" s="724"/>
      <c r="BM545" s="724"/>
      <c r="BN545" s="724"/>
      <c r="BO545" s="724"/>
      <c r="BP545" s="724"/>
      <c r="BQ545" s="724"/>
      <c r="BR545" s="724"/>
      <c r="BS545" s="724"/>
      <c r="BT545" s="724"/>
      <c r="BU545" s="724"/>
      <c r="BV545" s="724"/>
      <c r="BW545" s="724"/>
      <c r="BX545" s="724"/>
      <c r="BY545" s="724"/>
      <c r="BZ545" s="724"/>
      <c r="CA545" s="724"/>
      <c r="CB545" s="724"/>
      <c r="CC545" s="724"/>
      <c r="CD545" s="724"/>
      <c r="CE545" s="724"/>
      <c r="CF545" s="724"/>
      <c r="CG545" s="724"/>
      <c r="CH545" s="724"/>
      <c r="CI545" s="724"/>
      <c r="CJ545" s="724"/>
      <c r="CK545" s="724"/>
      <c r="CL545" s="724"/>
      <c r="CM545" s="724"/>
      <c r="CN545" s="724"/>
      <c r="CO545" s="724"/>
      <c r="CP545" s="724"/>
      <c r="CQ545" s="724"/>
      <c r="CR545" s="724"/>
      <c r="CS545" s="724"/>
      <c r="CT545" s="724"/>
      <c r="CU545" s="724"/>
      <c r="CV545" s="724"/>
      <c r="CW545" s="724"/>
      <c r="CX545" s="724"/>
      <c r="CY545" s="724"/>
      <c r="CZ545" s="724"/>
      <c r="DA545" s="724"/>
      <c r="DB545" s="724"/>
      <c r="DC545" s="724"/>
      <c r="DD545" s="724"/>
      <c r="DE545" s="724"/>
      <c r="DF545" s="724"/>
      <c r="DG545" s="724"/>
      <c r="DH545" s="724"/>
      <c r="DI545" s="724"/>
      <c r="DJ545" s="724"/>
      <c r="DK545" s="724"/>
      <c r="DL545" s="724"/>
      <c r="DM545" s="724"/>
      <c r="DN545" s="724"/>
      <c r="DO545" s="724"/>
      <c r="DP545" s="724"/>
      <c r="DQ545" s="724"/>
      <c r="DR545" s="724"/>
      <c r="DS545" s="724"/>
      <c r="DT545" s="724"/>
      <c r="DU545" s="724"/>
      <c r="DV545" s="724"/>
      <c r="DW545" s="724"/>
      <c r="DX545" s="724"/>
      <c r="DY545" s="724"/>
      <c r="DZ545" s="724"/>
      <c r="EA545" s="724"/>
      <c r="EB545" s="724"/>
      <c r="EC545" s="724"/>
      <c r="ED545" s="724"/>
      <c r="EE545" s="724"/>
      <c r="EF545" s="724"/>
      <c r="EG545" s="724"/>
      <c r="EH545" s="724"/>
      <c r="EI545" s="724"/>
      <c r="EJ545" s="724"/>
      <c r="EK545" s="724"/>
      <c r="EL545" s="724"/>
      <c r="EM545" s="724"/>
      <c r="EN545" s="724"/>
      <c r="EO545" s="724"/>
      <c r="EP545" s="724"/>
      <c r="EQ545" s="724"/>
      <c r="ER545" s="724"/>
      <c r="ES545" s="724"/>
      <c r="ET545" s="724"/>
      <c r="EU545" s="724"/>
      <c r="EV545" s="724"/>
      <c r="EW545" s="724"/>
      <c r="EX545" s="724"/>
      <c r="EY545" s="724"/>
      <c r="EZ545" s="724"/>
      <c r="FA545" s="724"/>
      <c r="FB545" s="724"/>
      <c r="FC545" s="724"/>
      <c r="FD545" s="724"/>
      <c r="FE545" s="724"/>
      <c r="FF545" s="724"/>
      <c r="FG545" s="724"/>
      <c r="FH545" s="724"/>
      <c r="FI545" s="724"/>
      <c r="FJ545" s="724"/>
      <c r="FK545" s="724"/>
      <c r="FL545" s="724"/>
      <c r="FM545" s="724"/>
      <c r="FN545" s="724"/>
      <c r="FO545" s="724"/>
      <c r="FP545" s="724"/>
      <c r="FQ545" s="724"/>
      <c r="FR545" s="724"/>
      <c r="FS545" s="724"/>
      <c r="FT545" s="724"/>
      <c r="FU545" s="724"/>
      <c r="FV545" s="724"/>
      <c r="FW545" s="724"/>
      <c r="FX545" s="724"/>
      <c r="FY545" s="724"/>
      <c r="FZ545" s="724"/>
      <c r="GA545" s="724"/>
      <c r="GB545" s="724"/>
      <c r="GC545" s="724"/>
      <c r="GD545" s="724"/>
      <c r="GE545" s="724"/>
      <c r="GF545" s="724"/>
      <c r="GG545" s="724"/>
      <c r="GH545" s="724"/>
      <c r="GI545" s="724"/>
      <c r="GJ545" s="724"/>
      <c r="GK545" s="724"/>
      <c r="GL545" s="724"/>
      <c r="GM545" s="724"/>
      <c r="GN545" s="724"/>
      <c r="GO545" s="724"/>
      <c r="GP545" s="724"/>
      <c r="GQ545" s="724"/>
      <c r="GR545" s="724"/>
      <c r="GS545" s="724"/>
      <c r="GT545" s="724"/>
      <c r="GU545" s="724"/>
      <c r="GV545" s="724"/>
      <c r="GW545" s="724"/>
      <c r="GX545" s="724"/>
      <c r="GY545" s="724"/>
      <c r="GZ545" s="724"/>
      <c r="HA545" s="724"/>
      <c r="HB545" s="724"/>
      <c r="HC545" s="724"/>
      <c r="HD545" s="724"/>
      <c r="HE545" s="724"/>
      <c r="HF545" s="724"/>
      <c r="HG545" s="724"/>
      <c r="HH545" s="724"/>
      <c r="HI545" s="724"/>
      <c r="HJ545" s="724"/>
      <c r="HK545" s="724"/>
      <c r="HL545" s="724"/>
      <c r="HM545" s="724"/>
      <c r="HN545" s="724"/>
      <c r="HO545" s="724"/>
      <c r="HP545" s="724"/>
      <c r="HQ545" s="724"/>
      <c r="HR545" s="724"/>
      <c r="HS545" s="724"/>
      <c r="HT545" s="724"/>
      <c r="HU545" s="724"/>
      <c r="HV545" s="724"/>
      <c r="HW545" s="724"/>
      <c r="HX545" s="724"/>
      <c r="HY545" s="724"/>
      <c r="HZ545" s="724"/>
      <c r="IA545" s="724"/>
      <c r="IB545" s="724"/>
      <c r="IC545" s="724"/>
      <c r="ID545" s="724"/>
      <c r="IE545" s="724"/>
      <c r="IF545" s="724"/>
      <c r="IG545" s="724"/>
      <c r="IH545" s="724"/>
      <c r="II545" s="724"/>
      <c r="IJ545" s="724"/>
      <c r="IK545" s="724"/>
      <c r="IL545" s="724"/>
      <c r="IM545" s="724"/>
      <c r="IN545" s="724"/>
      <c r="IO545" s="724"/>
      <c r="IP545" s="724"/>
      <c r="IQ545" s="724"/>
      <c r="IR545" s="724"/>
      <c r="IS545" s="724"/>
      <c r="IT545" s="724"/>
      <c r="IU545" s="724"/>
      <c r="IV545" s="724"/>
      <c r="IW545" s="724"/>
    </row>
    <row r="546" spans="1:257" s="621" customFormat="1">
      <c r="A546" s="812"/>
      <c r="B546" s="684" t="s">
        <v>918</v>
      </c>
      <c r="C546" s="713"/>
      <c r="D546" s="713"/>
      <c r="E546" s="725"/>
      <c r="F546" s="725"/>
      <c r="G546" s="725"/>
      <c r="H546" s="725"/>
      <c r="I546" s="725"/>
      <c r="J546" s="725"/>
      <c r="K546" s="725">
        <v>245000000</v>
      </c>
      <c r="L546" s="1311">
        <v>245000000</v>
      </c>
      <c r="M546" s="669"/>
      <c r="N546" s="868"/>
      <c r="O546" s="868"/>
      <c r="P546" s="868"/>
      <c r="Q546" s="868"/>
      <c r="R546" s="871">
        <f>235-114-54</f>
        <v>67</v>
      </c>
      <c r="S546" s="866"/>
      <c r="T546" s="839"/>
      <c r="U546" s="726"/>
      <c r="V546" s="581"/>
      <c r="W546" s="722"/>
      <c r="X546" s="723"/>
      <c r="Y546" s="724"/>
      <c r="Z546" s="724"/>
      <c r="AA546" s="724"/>
      <c r="AB546" s="724"/>
      <c r="AC546" s="724"/>
      <c r="AD546" s="724"/>
      <c r="AE546" s="724"/>
      <c r="AF546" s="724"/>
      <c r="AG546" s="724"/>
      <c r="AH546" s="724"/>
      <c r="AI546" s="724"/>
      <c r="AJ546" s="724"/>
      <c r="AK546" s="724"/>
      <c r="AL546" s="724"/>
      <c r="AM546" s="724"/>
      <c r="AN546" s="724"/>
      <c r="AO546" s="724"/>
      <c r="AP546" s="724"/>
      <c r="AQ546" s="724"/>
      <c r="AR546" s="724"/>
      <c r="AS546" s="724"/>
      <c r="AT546" s="724"/>
      <c r="AU546" s="724"/>
      <c r="AV546" s="724"/>
      <c r="AW546" s="724"/>
      <c r="AX546" s="724"/>
      <c r="AY546" s="724"/>
      <c r="AZ546" s="724"/>
      <c r="BA546" s="724"/>
      <c r="BB546" s="724"/>
      <c r="BC546" s="724"/>
      <c r="BD546" s="724"/>
      <c r="BE546" s="724"/>
      <c r="BF546" s="724"/>
      <c r="BG546" s="724"/>
      <c r="BH546" s="724"/>
      <c r="BI546" s="724"/>
      <c r="BJ546" s="724"/>
      <c r="BK546" s="724"/>
      <c r="BL546" s="724"/>
      <c r="BM546" s="724"/>
      <c r="BN546" s="724"/>
      <c r="BO546" s="724"/>
      <c r="BP546" s="724"/>
      <c r="BQ546" s="724"/>
      <c r="BR546" s="724"/>
      <c r="BS546" s="724"/>
      <c r="BT546" s="724"/>
      <c r="BU546" s="724"/>
      <c r="BV546" s="724"/>
      <c r="BW546" s="724"/>
      <c r="BX546" s="724"/>
      <c r="BY546" s="724"/>
      <c r="BZ546" s="724"/>
      <c r="CA546" s="724"/>
      <c r="CB546" s="724"/>
      <c r="CC546" s="724"/>
      <c r="CD546" s="724"/>
      <c r="CE546" s="724"/>
      <c r="CF546" s="724"/>
      <c r="CG546" s="724"/>
      <c r="CH546" s="724"/>
      <c r="CI546" s="724"/>
      <c r="CJ546" s="724"/>
      <c r="CK546" s="724"/>
      <c r="CL546" s="724"/>
      <c r="CM546" s="724"/>
      <c r="CN546" s="724"/>
      <c r="CO546" s="724"/>
      <c r="CP546" s="724"/>
      <c r="CQ546" s="724"/>
      <c r="CR546" s="724"/>
      <c r="CS546" s="724"/>
      <c r="CT546" s="724"/>
      <c r="CU546" s="724"/>
      <c r="CV546" s="724"/>
      <c r="CW546" s="724"/>
      <c r="CX546" s="724"/>
      <c r="CY546" s="724"/>
      <c r="CZ546" s="724"/>
      <c r="DA546" s="724"/>
      <c r="DB546" s="724"/>
      <c r="DC546" s="724"/>
      <c r="DD546" s="724"/>
      <c r="DE546" s="724"/>
      <c r="DF546" s="724"/>
      <c r="DG546" s="724"/>
      <c r="DH546" s="724"/>
      <c r="DI546" s="724"/>
      <c r="DJ546" s="724"/>
      <c r="DK546" s="724"/>
      <c r="DL546" s="724"/>
      <c r="DM546" s="724"/>
      <c r="DN546" s="724"/>
      <c r="DO546" s="724"/>
      <c r="DP546" s="724"/>
      <c r="DQ546" s="724"/>
      <c r="DR546" s="724"/>
      <c r="DS546" s="724"/>
      <c r="DT546" s="724"/>
      <c r="DU546" s="724"/>
      <c r="DV546" s="724"/>
      <c r="DW546" s="724"/>
      <c r="DX546" s="724"/>
      <c r="DY546" s="724"/>
      <c r="DZ546" s="724"/>
      <c r="EA546" s="724"/>
      <c r="EB546" s="724"/>
      <c r="EC546" s="724"/>
      <c r="ED546" s="724"/>
      <c r="EE546" s="724"/>
      <c r="EF546" s="724"/>
      <c r="EG546" s="724"/>
      <c r="EH546" s="724"/>
      <c r="EI546" s="724"/>
      <c r="EJ546" s="724"/>
      <c r="EK546" s="724"/>
      <c r="EL546" s="724"/>
      <c r="EM546" s="724"/>
      <c r="EN546" s="724"/>
      <c r="EO546" s="724"/>
      <c r="EP546" s="724"/>
      <c r="EQ546" s="724"/>
      <c r="ER546" s="724"/>
      <c r="ES546" s="724"/>
      <c r="ET546" s="724"/>
      <c r="EU546" s="724"/>
      <c r="EV546" s="724"/>
      <c r="EW546" s="724"/>
      <c r="EX546" s="724"/>
      <c r="EY546" s="724"/>
      <c r="EZ546" s="724"/>
      <c r="FA546" s="724"/>
      <c r="FB546" s="724"/>
      <c r="FC546" s="724"/>
      <c r="FD546" s="724"/>
      <c r="FE546" s="724"/>
      <c r="FF546" s="724"/>
      <c r="FG546" s="724"/>
      <c r="FH546" s="724"/>
      <c r="FI546" s="724"/>
      <c r="FJ546" s="724"/>
      <c r="FK546" s="724"/>
      <c r="FL546" s="724"/>
      <c r="FM546" s="724"/>
      <c r="FN546" s="724"/>
      <c r="FO546" s="724"/>
      <c r="FP546" s="724"/>
      <c r="FQ546" s="724"/>
      <c r="FR546" s="724"/>
      <c r="FS546" s="724"/>
      <c r="FT546" s="724"/>
      <c r="FU546" s="724"/>
      <c r="FV546" s="724"/>
      <c r="FW546" s="724"/>
      <c r="FX546" s="724"/>
      <c r="FY546" s="724"/>
      <c r="FZ546" s="724"/>
      <c r="GA546" s="724"/>
      <c r="GB546" s="724"/>
      <c r="GC546" s="724"/>
      <c r="GD546" s="724"/>
      <c r="GE546" s="724"/>
      <c r="GF546" s="724"/>
      <c r="GG546" s="724"/>
      <c r="GH546" s="724"/>
      <c r="GI546" s="724"/>
      <c r="GJ546" s="724"/>
      <c r="GK546" s="724"/>
      <c r="GL546" s="724"/>
      <c r="GM546" s="724"/>
      <c r="GN546" s="724"/>
      <c r="GO546" s="724"/>
      <c r="GP546" s="724"/>
      <c r="GQ546" s="724"/>
      <c r="GR546" s="724"/>
      <c r="GS546" s="724"/>
      <c r="GT546" s="724"/>
      <c r="GU546" s="724"/>
      <c r="GV546" s="724"/>
      <c r="GW546" s="724"/>
      <c r="GX546" s="724"/>
      <c r="GY546" s="724"/>
      <c r="GZ546" s="724"/>
      <c r="HA546" s="724"/>
      <c r="HB546" s="724"/>
      <c r="HC546" s="724"/>
      <c r="HD546" s="724"/>
      <c r="HE546" s="724"/>
      <c r="HF546" s="724"/>
      <c r="HG546" s="724"/>
      <c r="HH546" s="724"/>
      <c r="HI546" s="724"/>
      <c r="HJ546" s="724"/>
      <c r="HK546" s="724"/>
      <c r="HL546" s="724"/>
      <c r="HM546" s="724"/>
      <c r="HN546" s="724"/>
      <c r="HO546" s="724"/>
      <c r="HP546" s="724"/>
      <c r="HQ546" s="724"/>
      <c r="HR546" s="724"/>
      <c r="HS546" s="724"/>
      <c r="HT546" s="724"/>
      <c r="HU546" s="724"/>
      <c r="HV546" s="724"/>
      <c r="HW546" s="724"/>
      <c r="HX546" s="724"/>
      <c r="HY546" s="724"/>
      <c r="HZ546" s="724"/>
      <c r="IA546" s="724"/>
      <c r="IB546" s="724"/>
      <c r="IC546" s="724"/>
      <c r="ID546" s="724"/>
      <c r="IE546" s="724"/>
      <c r="IF546" s="724"/>
      <c r="IG546" s="724"/>
      <c r="IH546" s="724"/>
      <c r="II546" s="724"/>
      <c r="IJ546" s="724"/>
      <c r="IK546" s="724"/>
      <c r="IL546" s="724"/>
      <c r="IM546" s="724"/>
      <c r="IN546" s="724"/>
      <c r="IO546" s="724"/>
      <c r="IP546" s="724"/>
      <c r="IQ546" s="724"/>
      <c r="IR546" s="724"/>
      <c r="IS546" s="724"/>
      <c r="IT546" s="724"/>
      <c r="IU546" s="724"/>
      <c r="IV546" s="724"/>
      <c r="IW546" s="724"/>
    </row>
    <row r="547" spans="1:257" s="621" customFormat="1">
      <c r="A547" s="812"/>
      <c r="B547" s="684" t="s">
        <v>1369</v>
      </c>
      <c r="C547" s="713"/>
      <c r="D547" s="713"/>
      <c r="E547" s="725"/>
      <c r="F547" s="725"/>
      <c r="G547" s="725"/>
      <c r="H547" s="725"/>
      <c r="I547" s="725"/>
      <c r="J547" s="725"/>
      <c r="K547" s="725">
        <v>50000000</v>
      </c>
      <c r="L547" s="1311">
        <v>139000000</v>
      </c>
      <c r="M547" s="669"/>
      <c r="N547" s="868"/>
      <c r="O547" s="868"/>
      <c r="P547" s="868"/>
      <c r="Q547" s="868"/>
      <c r="R547" s="871"/>
      <c r="S547" s="866"/>
      <c r="T547" s="839"/>
      <c r="U547" s="726"/>
      <c r="V547" s="581"/>
      <c r="W547" s="722"/>
      <c r="X547" s="723"/>
      <c r="Y547" s="724"/>
      <c r="Z547" s="724"/>
      <c r="AA547" s="724"/>
      <c r="AB547" s="724"/>
      <c r="AC547" s="724"/>
      <c r="AD547" s="724"/>
      <c r="AE547" s="724"/>
      <c r="AF547" s="724"/>
      <c r="AG547" s="724"/>
      <c r="AH547" s="724"/>
      <c r="AI547" s="724"/>
      <c r="AJ547" s="724"/>
      <c r="AK547" s="724"/>
      <c r="AL547" s="724"/>
      <c r="AM547" s="724"/>
      <c r="AN547" s="724"/>
      <c r="AO547" s="724"/>
      <c r="AP547" s="724"/>
      <c r="AQ547" s="724"/>
      <c r="AR547" s="724"/>
      <c r="AS547" s="724"/>
      <c r="AT547" s="724"/>
      <c r="AU547" s="724"/>
      <c r="AV547" s="724"/>
      <c r="AW547" s="724"/>
      <c r="AX547" s="724"/>
      <c r="AY547" s="724"/>
      <c r="AZ547" s="724"/>
      <c r="BA547" s="724"/>
      <c r="BB547" s="724"/>
      <c r="BC547" s="724"/>
      <c r="BD547" s="724"/>
      <c r="BE547" s="724"/>
      <c r="BF547" s="724"/>
      <c r="BG547" s="724"/>
      <c r="BH547" s="724"/>
      <c r="BI547" s="724"/>
      <c r="BJ547" s="724"/>
      <c r="BK547" s="724"/>
      <c r="BL547" s="724"/>
      <c r="BM547" s="724"/>
      <c r="BN547" s="724"/>
      <c r="BO547" s="724"/>
      <c r="BP547" s="724"/>
      <c r="BQ547" s="724"/>
      <c r="BR547" s="724"/>
      <c r="BS547" s="724"/>
      <c r="BT547" s="724"/>
      <c r="BU547" s="724"/>
      <c r="BV547" s="724"/>
      <c r="BW547" s="724"/>
      <c r="BX547" s="724"/>
      <c r="BY547" s="724"/>
      <c r="BZ547" s="724"/>
      <c r="CA547" s="724"/>
      <c r="CB547" s="724"/>
      <c r="CC547" s="724"/>
      <c r="CD547" s="724"/>
      <c r="CE547" s="724"/>
      <c r="CF547" s="724"/>
      <c r="CG547" s="724"/>
      <c r="CH547" s="724"/>
      <c r="CI547" s="724"/>
      <c r="CJ547" s="724"/>
      <c r="CK547" s="724"/>
      <c r="CL547" s="724"/>
      <c r="CM547" s="724"/>
      <c r="CN547" s="724"/>
      <c r="CO547" s="724"/>
      <c r="CP547" s="724"/>
      <c r="CQ547" s="724"/>
      <c r="CR547" s="724"/>
      <c r="CS547" s="724"/>
      <c r="CT547" s="724"/>
      <c r="CU547" s="724"/>
      <c r="CV547" s="724"/>
      <c r="CW547" s="724"/>
      <c r="CX547" s="724"/>
      <c r="CY547" s="724"/>
      <c r="CZ547" s="724"/>
      <c r="DA547" s="724"/>
      <c r="DB547" s="724"/>
      <c r="DC547" s="724"/>
      <c r="DD547" s="724"/>
      <c r="DE547" s="724"/>
      <c r="DF547" s="724"/>
      <c r="DG547" s="724"/>
      <c r="DH547" s="724"/>
      <c r="DI547" s="724"/>
      <c r="DJ547" s="724"/>
      <c r="DK547" s="724"/>
      <c r="DL547" s="724"/>
      <c r="DM547" s="724"/>
      <c r="DN547" s="724"/>
      <c r="DO547" s="724"/>
      <c r="DP547" s="724"/>
      <c r="DQ547" s="724"/>
      <c r="DR547" s="724"/>
      <c r="DS547" s="724"/>
      <c r="DT547" s="724"/>
      <c r="DU547" s="724"/>
      <c r="DV547" s="724"/>
      <c r="DW547" s="724"/>
      <c r="DX547" s="724"/>
      <c r="DY547" s="724"/>
      <c r="DZ547" s="724"/>
      <c r="EA547" s="724"/>
      <c r="EB547" s="724"/>
      <c r="EC547" s="724"/>
      <c r="ED547" s="724"/>
      <c r="EE547" s="724"/>
      <c r="EF547" s="724"/>
      <c r="EG547" s="724"/>
      <c r="EH547" s="724"/>
      <c r="EI547" s="724"/>
      <c r="EJ547" s="724"/>
      <c r="EK547" s="724"/>
      <c r="EL547" s="724"/>
      <c r="EM547" s="724"/>
      <c r="EN547" s="724"/>
      <c r="EO547" s="724"/>
      <c r="EP547" s="724"/>
      <c r="EQ547" s="724"/>
      <c r="ER547" s="724"/>
      <c r="ES547" s="724"/>
      <c r="ET547" s="724"/>
      <c r="EU547" s="724"/>
      <c r="EV547" s="724"/>
      <c r="EW547" s="724"/>
      <c r="EX547" s="724"/>
      <c r="EY547" s="724"/>
      <c r="EZ547" s="724"/>
      <c r="FA547" s="724"/>
      <c r="FB547" s="724"/>
      <c r="FC547" s="724"/>
      <c r="FD547" s="724"/>
      <c r="FE547" s="724"/>
      <c r="FF547" s="724"/>
      <c r="FG547" s="724"/>
      <c r="FH547" s="724"/>
      <c r="FI547" s="724"/>
      <c r="FJ547" s="724"/>
      <c r="FK547" s="724"/>
      <c r="FL547" s="724"/>
      <c r="FM547" s="724"/>
      <c r="FN547" s="724"/>
      <c r="FO547" s="724"/>
      <c r="FP547" s="724"/>
      <c r="FQ547" s="724"/>
      <c r="FR547" s="724"/>
      <c r="FS547" s="724"/>
      <c r="FT547" s="724"/>
      <c r="FU547" s="724"/>
      <c r="FV547" s="724"/>
      <c r="FW547" s="724"/>
      <c r="FX547" s="724"/>
      <c r="FY547" s="724"/>
      <c r="FZ547" s="724"/>
      <c r="GA547" s="724"/>
      <c r="GB547" s="724"/>
      <c r="GC547" s="724"/>
      <c r="GD547" s="724"/>
      <c r="GE547" s="724"/>
      <c r="GF547" s="724"/>
      <c r="GG547" s="724"/>
      <c r="GH547" s="724"/>
      <c r="GI547" s="724"/>
      <c r="GJ547" s="724"/>
      <c r="GK547" s="724"/>
      <c r="GL547" s="724"/>
      <c r="GM547" s="724"/>
      <c r="GN547" s="724"/>
      <c r="GO547" s="724"/>
      <c r="GP547" s="724"/>
      <c r="GQ547" s="724"/>
      <c r="GR547" s="724"/>
      <c r="GS547" s="724"/>
      <c r="GT547" s="724"/>
      <c r="GU547" s="724"/>
      <c r="GV547" s="724"/>
      <c r="GW547" s="724"/>
      <c r="GX547" s="724"/>
      <c r="GY547" s="724"/>
      <c r="GZ547" s="724"/>
      <c r="HA547" s="724"/>
      <c r="HB547" s="724"/>
      <c r="HC547" s="724"/>
      <c r="HD547" s="724"/>
      <c r="HE547" s="724"/>
      <c r="HF547" s="724"/>
      <c r="HG547" s="724"/>
      <c r="HH547" s="724"/>
      <c r="HI547" s="724"/>
      <c r="HJ547" s="724"/>
      <c r="HK547" s="724"/>
      <c r="HL547" s="724"/>
      <c r="HM547" s="724"/>
      <c r="HN547" s="724"/>
      <c r="HO547" s="724"/>
      <c r="HP547" s="724"/>
      <c r="HQ547" s="724"/>
      <c r="HR547" s="724"/>
      <c r="HS547" s="724"/>
      <c r="HT547" s="724"/>
      <c r="HU547" s="724"/>
      <c r="HV547" s="724"/>
      <c r="HW547" s="724"/>
      <c r="HX547" s="724"/>
      <c r="HY547" s="724"/>
      <c r="HZ547" s="724"/>
      <c r="IA547" s="724"/>
      <c r="IB547" s="724"/>
      <c r="IC547" s="724"/>
      <c r="ID547" s="724"/>
      <c r="IE547" s="724"/>
      <c r="IF547" s="724"/>
      <c r="IG547" s="724"/>
      <c r="IH547" s="724"/>
      <c r="II547" s="724"/>
      <c r="IJ547" s="724"/>
      <c r="IK547" s="724"/>
      <c r="IL547" s="724"/>
      <c r="IM547" s="724"/>
      <c r="IN547" s="724"/>
      <c r="IO547" s="724"/>
      <c r="IP547" s="724"/>
      <c r="IQ547" s="724"/>
      <c r="IR547" s="724"/>
      <c r="IS547" s="724"/>
      <c r="IT547" s="724"/>
      <c r="IU547" s="724"/>
      <c r="IV547" s="724"/>
      <c r="IW547" s="724"/>
    </row>
    <row r="548" spans="1:257" s="621" customFormat="1">
      <c r="A548" s="812"/>
      <c r="B548" s="684" t="s">
        <v>1370</v>
      </c>
      <c r="C548" s="713"/>
      <c r="D548" s="713"/>
      <c r="E548" s="725"/>
      <c r="F548" s="725"/>
      <c r="G548" s="725"/>
      <c r="H548" s="725"/>
      <c r="I548" s="725"/>
      <c r="J548" s="725"/>
      <c r="K548" s="725"/>
      <c r="L548" s="1311">
        <f>L547-L567</f>
        <v>63600000</v>
      </c>
      <c r="M548" s="669"/>
      <c r="N548" s="868"/>
      <c r="O548" s="868"/>
      <c r="P548" s="868"/>
      <c r="Q548" s="868"/>
      <c r="R548" s="871"/>
      <c r="S548" s="866"/>
      <c r="T548" s="839"/>
      <c r="U548" s="726"/>
      <c r="V548" s="581"/>
      <c r="W548" s="722"/>
      <c r="X548" s="723"/>
      <c r="Y548" s="724"/>
      <c r="Z548" s="724"/>
      <c r="AA548" s="724"/>
      <c r="AB548" s="724"/>
      <c r="AC548" s="724"/>
      <c r="AD548" s="724"/>
      <c r="AE548" s="724"/>
      <c r="AF548" s="724"/>
      <c r="AG548" s="724"/>
      <c r="AH548" s="724"/>
      <c r="AI548" s="724"/>
      <c r="AJ548" s="724"/>
      <c r="AK548" s="724"/>
      <c r="AL548" s="724"/>
      <c r="AM548" s="724"/>
      <c r="AN548" s="724"/>
      <c r="AO548" s="724"/>
      <c r="AP548" s="724"/>
      <c r="AQ548" s="724"/>
      <c r="AR548" s="724"/>
      <c r="AS548" s="724"/>
      <c r="AT548" s="724"/>
      <c r="AU548" s="724"/>
      <c r="AV548" s="724"/>
      <c r="AW548" s="724"/>
      <c r="AX548" s="724"/>
      <c r="AY548" s="724"/>
      <c r="AZ548" s="724"/>
      <c r="BA548" s="724"/>
      <c r="BB548" s="724"/>
      <c r="BC548" s="724"/>
      <c r="BD548" s="724"/>
      <c r="BE548" s="724"/>
      <c r="BF548" s="724"/>
      <c r="BG548" s="724"/>
      <c r="BH548" s="724"/>
      <c r="BI548" s="724"/>
      <c r="BJ548" s="724"/>
      <c r="BK548" s="724"/>
      <c r="BL548" s="724"/>
      <c r="BM548" s="724"/>
      <c r="BN548" s="724"/>
      <c r="BO548" s="724"/>
      <c r="BP548" s="724"/>
      <c r="BQ548" s="724"/>
      <c r="BR548" s="724"/>
      <c r="BS548" s="724"/>
      <c r="BT548" s="724"/>
      <c r="BU548" s="724"/>
      <c r="BV548" s="724"/>
      <c r="BW548" s="724"/>
      <c r="BX548" s="724"/>
      <c r="BY548" s="724"/>
      <c r="BZ548" s="724"/>
      <c r="CA548" s="724"/>
      <c r="CB548" s="724"/>
      <c r="CC548" s="724"/>
      <c r="CD548" s="724"/>
      <c r="CE548" s="724"/>
      <c r="CF548" s="724"/>
      <c r="CG548" s="724"/>
      <c r="CH548" s="724"/>
      <c r="CI548" s="724"/>
      <c r="CJ548" s="724"/>
      <c r="CK548" s="724"/>
      <c r="CL548" s="724"/>
      <c r="CM548" s="724"/>
      <c r="CN548" s="724"/>
      <c r="CO548" s="724"/>
      <c r="CP548" s="724"/>
      <c r="CQ548" s="724"/>
      <c r="CR548" s="724"/>
      <c r="CS548" s="724"/>
      <c r="CT548" s="724"/>
      <c r="CU548" s="724"/>
      <c r="CV548" s="724"/>
      <c r="CW548" s="724"/>
      <c r="CX548" s="724"/>
      <c r="CY548" s="724"/>
      <c r="CZ548" s="724"/>
      <c r="DA548" s="724"/>
      <c r="DB548" s="724"/>
      <c r="DC548" s="724"/>
      <c r="DD548" s="724"/>
      <c r="DE548" s="724"/>
      <c r="DF548" s="724"/>
      <c r="DG548" s="724"/>
      <c r="DH548" s="724"/>
      <c r="DI548" s="724"/>
      <c r="DJ548" s="724"/>
      <c r="DK548" s="724"/>
      <c r="DL548" s="724"/>
      <c r="DM548" s="724"/>
      <c r="DN548" s="724"/>
      <c r="DO548" s="724"/>
      <c r="DP548" s="724"/>
      <c r="DQ548" s="724"/>
      <c r="DR548" s="724"/>
      <c r="DS548" s="724"/>
      <c r="DT548" s="724"/>
      <c r="DU548" s="724"/>
      <c r="DV548" s="724"/>
      <c r="DW548" s="724"/>
      <c r="DX548" s="724"/>
      <c r="DY548" s="724"/>
      <c r="DZ548" s="724"/>
      <c r="EA548" s="724"/>
      <c r="EB548" s="724"/>
      <c r="EC548" s="724"/>
      <c r="ED548" s="724"/>
      <c r="EE548" s="724"/>
      <c r="EF548" s="724"/>
      <c r="EG548" s="724"/>
      <c r="EH548" s="724"/>
      <c r="EI548" s="724"/>
      <c r="EJ548" s="724"/>
      <c r="EK548" s="724"/>
      <c r="EL548" s="724"/>
      <c r="EM548" s="724"/>
      <c r="EN548" s="724"/>
      <c r="EO548" s="724"/>
      <c r="EP548" s="724"/>
      <c r="EQ548" s="724"/>
      <c r="ER548" s="724"/>
      <c r="ES548" s="724"/>
      <c r="ET548" s="724"/>
      <c r="EU548" s="724"/>
      <c r="EV548" s="724"/>
      <c r="EW548" s="724"/>
      <c r="EX548" s="724"/>
      <c r="EY548" s="724"/>
      <c r="EZ548" s="724"/>
      <c r="FA548" s="724"/>
      <c r="FB548" s="724"/>
      <c r="FC548" s="724"/>
      <c r="FD548" s="724"/>
      <c r="FE548" s="724"/>
      <c r="FF548" s="724"/>
      <c r="FG548" s="724"/>
      <c r="FH548" s="724"/>
      <c r="FI548" s="724"/>
      <c r="FJ548" s="724"/>
      <c r="FK548" s="724"/>
      <c r="FL548" s="724"/>
      <c r="FM548" s="724"/>
      <c r="FN548" s="724"/>
      <c r="FO548" s="724"/>
      <c r="FP548" s="724"/>
      <c r="FQ548" s="724"/>
      <c r="FR548" s="724"/>
      <c r="FS548" s="724"/>
      <c r="FT548" s="724"/>
      <c r="FU548" s="724"/>
      <c r="FV548" s="724"/>
      <c r="FW548" s="724"/>
      <c r="FX548" s="724"/>
      <c r="FY548" s="724"/>
      <c r="FZ548" s="724"/>
      <c r="GA548" s="724"/>
      <c r="GB548" s="724"/>
      <c r="GC548" s="724"/>
      <c r="GD548" s="724"/>
      <c r="GE548" s="724"/>
      <c r="GF548" s="724"/>
      <c r="GG548" s="724"/>
      <c r="GH548" s="724"/>
      <c r="GI548" s="724"/>
      <c r="GJ548" s="724"/>
      <c r="GK548" s="724"/>
      <c r="GL548" s="724"/>
      <c r="GM548" s="724"/>
      <c r="GN548" s="724"/>
      <c r="GO548" s="724"/>
      <c r="GP548" s="724"/>
      <c r="GQ548" s="724"/>
      <c r="GR548" s="724"/>
      <c r="GS548" s="724"/>
      <c r="GT548" s="724"/>
      <c r="GU548" s="724"/>
      <c r="GV548" s="724"/>
      <c r="GW548" s="724"/>
      <c r="GX548" s="724"/>
      <c r="GY548" s="724"/>
      <c r="GZ548" s="724"/>
      <c r="HA548" s="724"/>
      <c r="HB548" s="724"/>
      <c r="HC548" s="724"/>
      <c r="HD548" s="724"/>
      <c r="HE548" s="724"/>
      <c r="HF548" s="724"/>
      <c r="HG548" s="724"/>
      <c r="HH548" s="724"/>
      <c r="HI548" s="724"/>
      <c r="HJ548" s="724"/>
      <c r="HK548" s="724"/>
      <c r="HL548" s="724"/>
      <c r="HM548" s="724"/>
      <c r="HN548" s="724"/>
      <c r="HO548" s="724"/>
      <c r="HP548" s="724"/>
      <c r="HQ548" s="724"/>
      <c r="HR548" s="724"/>
      <c r="HS548" s="724"/>
      <c r="HT548" s="724"/>
      <c r="HU548" s="724"/>
      <c r="HV548" s="724"/>
      <c r="HW548" s="724"/>
      <c r="HX548" s="724"/>
      <c r="HY548" s="724"/>
      <c r="HZ548" s="724"/>
      <c r="IA548" s="724"/>
      <c r="IB548" s="724"/>
      <c r="IC548" s="724"/>
      <c r="ID548" s="724"/>
      <c r="IE548" s="724"/>
      <c r="IF548" s="724"/>
      <c r="IG548" s="724"/>
      <c r="IH548" s="724"/>
      <c r="II548" s="724"/>
      <c r="IJ548" s="724"/>
      <c r="IK548" s="724"/>
      <c r="IL548" s="724"/>
      <c r="IM548" s="724"/>
      <c r="IN548" s="724"/>
      <c r="IO548" s="724"/>
      <c r="IP548" s="724"/>
      <c r="IQ548" s="724"/>
      <c r="IR548" s="724"/>
      <c r="IS548" s="724"/>
      <c r="IT548" s="724"/>
      <c r="IU548" s="724"/>
      <c r="IV548" s="724"/>
      <c r="IW548" s="724"/>
    </row>
    <row r="549" spans="1:257" s="681" customFormat="1">
      <c r="A549" s="812" t="s">
        <v>248</v>
      </c>
      <c r="B549" s="813" t="s">
        <v>256</v>
      </c>
      <c r="C549" s="713"/>
      <c r="D549" s="713"/>
      <c r="E549" s="725"/>
      <c r="F549" s="725">
        <f>C545*E545</f>
        <v>54000000</v>
      </c>
      <c r="G549" s="725"/>
      <c r="H549" s="725"/>
      <c r="I549" s="725"/>
      <c r="J549" s="725">
        <v>54000000</v>
      </c>
      <c r="K549" s="725">
        <f>2*27000000</f>
        <v>54000000</v>
      </c>
      <c r="L549" s="1311">
        <f>2*27000000</f>
        <v>54000000</v>
      </c>
      <c r="M549" s="669" t="s">
        <v>1065</v>
      </c>
      <c r="N549" s="868"/>
      <c r="O549" s="868"/>
      <c r="P549" s="868"/>
      <c r="Q549" s="868"/>
      <c r="R549" s="866"/>
      <c r="S549" s="866"/>
      <c r="T549" s="839"/>
      <c r="U549" s="580"/>
      <c r="V549" s="722"/>
      <c r="W549" s="581"/>
      <c r="X549" s="578"/>
      <c r="Y549" s="582"/>
      <c r="Z549" s="582"/>
      <c r="AA549" s="582"/>
      <c r="AB549" s="582"/>
      <c r="AC549" s="582"/>
      <c r="AD549" s="582"/>
      <c r="AE549" s="582"/>
      <c r="AF549" s="582"/>
      <c r="AG549" s="582"/>
      <c r="AH549" s="582"/>
      <c r="AI549" s="582"/>
      <c r="AJ549" s="582"/>
      <c r="AK549" s="582"/>
      <c r="AL549" s="582"/>
      <c r="AM549" s="582"/>
      <c r="AN549" s="582"/>
      <c r="AO549" s="582"/>
      <c r="AP549" s="582"/>
      <c r="AQ549" s="582"/>
      <c r="AR549" s="582"/>
      <c r="AS549" s="582"/>
      <c r="AT549" s="582"/>
      <c r="AU549" s="582"/>
      <c r="AV549" s="582"/>
      <c r="AW549" s="582"/>
      <c r="AX549" s="582"/>
      <c r="AY549" s="582"/>
      <c r="AZ549" s="582"/>
      <c r="BA549" s="582"/>
      <c r="BB549" s="582"/>
      <c r="BC549" s="582"/>
      <c r="BD549" s="582"/>
      <c r="BE549" s="582"/>
      <c r="BF549" s="582"/>
      <c r="BG549" s="582"/>
      <c r="BH549" s="582"/>
      <c r="BI549" s="582"/>
      <c r="BJ549" s="582"/>
      <c r="BK549" s="582"/>
      <c r="BL549" s="582"/>
      <c r="BM549" s="582"/>
      <c r="BN549" s="582"/>
      <c r="BO549" s="582"/>
      <c r="BP549" s="582"/>
      <c r="BQ549" s="582"/>
      <c r="BR549" s="582"/>
      <c r="BS549" s="582"/>
      <c r="BT549" s="582"/>
      <c r="BU549" s="582"/>
      <c r="BV549" s="582"/>
      <c r="BW549" s="582"/>
      <c r="BX549" s="582"/>
      <c r="BY549" s="582"/>
      <c r="BZ549" s="582"/>
      <c r="CA549" s="582"/>
      <c r="CB549" s="582"/>
      <c r="CC549" s="582"/>
      <c r="CD549" s="582"/>
      <c r="CE549" s="582"/>
      <c r="CF549" s="582"/>
      <c r="CG549" s="582"/>
      <c r="CH549" s="582"/>
      <c r="CI549" s="582"/>
      <c r="CJ549" s="582"/>
      <c r="CK549" s="582"/>
      <c r="CL549" s="582"/>
      <c r="CM549" s="582"/>
      <c r="CN549" s="582"/>
      <c r="CO549" s="582"/>
      <c r="CP549" s="582"/>
      <c r="CQ549" s="582"/>
      <c r="CR549" s="582"/>
      <c r="CS549" s="582"/>
      <c r="CT549" s="582"/>
      <c r="CU549" s="582"/>
      <c r="CV549" s="582"/>
      <c r="CW549" s="582"/>
      <c r="CX549" s="582"/>
      <c r="CY549" s="582"/>
      <c r="CZ549" s="582"/>
      <c r="DA549" s="582"/>
      <c r="DB549" s="582"/>
      <c r="DC549" s="582"/>
      <c r="DD549" s="582"/>
      <c r="DE549" s="582"/>
      <c r="DF549" s="582"/>
      <c r="DG549" s="582"/>
      <c r="DH549" s="582"/>
      <c r="DI549" s="582"/>
      <c r="DJ549" s="582"/>
      <c r="DK549" s="582"/>
      <c r="DL549" s="582"/>
      <c r="DM549" s="582"/>
      <c r="DN549" s="582"/>
      <c r="DO549" s="582"/>
      <c r="DP549" s="582"/>
      <c r="DQ549" s="582"/>
      <c r="DR549" s="582"/>
      <c r="DS549" s="582"/>
      <c r="DT549" s="582"/>
      <c r="DU549" s="582"/>
      <c r="DV549" s="582"/>
      <c r="DW549" s="582"/>
      <c r="DX549" s="582"/>
      <c r="DY549" s="582"/>
      <c r="DZ549" s="582"/>
      <c r="EA549" s="582"/>
      <c r="EB549" s="582"/>
      <c r="EC549" s="582"/>
      <c r="ED549" s="582"/>
      <c r="EE549" s="582"/>
      <c r="EF549" s="582"/>
      <c r="EG549" s="582"/>
      <c r="EH549" s="582"/>
      <c r="EI549" s="582"/>
      <c r="EJ549" s="582"/>
      <c r="EK549" s="582"/>
      <c r="EL549" s="582"/>
      <c r="EM549" s="582"/>
      <c r="EN549" s="582"/>
      <c r="EO549" s="582"/>
      <c r="EP549" s="582"/>
      <c r="EQ549" s="582"/>
      <c r="ER549" s="582"/>
      <c r="ES549" s="582"/>
      <c r="ET549" s="582"/>
      <c r="EU549" s="582"/>
      <c r="EV549" s="582"/>
      <c r="EW549" s="582"/>
      <c r="EX549" s="582"/>
      <c r="EY549" s="582"/>
      <c r="EZ549" s="582"/>
      <c r="FA549" s="582"/>
      <c r="FB549" s="582"/>
      <c r="FC549" s="582"/>
      <c r="FD549" s="582"/>
      <c r="FE549" s="582"/>
      <c r="FF549" s="582"/>
      <c r="FG549" s="582"/>
      <c r="FH549" s="582"/>
      <c r="FI549" s="582"/>
      <c r="FJ549" s="582"/>
      <c r="FK549" s="582"/>
      <c r="FL549" s="582"/>
      <c r="FM549" s="582"/>
      <c r="FN549" s="582"/>
      <c r="FO549" s="582"/>
      <c r="FP549" s="582"/>
      <c r="FQ549" s="582"/>
      <c r="FR549" s="582"/>
      <c r="FS549" s="582"/>
      <c r="FT549" s="582"/>
      <c r="FU549" s="582"/>
      <c r="FV549" s="582"/>
      <c r="FW549" s="582"/>
      <c r="FX549" s="582"/>
      <c r="FY549" s="582"/>
      <c r="FZ549" s="582"/>
      <c r="GA549" s="582"/>
      <c r="GB549" s="582"/>
      <c r="GC549" s="582"/>
      <c r="GD549" s="582"/>
      <c r="GE549" s="582"/>
      <c r="GF549" s="582"/>
      <c r="GG549" s="582"/>
      <c r="GH549" s="582"/>
      <c r="GI549" s="582"/>
      <c r="GJ549" s="582"/>
      <c r="GK549" s="582"/>
      <c r="GL549" s="582"/>
      <c r="GM549" s="582"/>
      <c r="GN549" s="582"/>
      <c r="GO549" s="582"/>
      <c r="GP549" s="582"/>
      <c r="GQ549" s="582"/>
      <c r="GR549" s="582"/>
      <c r="GS549" s="582"/>
      <c r="GT549" s="582"/>
      <c r="GU549" s="582"/>
      <c r="GV549" s="582"/>
      <c r="GW549" s="582"/>
      <c r="GX549" s="582"/>
      <c r="GY549" s="582"/>
      <c r="GZ549" s="582"/>
      <c r="HA549" s="582"/>
      <c r="HB549" s="582"/>
      <c r="HC549" s="582"/>
      <c r="HD549" s="582"/>
      <c r="HE549" s="582"/>
      <c r="HF549" s="582"/>
      <c r="HG549" s="582"/>
      <c r="HH549" s="582"/>
      <c r="HI549" s="582"/>
      <c r="HJ549" s="582"/>
      <c r="HK549" s="582"/>
      <c r="HL549" s="582"/>
      <c r="HM549" s="582"/>
      <c r="HN549" s="582"/>
      <c r="HO549" s="582"/>
      <c r="HP549" s="582"/>
      <c r="HQ549" s="582"/>
      <c r="HR549" s="582"/>
      <c r="HS549" s="582"/>
      <c r="HT549" s="582"/>
      <c r="HU549" s="582"/>
      <c r="HV549" s="582"/>
      <c r="HW549" s="582"/>
      <c r="HX549" s="582"/>
      <c r="HY549" s="582"/>
      <c r="HZ549" s="582"/>
      <c r="IA549" s="582"/>
      <c r="IB549" s="582"/>
      <c r="IC549" s="582"/>
      <c r="ID549" s="582"/>
      <c r="IE549" s="582"/>
      <c r="IF549" s="582"/>
      <c r="IG549" s="582"/>
      <c r="IH549" s="582"/>
      <c r="II549" s="582"/>
      <c r="IJ549" s="582"/>
      <c r="IK549" s="582"/>
      <c r="IL549" s="582"/>
      <c r="IM549" s="582"/>
      <c r="IN549" s="582"/>
      <c r="IO549" s="582"/>
      <c r="IP549" s="582"/>
      <c r="IQ549" s="582"/>
      <c r="IR549" s="582"/>
      <c r="IS549" s="582"/>
      <c r="IT549" s="582"/>
      <c r="IU549" s="582"/>
      <c r="IV549" s="582"/>
      <c r="IW549" s="582"/>
    </row>
    <row r="550" spans="1:257" s="582" customFormat="1" ht="15.75" hidden="1" customHeight="1">
      <c r="A550" s="812" t="s">
        <v>91</v>
      </c>
      <c r="B550" s="813" t="s">
        <v>306</v>
      </c>
      <c r="C550" s="713"/>
      <c r="D550" s="713"/>
      <c r="E550" s="725"/>
      <c r="F550" s="725"/>
      <c r="G550" s="1088"/>
      <c r="H550" s="1088"/>
      <c r="I550" s="1088"/>
      <c r="J550" s="725"/>
      <c r="K550" s="725"/>
      <c r="L550" s="1311"/>
      <c r="M550" s="669"/>
      <c r="N550" s="868"/>
      <c r="O550" s="868"/>
      <c r="P550" s="1052"/>
      <c r="Q550" s="1052"/>
      <c r="R550" s="821"/>
      <c r="S550" s="900"/>
      <c r="T550" s="822"/>
      <c r="U550" s="577"/>
      <c r="V550" s="727"/>
      <c r="W550" s="727"/>
      <c r="X550" s="728"/>
      <c r="Y550" s="682"/>
      <c r="Z550" s="682"/>
      <c r="AA550" s="682"/>
      <c r="AB550" s="682"/>
      <c r="AC550" s="682"/>
      <c r="AD550" s="682"/>
      <c r="AE550" s="682"/>
      <c r="AF550" s="682"/>
      <c r="AG550" s="682"/>
      <c r="AH550" s="682"/>
      <c r="AI550" s="682"/>
      <c r="AJ550" s="682"/>
      <c r="AK550" s="682"/>
      <c r="AL550" s="682"/>
      <c r="AM550" s="682"/>
      <c r="AN550" s="682"/>
      <c r="AO550" s="682"/>
      <c r="AP550" s="682"/>
      <c r="AQ550" s="682"/>
      <c r="AR550" s="682"/>
      <c r="AS550" s="682"/>
      <c r="AT550" s="682"/>
      <c r="AU550" s="682"/>
      <c r="AV550" s="682"/>
      <c r="AW550" s="682"/>
      <c r="AX550" s="682"/>
      <c r="AY550" s="682"/>
      <c r="AZ550" s="682"/>
      <c r="BA550" s="682"/>
      <c r="BB550" s="682"/>
      <c r="BC550" s="682"/>
      <c r="BD550" s="682"/>
      <c r="BE550" s="682"/>
      <c r="BF550" s="682"/>
      <c r="BG550" s="682"/>
      <c r="BH550" s="682"/>
      <c r="BI550" s="682"/>
      <c r="BJ550" s="682"/>
      <c r="BK550" s="682"/>
      <c r="BL550" s="682"/>
      <c r="BM550" s="682"/>
      <c r="BN550" s="682"/>
      <c r="BO550" s="682"/>
      <c r="BP550" s="682"/>
      <c r="BQ550" s="682"/>
      <c r="BR550" s="682"/>
      <c r="BS550" s="682"/>
      <c r="BT550" s="682"/>
      <c r="BU550" s="682"/>
      <c r="BV550" s="682"/>
      <c r="BW550" s="682"/>
      <c r="BX550" s="682"/>
      <c r="BY550" s="682"/>
      <c r="BZ550" s="682"/>
      <c r="CA550" s="682"/>
      <c r="CB550" s="682"/>
      <c r="CC550" s="682"/>
      <c r="CD550" s="682"/>
      <c r="CE550" s="682"/>
      <c r="CF550" s="682"/>
      <c r="CG550" s="682"/>
      <c r="CH550" s="682"/>
      <c r="CI550" s="682"/>
      <c r="CJ550" s="682"/>
      <c r="CK550" s="682"/>
      <c r="CL550" s="682"/>
      <c r="CM550" s="682"/>
      <c r="CN550" s="682"/>
      <c r="CO550" s="682"/>
      <c r="CP550" s="682"/>
      <c r="CQ550" s="682"/>
      <c r="CR550" s="682"/>
      <c r="CS550" s="682"/>
      <c r="CT550" s="682"/>
      <c r="CU550" s="682"/>
      <c r="CV550" s="682"/>
      <c r="CW550" s="682"/>
      <c r="CX550" s="682"/>
      <c r="CY550" s="682"/>
      <c r="CZ550" s="682"/>
      <c r="DA550" s="682"/>
      <c r="DB550" s="682"/>
      <c r="DC550" s="682"/>
      <c r="DD550" s="682"/>
      <c r="DE550" s="682"/>
      <c r="DF550" s="682"/>
      <c r="DG550" s="682"/>
      <c r="DH550" s="682"/>
      <c r="DI550" s="682"/>
      <c r="DJ550" s="682"/>
      <c r="DK550" s="682"/>
      <c r="DL550" s="682"/>
      <c r="DM550" s="682"/>
      <c r="DN550" s="682"/>
      <c r="DO550" s="682"/>
      <c r="DP550" s="682"/>
      <c r="DQ550" s="682"/>
      <c r="DR550" s="682"/>
      <c r="DS550" s="682"/>
      <c r="DT550" s="682"/>
      <c r="DU550" s="682"/>
      <c r="DV550" s="682"/>
      <c r="DW550" s="682"/>
      <c r="DX550" s="682"/>
      <c r="DY550" s="682"/>
      <c r="DZ550" s="682"/>
      <c r="EA550" s="682"/>
      <c r="EB550" s="682"/>
      <c r="EC550" s="682"/>
      <c r="ED550" s="682"/>
      <c r="EE550" s="682"/>
      <c r="EF550" s="682"/>
      <c r="EG550" s="682"/>
      <c r="EH550" s="682"/>
      <c r="EI550" s="682"/>
      <c r="EJ550" s="682"/>
      <c r="EK550" s="682"/>
      <c r="EL550" s="682"/>
      <c r="EM550" s="682"/>
      <c r="EN550" s="682"/>
      <c r="EO550" s="682"/>
      <c r="EP550" s="682"/>
      <c r="EQ550" s="682"/>
      <c r="ER550" s="682"/>
      <c r="ES550" s="682"/>
      <c r="ET550" s="682"/>
      <c r="EU550" s="682"/>
      <c r="EV550" s="682"/>
      <c r="EW550" s="682"/>
      <c r="EX550" s="682"/>
      <c r="EY550" s="682"/>
      <c r="EZ550" s="682"/>
      <c r="FA550" s="682"/>
      <c r="FB550" s="682"/>
      <c r="FC550" s="682"/>
      <c r="FD550" s="682"/>
      <c r="FE550" s="682"/>
      <c r="FF550" s="682"/>
      <c r="FG550" s="682"/>
      <c r="FH550" s="682"/>
      <c r="FI550" s="682"/>
      <c r="FJ550" s="682"/>
      <c r="FK550" s="682"/>
      <c r="FL550" s="682"/>
      <c r="FM550" s="682"/>
      <c r="FN550" s="682"/>
      <c r="FO550" s="682"/>
      <c r="FP550" s="682"/>
      <c r="FQ550" s="682"/>
      <c r="FR550" s="682"/>
      <c r="FS550" s="682"/>
      <c r="FT550" s="682"/>
      <c r="FU550" s="682"/>
      <c r="FV550" s="682"/>
      <c r="FW550" s="682"/>
      <c r="FX550" s="682"/>
      <c r="FY550" s="682"/>
      <c r="FZ550" s="682"/>
      <c r="GA550" s="682"/>
      <c r="GB550" s="682"/>
      <c r="GC550" s="682"/>
      <c r="GD550" s="682"/>
      <c r="GE550" s="682"/>
      <c r="GF550" s="682"/>
      <c r="GG550" s="682"/>
      <c r="GH550" s="682"/>
      <c r="GI550" s="682"/>
      <c r="GJ550" s="682"/>
      <c r="GK550" s="682"/>
      <c r="GL550" s="682"/>
      <c r="GM550" s="682"/>
      <c r="GN550" s="682"/>
      <c r="GO550" s="682"/>
      <c r="GP550" s="682"/>
      <c r="GQ550" s="682"/>
      <c r="GR550" s="682"/>
      <c r="GS550" s="682"/>
      <c r="GT550" s="682"/>
      <c r="GU550" s="682"/>
      <c r="GV550" s="682"/>
      <c r="GW550" s="682"/>
      <c r="GX550" s="682"/>
      <c r="GY550" s="682"/>
      <c r="GZ550" s="682"/>
      <c r="HA550" s="682"/>
      <c r="HB550" s="682"/>
      <c r="HC550" s="682"/>
      <c r="HD550" s="682"/>
      <c r="HE550" s="682"/>
      <c r="HF550" s="682"/>
      <c r="HG550" s="682"/>
      <c r="HH550" s="682"/>
      <c r="HI550" s="682"/>
      <c r="HJ550" s="682"/>
      <c r="HK550" s="682"/>
      <c r="HL550" s="682"/>
      <c r="HM550" s="682"/>
      <c r="HN550" s="682"/>
      <c r="HO550" s="682"/>
      <c r="HP550" s="682"/>
      <c r="HQ550" s="682"/>
      <c r="HR550" s="682"/>
      <c r="HS550" s="682"/>
      <c r="HT550" s="682"/>
      <c r="HU550" s="682"/>
      <c r="HV550" s="682"/>
      <c r="HW550" s="682"/>
      <c r="HX550" s="682"/>
      <c r="HY550" s="682"/>
      <c r="HZ550" s="682"/>
      <c r="IA550" s="682"/>
      <c r="IB550" s="682"/>
      <c r="IC550" s="682"/>
      <c r="ID550" s="682"/>
      <c r="IE550" s="682"/>
      <c r="IF550" s="682"/>
      <c r="IG550" s="682"/>
      <c r="IH550" s="682"/>
      <c r="II550" s="682"/>
      <c r="IJ550" s="682"/>
      <c r="IK550" s="682"/>
      <c r="IL550" s="682"/>
      <c r="IM550" s="682"/>
      <c r="IN550" s="682"/>
      <c r="IO550" s="682"/>
      <c r="IP550" s="682"/>
      <c r="IQ550" s="682"/>
      <c r="IR550" s="682"/>
      <c r="IS550" s="682"/>
      <c r="IT550" s="682"/>
      <c r="IU550" s="682"/>
      <c r="IV550" s="682"/>
      <c r="IW550" s="682"/>
    </row>
    <row r="551" spans="1:257" s="582" customFormat="1">
      <c r="A551" s="589" t="s">
        <v>225</v>
      </c>
      <c r="B551" s="804" t="s">
        <v>257</v>
      </c>
      <c r="C551" s="589"/>
      <c r="D551" s="589"/>
      <c r="E551" s="704"/>
      <c r="F551" s="805">
        <f t="shared" ref="F551:J551" si="67">SUM(F552:F565)</f>
        <v>319000000</v>
      </c>
      <c r="G551" s="805">
        <f t="shared" si="67"/>
        <v>7000000</v>
      </c>
      <c r="H551" s="805">
        <f t="shared" si="67"/>
        <v>0</v>
      </c>
      <c r="I551" s="805">
        <f t="shared" si="67"/>
        <v>0</v>
      </c>
      <c r="J551" s="805">
        <f t="shared" si="67"/>
        <v>892500000</v>
      </c>
      <c r="K551" s="805">
        <f>SUM(K552:K565)</f>
        <v>668000000</v>
      </c>
      <c r="L551" s="1312">
        <f>SUM(L552:L565)</f>
        <v>734700000</v>
      </c>
      <c r="M551" s="603"/>
      <c r="N551" s="835"/>
      <c r="O551" s="835"/>
      <c r="P551" s="829"/>
      <c r="Q551" s="829"/>
      <c r="R551" s="1026"/>
      <c r="S551" s="900"/>
      <c r="T551" s="822"/>
      <c r="U551" s="577"/>
      <c r="V551" s="727"/>
      <c r="W551" s="581"/>
      <c r="X551" s="578"/>
    </row>
    <row r="552" spans="1:257" s="582" customFormat="1">
      <c r="A552" s="683" t="s">
        <v>258</v>
      </c>
      <c r="B552" s="696" t="s">
        <v>130</v>
      </c>
      <c r="C552" s="635"/>
      <c r="D552" s="635"/>
      <c r="E552" s="651"/>
      <c r="F552" s="669">
        <v>25000000</v>
      </c>
      <c r="G552" s="651"/>
      <c r="H552" s="651"/>
      <c r="I552" s="651"/>
      <c r="J552" s="669">
        <v>110000000</v>
      </c>
      <c r="K552" s="669"/>
      <c r="L552" s="1306"/>
      <c r="M552" s="669"/>
      <c r="N552" s="837"/>
      <c r="O552" s="837"/>
      <c r="P552" s="826"/>
      <c r="Q552" s="826"/>
      <c r="R552" s="1026"/>
      <c r="S552" s="866"/>
      <c r="T552" s="839"/>
      <c r="U552" s="577"/>
      <c r="V552" s="727"/>
      <c r="W552" s="581"/>
      <c r="X552" s="578"/>
    </row>
    <row r="553" spans="1:257" s="582" customFormat="1">
      <c r="A553" s="683" t="s">
        <v>258</v>
      </c>
      <c r="B553" s="696" t="s">
        <v>131</v>
      </c>
      <c r="C553" s="635"/>
      <c r="D553" s="635"/>
      <c r="E553" s="651"/>
      <c r="F553" s="669">
        <v>15000000</v>
      </c>
      <c r="G553" s="651" t="s">
        <v>1066</v>
      </c>
      <c r="H553" s="651"/>
      <c r="I553" s="651"/>
      <c r="J553" s="669">
        <v>15000000</v>
      </c>
      <c r="K553" s="669">
        <v>15000000</v>
      </c>
      <c r="L553" s="1306">
        <v>22800000</v>
      </c>
      <c r="M553" s="669"/>
      <c r="N553" s="837"/>
      <c r="O553" s="837"/>
      <c r="P553" s="826"/>
      <c r="Q553" s="826"/>
      <c r="R553" s="1026"/>
      <c r="S553" s="866"/>
      <c r="T553" s="839"/>
      <c r="U553" s="577"/>
      <c r="V553" s="727"/>
      <c r="W553" s="581"/>
      <c r="X553" s="578"/>
    </row>
    <row r="554" spans="1:257" s="582" customFormat="1">
      <c r="A554" s="683" t="s">
        <v>258</v>
      </c>
      <c r="B554" s="696" t="s">
        <v>1372</v>
      </c>
      <c r="C554" s="683"/>
      <c r="D554" s="683"/>
      <c r="E554" s="669"/>
      <c r="F554" s="669">
        <v>20000000</v>
      </c>
      <c r="G554" s="651"/>
      <c r="H554" s="651"/>
      <c r="I554" s="651"/>
      <c r="J554" s="669">
        <v>76500000</v>
      </c>
      <c r="K554" s="669"/>
      <c r="L554" s="1306"/>
      <c r="M554" s="669"/>
      <c r="N554" s="837"/>
      <c r="O554" s="837"/>
      <c r="P554" s="826"/>
      <c r="Q554" s="826"/>
      <c r="R554" s="869"/>
      <c r="S554" s="871"/>
      <c r="T554" s="824"/>
      <c r="U554" s="1089"/>
      <c r="V554" s="581"/>
      <c r="W554" s="581"/>
      <c r="X554" s="578" t="e">
        <f>#REF!*1150000</f>
        <v>#REF!</v>
      </c>
    </row>
    <row r="555" spans="1:257" s="582" customFormat="1" ht="47.25">
      <c r="A555" s="683"/>
      <c r="B555" s="696" t="s">
        <v>1067</v>
      </c>
      <c r="C555" s="683"/>
      <c r="D555" s="683"/>
      <c r="E555" s="669"/>
      <c r="F555" s="669"/>
      <c r="G555" s="651"/>
      <c r="H555" s="651"/>
      <c r="I555" s="651"/>
      <c r="J555" s="669"/>
      <c r="K555" s="669">
        <v>100000000</v>
      </c>
      <c r="L555" s="1306">
        <v>100000000</v>
      </c>
      <c r="M555" s="669"/>
      <c r="N555" s="837"/>
      <c r="O555" s="837"/>
      <c r="P555" s="826"/>
      <c r="Q555" s="826"/>
      <c r="R555" s="869"/>
      <c r="S555" s="871"/>
      <c r="T555" s="824"/>
      <c r="U555" s="1089"/>
      <c r="V555" s="581"/>
      <c r="W555" s="581"/>
      <c r="X555" s="578"/>
    </row>
    <row r="556" spans="1:257" s="582" customFormat="1">
      <c r="A556" s="683" t="s">
        <v>258</v>
      </c>
      <c r="B556" s="696" t="s">
        <v>1447</v>
      </c>
      <c r="C556" s="635"/>
      <c r="D556" s="635"/>
      <c r="E556" s="651"/>
      <c r="F556" s="669">
        <v>54000000</v>
      </c>
      <c r="G556" s="651"/>
      <c r="H556" s="651"/>
      <c r="I556" s="651"/>
      <c r="J556" s="669">
        <v>54000000</v>
      </c>
      <c r="K556" s="669"/>
      <c r="L556" s="1306">
        <v>11900000</v>
      </c>
      <c r="M556" s="669"/>
      <c r="N556" s="837"/>
      <c r="O556" s="837"/>
      <c r="P556" s="826"/>
      <c r="Q556" s="826"/>
      <c r="R556" s="869"/>
      <c r="S556" s="871"/>
      <c r="T556" s="824"/>
      <c r="U556" s="580"/>
      <c r="V556" s="581"/>
      <c r="W556" s="581"/>
      <c r="X556" s="578"/>
    </row>
    <row r="557" spans="1:257" s="582" customFormat="1">
      <c r="A557" s="683" t="s">
        <v>258</v>
      </c>
      <c r="B557" s="696" t="s">
        <v>1068</v>
      </c>
      <c r="C557" s="635"/>
      <c r="D557" s="635"/>
      <c r="E557" s="651"/>
      <c r="F557" s="669">
        <v>80000000</v>
      </c>
      <c r="G557" s="651"/>
      <c r="H557" s="651"/>
      <c r="I557" s="651"/>
      <c r="J557" s="669">
        <v>170000000</v>
      </c>
      <c r="K557" s="669">
        <v>150000000</v>
      </c>
      <c r="L557" s="1306">
        <v>130000000</v>
      </c>
      <c r="M557" s="669"/>
      <c r="N557" s="837"/>
      <c r="O557" s="837"/>
      <c r="P557" s="826"/>
      <c r="Q557" s="826"/>
      <c r="R557" s="869"/>
      <c r="S557" s="871"/>
      <c r="T557" s="824"/>
      <c r="U557" s="580"/>
      <c r="V557" s="581"/>
      <c r="W557" s="581"/>
      <c r="X557" s="578"/>
    </row>
    <row r="558" spans="1:257" s="724" customFormat="1" ht="31.5">
      <c r="A558" s="683" t="s">
        <v>258</v>
      </c>
      <c r="B558" s="696" t="s">
        <v>381</v>
      </c>
      <c r="C558" s="635"/>
      <c r="D558" s="635"/>
      <c r="E558" s="651"/>
      <c r="F558" s="669">
        <v>40000000</v>
      </c>
      <c r="G558" s="651"/>
      <c r="H558" s="651"/>
      <c r="I558" s="651"/>
      <c r="J558" s="669">
        <v>40000000</v>
      </c>
      <c r="K558" s="669">
        <v>28000000</v>
      </c>
      <c r="L558" s="1306">
        <v>25000000</v>
      </c>
      <c r="M558" s="669"/>
      <c r="N558" s="837"/>
      <c r="O558" s="837"/>
      <c r="P558" s="826"/>
      <c r="Q558" s="826"/>
      <c r="R558" s="869"/>
      <c r="S558" s="866" t="s">
        <v>842</v>
      </c>
      <c r="T558" s="839"/>
      <c r="U558" s="726"/>
      <c r="V558" s="581"/>
      <c r="W558" s="581"/>
      <c r="X558" s="578"/>
      <c r="Y558" s="582"/>
      <c r="Z558" s="582"/>
      <c r="AA558" s="582"/>
      <c r="AB558" s="582"/>
      <c r="AC558" s="582"/>
      <c r="AD558" s="582"/>
      <c r="AE558" s="582"/>
      <c r="AF558" s="582"/>
      <c r="AG558" s="582"/>
      <c r="AH558" s="582"/>
      <c r="AI558" s="582"/>
      <c r="AJ558" s="582"/>
      <c r="AK558" s="582"/>
      <c r="AL558" s="582"/>
      <c r="AM558" s="582"/>
      <c r="AN558" s="582"/>
      <c r="AO558" s="582"/>
      <c r="AP558" s="582"/>
      <c r="AQ558" s="582"/>
      <c r="AR558" s="582"/>
      <c r="AS558" s="582"/>
      <c r="AT558" s="582"/>
      <c r="AU558" s="582"/>
      <c r="AV558" s="582"/>
      <c r="AW558" s="582"/>
      <c r="AX558" s="582"/>
      <c r="AY558" s="582"/>
      <c r="AZ558" s="582"/>
      <c r="BA558" s="582"/>
      <c r="BB558" s="582"/>
      <c r="BC558" s="582"/>
      <c r="BD558" s="582"/>
      <c r="BE558" s="582"/>
      <c r="BF558" s="582"/>
      <c r="BG558" s="582"/>
      <c r="BH558" s="582"/>
      <c r="BI558" s="582"/>
      <c r="BJ558" s="582"/>
      <c r="BK558" s="582"/>
      <c r="BL558" s="582"/>
      <c r="BM558" s="582"/>
      <c r="BN558" s="582"/>
      <c r="BO558" s="582"/>
      <c r="BP558" s="582"/>
      <c r="BQ558" s="582"/>
      <c r="BR558" s="582"/>
      <c r="BS558" s="582"/>
      <c r="BT558" s="582"/>
      <c r="BU558" s="582"/>
      <c r="BV558" s="582"/>
      <c r="BW558" s="582"/>
      <c r="BX558" s="582"/>
      <c r="BY558" s="582"/>
      <c r="BZ558" s="582"/>
      <c r="CA558" s="582"/>
      <c r="CB558" s="582"/>
      <c r="CC558" s="582"/>
      <c r="CD558" s="582"/>
      <c r="CE558" s="582"/>
      <c r="CF558" s="582"/>
      <c r="CG558" s="582"/>
      <c r="CH558" s="582"/>
      <c r="CI558" s="582"/>
      <c r="CJ558" s="582"/>
      <c r="CK558" s="582"/>
      <c r="CL558" s="582"/>
      <c r="CM558" s="582"/>
      <c r="CN558" s="582"/>
      <c r="CO558" s="582"/>
      <c r="CP558" s="582"/>
      <c r="CQ558" s="582"/>
      <c r="CR558" s="582"/>
      <c r="CS558" s="582"/>
      <c r="CT558" s="582"/>
      <c r="CU558" s="582"/>
      <c r="CV558" s="582"/>
      <c r="CW558" s="582"/>
      <c r="CX558" s="582"/>
      <c r="CY558" s="582"/>
      <c r="CZ558" s="582"/>
      <c r="DA558" s="582"/>
      <c r="DB558" s="582"/>
      <c r="DC558" s="582"/>
      <c r="DD558" s="582"/>
      <c r="DE558" s="582"/>
      <c r="DF558" s="582"/>
      <c r="DG558" s="582"/>
      <c r="DH558" s="582"/>
      <c r="DI558" s="582"/>
      <c r="DJ558" s="582"/>
      <c r="DK558" s="582"/>
      <c r="DL558" s="582"/>
      <c r="DM558" s="582"/>
      <c r="DN558" s="582"/>
      <c r="DO558" s="582"/>
      <c r="DP558" s="582"/>
      <c r="DQ558" s="582"/>
      <c r="DR558" s="582"/>
      <c r="DS558" s="582"/>
      <c r="DT558" s="582"/>
      <c r="DU558" s="582"/>
      <c r="DV558" s="582"/>
      <c r="DW558" s="582"/>
      <c r="DX558" s="582"/>
      <c r="DY558" s="582"/>
      <c r="DZ558" s="582"/>
      <c r="EA558" s="582"/>
      <c r="EB558" s="582"/>
      <c r="EC558" s="582"/>
      <c r="ED558" s="582"/>
      <c r="EE558" s="582"/>
      <c r="EF558" s="582"/>
      <c r="EG558" s="582"/>
      <c r="EH558" s="582"/>
      <c r="EI558" s="582"/>
      <c r="EJ558" s="582"/>
      <c r="EK558" s="582"/>
      <c r="EL558" s="582"/>
      <c r="EM558" s="582"/>
      <c r="EN558" s="582"/>
      <c r="EO558" s="582"/>
      <c r="EP558" s="582"/>
      <c r="EQ558" s="582"/>
      <c r="ER558" s="582"/>
      <c r="ES558" s="582"/>
      <c r="ET558" s="582"/>
      <c r="EU558" s="582"/>
      <c r="EV558" s="582"/>
      <c r="EW558" s="582"/>
      <c r="EX558" s="582"/>
      <c r="EY558" s="582"/>
      <c r="EZ558" s="582"/>
      <c r="FA558" s="582"/>
      <c r="FB558" s="582"/>
      <c r="FC558" s="582"/>
      <c r="FD558" s="582"/>
      <c r="FE558" s="582"/>
      <c r="FF558" s="582"/>
      <c r="FG558" s="582"/>
      <c r="FH558" s="582"/>
      <c r="FI558" s="582"/>
      <c r="FJ558" s="582"/>
      <c r="FK558" s="582"/>
      <c r="FL558" s="582"/>
      <c r="FM558" s="582"/>
      <c r="FN558" s="582"/>
      <c r="FO558" s="582"/>
      <c r="FP558" s="582"/>
      <c r="FQ558" s="582"/>
      <c r="FR558" s="582"/>
      <c r="FS558" s="582"/>
      <c r="FT558" s="582"/>
      <c r="FU558" s="582"/>
      <c r="FV558" s="582"/>
      <c r="FW558" s="582"/>
      <c r="FX558" s="582"/>
      <c r="FY558" s="582"/>
      <c r="FZ558" s="582"/>
      <c r="GA558" s="582"/>
      <c r="GB558" s="582"/>
      <c r="GC558" s="582"/>
      <c r="GD558" s="582"/>
      <c r="GE558" s="582"/>
      <c r="GF558" s="582"/>
      <c r="GG558" s="582"/>
      <c r="GH558" s="582"/>
      <c r="GI558" s="582"/>
      <c r="GJ558" s="582"/>
      <c r="GK558" s="582"/>
      <c r="GL558" s="582"/>
      <c r="GM558" s="582"/>
      <c r="GN558" s="582"/>
      <c r="GO558" s="582"/>
      <c r="GP558" s="582"/>
      <c r="GQ558" s="582"/>
      <c r="GR558" s="582"/>
      <c r="GS558" s="582"/>
      <c r="GT558" s="582"/>
      <c r="GU558" s="582"/>
      <c r="GV558" s="582"/>
      <c r="GW558" s="582"/>
      <c r="GX558" s="582"/>
      <c r="GY558" s="582"/>
      <c r="GZ558" s="582"/>
      <c r="HA558" s="582"/>
      <c r="HB558" s="582"/>
      <c r="HC558" s="582"/>
      <c r="HD558" s="582"/>
      <c r="HE558" s="582"/>
      <c r="HF558" s="582"/>
      <c r="HG558" s="582"/>
      <c r="HH558" s="582"/>
      <c r="HI558" s="582"/>
      <c r="HJ558" s="582"/>
      <c r="HK558" s="582"/>
      <c r="HL558" s="582"/>
      <c r="HM558" s="582"/>
      <c r="HN558" s="582"/>
      <c r="HO558" s="582"/>
      <c r="HP558" s="582"/>
      <c r="HQ558" s="582"/>
      <c r="HR558" s="582"/>
      <c r="HS558" s="582"/>
      <c r="HT558" s="582"/>
      <c r="HU558" s="582"/>
      <c r="HV558" s="582"/>
      <c r="HW558" s="582"/>
      <c r="HX558" s="582"/>
      <c r="HY558" s="582"/>
      <c r="HZ558" s="582"/>
      <c r="IA558" s="582"/>
      <c r="IB558" s="582"/>
      <c r="IC558" s="582"/>
      <c r="ID558" s="582"/>
      <c r="IE558" s="582"/>
      <c r="IF558" s="582"/>
      <c r="IG558" s="582"/>
      <c r="IH558" s="582"/>
      <c r="II558" s="582"/>
      <c r="IJ558" s="582"/>
      <c r="IK558" s="582"/>
      <c r="IL558" s="582"/>
      <c r="IM558" s="582"/>
      <c r="IN558" s="582"/>
      <c r="IO558" s="582"/>
      <c r="IP558" s="582"/>
      <c r="IQ558" s="582"/>
      <c r="IR558" s="582"/>
      <c r="IS558" s="582"/>
      <c r="IT558" s="582"/>
      <c r="IU558" s="582"/>
      <c r="IV558" s="582"/>
      <c r="IW558" s="582"/>
    </row>
    <row r="559" spans="1:257" s="724" customFormat="1">
      <c r="A559" s="683" t="s">
        <v>258</v>
      </c>
      <c r="B559" s="696" t="s">
        <v>135</v>
      </c>
      <c r="C559" s="635"/>
      <c r="D559" s="635"/>
      <c r="E559" s="651"/>
      <c r="F559" s="669">
        <v>20000000</v>
      </c>
      <c r="G559" s="651"/>
      <c r="H559" s="651"/>
      <c r="I559" s="651"/>
      <c r="J559" s="669">
        <v>70000000</v>
      </c>
      <c r="K559" s="669"/>
      <c r="L559" s="1306"/>
      <c r="M559" s="669"/>
      <c r="N559" s="837"/>
      <c r="O559" s="837"/>
      <c r="P559" s="826"/>
      <c r="Q559" s="826"/>
      <c r="R559" s="869"/>
      <c r="S559" s="866"/>
      <c r="T559" s="839"/>
      <c r="U559" s="726"/>
      <c r="V559" s="581"/>
      <c r="W559" s="581"/>
      <c r="X559" s="578"/>
      <c r="Y559" s="582"/>
      <c r="Z559" s="582"/>
      <c r="AA559" s="582"/>
      <c r="AB559" s="582"/>
      <c r="AC559" s="582"/>
      <c r="AD559" s="582"/>
      <c r="AE559" s="582"/>
      <c r="AF559" s="582"/>
      <c r="AG559" s="582"/>
      <c r="AH559" s="582"/>
      <c r="AI559" s="582"/>
      <c r="AJ559" s="582"/>
      <c r="AK559" s="582"/>
      <c r="AL559" s="582"/>
      <c r="AM559" s="582"/>
      <c r="AN559" s="582"/>
      <c r="AO559" s="582"/>
      <c r="AP559" s="582"/>
      <c r="AQ559" s="582"/>
      <c r="AR559" s="582"/>
      <c r="AS559" s="582"/>
      <c r="AT559" s="582"/>
      <c r="AU559" s="582"/>
      <c r="AV559" s="582"/>
      <c r="AW559" s="582"/>
      <c r="AX559" s="582"/>
      <c r="AY559" s="582"/>
      <c r="AZ559" s="582"/>
      <c r="BA559" s="582"/>
      <c r="BB559" s="582"/>
      <c r="BC559" s="582"/>
      <c r="BD559" s="582"/>
      <c r="BE559" s="582"/>
      <c r="BF559" s="582"/>
      <c r="BG559" s="582"/>
      <c r="BH559" s="582"/>
      <c r="BI559" s="582"/>
      <c r="BJ559" s="582"/>
      <c r="BK559" s="582"/>
      <c r="BL559" s="582"/>
      <c r="BM559" s="582"/>
      <c r="BN559" s="582"/>
      <c r="BO559" s="582"/>
      <c r="BP559" s="582"/>
      <c r="BQ559" s="582"/>
      <c r="BR559" s="582"/>
      <c r="BS559" s="582"/>
      <c r="BT559" s="582"/>
      <c r="BU559" s="582"/>
      <c r="BV559" s="582"/>
      <c r="BW559" s="582"/>
      <c r="BX559" s="582"/>
      <c r="BY559" s="582"/>
      <c r="BZ559" s="582"/>
      <c r="CA559" s="582"/>
      <c r="CB559" s="582"/>
      <c r="CC559" s="582"/>
      <c r="CD559" s="582"/>
      <c r="CE559" s="582"/>
      <c r="CF559" s="582"/>
      <c r="CG559" s="582"/>
      <c r="CH559" s="582"/>
      <c r="CI559" s="582"/>
      <c r="CJ559" s="582"/>
      <c r="CK559" s="582"/>
      <c r="CL559" s="582"/>
      <c r="CM559" s="582"/>
      <c r="CN559" s="582"/>
      <c r="CO559" s="582"/>
      <c r="CP559" s="582"/>
      <c r="CQ559" s="582"/>
      <c r="CR559" s="582"/>
      <c r="CS559" s="582"/>
      <c r="CT559" s="582"/>
      <c r="CU559" s="582"/>
      <c r="CV559" s="582"/>
      <c r="CW559" s="582"/>
      <c r="CX559" s="582"/>
      <c r="CY559" s="582"/>
      <c r="CZ559" s="582"/>
      <c r="DA559" s="582"/>
      <c r="DB559" s="582"/>
      <c r="DC559" s="582"/>
      <c r="DD559" s="582"/>
      <c r="DE559" s="582"/>
      <c r="DF559" s="582"/>
      <c r="DG559" s="582"/>
      <c r="DH559" s="582"/>
      <c r="DI559" s="582"/>
      <c r="DJ559" s="582"/>
      <c r="DK559" s="582"/>
      <c r="DL559" s="582"/>
      <c r="DM559" s="582"/>
      <c r="DN559" s="582"/>
      <c r="DO559" s="582"/>
      <c r="DP559" s="582"/>
      <c r="DQ559" s="582"/>
      <c r="DR559" s="582"/>
      <c r="DS559" s="582"/>
      <c r="DT559" s="582"/>
      <c r="DU559" s="582"/>
      <c r="DV559" s="582"/>
      <c r="DW559" s="582"/>
      <c r="DX559" s="582"/>
      <c r="DY559" s="582"/>
      <c r="DZ559" s="582"/>
      <c r="EA559" s="582"/>
      <c r="EB559" s="582"/>
      <c r="EC559" s="582"/>
      <c r="ED559" s="582"/>
      <c r="EE559" s="582"/>
      <c r="EF559" s="582"/>
      <c r="EG559" s="582"/>
      <c r="EH559" s="582"/>
      <c r="EI559" s="582"/>
      <c r="EJ559" s="582"/>
      <c r="EK559" s="582"/>
      <c r="EL559" s="582"/>
      <c r="EM559" s="582"/>
      <c r="EN559" s="582"/>
      <c r="EO559" s="582"/>
      <c r="EP559" s="582"/>
      <c r="EQ559" s="582"/>
      <c r="ER559" s="582"/>
      <c r="ES559" s="582"/>
      <c r="ET559" s="582"/>
      <c r="EU559" s="582"/>
      <c r="EV559" s="582"/>
      <c r="EW559" s="582"/>
      <c r="EX559" s="582"/>
      <c r="EY559" s="582"/>
      <c r="EZ559" s="582"/>
      <c r="FA559" s="582"/>
      <c r="FB559" s="582"/>
      <c r="FC559" s="582"/>
      <c r="FD559" s="582"/>
      <c r="FE559" s="582"/>
      <c r="FF559" s="582"/>
      <c r="FG559" s="582"/>
      <c r="FH559" s="582"/>
      <c r="FI559" s="582"/>
      <c r="FJ559" s="582"/>
      <c r="FK559" s="582"/>
      <c r="FL559" s="582"/>
      <c r="FM559" s="582"/>
      <c r="FN559" s="582"/>
      <c r="FO559" s="582"/>
      <c r="FP559" s="582"/>
      <c r="FQ559" s="582"/>
      <c r="FR559" s="582"/>
      <c r="FS559" s="582"/>
      <c r="FT559" s="582"/>
      <c r="FU559" s="582"/>
      <c r="FV559" s="582"/>
      <c r="FW559" s="582"/>
      <c r="FX559" s="582"/>
      <c r="FY559" s="582"/>
      <c r="FZ559" s="582"/>
      <c r="GA559" s="582"/>
      <c r="GB559" s="582"/>
      <c r="GC559" s="582"/>
      <c r="GD559" s="582"/>
      <c r="GE559" s="582"/>
      <c r="GF559" s="582"/>
      <c r="GG559" s="582"/>
      <c r="GH559" s="582"/>
      <c r="GI559" s="582"/>
      <c r="GJ559" s="582"/>
      <c r="GK559" s="582"/>
      <c r="GL559" s="582"/>
      <c r="GM559" s="582"/>
      <c r="GN559" s="582"/>
      <c r="GO559" s="582"/>
      <c r="GP559" s="582"/>
      <c r="GQ559" s="582"/>
      <c r="GR559" s="582"/>
      <c r="GS559" s="582"/>
      <c r="GT559" s="582"/>
      <c r="GU559" s="582"/>
      <c r="GV559" s="582"/>
      <c r="GW559" s="582"/>
      <c r="GX559" s="582"/>
      <c r="GY559" s="582"/>
      <c r="GZ559" s="582"/>
      <c r="HA559" s="582"/>
      <c r="HB559" s="582"/>
      <c r="HC559" s="582"/>
      <c r="HD559" s="582"/>
      <c r="HE559" s="582"/>
      <c r="HF559" s="582"/>
      <c r="HG559" s="582"/>
      <c r="HH559" s="582"/>
      <c r="HI559" s="582"/>
      <c r="HJ559" s="582"/>
      <c r="HK559" s="582"/>
      <c r="HL559" s="582"/>
      <c r="HM559" s="582"/>
      <c r="HN559" s="582"/>
      <c r="HO559" s="582"/>
      <c r="HP559" s="582"/>
      <c r="HQ559" s="582"/>
      <c r="HR559" s="582"/>
      <c r="HS559" s="582"/>
      <c r="HT559" s="582"/>
      <c r="HU559" s="582"/>
      <c r="HV559" s="582"/>
      <c r="HW559" s="582"/>
      <c r="HX559" s="582"/>
      <c r="HY559" s="582"/>
      <c r="HZ559" s="582"/>
      <c r="IA559" s="582"/>
      <c r="IB559" s="582"/>
      <c r="IC559" s="582"/>
      <c r="ID559" s="582"/>
      <c r="IE559" s="582"/>
      <c r="IF559" s="582"/>
      <c r="IG559" s="582"/>
      <c r="IH559" s="582"/>
      <c r="II559" s="582"/>
      <c r="IJ559" s="582"/>
      <c r="IK559" s="582"/>
      <c r="IL559" s="582"/>
      <c r="IM559" s="582"/>
      <c r="IN559" s="582"/>
      <c r="IO559" s="582"/>
      <c r="IP559" s="582"/>
      <c r="IQ559" s="582"/>
      <c r="IR559" s="582"/>
      <c r="IS559" s="582"/>
      <c r="IT559" s="582"/>
      <c r="IU559" s="582"/>
      <c r="IV559" s="582"/>
      <c r="IW559" s="582"/>
    </row>
    <row r="560" spans="1:257" s="724" customFormat="1">
      <c r="A560" s="683" t="s">
        <v>258</v>
      </c>
      <c r="B560" s="696" t="s">
        <v>136</v>
      </c>
      <c r="C560" s="635"/>
      <c r="D560" s="635"/>
      <c r="E560" s="651"/>
      <c r="F560" s="669">
        <v>15000000</v>
      </c>
      <c r="G560" s="651"/>
      <c r="H560" s="651"/>
      <c r="I560" s="651"/>
      <c r="J560" s="669">
        <v>15000000</v>
      </c>
      <c r="K560" s="669">
        <v>15000000</v>
      </c>
      <c r="L560" s="1306">
        <v>15000000</v>
      </c>
      <c r="M560" s="669"/>
      <c r="N560" s="837"/>
      <c r="O560" s="837"/>
      <c r="P560" s="826"/>
      <c r="Q560" s="826"/>
      <c r="R560" s="869"/>
      <c r="S560" s="866"/>
      <c r="T560" s="839"/>
      <c r="U560" s="726"/>
      <c r="V560" s="581"/>
      <c r="W560" s="581"/>
      <c r="X560" s="578"/>
      <c r="Y560" s="582"/>
      <c r="Z560" s="582"/>
      <c r="AA560" s="582"/>
      <c r="AB560" s="582"/>
      <c r="AC560" s="582"/>
      <c r="AD560" s="582"/>
      <c r="AE560" s="582"/>
      <c r="AF560" s="582"/>
      <c r="AG560" s="582"/>
      <c r="AH560" s="582"/>
      <c r="AI560" s="582"/>
      <c r="AJ560" s="582"/>
      <c r="AK560" s="582"/>
      <c r="AL560" s="582"/>
      <c r="AM560" s="582"/>
      <c r="AN560" s="582"/>
      <c r="AO560" s="582"/>
      <c r="AP560" s="582"/>
      <c r="AQ560" s="582"/>
      <c r="AR560" s="582"/>
      <c r="AS560" s="582"/>
      <c r="AT560" s="582"/>
      <c r="AU560" s="582"/>
      <c r="AV560" s="582"/>
      <c r="AW560" s="582"/>
      <c r="AX560" s="582"/>
      <c r="AY560" s="582"/>
      <c r="AZ560" s="582"/>
      <c r="BA560" s="582"/>
      <c r="BB560" s="582"/>
      <c r="BC560" s="582"/>
      <c r="BD560" s="582"/>
      <c r="BE560" s="582"/>
      <c r="BF560" s="582"/>
      <c r="BG560" s="582"/>
      <c r="BH560" s="582"/>
      <c r="BI560" s="582"/>
      <c r="BJ560" s="582"/>
      <c r="BK560" s="582"/>
      <c r="BL560" s="582"/>
      <c r="BM560" s="582"/>
      <c r="BN560" s="582"/>
      <c r="BO560" s="582"/>
      <c r="BP560" s="582"/>
      <c r="BQ560" s="582"/>
      <c r="BR560" s="582"/>
      <c r="BS560" s="582"/>
      <c r="BT560" s="582"/>
      <c r="BU560" s="582"/>
      <c r="BV560" s="582"/>
      <c r="BW560" s="582"/>
      <c r="BX560" s="582"/>
      <c r="BY560" s="582"/>
      <c r="BZ560" s="582"/>
      <c r="CA560" s="582"/>
      <c r="CB560" s="582"/>
      <c r="CC560" s="582"/>
      <c r="CD560" s="582"/>
      <c r="CE560" s="582"/>
      <c r="CF560" s="582"/>
      <c r="CG560" s="582"/>
      <c r="CH560" s="582"/>
      <c r="CI560" s="582"/>
      <c r="CJ560" s="582"/>
      <c r="CK560" s="582"/>
      <c r="CL560" s="582"/>
      <c r="CM560" s="582"/>
      <c r="CN560" s="582"/>
      <c r="CO560" s="582"/>
      <c r="CP560" s="582"/>
      <c r="CQ560" s="582"/>
      <c r="CR560" s="582"/>
      <c r="CS560" s="582"/>
      <c r="CT560" s="582"/>
      <c r="CU560" s="582"/>
      <c r="CV560" s="582"/>
      <c r="CW560" s="582"/>
      <c r="CX560" s="582"/>
      <c r="CY560" s="582"/>
      <c r="CZ560" s="582"/>
      <c r="DA560" s="582"/>
      <c r="DB560" s="582"/>
      <c r="DC560" s="582"/>
      <c r="DD560" s="582"/>
      <c r="DE560" s="582"/>
      <c r="DF560" s="582"/>
      <c r="DG560" s="582"/>
      <c r="DH560" s="582"/>
      <c r="DI560" s="582"/>
      <c r="DJ560" s="582"/>
      <c r="DK560" s="582"/>
      <c r="DL560" s="582"/>
      <c r="DM560" s="582"/>
      <c r="DN560" s="582"/>
      <c r="DO560" s="582"/>
      <c r="DP560" s="582"/>
      <c r="DQ560" s="582"/>
      <c r="DR560" s="582"/>
      <c r="DS560" s="582"/>
      <c r="DT560" s="582"/>
      <c r="DU560" s="582"/>
      <c r="DV560" s="582"/>
      <c r="DW560" s="582"/>
      <c r="DX560" s="582"/>
      <c r="DY560" s="582"/>
      <c r="DZ560" s="582"/>
      <c r="EA560" s="582"/>
      <c r="EB560" s="582"/>
      <c r="EC560" s="582"/>
      <c r="ED560" s="582"/>
      <c r="EE560" s="582"/>
      <c r="EF560" s="582"/>
      <c r="EG560" s="582"/>
      <c r="EH560" s="582"/>
      <c r="EI560" s="582"/>
      <c r="EJ560" s="582"/>
      <c r="EK560" s="582"/>
      <c r="EL560" s="582"/>
      <c r="EM560" s="582"/>
      <c r="EN560" s="582"/>
      <c r="EO560" s="582"/>
      <c r="EP560" s="582"/>
      <c r="EQ560" s="582"/>
      <c r="ER560" s="582"/>
      <c r="ES560" s="582"/>
      <c r="ET560" s="582"/>
      <c r="EU560" s="582"/>
      <c r="EV560" s="582"/>
      <c r="EW560" s="582"/>
      <c r="EX560" s="582"/>
      <c r="EY560" s="582"/>
      <c r="EZ560" s="582"/>
      <c r="FA560" s="582"/>
      <c r="FB560" s="582"/>
      <c r="FC560" s="582"/>
      <c r="FD560" s="582"/>
      <c r="FE560" s="582"/>
      <c r="FF560" s="582"/>
      <c r="FG560" s="582"/>
      <c r="FH560" s="582"/>
      <c r="FI560" s="582"/>
      <c r="FJ560" s="582"/>
      <c r="FK560" s="582"/>
      <c r="FL560" s="582"/>
      <c r="FM560" s="582"/>
      <c r="FN560" s="582"/>
      <c r="FO560" s="582"/>
      <c r="FP560" s="582"/>
      <c r="FQ560" s="582"/>
      <c r="FR560" s="582"/>
      <c r="FS560" s="582"/>
      <c r="FT560" s="582"/>
      <c r="FU560" s="582"/>
      <c r="FV560" s="582"/>
      <c r="FW560" s="582"/>
      <c r="FX560" s="582"/>
      <c r="FY560" s="582"/>
      <c r="FZ560" s="582"/>
      <c r="GA560" s="582"/>
      <c r="GB560" s="582"/>
      <c r="GC560" s="582"/>
      <c r="GD560" s="582"/>
      <c r="GE560" s="582"/>
      <c r="GF560" s="582"/>
      <c r="GG560" s="582"/>
      <c r="GH560" s="582"/>
      <c r="GI560" s="582"/>
      <c r="GJ560" s="582"/>
      <c r="GK560" s="582"/>
      <c r="GL560" s="582"/>
      <c r="GM560" s="582"/>
      <c r="GN560" s="582"/>
      <c r="GO560" s="582"/>
      <c r="GP560" s="582"/>
      <c r="GQ560" s="582"/>
      <c r="GR560" s="582"/>
      <c r="GS560" s="582"/>
      <c r="GT560" s="582"/>
      <c r="GU560" s="582"/>
      <c r="GV560" s="582"/>
      <c r="GW560" s="582"/>
      <c r="GX560" s="582"/>
      <c r="GY560" s="582"/>
      <c r="GZ560" s="582"/>
      <c r="HA560" s="582"/>
      <c r="HB560" s="582"/>
      <c r="HC560" s="582"/>
      <c r="HD560" s="582"/>
      <c r="HE560" s="582"/>
      <c r="HF560" s="582"/>
      <c r="HG560" s="582"/>
      <c r="HH560" s="582"/>
      <c r="HI560" s="582"/>
      <c r="HJ560" s="582"/>
      <c r="HK560" s="582"/>
      <c r="HL560" s="582"/>
      <c r="HM560" s="582"/>
      <c r="HN560" s="582"/>
      <c r="HO560" s="582"/>
      <c r="HP560" s="582"/>
      <c r="HQ560" s="582"/>
      <c r="HR560" s="582"/>
      <c r="HS560" s="582"/>
      <c r="HT560" s="582"/>
      <c r="HU560" s="582"/>
      <c r="HV560" s="582"/>
      <c r="HW560" s="582"/>
      <c r="HX560" s="582"/>
      <c r="HY560" s="582"/>
      <c r="HZ560" s="582"/>
      <c r="IA560" s="582"/>
      <c r="IB560" s="582"/>
      <c r="IC560" s="582"/>
      <c r="ID560" s="582"/>
      <c r="IE560" s="582"/>
      <c r="IF560" s="582"/>
      <c r="IG560" s="582"/>
      <c r="IH560" s="582"/>
      <c r="II560" s="582"/>
      <c r="IJ560" s="582"/>
      <c r="IK560" s="582"/>
      <c r="IL560" s="582"/>
      <c r="IM560" s="582"/>
      <c r="IN560" s="582"/>
      <c r="IO560" s="582"/>
      <c r="IP560" s="582"/>
      <c r="IQ560" s="582"/>
      <c r="IR560" s="582"/>
      <c r="IS560" s="582"/>
      <c r="IT560" s="582"/>
      <c r="IU560" s="582"/>
      <c r="IV560" s="582"/>
      <c r="IW560" s="582"/>
    </row>
    <row r="561" spans="1:257" s="724" customFormat="1">
      <c r="A561" s="683" t="s">
        <v>258</v>
      </c>
      <c r="B561" s="696" t="s">
        <v>1069</v>
      </c>
      <c r="C561" s="635"/>
      <c r="D561" s="635"/>
      <c r="E561" s="651"/>
      <c r="F561" s="669">
        <v>50000000</v>
      </c>
      <c r="G561" s="651"/>
      <c r="H561" s="651"/>
      <c r="I561" s="651"/>
      <c r="J561" s="669"/>
      <c r="K561" s="669"/>
      <c r="L561" s="1306"/>
      <c r="M561" s="669"/>
      <c r="N561" s="837"/>
      <c r="O561" s="837"/>
      <c r="P561" s="826"/>
      <c r="Q561" s="826"/>
      <c r="R561" s="869"/>
      <c r="S561" s="866"/>
      <c r="T561" s="839"/>
      <c r="U561" s="726"/>
      <c r="V561" s="581"/>
      <c r="W561" s="581"/>
      <c r="X561" s="578"/>
      <c r="Y561" s="582"/>
      <c r="Z561" s="582"/>
      <c r="AA561" s="582"/>
      <c r="AB561" s="582"/>
      <c r="AC561" s="582"/>
      <c r="AD561" s="582"/>
      <c r="AE561" s="582"/>
      <c r="AF561" s="582"/>
      <c r="AG561" s="582"/>
      <c r="AH561" s="582"/>
      <c r="AI561" s="582"/>
      <c r="AJ561" s="582"/>
      <c r="AK561" s="582"/>
      <c r="AL561" s="582"/>
      <c r="AM561" s="582"/>
      <c r="AN561" s="582"/>
      <c r="AO561" s="582"/>
      <c r="AP561" s="582"/>
      <c r="AQ561" s="582"/>
      <c r="AR561" s="582"/>
      <c r="AS561" s="582"/>
      <c r="AT561" s="582"/>
      <c r="AU561" s="582"/>
      <c r="AV561" s="582"/>
      <c r="AW561" s="582"/>
      <c r="AX561" s="582"/>
      <c r="AY561" s="582"/>
      <c r="AZ561" s="582"/>
      <c r="BA561" s="582"/>
      <c r="BB561" s="582"/>
      <c r="BC561" s="582"/>
      <c r="BD561" s="582"/>
      <c r="BE561" s="582"/>
      <c r="BF561" s="582"/>
      <c r="BG561" s="582"/>
      <c r="BH561" s="582"/>
      <c r="BI561" s="582"/>
      <c r="BJ561" s="582"/>
      <c r="BK561" s="582"/>
      <c r="BL561" s="582"/>
      <c r="BM561" s="582"/>
      <c r="BN561" s="582"/>
      <c r="BO561" s="582"/>
      <c r="BP561" s="582"/>
      <c r="BQ561" s="582"/>
      <c r="BR561" s="582"/>
      <c r="BS561" s="582"/>
      <c r="BT561" s="582"/>
      <c r="BU561" s="582"/>
      <c r="BV561" s="582"/>
      <c r="BW561" s="582"/>
      <c r="BX561" s="582"/>
      <c r="BY561" s="582"/>
      <c r="BZ561" s="582"/>
      <c r="CA561" s="582"/>
      <c r="CB561" s="582"/>
      <c r="CC561" s="582"/>
      <c r="CD561" s="582"/>
      <c r="CE561" s="582"/>
      <c r="CF561" s="582"/>
      <c r="CG561" s="582"/>
      <c r="CH561" s="582"/>
      <c r="CI561" s="582"/>
      <c r="CJ561" s="582"/>
      <c r="CK561" s="582"/>
      <c r="CL561" s="582"/>
      <c r="CM561" s="582"/>
      <c r="CN561" s="582"/>
      <c r="CO561" s="582"/>
      <c r="CP561" s="582"/>
      <c r="CQ561" s="582"/>
      <c r="CR561" s="582"/>
      <c r="CS561" s="582"/>
      <c r="CT561" s="582"/>
      <c r="CU561" s="582"/>
      <c r="CV561" s="582"/>
      <c r="CW561" s="582"/>
      <c r="CX561" s="582"/>
      <c r="CY561" s="582"/>
      <c r="CZ561" s="582"/>
      <c r="DA561" s="582"/>
      <c r="DB561" s="582"/>
      <c r="DC561" s="582"/>
      <c r="DD561" s="582"/>
      <c r="DE561" s="582"/>
      <c r="DF561" s="582"/>
      <c r="DG561" s="582"/>
      <c r="DH561" s="582"/>
      <c r="DI561" s="582"/>
      <c r="DJ561" s="582"/>
      <c r="DK561" s="582"/>
      <c r="DL561" s="582"/>
      <c r="DM561" s="582"/>
      <c r="DN561" s="582"/>
      <c r="DO561" s="582"/>
      <c r="DP561" s="582"/>
      <c r="DQ561" s="582"/>
      <c r="DR561" s="582"/>
      <c r="DS561" s="582"/>
      <c r="DT561" s="582"/>
      <c r="DU561" s="582"/>
      <c r="DV561" s="582"/>
      <c r="DW561" s="582"/>
      <c r="DX561" s="582"/>
      <c r="DY561" s="582"/>
      <c r="DZ561" s="582"/>
      <c r="EA561" s="582"/>
      <c r="EB561" s="582"/>
      <c r="EC561" s="582"/>
      <c r="ED561" s="582"/>
      <c r="EE561" s="582"/>
      <c r="EF561" s="582"/>
      <c r="EG561" s="582"/>
      <c r="EH561" s="582"/>
      <c r="EI561" s="582"/>
      <c r="EJ561" s="582"/>
      <c r="EK561" s="582"/>
      <c r="EL561" s="582"/>
      <c r="EM561" s="582"/>
      <c r="EN561" s="582"/>
      <c r="EO561" s="582"/>
      <c r="EP561" s="582"/>
      <c r="EQ561" s="582"/>
      <c r="ER561" s="582"/>
      <c r="ES561" s="582"/>
      <c r="ET561" s="582"/>
      <c r="EU561" s="582"/>
      <c r="EV561" s="582"/>
      <c r="EW561" s="582"/>
      <c r="EX561" s="582"/>
      <c r="EY561" s="582"/>
      <c r="EZ561" s="582"/>
      <c r="FA561" s="582"/>
      <c r="FB561" s="582"/>
      <c r="FC561" s="582"/>
      <c r="FD561" s="582"/>
      <c r="FE561" s="582"/>
      <c r="FF561" s="582"/>
      <c r="FG561" s="582"/>
      <c r="FH561" s="582"/>
      <c r="FI561" s="582"/>
      <c r="FJ561" s="582"/>
      <c r="FK561" s="582"/>
      <c r="FL561" s="582"/>
      <c r="FM561" s="582"/>
      <c r="FN561" s="582"/>
      <c r="FO561" s="582"/>
      <c r="FP561" s="582"/>
      <c r="FQ561" s="582"/>
      <c r="FR561" s="582"/>
      <c r="FS561" s="582"/>
      <c r="FT561" s="582"/>
      <c r="FU561" s="582"/>
      <c r="FV561" s="582"/>
      <c r="FW561" s="582"/>
      <c r="FX561" s="582"/>
      <c r="FY561" s="582"/>
      <c r="FZ561" s="582"/>
      <c r="GA561" s="582"/>
      <c r="GB561" s="582"/>
      <c r="GC561" s="582"/>
      <c r="GD561" s="582"/>
      <c r="GE561" s="582"/>
      <c r="GF561" s="582"/>
      <c r="GG561" s="582"/>
      <c r="GH561" s="582"/>
      <c r="GI561" s="582"/>
      <c r="GJ561" s="582"/>
      <c r="GK561" s="582"/>
      <c r="GL561" s="582"/>
      <c r="GM561" s="582"/>
      <c r="GN561" s="582"/>
      <c r="GO561" s="582"/>
      <c r="GP561" s="582"/>
      <c r="GQ561" s="582"/>
      <c r="GR561" s="582"/>
      <c r="GS561" s="582"/>
      <c r="GT561" s="582"/>
      <c r="GU561" s="582"/>
      <c r="GV561" s="582"/>
      <c r="GW561" s="582"/>
      <c r="GX561" s="582"/>
      <c r="GY561" s="582"/>
      <c r="GZ561" s="582"/>
      <c r="HA561" s="582"/>
      <c r="HB561" s="582"/>
      <c r="HC561" s="582"/>
      <c r="HD561" s="582"/>
      <c r="HE561" s="582"/>
      <c r="HF561" s="582"/>
      <c r="HG561" s="582"/>
      <c r="HH561" s="582"/>
      <c r="HI561" s="582"/>
      <c r="HJ561" s="582"/>
      <c r="HK561" s="582"/>
      <c r="HL561" s="582"/>
      <c r="HM561" s="582"/>
      <c r="HN561" s="582"/>
      <c r="HO561" s="582"/>
      <c r="HP561" s="582"/>
      <c r="HQ561" s="582"/>
      <c r="HR561" s="582"/>
      <c r="HS561" s="582"/>
      <c r="HT561" s="582"/>
      <c r="HU561" s="582"/>
      <c r="HV561" s="582"/>
      <c r="HW561" s="582"/>
      <c r="HX561" s="582"/>
      <c r="HY561" s="582"/>
      <c r="HZ561" s="582"/>
      <c r="IA561" s="582"/>
      <c r="IB561" s="582"/>
      <c r="IC561" s="582"/>
      <c r="ID561" s="582"/>
      <c r="IE561" s="582"/>
      <c r="IF561" s="582"/>
      <c r="IG561" s="582"/>
      <c r="IH561" s="582"/>
      <c r="II561" s="582"/>
      <c r="IJ561" s="582"/>
      <c r="IK561" s="582"/>
      <c r="IL561" s="582"/>
      <c r="IM561" s="582"/>
      <c r="IN561" s="582"/>
      <c r="IO561" s="582"/>
      <c r="IP561" s="582"/>
      <c r="IQ561" s="582"/>
      <c r="IR561" s="582"/>
      <c r="IS561" s="582"/>
      <c r="IT561" s="582"/>
      <c r="IU561" s="582"/>
      <c r="IV561" s="582"/>
      <c r="IW561" s="582"/>
    </row>
    <row r="562" spans="1:257" s="724" customFormat="1" ht="31.5">
      <c r="A562" s="683" t="s">
        <v>258</v>
      </c>
      <c r="B562" s="696" t="s">
        <v>137</v>
      </c>
      <c r="C562" s="635"/>
      <c r="D562" s="635"/>
      <c r="E562" s="651"/>
      <c r="F562" s="669"/>
      <c r="G562" s="651"/>
      <c r="H562" s="651"/>
      <c r="I562" s="651"/>
      <c r="J562" s="669">
        <v>320000000</v>
      </c>
      <c r="K562" s="669">
        <v>300000000</v>
      </c>
      <c r="L562" s="1306">
        <v>400000000</v>
      </c>
      <c r="M562" s="669" t="s">
        <v>1374</v>
      </c>
      <c r="N562" s="837"/>
      <c r="O562" s="837"/>
      <c r="P562" s="826"/>
      <c r="Q562" s="826"/>
      <c r="R562" s="869"/>
      <c r="S562" s="866"/>
      <c r="T562" s="839"/>
      <c r="U562" s="726"/>
      <c r="V562" s="581"/>
      <c r="W562" s="581"/>
      <c r="X562" s="578"/>
      <c r="Y562" s="582"/>
      <c r="Z562" s="582"/>
      <c r="AA562" s="582"/>
      <c r="AB562" s="582"/>
      <c r="AC562" s="582"/>
      <c r="AD562" s="582"/>
      <c r="AE562" s="582"/>
      <c r="AF562" s="582"/>
      <c r="AG562" s="582"/>
      <c r="AH562" s="582"/>
      <c r="AI562" s="582"/>
      <c r="AJ562" s="582"/>
      <c r="AK562" s="582"/>
      <c r="AL562" s="582"/>
      <c r="AM562" s="582"/>
      <c r="AN562" s="582"/>
      <c r="AO562" s="582"/>
      <c r="AP562" s="582"/>
      <c r="AQ562" s="582"/>
      <c r="AR562" s="582"/>
      <c r="AS562" s="582"/>
      <c r="AT562" s="582"/>
      <c r="AU562" s="582"/>
      <c r="AV562" s="582"/>
      <c r="AW562" s="582"/>
      <c r="AX562" s="582"/>
      <c r="AY562" s="582"/>
      <c r="AZ562" s="582"/>
      <c r="BA562" s="582"/>
      <c r="BB562" s="582"/>
      <c r="BC562" s="582"/>
      <c r="BD562" s="582"/>
      <c r="BE562" s="582"/>
      <c r="BF562" s="582"/>
      <c r="BG562" s="582"/>
      <c r="BH562" s="582"/>
      <c r="BI562" s="582"/>
      <c r="BJ562" s="582"/>
      <c r="BK562" s="582"/>
      <c r="BL562" s="582"/>
      <c r="BM562" s="582"/>
      <c r="BN562" s="582"/>
      <c r="BO562" s="582"/>
      <c r="BP562" s="582"/>
      <c r="BQ562" s="582"/>
      <c r="BR562" s="582"/>
      <c r="BS562" s="582"/>
      <c r="BT562" s="582"/>
      <c r="BU562" s="582"/>
      <c r="BV562" s="582"/>
      <c r="BW562" s="582"/>
      <c r="BX562" s="582"/>
      <c r="BY562" s="582"/>
      <c r="BZ562" s="582"/>
      <c r="CA562" s="582"/>
      <c r="CB562" s="582"/>
      <c r="CC562" s="582"/>
      <c r="CD562" s="582"/>
      <c r="CE562" s="582"/>
      <c r="CF562" s="582"/>
      <c r="CG562" s="582"/>
      <c r="CH562" s="582"/>
      <c r="CI562" s="582"/>
      <c r="CJ562" s="582"/>
      <c r="CK562" s="582"/>
      <c r="CL562" s="582"/>
      <c r="CM562" s="582"/>
      <c r="CN562" s="582"/>
      <c r="CO562" s="582"/>
      <c r="CP562" s="582"/>
      <c r="CQ562" s="582"/>
      <c r="CR562" s="582"/>
      <c r="CS562" s="582"/>
      <c r="CT562" s="582"/>
      <c r="CU562" s="582"/>
      <c r="CV562" s="582"/>
      <c r="CW562" s="582"/>
      <c r="CX562" s="582"/>
      <c r="CY562" s="582"/>
      <c r="CZ562" s="582"/>
      <c r="DA562" s="582"/>
      <c r="DB562" s="582"/>
      <c r="DC562" s="582"/>
      <c r="DD562" s="582"/>
      <c r="DE562" s="582"/>
      <c r="DF562" s="582"/>
      <c r="DG562" s="582"/>
      <c r="DH562" s="582"/>
      <c r="DI562" s="582"/>
      <c r="DJ562" s="582"/>
      <c r="DK562" s="582"/>
      <c r="DL562" s="582"/>
      <c r="DM562" s="582"/>
      <c r="DN562" s="582"/>
      <c r="DO562" s="582"/>
      <c r="DP562" s="582"/>
      <c r="DQ562" s="582"/>
      <c r="DR562" s="582"/>
      <c r="DS562" s="582"/>
      <c r="DT562" s="582"/>
      <c r="DU562" s="582"/>
      <c r="DV562" s="582"/>
      <c r="DW562" s="582"/>
      <c r="DX562" s="582"/>
      <c r="DY562" s="582"/>
      <c r="DZ562" s="582"/>
      <c r="EA562" s="582"/>
      <c r="EB562" s="582"/>
      <c r="EC562" s="582"/>
      <c r="ED562" s="582"/>
      <c r="EE562" s="582"/>
      <c r="EF562" s="582"/>
      <c r="EG562" s="582"/>
      <c r="EH562" s="582"/>
      <c r="EI562" s="582"/>
      <c r="EJ562" s="582"/>
      <c r="EK562" s="582"/>
      <c r="EL562" s="582"/>
      <c r="EM562" s="582"/>
      <c r="EN562" s="582"/>
      <c r="EO562" s="582"/>
      <c r="EP562" s="582"/>
      <c r="EQ562" s="582"/>
      <c r="ER562" s="582"/>
      <c r="ES562" s="582"/>
      <c r="ET562" s="582"/>
      <c r="EU562" s="582"/>
      <c r="EV562" s="582"/>
      <c r="EW562" s="582"/>
      <c r="EX562" s="582"/>
      <c r="EY562" s="582"/>
      <c r="EZ562" s="582"/>
      <c r="FA562" s="582"/>
      <c r="FB562" s="582"/>
      <c r="FC562" s="582"/>
      <c r="FD562" s="582"/>
      <c r="FE562" s="582"/>
      <c r="FF562" s="582"/>
      <c r="FG562" s="582"/>
      <c r="FH562" s="582"/>
      <c r="FI562" s="582"/>
      <c r="FJ562" s="582"/>
      <c r="FK562" s="582"/>
      <c r="FL562" s="582"/>
      <c r="FM562" s="582"/>
      <c r="FN562" s="582"/>
      <c r="FO562" s="582"/>
      <c r="FP562" s="582"/>
      <c r="FQ562" s="582"/>
      <c r="FR562" s="582"/>
      <c r="FS562" s="582"/>
      <c r="FT562" s="582"/>
      <c r="FU562" s="582"/>
      <c r="FV562" s="582"/>
      <c r="FW562" s="582"/>
      <c r="FX562" s="582"/>
      <c r="FY562" s="582"/>
      <c r="FZ562" s="582"/>
      <c r="GA562" s="582"/>
      <c r="GB562" s="582"/>
      <c r="GC562" s="582"/>
      <c r="GD562" s="582"/>
      <c r="GE562" s="582"/>
      <c r="GF562" s="582"/>
      <c r="GG562" s="582"/>
      <c r="GH562" s="582"/>
      <c r="GI562" s="582"/>
      <c r="GJ562" s="582"/>
      <c r="GK562" s="582"/>
      <c r="GL562" s="582"/>
      <c r="GM562" s="582"/>
      <c r="GN562" s="582"/>
      <c r="GO562" s="582"/>
      <c r="GP562" s="582"/>
      <c r="GQ562" s="582"/>
      <c r="GR562" s="582"/>
      <c r="GS562" s="582"/>
      <c r="GT562" s="582"/>
      <c r="GU562" s="582"/>
      <c r="GV562" s="582"/>
      <c r="GW562" s="582"/>
      <c r="GX562" s="582"/>
      <c r="GY562" s="582"/>
      <c r="GZ562" s="582"/>
      <c r="HA562" s="582"/>
      <c r="HB562" s="582"/>
      <c r="HC562" s="582"/>
      <c r="HD562" s="582"/>
      <c r="HE562" s="582"/>
      <c r="HF562" s="582"/>
      <c r="HG562" s="582"/>
      <c r="HH562" s="582"/>
      <c r="HI562" s="582"/>
      <c r="HJ562" s="582"/>
      <c r="HK562" s="582"/>
      <c r="HL562" s="582"/>
      <c r="HM562" s="582"/>
      <c r="HN562" s="582"/>
      <c r="HO562" s="582"/>
      <c r="HP562" s="582"/>
      <c r="HQ562" s="582"/>
      <c r="HR562" s="582"/>
      <c r="HS562" s="582"/>
      <c r="HT562" s="582"/>
      <c r="HU562" s="582"/>
      <c r="HV562" s="582"/>
      <c r="HW562" s="582"/>
      <c r="HX562" s="582"/>
      <c r="HY562" s="582"/>
      <c r="HZ562" s="582"/>
      <c r="IA562" s="582"/>
      <c r="IB562" s="582"/>
      <c r="IC562" s="582"/>
      <c r="ID562" s="582"/>
      <c r="IE562" s="582"/>
      <c r="IF562" s="582"/>
      <c r="IG562" s="582"/>
      <c r="IH562" s="582"/>
      <c r="II562" s="582"/>
      <c r="IJ562" s="582"/>
      <c r="IK562" s="582"/>
      <c r="IL562" s="582"/>
      <c r="IM562" s="582"/>
      <c r="IN562" s="582"/>
      <c r="IO562" s="582"/>
      <c r="IP562" s="582"/>
      <c r="IQ562" s="582"/>
      <c r="IR562" s="582"/>
      <c r="IS562" s="582"/>
      <c r="IT562" s="582"/>
      <c r="IU562" s="582"/>
      <c r="IV562" s="582"/>
      <c r="IW562" s="582"/>
    </row>
    <row r="563" spans="1:257" s="724" customFormat="1">
      <c r="A563" s="683" t="s">
        <v>258</v>
      </c>
      <c r="B563" s="696" t="s">
        <v>1070</v>
      </c>
      <c r="C563" s="635"/>
      <c r="D563" s="635"/>
      <c r="E563" s="651"/>
      <c r="F563" s="669"/>
      <c r="G563" s="651"/>
      <c r="H563" s="651"/>
      <c r="I563" s="651"/>
      <c r="J563" s="669">
        <v>22000000</v>
      </c>
      <c r="K563" s="669">
        <v>10000000</v>
      </c>
      <c r="L563" s="1306">
        <v>0</v>
      </c>
      <c r="M563" s="669"/>
      <c r="N563" s="837"/>
      <c r="O563" s="837"/>
      <c r="P563" s="826"/>
      <c r="Q563" s="826"/>
      <c r="R563" s="869"/>
      <c r="S563" s="866"/>
      <c r="T563" s="839"/>
      <c r="U563" s="726"/>
      <c r="V563" s="581"/>
      <c r="W563" s="581"/>
      <c r="X563" s="578"/>
      <c r="Y563" s="582"/>
      <c r="Z563" s="582"/>
      <c r="AA563" s="582"/>
      <c r="AB563" s="582"/>
      <c r="AC563" s="582"/>
      <c r="AD563" s="582"/>
      <c r="AE563" s="582"/>
      <c r="AF563" s="582"/>
      <c r="AG563" s="582"/>
      <c r="AH563" s="582"/>
      <c r="AI563" s="582"/>
      <c r="AJ563" s="582"/>
      <c r="AK563" s="582"/>
      <c r="AL563" s="582"/>
      <c r="AM563" s="582"/>
      <c r="AN563" s="582"/>
      <c r="AO563" s="582"/>
      <c r="AP563" s="582"/>
      <c r="AQ563" s="582"/>
      <c r="AR563" s="582"/>
      <c r="AS563" s="582"/>
      <c r="AT563" s="582"/>
      <c r="AU563" s="582"/>
      <c r="AV563" s="582"/>
      <c r="AW563" s="582"/>
      <c r="AX563" s="582"/>
      <c r="AY563" s="582"/>
      <c r="AZ563" s="582"/>
      <c r="BA563" s="582"/>
      <c r="BB563" s="582"/>
      <c r="BC563" s="582"/>
      <c r="BD563" s="582"/>
      <c r="BE563" s="582"/>
      <c r="BF563" s="582"/>
      <c r="BG563" s="582"/>
      <c r="BH563" s="582"/>
      <c r="BI563" s="582"/>
      <c r="BJ563" s="582"/>
      <c r="BK563" s="582"/>
      <c r="BL563" s="582"/>
      <c r="BM563" s="582"/>
      <c r="BN563" s="582"/>
      <c r="BO563" s="582"/>
      <c r="BP563" s="582"/>
      <c r="BQ563" s="582"/>
      <c r="BR563" s="582"/>
      <c r="BS563" s="582"/>
      <c r="BT563" s="582"/>
      <c r="BU563" s="582"/>
      <c r="BV563" s="582"/>
      <c r="BW563" s="582"/>
      <c r="BX563" s="582"/>
      <c r="BY563" s="582"/>
      <c r="BZ563" s="582"/>
      <c r="CA563" s="582"/>
      <c r="CB563" s="582"/>
      <c r="CC563" s="582"/>
      <c r="CD563" s="582"/>
      <c r="CE563" s="582"/>
      <c r="CF563" s="582"/>
      <c r="CG563" s="582"/>
      <c r="CH563" s="582"/>
      <c r="CI563" s="582"/>
      <c r="CJ563" s="582"/>
      <c r="CK563" s="582"/>
      <c r="CL563" s="582"/>
      <c r="CM563" s="582"/>
      <c r="CN563" s="582"/>
      <c r="CO563" s="582"/>
      <c r="CP563" s="582"/>
      <c r="CQ563" s="582"/>
      <c r="CR563" s="582"/>
      <c r="CS563" s="582"/>
      <c r="CT563" s="582"/>
      <c r="CU563" s="582"/>
      <c r="CV563" s="582"/>
      <c r="CW563" s="582"/>
      <c r="CX563" s="582"/>
      <c r="CY563" s="582"/>
      <c r="CZ563" s="582"/>
      <c r="DA563" s="582"/>
      <c r="DB563" s="582"/>
      <c r="DC563" s="582"/>
      <c r="DD563" s="582"/>
      <c r="DE563" s="582"/>
      <c r="DF563" s="582"/>
      <c r="DG563" s="582"/>
      <c r="DH563" s="582"/>
      <c r="DI563" s="582"/>
      <c r="DJ563" s="582"/>
      <c r="DK563" s="582"/>
      <c r="DL563" s="582"/>
      <c r="DM563" s="582"/>
      <c r="DN563" s="582"/>
      <c r="DO563" s="582"/>
      <c r="DP563" s="582"/>
      <c r="DQ563" s="582"/>
      <c r="DR563" s="582"/>
      <c r="DS563" s="582"/>
      <c r="DT563" s="582"/>
      <c r="DU563" s="582"/>
      <c r="DV563" s="582"/>
      <c r="DW563" s="582"/>
      <c r="DX563" s="582"/>
      <c r="DY563" s="582"/>
      <c r="DZ563" s="582"/>
      <c r="EA563" s="582"/>
      <c r="EB563" s="582"/>
      <c r="EC563" s="582"/>
      <c r="ED563" s="582"/>
      <c r="EE563" s="582"/>
      <c r="EF563" s="582"/>
      <c r="EG563" s="582"/>
      <c r="EH563" s="582"/>
      <c r="EI563" s="582"/>
      <c r="EJ563" s="582"/>
      <c r="EK563" s="582"/>
      <c r="EL563" s="582"/>
      <c r="EM563" s="582"/>
      <c r="EN563" s="582"/>
      <c r="EO563" s="582"/>
      <c r="EP563" s="582"/>
      <c r="EQ563" s="582"/>
      <c r="ER563" s="582"/>
      <c r="ES563" s="582"/>
      <c r="ET563" s="582"/>
      <c r="EU563" s="582"/>
      <c r="EV563" s="582"/>
      <c r="EW563" s="582"/>
      <c r="EX563" s="582"/>
      <c r="EY563" s="582"/>
      <c r="EZ563" s="582"/>
      <c r="FA563" s="582"/>
      <c r="FB563" s="582"/>
      <c r="FC563" s="582"/>
      <c r="FD563" s="582"/>
      <c r="FE563" s="582"/>
      <c r="FF563" s="582"/>
      <c r="FG563" s="582"/>
      <c r="FH563" s="582"/>
      <c r="FI563" s="582"/>
      <c r="FJ563" s="582"/>
      <c r="FK563" s="582"/>
      <c r="FL563" s="582"/>
      <c r="FM563" s="582"/>
      <c r="FN563" s="582"/>
      <c r="FO563" s="582"/>
      <c r="FP563" s="582"/>
      <c r="FQ563" s="582"/>
      <c r="FR563" s="582"/>
      <c r="FS563" s="582"/>
      <c r="FT563" s="582"/>
      <c r="FU563" s="582"/>
      <c r="FV563" s="582"/>
      <c r="FW563" s="582"/>
      <c r="FX563" s="582"/>
      <c r="FY563" s="582"/>
      <c r="FZ563" s="582"/>
      <c r="GA563" s="582"/>
      <c r="GB563" s="582"/>
      <c r="GC563" s="582"/>
      <c r="GD563" s="582"/>
      <c r="GE563" s="582"/>
      <c r="GF563" s="582"/>
      <c r="GG563" s="582"/>
      <c r="GH563" s="582"/>
      <c r="GI563" s="582"/>
      <c r="GJ563" s="582"/>
      <c r="GK563" s="582"/>
      <c r="GL563" s="582"/>
      <c r="GM563" s="582"/>
      <c r="GN563" s="582"/>
      <c r="GO563" s="582"/>
      <c r="GP563" s="582"/>
      <c r="GQ563" s="582"/>
      <c r="GR563" s="582"/>
      <c r="GS563" s="582"/>
      <c r="GT563" s="582"/>
      <c r="GU563" s="582"/>
      <c r="GV563" s="582"/>
      <c r="GW563" s="582"/>
      <c r="GX563" s="582"/>
      <c r="GY563" s="582"/>
      <c r="GZ563" s="582"/>
      <c r="HA563" s="582"/>
      <c r="HB563" s="582"/>
      <c r="HC563" s="582"/>
      <c r="HD563" s="582"/>
      <c r="HE563" s="582"/>
      <c r="HF563" s="582"/>
      <c r="HG563" s="582"/>
      <c r="HH563" s="582"/>
      <c r="HI563" s="582"/>
      <c r="HJ563" s="582"/>
      <c r="HK563" s="582"/>
      <c r="HL563" s="582"/>
      <c r="HM563" s="582"/>
      <c r="HN563" s="582"/>
      <c r="HO563" s="582"/>
      <c r="HP563" s="582"/>
      <c r="HQ563" s="582"/>
      <c r="HR563" s="582"/>
      <c r="HS563" s="582"/>
      <c r="HT563" s="582"/>
      <c r="HU563" s="582"/>
      <c r="HV563" s="582"/>
      <c r="HW563" s="582"/>
      <c r="HX563" s="582"/>
      <c r="HY563" s="582"/>
      <c r="HZ563" s="582"/>
      <c r="IA563" s="582"/>
      <c r="IB563" s="582"/>
      <c r="IC563" s="582"/>
      <c r="ID563" s="582"/>
      <c r="IE563" s="582"/>
      <c r="IF563" s="582"/>
      <c r="IG563" s="582"/>
      <c r="IH563" s="582"/>
      <c r="II563" s="582"/>
      <c r="IJ563" s="582"/>
      <c r="IK563" s="582"/>
      <c r="IL563" s="582"/>
      <c r="IM563" s="582"/>
      <c r="IN563" s="582"/>
      <c r="IO563" s="582"/>
      <c r="IP563" s="582"/>
      <c r="IQ563" s="582"/>
      <c r="IR563" s="582"/>
      <c r="IS563" s="582"/>
      <c r="IT563" s="582"/>
      <c r="IU563" s="582"/>
      <c r="IV563" s="582"/>
      <c r="IW563" s="582"/>
    </row>
    <row r="564" spans="1:257" s="724" customFormat="1">
      <c r="A564" s="683"/>
      <c r="B564" s="696" t="s">
        <v>1373</v>
      </c>
      <c r="C564" s="635"/>
      <c r="D564" s="635"/>
      <c r="E564" s="651"/>
      <c r="F564" s="669"/>
      <c r="G564" s="651"/>
      <c r="H564" s="651"/>
      <c r="I564" s="651"/>
      <c r="J564" s="669"/>
      <c r="K564" s="669"/>
      <c r="L564" s="1306"/>
      <c r="M564" s="669"/>
      <c r="N564" s="837"/>
      <c r="O564" s="837"/>
      <c r="P564" s="826"/>
      <c r="Q564" s="826"/>
      <c r="R564" s="869"/>
      <c r="S564" s="866"/>
      <c r="T564" s="839"/>
      <c r="U564" s="726"/>
      <c r="V564" s="581"/>
      <c r="W564" s="581"/>
      <c r="X564" s="578"/>
      <c r="Y564" s="582"/>
      <c r="Z564" s="582"/>
      <c r="AA564" s="582"/>
      <c r="AB564" s="582"/>
      <c r="AC564" s="582"/>
      <c r="AD564" s="582"/>
      <c r="AE564" s="582"/>
      <c r="AF564" s="582"/>
      <c r="AG564" s="582"/>
      <c r="AH564" s="582"/>
      <c r="AI564" s="582"/>
      <c r="AJ564" s="582"/>
      <c r="AK564" s="582"/>
      <c r="AL564" s="582"/>
      <c r="AM564" s="582"/>
      <c r="AN564" s="582"/>
      <c r="AO564" s="582"/>
      <c r="AP564" s="582"/>
      <c r="AQ564" s="582"/>
      <c r="AR564" s="582"/>
      <c r="AS564" s="582"/>
      <c r="AT564" s="582"/>
      <c r="AU564" s="582"/>
      <c r="AV564" s="582"/>
      <c r="AW564" s="582"/>
      <c r="AX564" s="582"/>
      <c r="AY564" s="582"/>
      <c r="AZ564" s="582"/>
      <c r="BA564" s="582"/>
      <c r="BB564" s="582"/>
      <c r="BC564" s="582"/>
      <c r="BD564" s="582"/>
      <c r="BE564" s="582"/>
      <c r="BF564" s="582"/>
      <c r="BG564" s="582"/>
      <c r="BH564" s="582"/>
      <c r="BI564" s="582"/>
      <c r="BJ564" s="582"/>
      <c r="BK564" s="582"/>
      <c r="BL564" s="582"/>
      <c r="BM564" s="582"/>
      <c r="BN564" s="582"/>
      <c r="BO564" s="582"/>
      <c r="BP564" s="582"/>
      <c r="BQ564" s="582"/>
      <c r="BR564" s="582"/>
      <c r="BS564" s="582"/>
      <c r="BT564" s="582"/>
      <c r="BU564" s="582"/>
      <c r="BV564" s="582"/>
      <c r="BW564" s="582"/>
      <c r="BX564" s="582"/>
      <c r="BY564" s="582"/>
      <c r="BZ564" s="582"/>
      <c r="CA564" s="582"/>
      <c r="CB564" s="582"/>
      <c r="CC564" s="582"/>
      <c r="CD564" s="582"/>
      <c r="CE564" s="582"/>
      <c r="CF564" s="582"/>
      <c r="CG564" s="582"/>
      <c r="CH564" s="582"/>
      <c r="CI564" s="582"/>
      <c r="CJ564" s="582"/>
      <c r="CK564" s="582"/>
      <c r="CL564" s="582"/>
      <c r="CM564" s="582"/>
      <c r="CN564" s="582"/>
      <c r="CO564" s="582"/>
      <c r="CP564" s="582"/>
      <c r="CQ564" s="582"/>
      <c r="CR564" s="582"/>
      <c r="CS564" s="582"/>
      <c r="CT564" s="582"/>
      <c r="CU564" s="582"/>
      <c r="CV564" s="582"/>
      <c r="CW564" s="582"/>
      <c r="CX564" s="582"/>
      <c r="CY564" s="582"/>
      <c r="CZ564" s="582"/>
      <c r="DA564" s="582"/>
      <c r="DB564" s="582"/>
      <c r="DC564" s="582"/>
      <c r="DD564" s="582"/>
      <c r="DE564" s="582"/>
      <c r="DF564" s="582"/>
      <c r="DG564" s="582"/>
      <c r="DH564" s="582"/>
      <c r="DI564" s="582"/>
      <c r="DJ564" s="582"/>
      <c r="DK564" s="582"/>
      <c r="DL564" s="582"/>
      <c r="DM564" s="582"/>
      <c r="DN564" s="582"/>
      <c r="DO564" s="582"/>
      <c r="DP564" s="582"/>
      <c r="DQ564" s="582"/>
      <c r="DR564" s="582"/>
      <c r="DS564" s="582"/>
      <c r="DT564" s="582"/>
      <c r="DU564" s="582"/>
      <c r="DV564" s="582"/>
      <c r="DW564" s="582"/>
      <c r="DX564" s="582"/>
      <c r="DY564" s="582"/>
      <c r="DZ564" s="582"/>
      <c r="EA564" s="582"/>
      <c r="EB564" s="582"/>
      <c r="EC564" s="582"/>
      <c r="ED564" s="582"/>
      <c r="EE564" s="582"/>
      <c r="EF564" s="582"/>
      <c r="EG564" s="582"/>
      <c r="EH564" s="582"/>
      <c r="EI564" s="582"/>
      <c r="EJ564" s="582"/>
      <c r="EK564" s="582"/>
      <c r="EL564" s="582"/>
      <c r="EM564" s="582"/>
      <c r="EN564" s="582"/>
      <c r="EO564" s="582"/>
      <c r="EP564" s="582"/>
      <c r="EQ564" s="582"/>
      <c r="ER564" s="582"/>
      <c r="ES564" s="582"/>
      <c r="ET564" s="582"/>
      <c r="EU564" s="582"/>
      <c r="EV564" s="582"/>
      <c r="EW564" s="582"/>
      <c r="EX564" s="582"/>
      <c r="EY564" s="582"/>
      <c r="EZ564" s="582"/>
      <c r="FA564" s="582"/>
      <c r="FB564" s="582"/>
      <c r="FC564" s="582"/>
      <c r="FD564" s="582"/>
      <c r="FE564" s="582"/>
      <c r="FF564" s="582"/>
      <c r="FG564" s="582"/>
      <c r="FH564" s="582"/>
      <c r="FI564" s="582"/>
      <c r="FJ564" s="582"/>
      <c r="FK564" s="582"/>
      <c r="FL564" s="582"/>
      <c r="FM564" s="582"/>
      <c r="FN564" s="582"/>
      <c r="FO564" s="582"/>
      <c r="FP564" s="582"/>
      <c r="FQ564" s="582"/>
      <c r="FR564" s="582"/>
      <c r="FS564" s="582"/>
      <c r="FT564" s="582"/>
      <c r="FU564" s="582"/>
      <c r="FV564" s="582"/>
      <c r="FW564" s="582"/>
      <c r="FX564" s="582"/>
      <c r="FY564" s="582"/>
      <c r="FZ564" s="582"/>
      <c r="GA564" s="582"/>
      <c r="GB564" s="582"/>
      <c r="GC564" s="582"/>
      <c r="GD564" s="582"/>
      <c r="GE564" s="582"/>
      <c r="GF564" s="582"/>
      <c r="GG564" s="582"/>
      <c r="GH564" s="582"/>
      <c r="GI564" s="582"/>
      <c r="GJ564" s="582"/>
      <c r="GK564" s="582"/>
      <c r="GL564" s="582"/>
      <c r="GM564" s="582"/>
      <c r="GN564" s="582"/>
      <c r="GO564" s="582"/>
      <c r="GP564" s="582"/>
      <c r="GQ564" s="582"/>
      <c r="GR564" s="582"/>
      <c r="GS564" s="582"/>
      <c r="GT564" s="582"/>
      <c r="GU564" s="582"/>
      <c r="GV564" s="582"/>
      <c r="GW564" s="582"/>
      <c r="GX564" s="582"/>
      <c r="GY564" s="582"/>
      <c r="GZ564" s="582"/>
      <c r="HA564" s="582"/>
      <c r="HB564" s="582"/>
      <c r="HC564" s="582"/>
      <c r="HD564" s="582"/>
      <c r="HE564" s="582"/>
      <c r="HF564" s="582"/>
      <c r="HG564" s="582"/>
      <c r="HH564" s="582"/>
      <c r="HI564" s="582"/>
      <c r="HJ564" s="582"/>
      <c r="HK564" s="582"/>
      <c r="HL564" s="582"/>
      <c r="HM564" s="582"/>
      <c r="HN564" s="582"/>
      <c r="HO564" s="582"/>
      <c r="HP564" s="582"/>
      <c r="HQ564" s="582"/>
      <c r="HR564" s="582"/>
      <c r="HS564" s="582"/>
      <c r="HT564" s="582"/>
      <c r="HU564" s="582"/>
      <c r="HV564" s="582"/>
      <c r="HW564" s="582"/>
      <c r="HX564" s="582"/>
      <c r="HY564" s="582"/>
      <c r="HZ564" s="582"/>
      <c r="IA564" s="582"/>
      <c r="IB564" s="582"/>
      <c r="IC564" s="582"/>
      <c r="ID564" s="582"/>
      <c r="IE564" s="582"/>
      <c r="IF564" s="582"/>
      <c r="IG564" s="582"/>
      <c r="IH564" s="582"/>
      <c r="II564" s="582"/>
      <c r="IJ564" s="582"/>
      <c r="IK564" s="582"/>
      <c r="IL564" s="582"/>
      <c r="IM564" s="582"/>
      <c r="IN564" s="582"/>
      <c r="IO564" s="582"/>
      <c r="IP564" s="582"/>
      <c r="IQ564" s="582"/>
      <c r="IR564" s="582"/>
      <c r="IS564" s="582"/>
      <c r="IT564" s="582"/>
      <c r="IU564" s="582"/>
      <c r="IV564" s="582"/>
      <c r="IW564" s="582"/>
    </row>
    <row r="565" spans="1:257" s="724" customFormat="1" ht="37.5" customHeight="1">
      <c r="A565" s="683" t="s">
        <v>258</v>
      </c>
      <c r="B565" s="696" t="s">
        <v>1071</v>
      </c>
      <c r="C565" s="635"/>
      <c r="D565" s="635"/>
      <c r="E565" s="651"/>
      <c r="F565" s="669"/>
      <c r="G565" s="669">
        <v>7000000</v>
      </c>
      <c r="H565" s="669"/>
      <c r="I565" s="669"/>
      <c r="J565" s="669"/>
      <c r="K565" s="669">
        <v>50000000</v>
      </c>
      <c r="L565" s="1306">
        <v>30000000</v>
      </c>
      <c r="M565" s="669"/>
      <c r="N565" s="837"/>
      <c r="O565" s="837"/>
      <c r="P565" s="837"/>
      <c r="Q565" s="837"/>
      <c r="R565" s="869"/>
      <c r="S565" s="866"/>
      <c r="T565" s="839"/>
      <c r="U565" s="726"/>
      <c r="V565" s="581"/>
      <c r="W565" s="581"/>
      <c r="X565" s="578"/>
      <c r="Y565" s="582"/>
      <c r="Z565" s="582"/>
      <c r="AA565" s="582"/>
      <c r="AB565" s="582"/>
      <c r="AC565" s="582"/>
      <c r="AD565" s="582"/>
      <c r="AE565" s="582"/>
      <c r="AF565" s="582"/>
      <c r="AG565" s="582"/>
      <c r="AH565" s="582"/>
      <c r="AI565" s="582"/>
      <c r="AJ565" s="582"/>
      <c r="AK565" s="582"/>
      <c r="AL565" s="582"/>
      <c r="AM565" s="582"/>
      <c r="AN565" s="582"/>
      <c r="AO565" s="582"/>
      <c r="AP565" s="582"/>
      <c r="AQ565" s="582"/>
      <c r="AR565" s="582"/>
      <c r="AS565" s="582"/>
      <c r="AT565" s="582"/>
      <c r="AU565" s="582"/>
      <c r="AV565" s="582"/>
      <c r="AW565" s="582"/>
      <c r="AX565" s="582"/>
      <c r="AY565" s="582"/>
      <c r="AZ565" s="582"/>
      <c r="BA565" s="582"/>
      <c r="BB565" s="582"/>
      <c r="BC565" s="582"/>
      <c r="BD565" s="582"/>
      <c r="BE565" s="582"/>
      <c r="BF565" s="582"/>
      <c r="BG565" s="582"/>
      <c r="BH565" s="582"/>
      <c r="BI565" s="582"/>
      <c r="BJ565" s="582"/>
      <c r="BK565" s="582"/>
      <c r="BL565" s="582"/>
      <c r="BM565" s="582"/>
      <c r="BN565" s="582"/>
      <c r="BO565" s="582"/>
      <c r="BP565" s="582"/>
      <c r="BQ565" s="582"/>
      <c r="BR565" s="582"/>
      <c r="BS565" s="582"/>
      <c r="BT565" s="582"/>
      <c r="BU565" s="582"/>
      <c r="BV565" s="582"/>
      <c r="BW565" s="582"/>
      <c r="BX565" s="582"/>
      <c r="BY565" s="582"/>
      <c r="BZ565" s="582"/>
      <c r="CA565" s="582"/>
      <c r="CB565" s="582"/>
      <c r="CC565" s="582"/>
      <c r="CD565" s="582"/>
      <c r="CE565" s="582"/>
      <c r="CF565" s="582"/>
      <c r="CG565" s="582"/>
      <c r="CH565" s="582"/>
      <c r="CI565" s="582"/>
      <c r="CJ565" s="582"/>
      <c r="CK565" s="582"/>
      <c r="CL565" s="582"/>
      <c r="CM565" s="582"/>
      <c r="CN565" s="582"/>
      <c r="CO565" s="582"/>
      <c r="CP565" s="582"/>
      <c r="CQ565" s="582"/>
      <c r="CR565" s="582"/>
      <c r="CS565" s="582"/>
      <c r="CT565" s="582"/>
      <c r="CU565" s="582"/>
      <c r="CV565" s="582"/>
      <c r="CW565" s="582"/>
      <c r="CX565" s="582"/>
      <c r="CY565" s="582"/>
      <c r="CZ565" s="582"/>
      <c r="DA565" s="582"/>
      <c r="DB565" s="582"/>
      <c r="DC565" s="582"/>
      <c r="DD565" s="582"/>
      <c r="DE565" s="582"/>
      <c r="DF565" s="582"/>
      <c r="DG565" s="582"/>
      <c r="DH565" s="582"/>
      <c r="DI565" s="582"/>
      <c r="DJ565" s="582"/>
      <c r="DK565" s="582"/>
      <c r="DL565" s="582"/>
      <c r="DM565" s="582"/>
      <c r="DN565" s="582"/>
      <c r="DO565" s="582"/>
      <c r="DP565" s="582"/>
      <c r="DQ565" s="582"/>
      <c r="DR565" s="582"/>
      <c r="DS565" s="582"/>
      <c r="DT565" s="582"/>
      <c r="DU565" s="582"/>
      <c r="DV565" s="582"/>
      <c r="DW565" s="582"/>
      <c r="DX565" s="582"/>
      <c r="DY565" s="582"/>
      <c r="DZ565" s="582"/>
      <c r="EA565" s="582"/>
      <c r="EB565" s="582"/>
      <c r="EC565" s="582"/>
      <c r="ED565" s="582"/>
      <c r="EE565" s="582"/>
      <c r="EF565" s="582"/>
      <c r="EG565" s="582"/>
      <c r="EH565" s="582"/>
      <c r="EI565" s="582"/>
      <c r="EJ565" s="582"/>
      <c r="EK565" s="582"/>
      <c r="EL565" s="582"/>
      <c r="EM565" s="582"/>
      <c r="EN565" s="582"/>
      <c r="EO565" s="582"/>
      <c r="EP565" s="582"/>
      <c r="EQ565" s="582"/>
      <c r="ER565" s="582"/>
      <c r="ES565" s="582"/>
      <c r="ET565" s="582"/>
      <c r="EU565" s="582"/>
      <c r="EV565" s="582"/>
      <c r="EW565" s="582"/>
      <c r="EX565" s="582"/>
      <c r="EY565" s="582"/>
      <c r="EZ565" s="582"/>
      <c r="FA565" s="582"/>
      <c r="FB565" s="582"/>
      <c r="FC565" s="582"/>
      <c r="FD565" s="582"/>
      <c r="FE565" s="582"/>
      <c r="FF565" s="582"/>
      <c r="FG565" s="582"/>
      <c r="FH565" s="582"/>
      <c r="FI565" s="582"/>
      <c r="FJ565" s="582"/>
      <c r="FK565" s="582"/>
      <c r="FL565" s="582"/>
      <c r="FM565" s="582"/>
      <c r="FN565" s="582"/>
      <c r="FO565" s="582"/>
      <c r="FP565" s="582"/>
      <c r="FQ565" s="582"/>
      <c r="FR565" s="582"/>
      <c r="FS565" s="582"/>
      <c r="FT565" s="582"/>
      <c r="FU565" s="582"/>
      <c r="FV565" s="582"/>
      <c r="FW565" s="582"/>
      <c r="FX565" s="582"/>
      <c r="FY565" s="582"/>
      <c r="FZ565" s="582"/>
      <c r="GA565" s="582"/>
      <c r="GB565" s="582"/>
      <c r="GC565" s="582"/>
      <c r="GD565" s="582"/>
      <c r="GE565" s="582"/>
      <c r="GF565" s="582"/>
      <c r="GG565" s="582"/>
      <c r="GH565" s="582"/>
      <c r="GI565" s="582"/>
      <c r="GJ565" s="582"/>
      <c r="GK565" s="582"/>
      <c r="GL565" s="582"/>
      <c r="GM565" s="582"/>
      <c r="GN565" s="582"/>
      <c r="GO565" s="582"/>
      <c r="GP565" s="582"/>
      <c r="GQ565" s="582"/>
      <c r="GR565" s="582"/>
      <c r="GS565" s="582"/>
      <c r="GT565" s="582"/>
      <c r="GU565" s="582"/>
      <c r="GV565" s="582"/>
      <c r="GW565" s="582"/>
      <c r="GX565" s="582"/>
      <c r="GY565" s="582"/>
      <c r="GZ565" s="582"/>
      <c r="HA565" s="582"/>
      <c r="HB565" s="582"/>
      <c r="HC565" s="582"/>
      <c r="HD565" s="582"/>
      <c r="HE565" s="582"/>
      <c r="HF565" s="582"/>
      <c r="HG565" s="582"/>
      <c r="HH565" s="582"/>
      <c r="HI565" s="582"/>
      <c r="HJ565" s="582"/>
      <c r="HK565" s="582"/>
      <c r="HL565" s="582"/>
      <c r="HM565" s="582"/>
      <c r="HN565" s="582"/>
      <c r="HO565" s="582"/>
      <c r="HP565" s="582"/>
      <c r="HQ565" s="582"/>
      <c r="HR565" s="582"/>
      <c r="HS565" s="582"/>
      <c r="HT565" s="582"/>
      <c r="HU565" s="582"/>
      <c r="HV565" s="582"/>
      <c r="HW565" s="582"/>
      <c r="HX565" s="582"/>
      <c r="HY565" s="582"/>
      <c r="HZ565" s="582"/>
      <c r="IA565" s="582"/>
      <c r="IB565" s="582"/>
      <c r="IC565" s="582"/>
      <c r="ID565" s="582"/>
      <c r="IE565" s="582"/>
      <c r="IF565" s="582"/>
      <c r="IG565" s="582"/>
      <c r="IH565" s="582"/>
      <c r="II565" s="582"/>
      <c r="IJ565" s="582"/>
      <c r="IK565" s="582"/>
      <c r="IL565" s="582"/>
      <c r="IM565" s="582"/>
      <c r="IN565" s="582"/>
      <c r="IO565" s="582"/>
      <c r="IP565" s="582"/>
      <c r="IQ565" s="582"/>
      <c r="IR565" s="582"/>
      <c r="IS565" s="582"/>
      <c r="IT565" s="582"/>
      <c r="IU565" s="582"/>
      <c r="IV565" s="582"/>
      <c r="IW565" s="582"/>
    </row>
    <row r="566" spans="1:257" s="724" customFormat="1">
      <c r="A566" s="699" t="s">
        <v>261</v>
      </c>
      <c r="B566" s="808" t="s">
        <v>262</v>
      </c>
      <c r="C566" s="699"/>
      <c r="D566" s="699"/>
      <c r="E566" s="700"/>
      <c r="F566" s="810">
        <f t="shared" ref="F566:L566" si="68">F567</f>
        <v>30800000</v>
      </c>
      <c r="G566" s="810">
        <f t="shared" si="68"/>
        <v>0</v>
      </c>
      <c r="H566" s="810">
        <f t="shared" si="68"/>
        <v>0</v>
      </c>
      <c r="I566" s="810">
        <f t="shared" si="68"/>
        <v>0</v>
      </c>
      <c r="J566" s="810">
        <f t="shared" si="68"/>
        <v>93150000</v>
      </c>
      <c r="K566" s="810">
        <f t="shared" si="68"/>
        <v>70700000</v>
      </c>
      <c r="L566" s="1313">
        <f t="shared" si="68"/>
        <v>75400000</v>
      </c>
      <c r="M566" s="707"/>
      <c r="N566" s="934"/>
      <c r="O566" s="934"/>
      <c r="P566" s="868"/>
      <c r="Q566" s="868"/>
      <c r="R566" s="891"/>
      <c r="S566" s="866"/>
      <c r="T566" s="839"/>
      <c r="U566" s="726"/>
      <c r="V566" s="581"/>
      <c r="W566" s="581"/>
      <c r="X566" s="578"/>
      <c r="Y566" s="582"/>
      <c r="Z566" s="582"/>
      <c r="AA566" s="582"/>
      <c r="AB566" s="582"/>
      <c r="AC566" s="582"/>
      <c r="AD566" s="582"/>
      <c r="AE566" s="582"/>
      <c r="AF566" s="582"/>
      <c r="AG566" s="582"/>
      <c r="AH566" s="582"/>
      <c r="AI566" s="582"/>
      <c r="AJ566" s="582"/>
      <c r="AK566" s="582"/>
      <c r="AL566" s="582"/>
      <c r="AM566" s="582"/>
      <c r="AN566" s="582"/>
      <c r="AO566" s="582"/>
      <c r="AP566" s="582"/>
      <c r="AQ566" s="582"/>
      <c r="AR566" s="582"/>
      <c r="AS566" s="582"/>
      <c r="AT566" s="582"/>
      <c r="AU566" s="582"/>
      <c r="AV566" s="582"/>
      <c r="AW566" s="582"/>
      <c r="AX566" s="582"/>
      <c r="AY566" s="582"/>
      <c r="AZ566" s="582"/>
      <c r="BA566" s="582"/>
      <c r="BB566" s="582"/>
      <c r="BC566" s="582"/>
      <c r="BD566" s="582"/>
      <c r="BE566" s="582"/>
      <c r="BF566" s="582"/>
      <c r="BG566" s="582"/>
      <c r="BH566" s="582"/>
      <c r="BI566" s="582"/>
      <c r="BJ566" s="582"/>
      <c r="BK566" s="582"/>
      <c r="BL566" s="582"/>
      <c r="BM566" s="582"/>
      <c r="BN566" s="582"/>
      <c r="BO566" s="582"/>
      <c r="BP566" s="582"/>
      <c r="BQ566" s="582"/>
      <c r="BR566" s="582"/>
      <c r="BS566" s="582"/>
      <c r="BT566" s="582"/>
      <c r="BU566" s="582"/>
      <c r="BV566" s="582"/>
      <c r="BW566" s="582"/>
      <c r="BX566" s="582"/>
      <c r="BY566" s="582"/>
      <c r="BZ566" s="582"/>
      <c r="CA566" s="582"/>
      <c r="CB566" s="582"/>
      <c r="CC566" s="582"/>
      <c r="CD566" s="582"/>
      <c r="CE566" s="582"/>
      <c r="CF566" s="582"/>
      <c r="CG566" s="582"/>
      <c r="CH566" s="582"/>
      <c r="CI566" s="582"/>
      <c r="CJ566" s="582"/>
      <c r="CK566" s="582"/>
      <c r="CL566" s="582"/>
      <c r="CM566" s="582"/>
      <c r="CN566" s="582"/>
      <c r="CO566" s="582"/>
      <c r="CP566" s="582"/>
      <c r="CQ566" s="582"/>
      <c r="CR566" s="582"/>
      <c r="CS566" s="582"/>
      <c r="CT566" s="582"/>
      <c r="CU566" s="582"/>
      <c r="CV566" s="582"/>
      <c r="CW566" s="582"/>
      <c r="CX566" s="582"/>
      <c r="CY566" s="582"/>
      <c r="CZ566" s="582"/>
      <c r="DA566" s="582"/>
      <c r="DB566" s="582"/>
      <c r="DC566" s="582"/>
      <c r="DD566" s="582"/>
      <c r="DE566" s="582"/>
      <c r="DF566" s="582"/>
      <c r="DG566" s="582"/>
      <c r="DH566" s="582"/>
      <c r="DI566" s="582"/>
      <c r="DJ566" s="582"/>
      <c r="DK566" s="582"/>
      <c r="DL566" s="582"/>
      <c r="DM566" s="582"/>
      <c r="DN566" s="582"/>
      <c r="DO566" s="582"/>
      <c r="DP566" s="582"/>
      <c r="DQ566" s="582"/>
      <c r="DR566" s="582"/>
      <c r="DS566" s="582"/>
      <c r="DT566" s="582"/>
      <c r="DU566" s="582"/>
      <c r="DV566" s="582"/>
      <c r="DW566" s="582"/>
      <c r="DX566" s="582"/>
      <c r="DY566" s="582"/>
      <c r="DZ566" s="582"/>
      <c r="EA566" s="582"/>
      <c r="EB566" s="582"/>
      <c r="EC566" s="582"/>
      <c r="ED566" s="582"/>
      <c r="EE566" s="582"/>
      <c r="EF566" s="582"/>
      <c r="EG566" s="582"/>
      <c r="EH566" s="582"/>
      <c r="EI566" s="582"/>
      <c r="EJ566" s="582"/>
      <c r="EK566" s="582"/>
      <c r="EL566" s="582"/>
      <c r="EM566" s="582"/>
      <c r="EN566" s="582"/>
      <c r="EO566" s="582"/>
      <c r="EP566" s="582"/>
      <c r="EQ566" s="582"/>
      <c r="ER566" s="582"/>
      <c r="ES566" s="582"/>
      <c r="ET566" s="582"/>
      <c r="EU566" s="582"/>
      <c r="EV566" s="582"/>
      <c r="EW566" s="582"/>
      <c r="EX566" s="582"/>
      <c r="EY566" s="582"/>
      <c r="EZ566" s="582"/>
      <c r="FA566" s="582"/>
      <c r="FB566" s="582"/>
      <c r="FC566" s="582"/>
      <c r="FD566" s="582"/>
      <c r="FE566" s="582"/>
      <c r="FF566" s="582"/>
      <c r="FG566" s="582"/>
      <c r="FH566" s="582"/>
      <c r="FI566" s="582"/>
      <c r="FJ566" s="582"/>
      <c r="FK566" s="582"/>
      <c r="FL566" s="582"/>
      <c r="FM566" s="582"/>
      <c r="FN566" s="582"/>
      <c r="FO566" s="582"/>
      <c r="FP566" s="582"/>
      <c r="FQ566" s="582"/>
      <c r="FR566" s="582"/>
      <c r="FS566" s="582"/>
      <c r="FT566" s="582"/>
      <c r="FU566" s="582"/>
      <c r="FV566" s="582"/>
      <c r="FW566" s="582"/>
      <c r="FX566" s="582"/>
      <c r="FY566" s="582"/>
      <c r="FZ566" s="582"/>
      <c r="GA566" s="582"/>
      <c r="GB566" s="582"/>
      <c r="GC566" s="582"/>
      <c r="GD566" s="582"/>
      <c r="GE566" s="582"/>
      <c r="GF566" s="582"/>
      <c r="GG566" s="582"/>
      <c r="GH566" s="582"/>
      <c r="GI566" s="582"/>
      <c r="GJ566" s="582"/>
      <c r="GK566" s="582"/>
      <c r="GL566" s="582"/>
      <c r="GM566" s="582"/>
      <c r="GN566" s="582"/>
      <c r="GO566" s="582"/>
      <c r="GP566" s="582"/>
      <c r="GQ566" s="582"/>
      <c r="GR566" s="582"/>
      <c r="GS566" s="582"/>
      <c r="GT566" s="582"/>
      <c r="GU566" s="582"/>
      <c r="GV566" s="582"/>
      <c r="GW566" s="582"/>
      <c r="GX566" s="582"/>
      <c r="GY566" s="582"/>
      <c r="GZ566" s="582"/>
      <c r="HA566" s="582"/>
      <c r="HB566" s="582"/>
      <c r="HC566" s="582"/>
      <c r="HD566" s="582"/>
      <c r="HE566" s="582"/>
      <c r="HF566" s="582"/>
      <c r="HG566" s="582"/>
      <c r="HH566" s="582"/>
      <c r="HI566" s="582"/>
      <c r="HJ566" s="582"/>
      <c r="HK566" s="582"/>
      <c r="HL566" s="582"/>
      <c r="HM566" s="582"/>
      <c r="HN566" s="582"/>
      <c r="HO566" s="582"/>
      <c r="HP566" s="582"/>
      <c r="HQ566" s="582"/>
      <c r="HR566" s="582"/>
      <c r="HS566" s="582"/>
      <c r="HT566" s="582"/>
      <c r="HU566" s="582"/>
      <c r="HV566" s="582"/>
      <c r="HW566" s="582"/>
      <c r="HX566" s="582"/>
      <c r="HY566" s="582"/>
      <c r="HZ566" s="582"/>
      <c r="IA566" s="582"/>
      <c r="IB566" s="582"/>
      <c r="IC566" s="582"/>
      <c r="ID566" s="582"/>
      <c r="IE566" s="582"/>
      <c r="IF566" s="582"/>
      <c r="IG566" s="582"/>
      <c r="IH566" s="582"/>
      <c r="II566" s="582"/>
      <c r="IJ566" s="582"/>
      <c r="IK566" s="582"/>
      <c r="IL566" s="582"/>
      <c r="IM566" s="582"/>
      <c r="IN566" s="582"/>
      <c r="IO566" s="582"/>
      <c r="IP566" s="582"/>
      <c r="IQ566" s="582"/>
      <c r="IR566" s="582"/>
      <c r="IS566" s="582"/>
      <c r="IT566" s="582"/>
      <c r="IU566" s="582"/>
      <c r="IV566" s="582"/>
      <c r="IW566" s="582"/>
    </row>
    <row r="567" spans="1:257" s="724" customFormat="1">
      <c r="A567" s="713"/>
      <c r="B567" s="668" t="s">
        <v>263</v>
      </c>
      <c r="C567" s="713"/>
      <c r="D567" s="713"/>
      <c r="E567" s="725"/>
      <c r="F567" s="669">
        <f>(F549+F552+F554+F556+F557+F558+F559+F560+F565)*10%</f>
        <v>30800000</v>
      </c>
      <c r="G567" s="700"/>
      <c r="H567" s="700"/>
      <c r="I567" s="700"/>
      <c r="J567" s="669">
        <f>(J549+J552+J554+J556+J557+J558+J559+J560+J561+J562+J563)*10%</f>
        <v>93150000</v>
      </c>
      <c r="K567" s="669">
        <f>(K549+K551-K553)*10%</f>
        <v>70700000</v>
      </c>
      <c r="L567" s="1306">
        <f>(L549+L551-L553-L556)*10%</f>
        <v>75400000</v>
      </c>
      <c r="M567" s="669"/>
      <c r="N567" s="837"/>
      <c r="O567" s="837"/>
      <c r="P567" s="820"/>
      <c r="Q567" s="820"/>
      <c r="R567" s="866"/>
      <c r="S567" s="866"/>
      <c r="T567" s="839"/>
      <c r="U567" s="726"/>
      <c r="V567" s="581"/>
      <c r="W567" s="722"/>
      <c r="X567" s="723"/>
    </row>
    <row r="568" spans="1:257" s="1094" customFormat="1">
      <c r="A568" s="791">
        <v>3</v>
      </c>
      <c r="B568" s="840" t="s">
        <v>201</v>
      </c>
      <c r="C568" s="791"/>
      <c r="D568" s="791"/>
      <c r="E568" s="792"/>
      <c r="F568" s="792">
        <f>F569+F576</f>
        <v>1635000000</v>
      </c>
      <c r="G568" s="1090"/>
      <c r="H568" s="1090"/>
      <c r="I568" s="1090"/>
      <c r="J568" s="792">
        <f>J569+J576</f>
        <v>2278000000</v>
      </c>
      <c r="K568" s="792">
        <f>K569+K576</f>
        <v>1765000000</v>
      </c>
      <c r="L568" s="1303">
        <f>L569+L576</f>
        <v>1864000000</v>
      </c>
      <c r="M568" s="792" t="s">
        <v>1072</v>
      </c>
      <c r="N568" s="841">
        <f>L568-'Tư pháp V'!F16</f>
        <v>0</v>
      </c>
      <c r="O568" s="841"/>
      <c r="P568" s="1086"/>
      <c r="Q568" s="1086"/>
      <c r="R568" s="1091"/>
      <c r="S568" s="894"/>
      <c r="T568" s="845"/>
      <c r="U568" s="802"/>
      <c r="V568" s="896"/>
      <c r="W568" s="895"/>
      <c r="X568" s="1092"/>
      <c r="Y568" s="1093"/>
      <c r="Z568" s="1093"/>
      <c r="AA568" s="1093"/>
      <c r="AB568" s="1093"/>
      <c r="AC568" s="1093"/>
      <c r="AD568" s="1093"/>
      <c r="AE568" s="1093"/>
      <c r="AF568" s="1093"/>
      <c r="AG568" s="1093"/>
      <c r="AH568" s="1093"/>
      <c r="AI568" s="1093"/>
      <c r="AJ568" s="1093"/>
      <c r="AK568" s="1093"/>
      <c r="AL568" s="1093"/>
      <c r="AM568" s="1093"/>
      <c r="AN568" s="1093"/>
      <c r="AO568" s="1093"/>
      <c r="AP568" s="1093"/>
      <c r="AQ568" s="1093"/>
      <c r="AR568" s="1093"/>
      <c r="AS568" s="1093"/>
      <c r="AT568" s="1093"/>
      <c r="AU568" s="1093"/>
      <c r="AV568" s="1093"/>
      <c r="AW568" s="1093"/>
      <c r="AX568" s="1093"/>
      <c r="AY568" s="1093"/>
      <c r="AZ568" s="1093"/>
      <c r="BA568" s="1093"/>
      <c r="BB568" s="1093"/>
      <c r="BC568" s="1093"/>
      <c r="BD568" s="1093"/>
      <c r="BE568" s="1093"/>
      <c r="BF568" s="1093"/>
      <c r="BG568" s="1093"/>
      <c r="BH568" s="1093"/>
      <c r="BI568" s="1093"/>
      <c r="BJ568" s="1093"/>
      <c r="BK568" s="1093"/>
      <c r="BL568" s="1093"/>
      <c r="BM568" s="1093"/>
      <c r="BN568" s="1093"/>
      <c r="BO568" s="1093"/>
      <c r="BP568" s="1093"/>
      <c r="BQ568" s="1093"/>
      <c r="BR568" s="1093"/>
      <c r="BS568" s="1093"/>
      <c r="BT568" s="1093"/>
      <c r="BU568" s="1093"/>
      <c r="BV568" s="1093"/>
      <c r="BW568" s="1093"/>
      <c r="BX568" s="1093"/>
      <c r="BY568" s="1093"/>
      <c r="BZ568" s="1093"/>
      <c r="CA568" s="1093"/>
      <c r="CB568" s="1093"/>
      <c r="CC568" s="1093"/>
      <c r="CD568" s="1093"/>
      <c r="CE568" s="1093"/>
      <c r="CF568" s="1093"/>
      <c r="CG568" s="1093"/>
      <c r="CH568" s="1093"/>
      <c r="CI568" s="1093"/>
      <c r="CJ568" s="1093"/>
      <c r="CK568" s="1093"/>
      <c r="CL568" s="1093"/>
      <c r="CM568" s="1093"/>
      <c r="CN568" s="1093"/>
      <c r="CO568" s="1093"/>
      <c r="CP568" s="1093"/>
      <c r="CQ568" s="1093"/>
      <c r="CR568" s="1093"/>
      <c r="CS568" s="1093"/>
      <c r="CT568" s="1093"/>
      <c r="CU568" s="1093"/>
      <c r="CV568" s="1093"/>
      <c r="CW568" s="1093"/>
      <c r="CX568" s="1093"/>
      <c r="CY568" s="1093"/>
      <c r="CZ568" s="1093"/>
      <c r="DA568" s="1093"/>
      <c r="DB568" s="1093"/>
      <c r="DC568" s="1093"/>
      <c r="DD568" s="1093"/>
      <c r="DE568" s="1093"/>
      <c r="DF568" s="1093"/>
      <c r="DG568" s="1093"/>
      <c r="DH568" s="1093"/>
      <c r="DI568" s="1093"/>
      <c r="DJ568" s="1093"/>
      <c r="DK568" s="1093"/>
      <c r="DL568" s="1093"/>
      <c r="DM568" s="1093"/>
      <c r="DN568" s="1093"/>
      <c r="DO568" s="1093"/>
      <c r="DP568" s="1093"/>
      <c r="DQ568" s="1093"/>
      <c r="DR568" s="1093"/>
      <c r="DS568" s="1093"/>
      <c r="DT568" s="1093"/>
      <c r="DU568" s="1093"/>
      <c r="DV568" s="1093"/>
      <c r="DW568" s="1093"/>
      <c r="DX568" s="1093"/>
      <c r="DY568" s="1093"/>
      <c r="DZ568" s="1093"/>
      <c r="EA568" s="1093"/>
      <c r="EB568" s="1093"/>
      <c r="EC568" s="1093"/>
      <c r="ED568" s="1093"/>
      <c r="EE568" s="1093"/>
      <c r="EF568" s="1093"/>
      <c r="EG568" s="1093"/>
      <c r="EH568" s="1093"/>
      <c r="EI568" s="1093"/>
      <c r="EJ568" s="1093"/>
      <c r="EK568" s="1093"/>
      <c r="EL568" s="1093"/>
      <c r="EM568" s="1093"/>
      <c r="EN568" s="1093"/>
      <c r="EO568" s="1093"/>
      <c r="EP568" s="1093"/>
      <c r="EQ568" s="1093"/>
      <c r="ER568" s="1093"/>
      <c r="ES568" s="1093"/>
      <c r="ET568" s="1093"/>
      <c r="EU568" s="1093"/>
      <c r="EV568" s="1093"/>
      <c r="EW568" s="1093"/>
      <c r="EX568" s="1093"/>
      <c r="EY568" s="1093"/>
      <c r="EZ568" s="1093"/>
      <c r="FA568" s="1093"/>
      <c r="FB568" s="1093"/>
      <c r="FC568" s="1093"/>
      <c r="FD568" s="1093"/>
      <c r="FE568" s="1093"/>
      <c r="FF568" s="1093"/>
      <c r="FG568" s="1093"/>
      <c r="FH568" s="1093"/>
      <c r="FI568" s="1093"/>
      <c r="FJ568" s="1093"/>
      <c r="FK568" s="1093"/>
      <c r="FL568" s="1093"/>
      <c r="FM568" s="1093"/>
      <c r="FN568" s="1093"/>
      <c r="FO568" s="1093"/>
      <c r="FP568" s="1093"/>
      <c r="FQ568" s="1093"/>
      <c r="FR568" s="1093"/>
      <c r="FS568" s="1093"/>
      <c r="FT568" s="1093"/>
      <c r="FU568" s="1093"/>
      <c r="FV568" s="1093"/>
      <c r="FW568" s="1093"/>
      <c r="FX568" s="1093"/>
      <c r="FY568" s="1093"/>
      <c r="FZ568" s="1093"/>
      <c r="GA568" s="1093"/>
      <c r="GB568" s="1093"/>
      <c r="GC568" s="1093"/>
      <c r="GD568" s="1093"/>
      <c r="GE568" s="1093"/>
      <c r="GF568" s="1093"/>
      <c r="GG568" s="1093"/>
      <c r="GH568" s="1093"/>
      <c r="GI568" s="1093"/>
      <c r="GJ568" s="1093"/>
      <c r="GK568" s="1093"/>
      <c r="GL568" s="1093"/>
      <c r="GM568" s="1093"/>
      <c r="GN568" s="1093"/>
      <c r="GO568" s="1093"/>
      <c r="GP568" s="1093"/>
      <c r="GQ568" s="1093"/>
      <c r="GR568" s="1093"/>
      <c r="GS568" s="1093"/>
      <c r="GT568" s="1093"/>
      <c r="GU568" s="1093"/>
      <c r="GV568" s="1093"/>
      <c r="GW568" s="1093"/>
      <c r="GX568" s="1093"/>
      <c r="GY568" s="1093"/>
      <c r="GZ568" s="1093"/>
      <c r="HA568" s="1093"/>
      <c r="HB568" s="1093"/>
      <c r="HC568" s="1093"/>
      <c r="HD568" s="1093"/>
      <c r="HE568" s="1093"/>
      <c r="HF568" s="1093"/>
      <c r="HG568" s="1093"/>
      <c r="HH568" s="1093"/>
      <c r="HI568" s="1093"/>
      <c r="HJ568" s="1093"/>
      <c r="HK568" s="1093"/>
      <c r="HL568" s="1093"/>
      <c r="HM568" s="1093"/>
      <c r="HN568" s="1093"/>
      <c r="HO568" s="1093"/>
      <c r="HP568" s="1093"/>
      <c r="HQ568" s="1093"/>
      <c r="HR568" s="1093"/>
      <c r="HS568" s="1093"/>
      <c r="HT568" s="1093"/>
      <c r="HU568" s="1093"/>
      <c r="HV568" s="1093"/>
      <c r="HW568" s="1093"/>
      <c r="HX568" s="1093"/>
      <c r="HY568" s="1093"/>
      <c r="HZ568" s="1093"/>
      <c r="IA568" s="1093"/>
      <c r="IB568" s="1093"/>
      <c r="IC568" s="1093"/>
      <c r="ID568" s="1093"/>
      <c r="IE568" s="1093"/>
      <c r="IF568" s="1093"/>
      <c r="IG568" s="1093"/>
      <c r="IH568" s="1093"/>
      <c r="II568" s="1093"/>
      <c r="IJ568" s="1093"/>
      <c r="IK568" s="1093"/>
      <c r="IL568" s="1093"/>
      <c r="IM568" s="1093"/>
      <c r="IN568" s="1093"/>
      <c r="IO568" s="1093"/>
      <c r="IP568" s="1093"/>
      <c r="IQ568" s="1093"/>
      <c r="IR568" s="1093"/>
      <c r="IS568" s="1093"/>
      <c r="IT568" s="1093"/>
      <c r="IU568" s="1093"/>
      <c r="IV568" s="1093"/>
      <c r="IW568" s="1093"/>
    </row>
    <row r="569" spans="1:257" s="621" customFormat="1">
      <c r="A569" s="589" t="s">
        <v>222</v>
      </c>
      <c r="B569" s="804" t="s">
        <v>252</v>
      </c>
      <c r="C569" s="715"/>
      <c r="D569" s="715"/>
      <c r="E569" s="716"/>
      <c r="F569" s="805">
        <f>F570</f>
        <v>482000000</v>
      </c>
      <c r="G569" s="704"/>
      <c r="H569" s="704">
        <v>4</v>
      </c>
      <c r="I569" s="704"/>
      <c r="J569" s="805">
        <f>J570</f>
        <v>482000000</v>
      </c>
      <c r="K569" s="805">
        <f>K570</f>
        <v>492000000</v>
      </c>
      <c r="L569" s="1312">
        <f>L570</f>
        <v>620300000</v>
      </c>
      <c r="M569" s="603"/>
      <c r="N569" s="835"/>
      <c r="O569" s="835"/>
      <c r="P569" s="829"/>
      <c r="Q569" s="829"/>
      <c r="R569" s="838"/>
      <c r="S569" s="871"/>
      <c r="T569" s="824"/>
      <c r="U569" s="580"/>
      <c r="V569" s="722"/>
      <c r="W569" s="722"/>
      <c r="X569" s="723"/>
      <c r="Y569" s="724"/>
      <c r="Z569" s="724"/>
      <c r="AA569" s="724"/>
      <c r="AB569" s="724"/>
      <c r="AC569" s="724"/>
      <c r="AD569" s="724"/>
      <c r="AE569" s="724"/>
      <c r="AF569" s="724"/>
      <c r="AG569" s="724"/>
      <c r="AH569" s="724"/>
      <c r="AI569" s="724"/>
      <c r="AJ569" s="724"/>
      <c r="AK569" s="724"/>
      <c r="AL569" s="724"/>
      <c r="AM569" s="724"/>
      <c r="AN569" s="724"/>
      <c r="AO569" s="724"/>
      <c r="AP569" s="724"/>
      <c r="AQ569" s="724"/>
      <c r="AR569" s="724"/>
      <c r="AS569" s="724"/>
      <c r="AT569" s="724"/>
      <c r="AU569" s="724"/>
      <c r="AV569" s="724"/>
      <c r="AW569" s="724"/>
      <c r="AX569" s="724"/>
      <c r="AY569" s="724"/>
      <c r="AZ569" s="724"/>
      <c r="BA569" s="724"/>
      <c r="BB569" s="724"/>
      <c r="BC569" s="724"/>
      <c r="BD569" s="724"/>
      <c r="BE569" s="724"/>
      <c r="BF569" s="724"/>
      <c r="BG569" s="724"/>
      <c r="BH569" s="724"/>
      <c r="BI569" s="724"/>
      <c r="BJ569" s="724"/>
      <c r="BK569" s="724"/>
      <c r="BL569" s="724"/>
      <c r="BM569" s="724"/>
      <c r="BN569" s="724"/>
      <c r="BO569" s="724"/>
      <c r="BP569" s="724"/>
      <c r="BQ569" s="724"/>
      <c r="BR569" s="724"/>
      <c r="BS569" s="724"/>
      <c r="BT569" s="724"/>
      <c r="BU569" s="724"/>
      <c r="BV569" s="724"/>
      <c r="BW569" s="724"/>
      <c r="BX569" s="724"/>
      <c r="BY569" s="724"/>
      <c r="BZ569" s="724"/>
      <c r="CA569" s="724"/>
      <c r="CB569" s="724"/>
      <c r="CC569" s="724"/>
      <c r="CD569" s="724"/>
      <c r="CE569" s="724"/>
      <c r="CF569" s="724"/>
      <c r="CG569" s="724"/>
      <c r="CH569" s="724"/>
      <c r="CI569" s="724"/>
      <c r="CJ569" s="724"/>
      <c r="CK569" s="724"/>
      <c r="CL569" s="724"/>
      <c r="CM569" s="724"/>
      <c r="CN569" s="724"/>
      <c r="CO569" s="724"/>
      <c r="CP569" s="724"/>
      <c r="CQ569" s="724"/>
      <c r="CR569" s="724"/>
      <c r="CS569" s="724"/>
      <c r="CT569" s="724"/>
      <c r="CU569" s="724"/>
      <c r="CV569" s="724"/>
      <c r="CW569" s="724"/>
      <c r="CX569" s="724"/>
      <c r="CY569" s="724"/>
      <c r="CZ569" s="724"/>
      <c r="DA569" s="724"/>
      <c r="DB569" s="724"/>
      <c r="DC569" s="724"/>
      <c r="DD569" s="724"/>
      <c r="DE569" s="724"/>
      <c r="DF569" s="724"/>
      <c r="DG569" s="724"/>
      <c r="DH569" s="724"/>
      <c r="DI569" s="724"/>
      <c r="DJ569" s="724"/>
      <c r="DK569" s="724"/>
      <c r="DL569" s="724"/>
      <c r="DM569" s="724"/>
      <c r="DN569" s="724"/>
      <c r="DO569" s="724"/>
      <c r="DP569" s="724"/>
      <c r="DQ569" s="724"/>
      <c r="DR569" s="724"/>
      <c r="DS569" s="724"/>
      <c r="DT569" s="724"/>
      <c r="DU569" s="724"/>
      <c r="DV569" s="724"/>
      <c r="DW569" s="724"/>
      <c r="DX569" s="724"/>
      <c r="DY569" s="724"/>
      <c r="DZ569" s="724"/>
      <c r="EA569" s="724"/>
      <c r="EB569" s="724"/>
      <c r="EC569" s="724"/>
      <c r="ED569" s="724"/>
      <c r="EE569" s="724"/>
      <c r="EF569" s="724"/>
      <c r="EG569" s="724"/>
      <c r="EH569" s="724"/>
      <c r="EI569" s="724"/>
      <c r="EJ569" s="724"/>
      <c r="EK569" s="724"/>
      <c r="EL569" s="724"/>
      <c r="EM569" s="724"/>
      <c r="EN569" s="724"/>
      <c r="EO569" s="724"/>
      <c r="EP569" s="724"/>
      <c r="EQ569" s="724"/>
      <c r="ER569" s="724"/>
      <c r="ES569" s="724"/>
      <c r="ET569" s="724"/>
      <c r="EU569" s="724"/>
      <c r="EV569" s="724"/>
      <c r="EW569" s="724"/>
      <c r="EX569" s="724"/>
      <c r="EY569" s="724"/>
      <c r="EZ569" s="724"/>
      <c r="FA569" s="724"/>
      <c r="FB569" s="724"/>
      <c r="FC569" s="724"/>
      <c r="FD569" s="724"/>
      <c r="FE569" s="724"/>
      <c r="FF569" s="724"/>
      <c r="FG569" s="724"/>
      <c r="FH569" s="724"/>
      <c r="FI569" s="724"/>
      <c r="FJ569" s="724"/>
      <c r="FK569" s="724"/>
      <c r="FL569" s="724"/>
      <c r="FM569" s="724"/>
      <c r="FN569" s="724"/>
      <c r="FO569" s="724"/>
      <c r="FP569" s="724"/>
      <c r="FQ569" s="724"/>
      <c r="FR569" s="724"/>
      <c r="FS569" s="724"/>
      <c r="FT569" s="724"/>
      <c r="FU569" s="724"/>
      <c r="FV569" s="724"/>
      <c r="FW569" s="724"/>
      <c r="FX569" s="724"/>
      <c r="FY569" s="724"/>
      <c r="FZ569" s="724"/>
      <c r="GA569" s="724"/>
      <c r="GB569" s="724"/>
      <c r="GC569" s="724"/>
      <c r="GD569" s="724"/>
      <c r="GE569" s="724"/>
      <c r="GF569" s="724"/>
      <c r="GG569" s="724"/>
      <c r="GH569" s="724"/>
      <c r="GI569" s="724"/>
      <c r="GJ569" s="724"/>
      <c r="GK569" s="724"/>
      <c r="GL569" s="724"/>
      <c r="GM569" s="724"/>
      <c r="GN569" s="724"/>
      <c r="GO569" s="724"/>
      <c r="GP569" s="724"/>
      <c r="GQ569" s="724"/>
      <c r="GR569" s="724"/>
      <c r="GS569" s="724"/>
      <c r="GT569" s="724"/>
      <c r="GU569" s="724"/>
      <c r="GV569" s="724"/>
      <c r="GW569" s="724"/>
      <c r="GX569" s="724"/>
      <c r="GY569" s="724"/>
      <c r="GZ569" s="724"/>
      <c r="HA569" s="724"/>
      <c r="HB569" s="724"/>
      <c r="HC569" s="724"/>
      <c r="HD569" s="724"/>
      <c r="HE569" s="724"/>
      <c r="HF569" s="724"/>
      <c r="HG569" s="724"/>
      <c r="HH569" s="724"/>
      <c r="HI569" s="724"/>
      <c r="HJ569" s="724"/>
      <c r="HK569" s="724"/>
      <c r="HL569" s="724"/>
      <c r="HM569" s="724"/>
      <c r="HN569" s="724"/>
      <c r="HO569" s="724"/>
      <c r="HP569" s="724"/>
      <c r="HQ569" s="724"/>
      <c r="HR569" s="724"/>
      <c r="HS569" s="724"/>
      <c r="HT569" s="724"/>
      <c r="HU569" s="724"/>
      <c r="HV569" s="724"/>
      <c r="HW569" s="724"/>
      <c r="HX569" s="724"/>
      <c r="HY569" s="724"/>
      <c r="HZ569" s="724"/>
      <c r="IA569" s="724"/>
      <c r="IB569" s="724"/>
      <c r="IC569" s="724"/>
      <c r="ID569" s="724"/>
      <c r="IE569" s="724"/>
      <c r="IF569" s="724"/>
      <c r="IG569" s="724"/>
      <c r="IH569" s="724"/>
      <c r="II569" s="724"/>
      <c r="IJ569" s="724"/>
      <c r="IK569" s="724"/>
      <c r="IL569" s="724"/>
      <c r="IM569" s="724"/>
      <c r="IN569" s="724"/>
      <c r="IO569" s="724"/>
      <c r="IP569" s="724"/>
      <c r="IQ569" s="724"/>
      <c r="IR569" s="724"/>
      <c r="IS569" s="724"/>
      <c r="IT569" s="724"/>
      <c r="IU569" s="724"/>
      <c r="IV569" s="724"/>
      <c r="IW569" s="724"/>
    </row>
    <row r="570" spans="1:257" s="681" customFormat="1">
      <c r="A570" s="699" t="s">
        <v>192</v>
      </c>
      <c r="B570" s="808" t="s">
        <v>292</v>
      </c>
      <c r="C570" s="699"/>
      <c r="D570" s="699"/>
      <c r="E570" s="700"/>
      <c r="F570" s="725">
        <f>F571+F575</f>
        <v>482000000</v>
      </c>
      <c r="G570" s="725"/>
      <c r="H570" s="725"/>
      <c r="I570" s="725"/>
      <c r="J570" s="725">
        <f>J571+J575</f>
        <v>482000000</v>
      </c>
      <c r="K570" s="725">
        <f>K572+K574+K575</f>
        <v>492000000</v>
      </c>
      <c r="L570" s="1311">
        <f>L572++L575+L574</f>
        <v>620300000</v>
      </c>
      <c r="M570" s="669"/>
      <c r="N570" s="868"/>
      <c r="O570" s="868"/>
      <c r="P570" s="868"/>
      <c r="Q570" s="868"/>
      <c r="R570" s="838"/>
      <c r="S570" s="866"/>
      <c r="T570" s="839"/>
      <c r="U570" s="726"/>
      <c r="V570" s="1095"/>
      <c r="W570" s="727"/>
      <c r="X570" s="728"/>
      <c r="Y570" s="682"/>
      <c r="Z570" s="682"/>
      <c r="AA570" s="682"/>
      <c r="AB570" s="682"/>
      <c r="AC570" s="682"/>
      <c r="AD570" s="682"/>
      <c r="AE570" s="682"/>
      <c r="AF570" s="682"/>
      <c r="AG570" s="682"/>
      <c r="AH570" s="682"/>
      <c r="AI570" s="682"/>
      <c r="AJ570" s="682"/>
      <c r="AK570" s="682"/>
      <c r="AL570" s="682"/>
      <c r="AM570" s="682"/>
      <c r="AN570" s="682"/>
      <c r="AO570" s="682"/>
      <c r="AP570" s="682"/>
      <c r="AQ570" s="682"/>
      <c r="AR570" s="682"/>
      <c r="AS570" s="682"/>
      <c r="AT570" s="682"/>
      <c r="AU570" s="682"/>
      <c r="AV570" s="682"/>
      <c r="AW570" s="682"/>
      <c r="AX570" s="682"/>
      <c r="AY570" s="682"/>
      <c r="AZ570" s="682"/>
      <c r="BA570" s="682"/>
      <c r="BB570" s="682"/>
      <c r="BC570" s="682"/>
      <c r="BD570" s="682"/>
      <c r="BE570" s="682"/>
      <c r="BF570" s="682"/>
      <c r="BG570" s="682"/>
      <c r="BH570" s="682"/>
      <c r="BI570" s="682"/>
      <c r="BJ570" s="682"/>
      <c r="BK570" s="682"/>
      <c r="BL570" s="682"/>
      <c r="BM570" s="682"/>
      <c r="BN570" s="682"/>
      <c r="BO570" s="682"/>
      <c r="BP570" s="682"/>
      <c r="BQ570" s="682"/>
      <c r="BR570" s="682"/>
      <c r="BS570" s="682"/>
      <c r="BT570" s="682"/>
      <c r="BU570" s="682"/>
      <c r="BV570" s="682"/>
      <c r="BW570" s="682"/>
      <c r="BX570" s="682"/>
      <c r="BY570" s="682"/>
      <c r="BZ570" s="682"/>
      <c r="CA570" s="682"/>
      <c r="CB570" s="682"/>
      <c r="CC570" s="682"/>
      <c r="CD570" s="682"/>
      <c r="CE570" s="682"/>
      <c r="CF570" s="682"/>
      <c r="CG570" s="682"/>
      <c r="CH570" s="682"/>
      <c r="CI570" s="682"/>
      <c r="CJ570" s="682"/>
      <c r="CK570" s="682"/>
      <c r="CL570" s="682"/>
      <c r="CM570" s="682"/>
      <c r="CN570" s="682"/>
      <c r="CO570" s="682"/>
      <c r="CP570" s="682"/>
      <c r="CQ570" s="682"/>
      <c r="CR570" s="682"/>
      <c r="CS570" s="682"/>
      <c r="CT570" s="682"/>
      <c r="CU570" s="682"/>
      <c r="CV570" s="682"/>
      <c r="CW570" s="682"/>
      <c r="CX570" s="682"/>
      <c r="CY570" s="682"/>
      <c r="CZ570" s="682"/>
      <c r="DA570" s="682"/>
      <c r="DB570" s="682"/>
      <c r="DC570" s="682"/>
      <c r="DD570" s="682"/>
      <c r="DE570" s="682"/>
      <c r="DF570" s="682"/>
      <c r="DG570" s="682"/>
      <c r="DH570" s="682"/>
      <c r="DI570" s="682"/>
      <c r="DJ570" s="682"/>
      <c r="DK570" s="682"/>
      <c r="DL570" s="682"/>
      <c r="DM570" s="682"/>
      <c r="DN570" s="682"/>
      <c r="DO570" s="682"/>
      <c r="DP570" s="682"/>
      <c r="DQ570" s="682"/>
      <c r="DR570" s="682"/>
      <c r="DS570" s="682"/>
      <c r="DT570" s="682"/>
      <c r="DU570" s="682"/>
      <c r="DV570" s="682"/>
      <c r="DW570" s="682"/>
      <c r="DX570" s="682"/>
      <c r="DY570" s="682"/>
      <c r="DZ570" s="682"/>
      <c r="EA570" s="682"/>
      <c r="EB570" s="682"/>
      <c r="EC570" s="682"/>
      <c r="ED570" s="682"/>
      <c r="EE570" s="682"/>
      <c r="EF570" s="682"/>
      <c r="EG570" s="682"/>
      <c r="EH570" s="682"/>
      <c r="EI570" s="682"/>
      <c r="EJ570" s="682"/>
      <c r="EK570" s="682"/>
      <c r="EL570" s="682"/>
      <c r="EM570" s="682"/>
      <c r="EN570" s="682"/>
      <c r="EO570" s="682"/>
      <c r="EP570" s="682"/>
      <c r="EQ570" s="682"/>
      <c r="ER570" s="682"/>
      <c r="ES570" s="682"/>
      <c r="ET570" s="682"/>
      <c r="EU570" s="682"/>
      <c r="EV570" s="682"/>
      <c r="EW570" s="682"/>
      <c r="EX570" s="682"/>
      <c r="EY570" s="682"/>
      <c r="EZ570" s="682"/>
      <c r="FA570" s="682"/>
      <c r="FB570" s="682"/>
      <c r="FC570" s="682"/>
      <c r="FD570" s="682"/>
      <c r="FE570" s="682"/>
      <c r="FF570" s="682"/>
      <c r="FG570" s="682"/>
      <c r="FH570" s="682"/>
      <c r="FI570" s="682"/>
      <c r="FJ570" s="682"/>
      <c r="FK570" s="682"/>
      <c r="FL570" s="682"/>
      <c r="FM570" s="682"/>
      <c r="FN570" s="682"/>
      <c r="FO570" s="682"/>
      <c r="FP570" s="682"/>
      <c r="FQ570" s="682"/>
      <c r="FR570" s="682"/>
      <c r="FS570" s="682"/>
      <c r="FT570" s="682"/>
      <c r="FU570" s="682"/>
      <c r="FV570" s="682"/>
      <c r="FW570" s="682"/>
      <c r="FX570" s="682"/>
      <c r="FY570" s="682"/>
      <c r="FZ570" s="682"/>
      <c r="GA570" s="682"/>
      <c r="GB570" s="682"/>
      <c r="GC570" s="682"/>
      <c r="GD570" s="682"/>
      <c r="GE570" s="682"/>
      <c r="GF570" s="682"/>
      <c r="GG570" s="682"/>
      <c r="GH570" s="682"/>
      <c r="GI570" s="682"/>
      <c r="GJ570" s="682"/>
      <c r="GK570" s="682"/>
      <c r="GL570" s="682"/>
      <c r="GM570" s="682"/>
      <c r="GN570" s="682"/>
      <c r="GO570" s="682"/>
      <c r="GP570" s="682"/>
      <c r="GQ570" s="682"/>
      <c r="GR570" s="682"/>
      <c r="GS570" s="682"/>
      <c r="GT570" s="682"/>
      <c r="GU570" s="682"/>
      <c r="GV570" s="682"/>
      <c r="GW570" s="682"/>
      <c r="GX570" s="682"/>
      <c r="GY570" s="682"/>
      <c r="GZ570" s="682"/>
      <c r="HA570" s="682"/>
      <c r="HB570" s="682"/>
      <c r="HC570" s="682"/>
      <c r="HD570" s="682"/>
      <c r="HE570" s="682"/>
      <c r="HF570" s="682"/>
      <c r="HG570" s="682"/>
      <c r="HH570" s="682"/>
      <c r="HI570" s="682"/>
      <c r="HJ570" s="682"/>
      <c r="HK570" s="682"/>
      <c r="HL570" s="682"/>
      <c r="HM570" s="682"/>
      <c r="HN570" s="682"/>
      <c r="HO570" s="682"/>
      <c r="HP570" s="682"/>
      <c r="HQ570" s="682"/>
      <c r="HR570" s="682"/>
      <c r="HS570" s="682"/>
      <c r="HT570" s="682"/>
      <c r="HU570" s="682"/>
      <c r="HV570" s="682"/>
      <c r="HW570" s="682"/>
      <c r="HX570" s="682"/>
      <c r="HY570" s="682"/>
      <c r="HZ570" s="682"/>
      <c r="IA570" s="682"/>
      <c r="IB570" s="682"/>
      <c r="IC570" s="682"/>
      <c r="ID570" s="682"/>
      <c r="IE570" s="682"/>
      <c r="IF570" s="682"/>
      <c r="IG570" s="682"/>
      <c r="IH570" s="682"/>
      <c r="II570" s="682"/>
      <c r="IJ570" s="682"/>
      <c r="IK570" s="682"/>
      <c r="IL570" s="682"/>
      <c r="IM570" s="682"/>
      <c r="IN570" s="682"/>
      <c r="IO570" s="682"/>
      <c r="IP570" s="682"/>
      <c r="IQ570" s="682"/>
      <c r="IR570" s="682"/>
      <c r="IS570" s="682"/>
      <c r="IT570" s="682"/>
      <c r="IU570" s="682"/>
      <c r="IV570" s="682"/>
      <c r="IW570" s="682"/>
    </row>
    <row r="571" spans="1:257" s="621" customFormat="1">
      <c r="A571" s="812" t="s">
        <v>248</v>
      </c>
      <c r="B571" s="813" t="s">
        <v>255</v>
      </c>
      <c r="C571" s="713">
        <v>4</v>
      </c>
      <c r="D571" s="713"/>
      <c r="E571" s="725"/>
      <c r="F571" s="725">
        <f>364000000+10000000</f>
        <v>374000000</v>
      </c>
      <c r="G571" s="725"/>
      <c r="H571" s="725"/>
      <c r="I571" s="725"/>
      <c r="J571" s="725">
        <f>246000000+128000000</f>
        <v>374000000</v>
      </c>
      <c r="K571" s="725">
        <f>K572+K573</f>
        <v>464000000</v>
      </c>
      <c r="L571" s="1311">
        <f>L572+L573</f>
        <v>644000000</v>
      </c>
      <c r="M571" s="669"/>
      <c r="N571" s="868"/>
      <c r="O571" s="868"/>
      <c r="P571" s="868"/>
      <c r="Q571" s="868"/>
      <c r="R571" s="871"/>
      <c r="S571" s="891"/>
      <c r="T571" s="832"/>
      <c r="U571" s="726"/>
      <c r="V571" s="727"/>
      <c r="W571" s="722"/>
      <c r="X571" s="723"/>
      <c r="Y571" s="724"/>
      <c r="Z571" s="724"/>
      <c r="AA571" s="724"/>
      <c r="AB571" s="724"/>
      <c r="AC571" s="724"/>
      <c r="AD571" s="724"/>
      <c r="AE571" s="724"/>
      <c r="AF571" s="724"/>
      <c r="AG571" s="724"/>
      <c r="AH571" s="724"/>
      <c r="AI571" s="724"/>
      <c r="AJ571" s="724"/>
      <c r="AK571" s="724"/>
      <c r="AL571" s="724"/>
      <c r="AM571" s="724"/>
      <c r="AN571" s="724"/>
      <c r="AO571" s="724"/>
      <c r="AP571" s="724"/>
      <c r="AQ571" s="724"/>
      <c r="AR571" s="724"/>
      <c r="AS571" s="724"/>
      <c r="AT571" s="724"/>
      <c r="AU571" s="724"/>
      <c r="AV571" s="724"/>
      <c r="AW571" s="724"/>
      <c r="AX571" s="724"/>
      <c r="AY571" s="724"/>
      <c r="AZ571" s="724"/>
      <c r="BA571" s="724"/>
      <c r="BB571" s="724"/>
      <c r="BC571" s="724"/>
      <c r="BD571" s="724"/>
      <c r="BE571" s="724"/>
      <c r="BF571" s="724"/>
      <c r="BG571" s="724"/>
      <c r="BH571" s="724"/>
      <c r="BI571" s="724"/>
      <c r="BJ571" s="724"/>
      <c r="BK571" s="724"/>
      <c r="BL571" s="724"/>
      <c r="BM571" s="724"/>
      <c r="BN571" s="724"/>
      <c r="BO571" s="724"/>
      <c r="BP571" s="724"/>
      <c r="BQ571" s="724"/>
      <c r="BR571" s="724"/>
      <c r="BS571" s="724"/>
      <c r="BT571" s="724"/>
      <c r="BU571" s="724"/>
      <c r="BV571" s="724"/>
      <c r="BW571" s="724"/>
      <c r="BX571" s="724"/>
      <c r="BY571" s="724"/>
      <c r="BZ571" s="724"/>
      <c r="CA571" s="724"/>
      <c r="CB571" s="724"/>
      <c r="CC571" s="724"/>
      <c r="CD571" s="724"/>
      <c r="CE571" s="724"/>
      <c r="CF571" s="724"/>
      <c r="CG571" s="724"/>
      <c r="CH571" s="724"/>
      <c r="CI571" s="724"/>
      <c r="CJ571" s="724"/>
      <c r="CK571" s="724"/>
      <c r="CL571" s="724"/>
      <c r="CM571" s="724"/>
      <c r="CN571" s="724"/>
      <c r="CO571" s="724"/>
      <c r="CP571" s="724"/>
      <c r="CQ571" s="724"/>
      <c r="CR571" s="724"/>
      <c r="CS571" s="724"/>
      <c r="CT571" s="724"/>
      <c r="CU571" s="724"/>
      <c r="CV571" s="724"/>
      <c r="CW571" s="724"/>
      <c r="CX571" s="724"/>
      <c r="CY571" s="724"/>
      <c r="CZ571" s="724"/>
      <c r="DA571" s="724"/>
      <c r="DB571" s="724"/>
      <c r="DC571" s="724"/>
      <c r="DD571" s="724"/>
      <c r="DE571" s="724"/>
      <c r="DF571" s="724"/>
      <c r="DG571" s="724"/>
      <c r="DH571" s="724"/>
      <c r="DI571" s="724"/>
      <c r="DJ571" s="724"/>
      <c r="DK571" s="724"/>
      <c r="DL571" s="724"/>
      <c r="DM571" s="724"/>
      <c r="DN571" s="724"/>
      <c r="DO571" s="724"/>
      <c r="DP571" s="724"/>
      <c r="DQ571" s="724"/>
      <c r="DR571" s="724"/>
      <c r="DS571" s="724"/>
      <c r="DT571" s="724"/>
      <c r="DU571" s="724"/>
      <c r="DV571" s="724"/>
      <c r="DW571" s="724"/>
      <c r="DX571" s="724"/>
      <c r="DY571" s="724"/>
      <c r="DZ571" s="724"/>
      <c r="EA571" s="724"/>
      <c r="EB571" s="724"/>
      <c r="EC571" s="724"/>
      <c r="ED571" s="724"/>
      <c r="EE571" s="724"/>
      <c r="EF571" s="724"/>
      <c r="EG571" s="724"/>
      <c r="EH571" s="724"/>
      <c r="EI571" s="724"/>
      <c r="EJ571" s="724"/>
      <c r="EK571" s="724"/>
      <c r="EL571" s="724"/>
      <c r="EM571" s="724"/>
      <c r="EN571" s="724"/>
      <c r="EO571" s="724"/>
      <c r="EP571" s="724"/>
      <c r="EQ571" s="724"/>
      <c r="ER571" s="724"/>
      <c r="ES571" s="724"/>
      <c r="ET571" s="724"/>
      <c r="EU571" s="724"/>
      <c r="EV571" s="724"/>
      <c r="EW571" s="724"/>
      <c r="EX571" s="724"/>
      <c r="EY571" s="724"/>
      <c r="EZ571" s="724"/>
      <c r="FA571" s="724"/>
      <c r="FB571" s="724"/>
      <c r="FC571" s="724"/>
      <c r="FD571" s="724"/>
      <c r="FE571" s="724"/>
      <c r="FF571" s="724"/>
      <c r="FG571" s="724"/>
      <c r="FH571" s="724"/>
      <c r="FI571" s="724"/>
      <c r="FJ571" s="724"/>
      <c r="FK571" s="724"/>
      <c r="FL571" s="724"/>
      <c r="FM571" s="724"/>
      <c r="FN571" s="724"/>
      <c r="FO571" s="724"/>
      <c r="FP571" s="724"/>
      <c r="FQ571" s="724"/>
      <c r="FR571" s="724"/>
      <c r="FS571" s="724"/>
      <c r="FT571" s="724"/>
      <c r="FU571" s="724"/>
      <c r="FV571" s="724"/>
      <c r="FW571" s="724"/>
      <c r="FX571" s="724"/>
      <c r="FY571" s="724"/>
      <c r="FZ571" s="724"/>
      <c r="GA571" s="724"/>
      <c r="GB571" s="724"/>
      <c r="GC571" s="724"/>
      <c r="GD571" s="724"/>
      <c r="GE571" s="724"/>
      <c r="GF571" s="724"/>
      <c r="GG571" s="724"/>
      <c r="GH571" s="724"/>
      <c r="GI571" s="724"/>
      <c r="GJ571" s="724"/>
      <c r="GK571" s="724"/>
      <c r="GL571" s="724"/>
      <c r="GM571" s="724"/>
      <c r="GN571" s="724"/>
      <c r="GO571" s="724"/>
      <c r="GP571" s="724"/>
      <c r="GQ571" s="724"/>
      <c r="GR571" s="724"/>
      <c r="GS571" s="724"/>
      <c r="GT571" s="724"/>
      <c r="GU571" s="724"/>
      <c r="GV571" s="724"/>
      <c r="GW571" s="724"/>
      <c r="GX571" s="724"/>
      <c r="GY571" s="724"/>
      <c r="GZ571" s="724"/>
      <c r="HA571" s="724"/>
      <c r="HB571" s="724"/>
      <c r="HC571" s="724"/>
      <c r="HD571" s="724"/>
      <c r="HE571" s="724"/>
      <c r="HF571" s="724"/>
      <c r="HG571" s="724"/>
      <c r="HH571" s="724"/>
      <c r="HI571" s="724"/>
      <c r="HJ571" s="724"/>
      <c r="HK571" s="724"/>
      <c r="HL571" s="724"/>
      <c r="HM571" s="724"/>
      <c r="HN571" s="724"/>
      <c r="HO571" s="724"/>
      <c r="HP571" s="724"/>
      <c r="HQ571" s="724"/>
      <c r="HR571" s="724"/>
      <c r="HS571" s="724"/>
      <c r="HT571" s="724"/>
      <c r="HU571" s="724"/>
      <c r="HV571" s="724"/>
      <c r="HW571" s="724"/>
      <c r="HX571" s="724"/>
      <c r="HY571" s="724"/>
      <c r="HZ571" s="724"/>
      <c r="IA571" s="724"/>
      <c r="IB571" s="724"/>
      <c r="IC571" s="724"/>
      <c r="ID571" s="724"/>
      <c r="IE571" s="724"/>
      <c r="IF571" s="724"/>
      <c r="IG571" s="724"/>
      <c r="IH571" s="724"/>
      <c r="II571" s="724"/>
      <c r="IJ571" s="724"/>
      <c r="IK571" s="724"/>
      <c r="IL571" s="724"/>
      <c r="IM571" s="724"/>
      <c r="IN571" s="724"/>
      <c r="IO571" s="724"/>
      <c r="IP571" s="724"/>
      <c r="IQ571" s="724"/>
      <c r="IR571" s="724"/>
      <c r="IS571" s="724"/>
      <c r="IT571" s="724"/>
      <c r="IU571" s="724"/>
      <c r="IV571" s="724"/>
      <c r="IW571" s="724"/>
    </row>
    <row r="572" spans="1:257" s="621" customFormat="1">
      <c r="A572" s="812"/>
      <c r="B572" s="684" t="s">
        <v>918</v>
      </c>
      <c r="C572" s="713"/>
      <c r="D572" s="713"/>
      <c r="E572" s="725"/>
      <c r="F572" s="725"/>
      <c r="G572" s="725"/>
      <c r="H572" s="725"/>
      <c r="I572" s="725"/>
      <c r="J572" s="725"/>
      <c r="K572" s="725">
        <v>384000000</v>
      </c>
      <c r="L572" s="1311">
        <f>ROUND(34139700*12,-6)</f>
        <v>410000000</v>
      </c>
      <c r="M572" s="669"/>
      <c r="N572" s="868"/>
      <c r="O572" s="868"/>
      <c r="P572" s="868"/>
      <c r="Q572" s="868"/>
      <c r="R572" s="871"/>
      <c r="S572" s="891"/>
      <c r="T572" s="832"/>
      <c r="U572" s="726"/>
      <c r="V572" s="727"/>
      <c r="W572" s="722"/>
      <c r="X572" s="723"/>
      <c r="Y572" s="724"/>
      <c r="Z572" s="724"/>
      <c r="AA572" s="724"/>
      <c r="AB572" s="724"/>
      <c r="AC572" s="724"/>
      <c r="AD572" s="724"/>
      <c r="AE572" s="724"/>
      <c r="AF572" s="724"/>
      <c r="AG572" s="724"/>
      <c r="AH572" s="724"/>
      <c r="AI572" s="724"/>
      <c r="AJ572" s="724"/>
      <c r="AK572" s="724"/>
      <c r="AL572" s="724"/>
      <c r="AM572" s="724"/>
      <c r="AN572" s="724"/>
      <c r="AO572" s="724"/>
      <c r="AP572" s="724"/>
      <c r="AQ572" s="724"/>
      <c r="AR572" s="724"/>
      <c r="AS572" s="724"/>
      <c r="AT572" s="724"/>
      <c r="AU572" s="724"/>
      <c r="AV572" s="724"/>
      <c r="AW572" s="724"/>
      <c r="AX572" s="724"/>
      <c r="AY572" s="724"/>
      <c r="AZ572" s="724"/>
      <c r="BA572" s="724"/>
      <c r="BB572" s="724"/>
      <c r="BC572" s="724"/>
      <c r="BD572" s="724"/>
      <c r="BE572" s="724"/>
      <c r="BF572" s="724"/>
      <c r="BG572" s="724"/>
      <c r="BH572" s="724"/>
      <c r="BI572" s="724"/>
      <c r="BJ572" s="724"/>
      <c r="BK572" s="724"/>
      <c r="BL572" s="724"/>
      <c r="BM572" s="724"/>
      <c r="BN572" s="724"/>
      <c r="BO572" s="724"/>
      <c r="BP572" s="724"/>
      <c r="BQ572" s="724"/>
      <c r="BR572" s="724"/>
      <c r="BS572" s="724"/>
      <c r="BT572" s="724"/>
      <c r="BU572" s="724"/>
      <c r="BV572" s="724"/>
      <c r="BW572" s="724"/>
      <c r="BX572" s="724"/>
      <c r="BY572" s="724"/>
      <c r="BZ572" s="724"/>
      <c r="CA572" s="724"/>
      <c r="CB572" s="724"/>
      <c r="CC572" s="724"/>
      <c r="CD572" s="724"/>
      <c r="CE572" s="724"/>
      <c r="CF572" s="724"/>
      <c r="CG572" s="724"/>
      <c r="CH572" s="724"/>
      <c r="CI572" s="724"/>
      <c r="CJ572" s="724"/>
      <c r="CK572" s="724"/>
      <c r="CL572" s="724"/>
      <c r="CM572" s="724"/>
      <c r="CN572" s="724"/>
      <c r="CO572" s="724"/>
      <c r="CP572" s="724"/>
      <c r="CQ572" s="724"/>
      <c r="CR572" s="724"/>
      <c r="CS572" s="724"/>
      <c r="CT572" s="724"/>
      <c r="CU572" s="724"/>
      <c r="CV572" s="724"/>
      <c r="CW572" s="724"/>
      <c r="CX572" s="724"/>
      <c r="CY572" s="724"/>
      <c r="CZ572" s="724"/>
      <c r="DA572" s="724"/>
      <c r="DB572" s="724"/>
      <c r="DC572" s="724"/>
      <c r="DD572" s="724"/>
      <c r="DE572" s="724"/>
      <c r="DF572" s="724"/>
      <c r="DG572" s="724"/>
      <c r="DH572" s="724"/>
      <c r="DI572" s="724"/>
      <c r="DJ572" s="724"/>
      <c r="DK572" s="724"/>
      <c r="DL572" s="724"/>
      <c r="DM572" s="724"/>
      <c r="DN572" s="724"/>
      <c r="DO572" s="724"/>
      <c r="DP572" s="724"/>
      <c r="DQ572" s="724"/>
      <c r="DR572" s="724"/>
      <c r="DS572" s="724"/>
      <c r="DT572" s="724"/>
      <c r="DU572" s="724"/>
      <c r="DV572" s="724"/>
      <c r="DW572" s="724"/>
      <c r="DX572" s="724"/>
      <c r="DY572" s="724"/>
      <c r="DZ572" s="724"/>
      <c r="EA572" s="724"/>
      <c r="EB572" s="724"/>
      <c r="EC572" s="724"/>
      <c r="ED572" s="724"/>
      <c r="EE572" s="724"/>
      <c r="EF572" s="724"/>
      <c r="EG572" s="724"/>
      <c r="EH572" s="724"/>
      <c r="EI572" s="724"/>
      <c r="EJ572" s="724"/>
      <c r="EK572" s="724"/>
      <c r="EL572" s="724"/>
      <c r="EM572" s="724"/>
      <c r="EN572" s="724"/>
      <c r="EO572" s="724"/>
      <c r="EP572" s="724"/>
      <c r="EQ572" s="724"/>
      <c r="ER572" s="724"/>
      <c r="ES572" s="724"/>
      <c r="ET572" s="724"/>
      <c r="EU572" s="724"/>
      <c r="EV572" s="724"/>
      <c r="EW572" s="724"/>
      <c r="EX572" s="724"/>
      <c r="EY572" s="724"/>
      <c r="EZ572" s="724"/>
      <c r="FA572" s="724"/>
      <c r="FB572" s="724"/>
      <c r="FC572" s="724"/>
      <c r="FD572" s="724"/>
      <c r="FE572" s="724"/>
      <c r="FF572" s="724"/>
      <c r="FG572" s="724"/>
      <c r="FH572" s="724"/>
      <c r="FI572" s="724"/>
      <c r="FJ572" s="724"/>
      <c r="FK572" s="724"/>
      <c r="FL572" s="724"/>
      <c r="FM572" s="724"/>
      <c r="FN572" s="724"/>
      <c r="FO572" s="724"/>
      <c r="FP572" s="724"/>
      <c r="FQ572" s="724"/>
      <c r="FR572" s="724"/>
      <c r="FS572" s="724"/>
      <c r="FT572" s="724"/>
      <c r="FU572" s="724"/>
      <c r="FV572" s="724"/>
      <c r="FW572" s="724"/>
      <c r="FX572" s="724"/>
      <c r="FY572" s="724"/>
      <c r="FZ572" s="724"/>
      <c r="GA572" s="724"/>
      <c r="GB572" s="724"/>
      <c r="GC572" s="724"/>
      <c r="GD572" s="724"/>
      <c r="GE572" s="724"/>
      <c r="GF572" s="724"/>
      <c r="GG572" s="724"/>
      <c r="GH572" s="724"/>
      <c r="GI572" s="724"/>
      <c r="GJ572" s="724"/>
      <c r="GK572" s="724"/>
      <c r="GL572" s="724"/>
      <c r="GM572" s="724"/>
      <c r="GN572" s="724"/>
      <c r="GO572" s="724"/>
      <c r="GP572" s="724"/>
      <c r="GQ572" s="724"/>
      <c r="GR572" s="724"/>
      <c r="GS572" s="724"/>
      <c r="GT572" s="724"/>
      <c r="GU572" s="724"/>
      <c r="GV572" s="724"/>
      <c r="GW572" s="724"/>
      <c r="GX572" s="724"/>
      <c r="GY572" s="724"/>
      <c r="GZ572" s="724"/>
      <c r="HA572" s="724"/>
      <c r="HB572" s="724"/>
      <c r="HC572" s="724"/>
      <c r="HD572" s="724"/>
      <c r="HE572" s="724"/>
      <c r="HF572" s="724"/>
      <c r="HG572" s="724"/>
      <c r="HH572" s="724"/>
      <c r="HI572" s="724"/>
      <c r="HJ572" s="724"/>
      <c r="HK572" s="724"/>
      <c r="HL572" s="724"/>
      <c r="HM572" s="724"/>
      <c r="HN572" s="724"/>
      <c r="HO572" s="724"/>
      <c r="HP572" s="724"/>
      <c r="HQ572" s="724"/>
      <c r="HR572" s="724"/>
      <c r="HS572" s="724"/>
      <c r="HT572" s="724"/>
      <c r="HU572" s="724"/>
      <c r="HV572" s="724"/>
      <c r="HW572" s="724"/>
      <c r="HX572" s="724"/>
      <c r="HY572" s="724"/>
      <c r="HZ572" s="724"/>
      <c r="IA572" s="724"/>
      <c r="IB572" s="724"/>
      <c r="IC572" s="724"/>
      <c r="ID572" s="724"/>
      <c r="IE572" s="724"/>
      <c r="IF572" s="724"/>
      <c r="IG572" s="724"/>
      <c r="IH572" s="724"/>
      <c r="II572" s="724"/>
      <c r="IJ572" s="724"/>
      <c r="IK572" s="724"/>
      <c r="IL572" s="724"/>
      <c r="IM572" s="724"/>
      <c r="IN572" s="724"/>
      <c r="IO572" s="724"/>
      <c r="IP572" s="724"/>
      <c r="IQ572" s="724"/>
      <c r="IR572" s="724"/>
      <c r="IS572" s="724"/>
      <c r="IT572" s="724"/>
      <c r="IU572" s="724"/>
      <c r="IV572" s="724"/>
      <c r="IW572" s="724"/>
    </row>
    <row r="573" spans="1:257" s="621" customFormat="1">
      <c r="A573" s="812"/>
      <c r="B573" s="684" t="s">
        <v>1369</v>
      </c>
      <c r="C573" s="713"/>
      <c r="D573" s="713"/>
      <c r="E573" s="725"/>
      <c r="F573" s="725"/>
      <c r="G573" s="725"/>
      <c r="H573" s="725"/>
      <c r="I573" s="725"/>
      <c r="J573" s="725"/>
      <c r="K573" s="725">
        <v>80000000</v>
      </c>
      <c r="L573" s="1311">
        <f>ROUND(19475000*12,-6)</f>
        <v>234000000</v>
      </c>
      <c r="M573" s="669"/>
      <c r="N573" s="868"/>
      <c r="O573" s="868"/>
      <c r="P573" s="868"/>
      <c r="Q573" s="868"/>
      <c r="R573" s="871"/>
      <c r="S573" s="891"/>
      <c r="T573" s="832"/>
      <c r="U573" s="726"/>
      <c r="V573" s="727"/>
      <c r="W573" s="722"/>
      <c r="X573" s="723"/>
      <c r="Y573" s="724"/>
      <c r="Z573" s="724"/>
      <c r="AA573" s="724"/>
      <c r="AB573" s="724"/>
      <c r="AC573" s="724"/>
      <c r="AD573" s="724"/>
      <c r="AE573" s="724"/>
      <c r="AF573" s="724"/>
      <c r="AG573" s="724"/>
      <c r="AH573" s="724"/>
      <c r="AI573" s="724"/>
      <c r="AJ573" s="724"/>
      <c r="AK573" s="724"/>
      <c r="AL573" s="724"/>
      <c r="AM573" s="724"/>
      <c r="AN573" s="724"/>
      <c r="AO573" s="724"/>
      <c r="AP573" s="724"/>
      <c r="AQ573" s="724"/>
      <c r="AR573" s="724"/>
      <c r="AS573" s="724"/>
      <c r="AT573" s="724"/>
      <c r="AU573" s="724"/>
      <c r="AV573" s="724"/>
      <c r="AW573" s="724"/>
      <c r="AX573" s="724"/>
      <c r="AY573" s="724"/>
      <c r="AZ573" s="724"/>
      <c r="BA573" s="724"/>
      <c r="BB573" s="724"/>
      <c r="BC573" s="724"/>
      <c r="BD573" s="724"/>
      <c r="BE573" s="724"/>
      <c r="BF573" s="724"/>
      <c r="BG573" s="724"/>
      <c r="BH573" s="724"/>
      <c r="BI573" s="724"/>
      <c r="BJ573" s="724"/>
      <c r="BK573" s="724"/>
      <c r="BL573" s="724"/>
      <c r="BM573" s="724"/>
      <c r="BN573" s="724"/>
      <c r="BO573" s="724"/>
      <c r="BP573" s="724"/>
      <c r="BQ573" s="724"/>
      <c r="BR573" s="724"/>
      <c r="BS573" s="724"/>
      <c r="BT573" s="724"/>
      <c r="BU573" s="724"/>
      <c r="BV573" s="724"/>
      <c r="BW573" s="724"/>
      <c r="BX573" s="724"/>
      <c r="BY573" s="724"/>
      <c r="BZ573" s="724"/>
      <c r="CA573" s="724"/>
      <c r="CB573" s="724"/>
      <c r="CC573" s="724"/>
      <c r="CD573" s="724"/>
      <c r="CE573" s="724"/>
      <c r="CF573" s="724"/>
      <c r="CG573" s="724"/>
      <c r="CH573" s="724"/>
      <c r="CI573" s="724"/>
      <c r="CJ573" s="724"/>
      <c r="CK573" s="724"/>
      <c r="CL573" s="724"/>
      <c r="CM573" s="724"/>
      <c r="CN573" s="724"/>
      <c r="CO573" s="724"/>
      <c r="CP573" s="724"/>
      <c r="CQ573" s="724"/>
      <c r="CR573" s="724"/>
      <c r="CS573" s="724"/>
      <c r="CT573" s="724"/>
      <c r="CU573" s="724"/>
      <c r="CV573" s="724"/>
      <c r="CW573" s="724"/>
      <c r="CX573" s="724"/>
      <c r="CY573" s="724"/>
      <c r="CZ573" s="724"/>
      <c r="DA573" s="724"/>
      <c r="DB573" s="724"/>
      <c r="DC573" s="724"/>
      <c r="DD573" s="724"/>
      <c r="DE573" s="724"/>
      <c r="DF573" s="724"/>
      <c r="DG573" s="724"/>
      <c r="DH573" s="724"/>
      <c r="DI573" s="724"/>
      <c r="DJ573" s="724"/>
      <c r="DK573" s="724"/>
      <c r="DL573" s="724"/>
      <c r="DM573" s="724"/>
      <c r="DN573" s="724"/>
      <c r="DO573" s="724"/>
      <c r="DP573" s="724"/>
      <c r="DQ573" s="724"/>
      <c r="DR573" s="724"/>
      <c r="DS573" s="724"/>
      <c r="DT573" s="724"/>
      <c r="DU573" s="724"/>
      <c r="DV573" s="724"/>
      <c r="DW573" s="724"/>
      <c r="DX573" s="724"/>
      <c r="DY573" s="724"/>
      <c r="DZ573" s="724"/>
      <c r="EA573" s="724"/>
      <c r="EB573" s="724"/>
      <c r="EC573" s="724"/>
      <c r="ED573" s="724"/>
      <c r="EE573" s="724"/>
      <c r="EF573" s="724"/>
      <c r="EG573" s="724"/>
      <c r="EH573" s="724"/>
      <c r="EI573" s="724"/>
      <c r="EJ573" s="724"/>
      <c r="EK573" s="724"/>
      <c r="EL573" s="724"/>
      <c r="EM573" s="724"/>
      <c r="EN573" s="724"/>
      <c r="EO573" s="724"/>
      <c r="EP573" s="724"/>
      <c r="EQ573" s="724"/>
      <c r="ER573" s="724"/>
      <c r="ES573" s="724"/>
      <c r="ET573" s="724"/>
      <c r="EU573" s="724"/>
      <c r="EV573" s="724"/>
      <c r="EW573" s="724"/>
      <c r="EX573" s="724"/>
      <c r="EY573" s="724"/>
      <c r="EZ573" s="724"/>
      <c r="FA573" s="724"/>
      <c r="FB573" s="724"/>
      <c r="FC573" s="724"/>
      <c r="FD573" s="724"/>
      <c r="FE573" s="724"/>
      <c r="FF573" s="724"/>
      <c r="FG573" s="724"/>
      <c r="FH573" s="724"/>
      <c r="FI573" s="724"/>
      <c r="FJ573" s="724"/>
      <c r="FK573" s="724"/>
      <c r="FL573" s="724"/>
      <c r="FM573" s="724"/>
      <c r="FN573" s="724"/>
      <c r="FO573" s="724"/>
      <c r="FP573" s="724"/>
      <c r="FQ573" s="724"/>
      <c r="FR573" s="724"/>
      <c r="FS573" s="724"/>
      <c r="FT573" s="724"/>
      <c r="FU573" s="724"/>
      <c r="FV573" s="724"/>
      <c r="FW573" s="724"/>
      <c r="FX573" s="724"/>
      <c r="FY573" s="724"/>
      <c r="FZ573" s="724"/>
      <c r="GA573" s="724"/>
      <c r="GB573" s="724"/>
      <c r="GC573" s="724"/>
      <c r="GD573" s="724"/>
      <c r="GE573" s="724"/>
      <c r="GF573" s="724"/>
      <c r="GG573" s="724"/>
      <c r="GH573" s="724"/>
      <c r="GI573" s="724"/>
      <c r="GJ573" s="724"/>
      <c r="GK573" s="724"/>
      <c r="GL573" s="724"/>
      <c r="GM573" s="724"/>
      <c r="GN573" s="724"/>
      <c r="GO573" s="724"/>
      <c r="GP573" s="724"/>
      <c r="GQ573" s="724"/>
      <c r="GR573" s="724"/>
      <c r="GS573" s="724"/>
      <c r="GT573" s="724"/>
      <c r="GU573" s="724"/>
      <c r="GV573" s="724"/>
      <c r="GW573" s="724"/>
      <c r="GX573" s="724"/>
      <c r="GY573" s="724"/>
      <c r="GZ573" s="724"/>
      <c r="HA573" s="724"/>
      <c r="HB573" s="724"/>
      <c r="HC573" s="724"/>
      <c r="HD573" s="724"/>
      <c r="HE573" s="724"/>
      <c r="HF573" s="724"/>
      <c r="HG573" s="724"/>
      <c r="HH573" s="724"/>
      <c r="HI573" s="724"/>
      <c r="HJ573" s="724"/>
      <c r="HK573" s="724"/>
      <c r="HL573" s="724"/>
      <c r="HM573" s="724"/>
      <c r="HN573" s="724"/>
      <c r="HO573" s="724"/>
      <c r="HP573" s="724"/>
      <c r="HQ573" s="724"/>
      <c r="HR573" s="724"/>
      <c r="HS573" s="724"/>
      <c r="HT573" s="724"/>
      <c r="HU573" s="724"/>
      <c r="HV573" s="724"/>
      <c r="HW573" s="724"/>
      <c r="HX573" s="724"/>
      <c r="HY573" s="724"/>
      <c r="HZ573" s="724"/>
      <c r="IA573" s="724"/>
      <c r="IB573" s="724"/>
      <c r="IC573" s="724"/>
      <c r="ID573" s="724"/>
      <c r="IE573" s="724"/>
      <c r="IF573" s="724"/>
      <c r="IG573" s="724"/>
      <c r="IH573" s="724"/>
      <c r="II573" s="724"/>
      <c r="IJ573" s="724"/>
      <c r="IK573" s="724"/>
      <c r="IL573" s="724"/>
      <c r="IM573" s="724"/>
      <c r="IN573" s="724"/>
      <c r="IO573" s="724"/>
      <c r="IP573" s="724"/>
      <c r="IQ573" s="724"/>
      <c r="IR573" s="724"/>
      <c r="IS573" s="724"/>
      <c r="IT573" s="724"/>
      <c r="IU573" s="724"/>
      <c r="IV573" s="724"/>
      <c r="IW573" s="724"/>
    </row>
    <row r="574" spans="1:257" s="621" customFormat="1">
      <c r="A574" s="812"/>
      <c r="B574" s="684" t="s">
        <v>1357</v>
      </c>
      <c r="C574" s="713"/>
      <c r="D574" s="713"/>
      <c r="E574" s="725"/>
      <c r="F574" s="725"/>
      <c r="G574" s="725"/>
      <c r="H574" s="725"/>
      <c r="I574" s="725"/>
      <c r="J574" s="725"/>
      <c r="K574" s="725"/>
      <c r="L574" s="1311">
        <f>L573-L596</f>
        <v>102300000</v>
      </c>
      <c r="M574" s="669"/>
      <c r="N574" s="868"/>
      <c r="O574" s="868"/>
      <c r="P574" s="868"/>
      <c r="Q574" s="868"/>
      <c r="R574" s="871"/>
      <c r="S574" s="891"/>
      <c r="T574" s="832"/>
      <c r="U574" s="726"/>
      <c r="V574" s="727"/>
      <c r="W574" s="722"/>
      <c r="X574" s="723"/>
      <c r="Y574" s="724"/>
      <c r="Z574" s="724"/>
      <c r="AA574" s="724"/>
      <c r="AB574" s="724"/>
      <c r="AC574" s="724"/>
      <c r="AD574" s="724"/>
      <c r="AE574" s="724"/>
      <c r="AF574" s="724"/>
      <c r="AG574" s="724"/>
      <c r="AH574" s="724"/>
      <c r="AI574" s="724"/>
      <c r="AJ574" s="724"/>
      <c r="AK574" s="724"/>
      <c r="AL574" s="724"/>
      <c r="AM574" s="724"/>
      <c r="AN574" s="724"/>
      <c r="AO574" s="724"/>
      <c r="AP574" s="724"/>
      <c r="AQ574" s="724"/>
      <c r="AR574" s="724"/>
      <c r="AS574" s="724"/>
      <c r="AT574" s="724"/>
      <c r="AU574" s="724"/>
      <c r="AV574" s="724"/>
      <c r="AW574" s="724"/>
      <c r="AX574" s="724"/>
      <c r="AY574" s="724"/>
      <c r="AZ574" s="724"/>
      <c r="BA574" s="724"/>
      <c r="BB574" s="724"/>
      <c r="BC574" s="724"/>
      <c r="BD574" s="724"/>
      <c r="BE574" s="724"/>
      <c r="BF574" s="724"/>
      <c r="BG574" s="724"/>
      <c r="BH574" s="724"/>
      <c r="BI574" s="724"/>
      <c r="BJ574" s="724"/>
      <c r="BK574" s="724"/>
      <c r="BL574" s="724"/>
      <c r="BM574" s="724"/>
      <c r="BN574" s="724"/>
      <c r="BO574" s="724"/>
      <c r="BP574" s="724"/>
      <c r="BQ574" s="724"/>
      <c r="BR574" s="724"/>
      <c r="BS574" s="724"/>
      <c r="BT574" s="724"/>
      <c r="BU574" s="724"/>
      <c r="BV574" s="724"/>
      <c r="BW574" s="724"/>
      <c r="BX574" s="724"/>
      <c r="BY574" s="724"/>
      <c r="BZ574" s="724"/>
      <c r="CA574" s="724"/>
      <c r="CB574" s="724"/>
      <c r="CC574" s="724"/>
      <c r="CD574" s="724"/>
      <c r="CE574" s="724"/>
      <c r="CF574" s="724"/>
      <c r="CG574" s="724"/>
      <c r="CH574" s="724"/>
      <c r="CI574" s="724"/>
      <c r="CJ574" s="724"/>
      <c r="CK574" s="724"/>
      <c r="CL574" s="724"/>
      <c r="CM574" s="724"/>
      <c r="CN574" s="724"/>
      <c r="CO574" s="724"/>
      <c r="CP574" s="724"/>
      <c r="CQ574" s="724"/>
      <c r="CR574" s="724"/>
      <c r="CS574" s="724"/>
      <c r="CT574" s="724"/>
      <c r="CU574" s="724"/>
      <c r="CV574" s="724"/>
      <c r="CW574" s="724"/>
      <c r="CX574" s="724"/>
      <c r="CY574" s="724"/>
      <c r="CZ574" s="724"/>
      <c r="DA574" s="724"/>
      <c r="DB574" s="724"/>
      <c r="DC574" s="724"/>
      <c r="DD574" s="724"/>
      <c r="DE574" s="724"/>
      <c r="DF574" s="724"/>
      <c r="DG574" s="724"/>
      <c r="DH574" s="724"/>
      <c r="DI574" s="724"/>
      <c r="DJ574" s="724"/>
      <c r="DK574" s="724"/>
      <c r="DL574" s="724"/>
      <c r="DM574" s="724"/>
      <c r="DN574" s="724"/>
      <c r="DO574" s="724"/>
      <c r="DP574" s="724"/>
      <c r="DQ574" s="724"/>
      <c r="DR574" s="724"/>
      <c r="DS574" s="724"/>
      <c r="DT574" s="724"/>
      <c r="DU574" s="724"/>
      <c r="DV574" s="724"/>
      <c r="DW574" s="724"/>
      <c r="DX574" s="724"/>
      <c r="DY574" s="724"/>
      <c r="DZ574" s="724"/>
      <c r="EA574" s="724"/>
      <c r="EB574" s="724"/>
      <c r="EC574" s="724"/>
      <c r="ED574" s="724"/>
      <c r="EE574" s="724"/>
      <c r="EF574" s="724"/>
      <c r="EG574" s="724"/>
      <c r="EH574" s="724"/>
      <c r="EI574" s="724"/>
      <c r="EJ574" s="724"/>
      <c r="EK574" s="724"/>
      <c r="EL574" s="724"/>
      <c r="EM574" s="724"/>
      <c r="EN574" s="724"/>
      <c r="EO574" s="724"/>
      <c r="EP574" s="724"/>
      <c r="EQ574" s="724"/>
      <c r="ER574" s="724"/>
      <c r="ES574" s="724"/>
      <c r="ET574" s="724"/>
      <c r="EU574" s="724"/>
      <c r="EV574" s="724"/>
      <c r="EW574" s="724"/>
      <c r="EX574" s="724"/>
      <c r="EY574" s="724"/>
      <c r="EZ574" s="724"/>
      <c r="FA574" s="724"/>
      <c r="FB574" s="724"/>
      <c r="FC574" s="724"/>
      <c r="FD574" s="724"/>
      <c r="FE574" s="724"/>
      <c r="FF574" s="724"/>
      <c r="FG574" s="724"/>
      <c r="FH574" s="724"/>
      <c r="FI574" s="724"/>
      <c r="FJ574" s="724"/>
      <c r="FK574" s="724"/>
      <c r="FL574" s="724"/>
      <c r="FM574" s="724"/>
      <c r="FN574" s="724"/>
      <c r="FO574" s="724"/>
      <c r="FP574" s="724"/>
      <c r="FQ574" s="724"/>
      <c r="FR574" s="724"/>
      <c r="FS574" s="724"/>
      <c r="FT574" s="724"/>
      <c r="FU574" s="724"/>
      <c r="FV574" s="724"/>
      <c r="FW574" s="724"/>
      <c r="FX574" s="724"/>
      <c r="FY574" s="724"/>
      <c r="FZ574" s="724"/>
      <c r="GA574" s="724"/>
      <c r="GB574" s="724"/>
      <c r="GC574" s="724"/>
      <c r="GD574" s="724"/>
      <c r="GE574" s="724"/>
      <c r="GF574" s="724"/>
      <c r="GG574" s="724"/>
      <c r="GH574" s="724"/>
      <c r="GI574" s="724"/>
      <c r="GJ574" s="724"/>
      <c r="GK574" s="724"/>
      <c r="GL574" s="724"/>
      <c r="GM574" s="724"/>
      <c r="GN574" s="724"/>
      <c r="GO574" s="724"/>
      <c r="GP574" s="724"/>
      <c r="GQ574" s="724"/>
      <c r="GR574" s="724"/>
      <c r="GS574" s="724"/>
      <c r="GT574" s="724"/>
      <c r="GU574" s="724"/>
      <c r="GV574" s="724"/>
      <c r="GW574" s="724"/>
      <c r="GX574" s="724"/>
      <c r="GY574" s="724"/>
      <c r="GZ574" s="724"/>
      <c r="HA574" s="724"/>
      <c r="HB574" s="724"/>
      <c r="HC574" s="724"/>
      <c r="HD574" s="724"/>
      <c r="HE574" s="724"/>
      <c r="HF574" s="724"/>
      <c r="HG574" s="724"/>
      <c r="HH574" s="724"/>
      <c r="HI574" s="724"/>
      <c r="HJ574" s="724"/>
      <c r="HK574" s="724"/>
      <c r="HL574" s="724"/>
      <c r="HM574" s="724"/>
      <c r="HN574" s="724"/>
      <c r="HO574" s="724"/>
      <c r="HP574" s="724"/>
      <c r="HQ574" s="724"/>
      <c r="HR574" s="724"/>
      <c r="HS574" s="724"/>
      <c r="HT574" s="724"/>
      <c r="HU574" s="724"/>
      <c r="HV574" s="724"/>
      <c r="HW574" s="724"/>
      <c r="HX574" s="724"/>
      <c r="HY574" s="724"/>
      <c r="HZ574" s="724"/>
      <c r="IA574" s="724"/>
      <c r="IB574" s="724"/>
      <c r="IC574" s="724"/>
      <c r="ID574" s="724"/>
      <c r="IE574" s="724"/>
      <c r="IF574" s="724"/>
      <c r="IG574" s="724"/>
      <c r="IH574" s="724"/>
      <c r="II574" s="724"/>
      <c r="IJ574" s="724"/>
      <c r="IK574" s="724"/>
      <c r="IL574" s="724"/>
      <c r="IM574" s="724"/>
      <c r="IN574" s="724"/>
      <c r="IO574" s="724"/>
      <c r="IP574" s="724"/>
      <c r="IQ574" s="724"/>
      <c r="IR574" s="724"/>
      <c r="IS574" s="724"/>
      <c r="IT574" s="724"/>
      <c r="IU574" s="724"/>
      <c r="IV574" s="724"/>
      <c r="IW574" s="724"/>
    </row>
    <row r="575" spans="1:257" s="641" customFormat="1" ht="17.25" customHeight="1">
      <c r="A575" s="812" t="s">
        <v>248</v>
      </c>
      <c r="B575" s="813" t="s">
        <v>256</v>
      </c>
      <c r="C575" s="713"/>
      <c r="D575" s="713"/>
      <c r="E575" s="725">
        <v>27000000</v>
      </c>
      <c r="F575" s="725">
        <f>C571*E575</f>
        <v>108000000</v>
      </c>
      <c r="G575" s="725"/>
      <c r="H575" s="725"/>
      <c r="I575" s="725">
        <v>27000000</v>
      </c>
      <c r="J575" s="725">
        <f>H569*I575</f>
        <v>108000000</v>
      </c>
      <c r="K575" s="725">
        <f>27000000*4</f>
        <v>108000000</v>
      </c>
      <c r="L575" s="1311">
        <f>27000000*4</f>
        <v>108000000</v>
      </c>
      <c r="M575" s="669" t="s">
        <v>1002</v>
      </c>
      <c r="N575" s="868"/>
      <c r="O575" s="868"/>
      <c r="P575" s="868"/>
      <c r="Q575" s="868"/>
      <c r="R575" s="866"/>
      <c r="S575" s="891"/>
      <c r="T575" s="832"/>
      <c r="U575" s="580"/>
      <c r="V575" s="722"/>
      <c r="W575" s="581"/>
      <c r="X575" s="578"/>
      <c r="Y575" s="582"/>
      <c r="Z575" s="582"/>
      <c r="AA575" s="582"/>
      <c r="AB575" s="582"/>
      <c r="AC575" s="582"/>
      <c r="AD575" s="582"/>
      <c r="AE575" s="582"/>
      <c r="AF575" s="582"/>
      <c r="AG575" s="582"/>
      <c r="AH575" s="582"/>
      <c r="AI575" s="582"/>
      <c r="AJ575" s="582"/>
      <c r="AK575" s="582"/>
      <c r="AL575" s="582"/>
      <c r="AM575" s="582"/>
      <c r="AN575" s="582"/>
      <c r="AO575" s="582"/>
      <c r="AP575" s="582"/>
      <c r="AQ575" s="582"/>
      <c r="AR575" s="582"/>
      <c r="AS575" s="582"/>
      <c r="AT575" s="582"/>
      <c r="AU575" s="582"/>
      <c r="AV575" s="582"/>
      <c r="AW575" s="582"/>
      <c r="AX575" s="582"/>
      <c r="AY575" s="582"/>
      <c r="AZ575" s="582"/>
      <c r="BA575" s="582"/>
      <c r="BB575" s="582"/>
      <c r="BC575" s="582"/>
      <c r="BD575" s="582"/>
      <c r="BE575" s="582"/>
      <c r="BF575" s="582"/>
      <c r="BG575" s="582"/>
      <c r="BH575" s="582"/>
      <c r="BI575" s="582"/>
      <c r="BJ575" s="582"/>
      <c r="BK575" s="582"/>
      <c r="BL575" s="582"/>
      <c r="BM575" s="582"/>
      <c r="BN575" s="582"/>
      <c r="BO575" s="582"/>
      <c r="BP575" s="582"/>
      <c r="BQ575" s="582"/>
      <c r="BR575" s="582"/>
      <c r="BS575" s="582"/>
      <c r="BT575" s="582"/>
      <c r="BU575" s="582"/>
      <c r="BV575" s="582"/>
      <c r="BW575" s="582"/>
      <c r="BX575" s="582"/>
      <c r="BY575" s="582"/>
      <c r="BZ575" s="582"/>
      <c r="CA575" s="582"/>
      <c r="CB575" s="582"/>
      <c r="CC575" s="582"/>
      <c r="CD575" s="582"/>
      <c r="CE575" s="582"/>
      <c r="CF575" s="582"/>
      <c r="CG575" s="582"/>
      <c r="CH575" s="582"/>
      <c r="CI575" s="582"/>
      <c r="CJ575" s="582"/>
      <c r="CK575" s="582"/>
      <c r="CL575" s="582"/>
      <c r="CM575" s="582"/>
      <c r="CN575" s="582"/>
      <c r="CO575" s="582"/>
      <c r="CP575" s="582"/>
      <c r="CQ575" s="582"/>
      <c r="CR575" s="582"/>
      <c r="CS575" s="582"/>
      <c r="CT575" s="582"/>
      <c r="CU575" s="582"/>
      <c r="CV575" s="582"/>
      <c r="CW575" s="582"/>
      <c r="CX575" s="582"/>
      <c r="CY575" s="582"/>
      <c r="CZ575" s="582"/>
      <c r="DA575" s="582"/>
      <c r="DB575" s="582"/>
      <c r="DC575" s="582"/>
      <c r="DD575" s="582"/>
      <c r="DE575" s="582"/>
      <c r="DF575" s="582"/>
      <c r="DG575" s="582"/>
      <c r="DH575" s="582"/>
      <c r="DI575" s="582"/>
      <c r="DJ575" s="582"/>
      <c r="DK575" s="582"/>
      <c r="DL575" s="582"/>
      <c r="DM575" s="582"/>
      <c r="DN575" s="582"/>
      <c r="DO575" s="582"/>
      <c r="DP575" s="582"/>
      <c r="DQ575" s="582"/>
      <c r="DR575" s="582"/>
      <c r="DS575" s="582"/>
      <c r="DT575" s="582"/>
      <c r="DU575" s="582"/>
      <c r="DV575" s="582"/>
      <c r="DW575" s="582"/>
      <c r="DX575" s="582"/>
      <c r="DY575" s="582"/>
      <c r="DZ575" s="582"/>
      <c r="EA575" s="582"/>
      <c r="EB575" s="582"/>
      <c r="EC575" s="582"/>
      <c r="ED575" s="582"/>
      <c r="EE575" s="582"/>
      <c r="EF575" s="582"/>
      <c r="EG575" s="582"/>
      <c r="EH575" s="582"/>
      <c r="EI575" s="582"/>
      <c r="EJ575" s="582"/>
      <c r="EK575" s="582"/>
      <c r="EL575" s="582"/>
      <c r="EM575" s="582"/>
      <c r="EN575" s="582"/>
      <c r="EO575" s="582"/>
      <c r="EP575" s="582"/>
      <c r="EQ575" s="582"/>
      <c r="ER575" s="582"/>
      <c r="ES575" s="582"/>
      <c r="ET575" s="582"/>
      <c r="EU575" s="582"/>
      <c r="EV575" s="582"/>
      <c r="EW575" s="582"/>
      <c r="EX575" s="582"/>
      <c r="EY575" s="582"/>
      <c r="EZ575" s="582"/>
      <c r="FA575" s="582"/>
      <c r="FB575" s="582"/>
      <c r="FC575" s="582"/>
      <c r="FD575" s="582"/>
      <c r="FE575" s="582"/>
      <c r="FF575" s="582"/>
      <c r="FG575" s="582"/>
      <c r="FH575" s="582"/>
      <c r="FI575" s="582"/>
      <c r="FJ575" s="582"/>
      <c r="FK575" s="582"/>
      <c r="FL575" s="582"/>
      <c r="FM575" s="582"/>
      <c r="FN575" s="582"/>
      <c r="FO575" s="582"/>
      <c r="FP575" s="582"/>
      <c r="FQ575" s="582"/>
      <c r="FR575" s="582"/>
      <c r="FS575" s="582"/>
      <c r="FT575" s="582"/>
      <c r="FU575" s="582"/>
      <c r="FV575" s="582"/>
      <c r="FW575" s="582"/>
      <c r="FX575" s="582"/>
      <c r="FY575" s="582"/>
      <c r="FZ575" s="582"/>
      <c r="GA575" s="582"/>
      <c r="GB575" s="582"/>
      <c r="GC575" s="582"/>
      <c r="GD575" s="582"/>
      <c r="GE575" s="582"/>
      <c r="GF575" s="582"/>
      <c r="GG575" s="582"/>
      <c r="GH575" s="582"/>
      <c r="GI575" s="582"/>
      <c r="GJ575" s="582"/>
      <c r="GK575" s="582"/>
      <c r="GL575" s="582"/>
      <c r="GM575" s="582"/>
      <c r="GN575" s="582"/>
      <c r="GO575" s="582"/>
      <c r="GP575" s="582"/>
      <c r="GQ575" s="582"/>
      <c r="GR575" s="582"/>
      <c r="GS575" s="582"/>
      <c r="GT575" s="582"/>
      <c r="GU575" s="582"/>
      <c r="GV575" s="582"/>
      <c r="GW575" s="582"/>
      <c r="GX575" s="582"/>
      <c r="GY575" s="582"/>
      <c r="GZ575" s="582"/>
      <c r="HA575" s="582"/>
      <c r="HB575" s="582"/>
      <c r="HC575" s="582"/>
      <c r="HD575" s="582"/>
      <c r="HE575" s="582"/>
      <c r="HF575" s="582"/>
      <c r="HG575" s="582"/>
      <c r="HH575" s="582"/>
      <c r="HI575" s="582"/>
      <c r="HJ575" s="582"/>
      <c r="HK575" s="582"/>
      <c r="HL575" s="582"/>
      <c r="HM575" s="582"/>
      <c r="HN575" s="582"/>
      <c r="HO575" s="582"/>
      <c r="HP575" s="582"/>
      <c r="HQ575" s="582"/>
      <c r="HR575" s="582"/>
      <c r="HS575" s="582"/>
      <c r="HT575" s="582"/>
      <c r="HU575" s="582"/>
      <c r="HV575" s="582"/>
      <c r="HW575" s="582"/>
      <c r="HX575" s="582"/>
      <c r="HY575" s="582"/>
      <c r="HZ575" s="582"/>
      <c r="IA575" s="582"/>
      <c r="IB575" s="582"/>
      <c r="IC575" s="582"/>
      <c r="ID575" s="582"/>
      <c r="IE575" s="582"/>
      <c r="IF575" s="582"/>
      <c r="IG575" s="582"/>
      <c r="IH575" s="582"/>
      <c r="II575" s="582"/>
      <c r="IJ575" s="582"/>
      <c r="IK575" s="582"/>
      <c r="IL575" s="582"/>
      <c r="IM575" s="582"/>
      <c r="IN575" s="582"/>
      <c r="IO575" s="582"/>
      <c r="IP575" s="582"/>
      <c r="IQ575" s="582"/>
      <c r="IR575" s="582"/>
      <c r="IS575" s="582"/>
      <c r="IT575" s="582"/>
      <c r="IU575" s="582"/>
      <c r="IV575" s="582"/>
      <c r="IW575" s="582"/>
    </row>
    <row r="576" spans="1:257" s="682" customFormat="1">
      <c r="A576" s="589" t="s">
        <v>225</v>
      </c>
      <c r="B576" s="804" t="s">
        <v>257</v>
      </c>
      <c r="C576" s="589"/>
      <c r="D576" s="589"/>
      <c r="E576" s="704"/>
      <c r="F576" s="805">
        <f>SUM(F577:F594)</f>
        <v>1153000000</v>
      </c>
      <c r="G576" s="716"/>
      <c r="H576" s="716"/>
      <c r="I576" s="716"/>
      <c r="J576" s="805">
        <f>SUM(J577:J594)</f>
        <v>1796000000</v>
      </c>
      <c r="K576" s="805">
        <f>SUM(K577:K594)</f>
        <v>1273000000</v>
      </c>
      <c r="L576" s="1312">
        <f>SUM(L577:L594)</f>
        <v>1243700000</v>
      </c>
      <c r="M576" s="603"/>
      <c r="N576" s="835">
        <f>L576-'Tư pháp V'!C22</f>
        <v>0</v>
      </c>
      <c r="O576" s="835"/>
      <c r="P576" s="890"/>
      <c r="Q576" s="890"/>
      <c r="R576" s="831"/>
      <c r="S576" s="900"/>
      <c r="T576" s="822"/>
      <c r="U576" s="580"/>
      <c r="V576" s="722"/>
      <c r="W576" s="680"/>
      <c r="X576" s="677"/>
      <c r="Y576" s="681"/>
      <c r="Z576" s="681"/>
      <c r="AA576" s="681"/>
      <c r="AB576" s="681"/>
      <c r="AC576" s="681"/>
      <c r="AD576" s="681"/>
      <c r="AE576" s="681"/>
      <c r="AF576" s="681"/>
      <c r="AG576" s="681"/>
      <c r="AH576" s="681"/>
      <c r="AI576" s="681"/>
      <c r="AJ576" s="681"/>
      <c r="AK576" s="681"/>
      <c r="AL576" s="681"/>
      <c r="AM576" s="681"/>
      <c r="AN576" s="681"/>
      <c r="AO576" s="681"/>
      <c r="AP576" s="681"/>
      <c r="AQ576" s="681"/>
      <c r="AR576" s="681"/>
      <c r="AS576" s="681"/>
      <c r="AT576" s="681"/>
      <c r="AU576" s="681"/>
      <c r="AV576" s="681"/>
      <c r="AW576" s="681"/>
      <c r="AX576" s="681"/>
      <c r="AY576" s="681"/>
      <c r="AZ576" s="681"/>
      <c r="BA576" s="681"/>
      <c r="BB576" s="681"/>
      <c r="BC576" s="681"/>
      <c r="BD576" s="681"/>
      <c r="BE576" s="681"/>
      <c r="BF576" s="681"/>
      <c r="BG576" s="681"/>
      <c r="BH576" s="681"/>
      <c r="BI576" s="681"/>
      <c r="BJ576" s="681"/>
      <c r="BK576" s="681"/>
      <c r="BL576" s="681"/>
      <c r="BM576" s="681"/>
      <c r="BN576" s="681"/>
      <c r="BO576" s="681"/>
      <c r="BP576" s="681"/>
      <c r="BQ576" s="681"/>
      <c r="BR576" s="681"/>
      <c r="BS576" s="681"/>
      <c r="BT576" s="681"/>
      <c r="BU576" s="681"/>
      <c r="BV576" s="681"/>
      <c r="BW576" s="681"/>
      <c r="BX576" s="681"/>
      <c r="BY576" s="681"/>
      <c r="BZ576" s="681"/>
      <c r="CA576" s="681"/>
      <c r="CB576" s="681"/>
      <c r="CC576" s="681"/>
      <c r="CD576" s="681"/>
      <c r="CE576" s="681"/>
      <c r="CF576" s="681"/>
      <c r="CG576" s="681"/>
      <c r="CH576" s="681"/>
      <c r="CI576" s="681"/>
      <c r="CJ576" s="681"/>
      <c r="CK576" s="681"/>
      <c r="CL576" s="681"/>
      <c r="CM576" s="681"/>
      <c r="CN576" s="681"/>
      <c r="CO576" s="681"/>
      <c r="CP576" s="681"/>
      <c r="CQ576" s="681"/>
      <c r="CR576" s="681"/>
      <c r="CS576" s="681"/>
      <c r="CT576" s="681"/>
      <c r="CU576" s="681"/>
      <c r="CV576" s="681"/>
      <c r="CW576" s="681"/>
      <c r="CX576" s="681"/>
      <c r="CY576" s="681"/>
      <c r="CZ576" s="681"/>
      <c r="DA576" s="681"/>
      <c r="DB576" s="681"/>
      <c r="DC576" s="681"/>
      <c r="DD576" s="681"/>
      <c r="DE576" s="681"/>
      <c r="DF576" s="681"/>
      <c r="DG576" s="681"/>
      <c r="DH576" s="681"/>
      <c r="DI576" s="681"/>
      <c r="DJ576" s="681"/>
      <c r="DK576" s="681"/>
      <c r="DL576" s="681"/>
      <c r="DM576" s="681"/>
      <c r="DN576" s="681"/>
      <c r="DO576" s="681"/>
      <c r="DP576" s="681"/>
      <c r="DQ576" s="681"/>
      <c r="DR576" s="681"/>
      <c r="DS576" s="681"/>
      <c r="DT576" s="681"/>
      <c r="DU576" s="681"/>
      <c r="DV576" s="681"/>
      <c r="DW576" s="681"/>
      <c r="DX576" s="681"/>
      <c r="DY576" s="681"/>
      <c r="DZ576" s="681"/>
      <c r="EA576" s="681"/>
      <c r="EB576" s="681"/>
      <c r="EC576" s="681"/>
      <c r="ED576" s="681"/>
      <c r="EE576" s="681"/>
      <c r="EF576" s="681"/>
      <c r="EG576" s="681"/>
      <c r="EH576" s="681"/>
      <c r="EI576" s="681"/>
      <c r="EJ576" s="681"/>
      <c r="EK576" s="681"/>
      <c r="EL576" s="681"/>
      <c r="EM576" s="681"/>
      <c r="EN576" s="681"/>
      <c r="EO576" s="681"/>
      <c r="EP576" s="681"/>
      <c r="EQ576" s="681"/>
      <c r="ER576" s="681"/>
      <c r="ES576" s="681"/>
      <c r="ET576" s="681"/>
      <c r="EU576" s="681"/>
      <c r="EV576" s="681"/>
      <c r="EW576" s="681"/>
      <c r="EX576" s="681"/>
      <c r="EY576" s="681"/>
      <c r="EZ576" s="681"/>
      <c r="FA576" s="681"/>
      <c r="FB576" s="681"/>
      <c r="FC576" s="681"/>
      <c r="FD576" s="681"/>
      <c r="FE576" s="681"/>
      <c r="FF576" s="681"/>
      <c r="FG576" s="681"/>
      <c r="FH576" s="681"/>
      <c r="FI576" s="681"/>
      <c r="FJ576" s="681"/>
      <c r="FK576" s="681"/>
      <c r="FL576" s="681"/>
      <c r="FM576" s="681"/>
      <c r="FN576" s="681"/>
      <c r="FO576" s="681"/>
      <c r="FP576" s="681"/>
      <c r="FQ576" s="681"/>
      <c r="FR576" s="681"/>
      <c r="FS576" s="681"/>
      <c r="FT576" s="681"/>
      <c r="FU576" s="681"/>
      <c r="FV576" s="681"/>
      <c r="FW576" s="681"/>
      <c r="FX576" s="681"/>
      <c r="FY576" s="681"/>
      <c r="FZ576" s="681"/>
      <c r="GA576" s="681"/>
      <c r="GB576" s="681"/>
      <c r="GC576" s="681"/>
      <c r="GD576" s="681"/>
      <c r="GE576" s="681"/>
      <c r="GF576" s="681"/>
      <c r="GG576" s="681"/>
      <c r="GH576" s="681"/>
      <c r="GI576" s="681"/>
      <c r="GJ576" s="681"/>
      <c r="GK576" s="681"/>
      <c r="GL576" s="681"/>
      <c r="GM576" s="681"/>
      <c r="GN576" s="681"/>
      <c r="GO576" s="681"/>
      <c r="GP576" s="681"/>
      <c r="GQ576" s="681"/>
      <c r="GR576" s="681"/>
      <c r="GS576" s="681"/>
      <c r="GT576" s="681"/>
      <c r="GU576" s="681"/>
      <c r="GV576" s="681"/>
      <c r="GW576" s="681"/>
      <c r="GX576" s="681"/>
      <c r="GY576" s="681"/>
      <c r="GZ576" s="681"/>
      <c r="HA576" s="681"/>
      <c r="HB576" s="681"/>
      <c r="HC576" s="681"/>
      <c r="HD576" s="681"/>
      <c r="HE576" s="681"/>
      <c r="HF576" s="681"/>
      <c r="HG576" s="681"/>
      <c r="HH576" s="681"/>
      <c r="HI576" s="681"/>
      <c r="HJ576" s="681"/>
      <c r="HK576" s="681"/>
      <c r="HL576" s="681"/>
      <c r="HM576" s="681"/>
      <c r="HN576" s="681"/>
      <c r="HO576" s="681"/>
      <c r="HP576" s="681"/>
      <c r="HQ576" s="681"/>
      <c r="HR576" s="681"/>
      <c r="HS576" s="681"/>
      <c r="HT576" s="681"/>
      <c r="HU576" s="681"/>
      <c r="HV576" s="681"/>
      <c r="HW576" s="681"/>
      <c r="HX576" s="681"/>
      <c r="HY576" s="681"/>
      <c r="HZ576" s="681"/>
      <c r="IA576" s="681"/>
      <c r="IB576" s="681"/>
      <c r="IC576" s="681"/>
      <c r="ID576" s="681"/>
      <c r="IE576" s="681"/>
      <c r="IF576" s="681"/>
      <c r="IG576" s="681"/>
      <c r="IH576" s="681"/>
      <c r="II576" s="681"/>
      <c r="IJ576" s="681"/>
      <c r="IK576" s="681"/>
      <c r="IL576" s="681"/>
      <c r="IM576" s="681"/>
      <c r="IN576" s="681"/>
      <c r="IO576" s="681"/>
      <c r="IP576" s="681"/>
      <c r="IQ576" s="681"/>
      <c r="IR576" s="681"/>
      <c r="IS576" s="681"/>
      <c r="IT576" s="681"/>
      <c r="IU576" s="681"/>
      <c r="IV576" s="681"/>
      <c r="IW576" s="681"/>
    </row>
    <row r="577" spans="1:257" s="1228" customFormat="1">
      <c r="A577" s="1216" t="s">
        <v>91</v>
      </c>
      <c r="B577" s="1203" t="s">
        <v>144</v>
      </c>
      <c r="C577" s="1217"/>
      <c r="D577" s="1217"/>
      <c r="E577" s="1218"/>
      <c r="F577" s="1218">
        <v>470000000</v>
      </c>
      <c r="G577" s="1247"/>
      <c r="H577" s="1247"/>
      <c r="I577" s="1247"/>
      <c r="J577" s="1218">
        <f>768822000-85000000</f>
        <v>683822000</v>
      </c>
      <c r="K577" s="1218">
        <v>600000000</v>
      </c>
      <c r="L577" s="1315">
        <v>600000000</v>
      </c>
      <c r="M577" s="1206" t="s">
        <v>1427</v>
      </c>
      <c r="N577" s="1220"/>
      <c r="O577" s="1220"/>
      <c r="P577" s="1248"/>
      <c r="Q577" s="1248"/>
      <c r="R577" s="1249"/>
      <c r="S577" s="1245"/>
      <c r="T577" s="1246"/>
      <c r="U577" s="1250"/>
      <c r="V577" s="1251"/>
      <c r="W577" s="1251"/>
      <c r="X577" s="1252"/>
      <c r="Y577" s="1253"/>
      <c r="Z577" s="1253"/>
      <c r="AA577" s="1253"/>
      <c r="AB577" s="1253"/>
      <c r="AC577" s="1253"/>
      <c r="AD577" s="1253"/>
      <c r="AE577" s="1253"/>
      <c r="AF577" s="1253"/>
      <c r="AG577" s="1253"/>
      <c r="AH577" s="1253"/>
      <c r="AI577" s="1253"/>
      <c r="AJ577" s="1253"/>
      <c r="AK577" s="1253"/>
      <c r="AL577" s="1253"/>
      <c r="AM577" s="1253"/>
      <c r="AN577" s="1253"/>
      <c r="AO577" s="1253"/>
      <c r="AP577" s="1253"/>
      <c r="AQ577" s="1253"/>
      <c r="AR577" s="1253"/>
      <c r="AS577" s="1253"/>
      <c r="AT577" s="1253"/>
      <c r="AU577" s="1253"/>
      <c r="AV577" s="1253"/>
      <c r="AW577" s="1253"/>
      <c r="AX577" s="1253"/>
      <c r="AY577" s="1253"/>
      <c r="AZ577" s="1253"/>
      <c r="BA577" s="1253"/>
      <c r="BB577" s="1253"/>
      <c r="BC577" s="1253"/>
      <c r="BD577" s="1253"/>
      <c r="BE577" s="1253"/>
      <c r="BF577" s="1253"/>
      <c r="BG577" s="1253"/>
      <c r="BH577" s="1253"/>
      <c r="BI577" s="1253"/>
      <c r="BJ577" s="1253"/>
      <c r="BK577" s="1253"/>
      <c r="BL577" s="1253"/>
      <c r="BM577" s="1253"/>
      <c r="BN577" s="1253"/>
      <c r="BO577" s="1253"/>
      <c r="BP577" s="1253"/>
      <c r="BQ577" s="1253"/>
      <c r="BR577" s="1253"/>
      <c r="BS577" s="1253"/>
      <c r="BT577" s="1253"/>
      <c r="BU577" s="1253"/>
      <c r="BV577" s="1253"/>
      <c r="BW577" s="1253"/>
      <c r="BX577" s="1253"/>
      <c r="BY577" s="1253"/>
      <c r="BZ577" s="1253"/>
      <c r="CA577" s="1253"/>
      <c r="CB577" s="1253"/>
      <c r="CC577" s="1253"/>
      <c r="CD577" s="1253"/>
      <c r="CE577" s="1253"/>
      <c r="CF577" s="1253"/>
      <c r="CG577" s="1253"/>
      <c r="CH577" s="1253"/>
      <c r="CI577" s="1253"/>
      <c r="CJ577" s="1253"/>
      <c r="CK577" s="1253"/>
      <c r="CL577" s="1253"/>
      <c r="CM577" s="1253"/>
      <c r="CN577" s="1253"/>
      <c r="CO577" s="1253"/>
      <c r="CP577" s="1253"/>
      <c r="CQ577" s="1253"/>
      <c r="CR577" s="1253"/>
      <c r="CS577" s="1253"/>
      <c r="CT577" s="1253"/>
      <c r="CU577" s="1253"/>
      <c r="CV577" s="1253"/>
      <c r="CW577" s="1253"/>
      <c r="CX577" s="1253"/>
      <c r="CY577" s="1253"/>
      <c r="CZ577" s="1253"/>
      <c r="DA577" s="1253"/>
      <c r="DB577" s="1253"/>
      <c r="DC577" s="1253"/>
      <c r="DD577" s="1253"/>
      <c r="DE577" s="1253"/>
      <c r="DF577" s="1253"/>
      <c r="DG577" s="1253"/>
      <c r="DH577" s="1253"/>
      <c r="DI577" s="1253"/>
      <c r="DJ577" s="1253"/>
      <c r="DK577" s="1253"/>
      <c r="DL577" s="1253"/>
      <c r="DM577" s="1253"/>
      <c r="DN577" s="1253"/>
      <c r="DO577" s="1253"/>
      <c r="DP577" s="1253"/>
      <c r="DQ577" s="1253"/>
      <c r="DR577" s="1253"/>
      <c r="DS577" s="1253"/>
      <c r="DT577" s="1253"/>
      <c r="DU577" s="1253"/>
      <c r="DV577" s="1253"/>
      <c r="DW577" s="1253"/>
      <c r="DX577" s="1253"/>
      <c r="DY577" s="1253"/>
      <c r="DZ577" s="1253"/>
      <c r="EA577" s="1253"/>
      <c r="EB577" s="1253"/>
      <c r="EC577" s="1253"/>
      <c r="ED577" s="1253"/>
      <c r="EE577" s="1253"/>
      <c r="EF577" s="1253"/>
      <c r="EG577" s="1253"/>
      <c r="EH577" s="1253"/>
      <c r="EI577" s="1253"/>
      <c r="EJ577" s="1253"/>
      <c r="EK577" s="1253"/>
      <c r="EL577" s="1253"/>
      <c r="EM577" s="1253"/>
      <c r="EN577" s="1253"/>
      <c r="EO577" s="1253"/>
      <c r="EP577" s="1253"/>
      <c r="EQ577" s="1253"/>
      <c r="ER577" s="1253"/>
      <c r="ES577" s="1253"/>
      <c r="ET577" s="1253"/>
      <c r="EU577" s="1253"/>
      <c r="EV577" s="1253"/>
      <c r="EW577" s="1253"/>
      <c r="EX577" s="1253"/>
      <c r="EY577" s="1253"/>
      <c r="EZ577" s="1253"/>
      <c r="FA577" s="1253"/>
      <c r="FB577" s="1253"/>
      <c r="FC577" s="1253"/>
      <c r="FD577" s="1253"/>
      <c r="FE577" s="1253"/>
      <c r="FF577" s="1253"/>
      <c r="FG577" s="1253"/>
      <c r="FH577" s="1253"/>
      <c r="FI577" s="1253"/>
      <c r="FJ577" s="1253"/>
      <c r="FK577" s="1253"/>
      <c r="FL577" s="1253"/>
      <c r="FM577" s="1253"/>
      <c r="FN577" s="1253"/>
      <c r="FO577" s="1253"/>
      <c r="FP577" s="1253"/>
      <c r="FQ577" s="1253"/>
      <c r="FR577" s="1253"/>
      <c r="FS577" s="1253"/>
      <c r="FT577" s="1253"/>
      <c r="FU577" s="1253"/>
      <c r="FV577" s="1253"/>
      <c r="FW577" s="1253"/>
      <c r="FX577" s="1253"/>
      <c r="FY577" s="1253"/>
      <c r="FZ577" s="1253"/>
      <c r="GA577" s="1253"/>
      <c r="GB577" s="1253"/>
      <c r="GC577" s="1253"/>
      <c r="GD577" s="1253"/>
      <c r="GE577" s="1253"/>
      <c r="GF577" s="1253"/>
      <c r="GG577" s="1253"/>
      <c r="GH577" s="1253"/>
      <c r="GI577" s="1253"/>
      <c r="GJ577" s="1253"/>
      <c r="GK577" s="1253"/>
      <c r="GL577" s="1253"/>
      <c r="GM577" s="1253"/>
      <c r="GN577" s="1253"/>
      <c r="GO577" s="1253"/>
      <c r="GP577" s="1253"/>
      <c r="GQ577" s="1253"/>
      <c r="GR577" s="1253"/>
      <c r="GS577" s="1253"/>
      <c r="GT577" s="1253"/>
      <c r="GU577" s="1253"/>
      <c r="GV577" s="1253"/>
      <c r="GW577" s="1253"/>
      <c r="GX577" s="1253"/>
      <c r="GY577" s="1253"/>
      <c r="GZ577" s="1253"/>
      <c r="HA577" s="1253"/>
      <c r="HB577" s="1253"/>
      <c r="HC577" s="1253"/>
      <c r="HD577" s="1253"/>
      <c r="HE577" s="1253"/>
      <c r="HF577" s="1253"/>
      <c r="HG577" s="1253"/>
      <c r="HH577" s="1253"/>
      <c r="HI577" s="1253"/>
      <c r="HJ577" s="1253"/>
      <c r="HK577" s="1253"/>
      <c r="HL577" s="1253"/>
      <c r="HM577" s="1253"/>
      <c r="HN577" s="1253"/>
      <c r="HO577" s="1253"/>
      <c r="HP577" s="1253"/>
      <c r="HQ577" s="1253"/>
      <c r="HR577" s="1253"/>
      <c r="HS577" s="1253"/>
      <c r="HT577" s="1253"/>
      <c r="HU577" s="1253"/>
      <c r="HV577" s="1253"/>
      <c r="HW577" s="1253"/>
      <c r="HX577" s="1253"/>
      <c r="HY577" s="1253"/>
      <c r="HZ577" s="1253"/>
      <c r="IA577" s="1253"/>
      <c r="IB577" s="1253"/>
      <c r="IC577" s="1253"/>
      <c r="ID577" s="1253"/>
      <c r="IE577" s="1253"/>
      <c r="IF577" s="1253"/>
      <c r="IG577" s="1253"/>
      <c r="IH577" s="1253"/>
      <c r="II577" s="1253"/>
      <c r="IJ577" s="1253"/>
      <c r="IK577" s="1253"/>
      <c r="IL577" s="1253"/>
      <c r="IM577" s="1253"/>
      <c r="IN577" s="1253"/>
      <c r="IO577" s="1253"/>
      <c r="IP577" s="1253"/>
      <c r="IQ577" s="1253"/>
      <c r="IR577" s="1253"/>
      <c r="IS577" s="1253"/>
      <c r="IT577" s="1253"/>
      <c r="IU577" s="1253"/>
      <c r="IV577" s="1253"/>
      <c r="IW577" s="1253"/>
    </row>
    <row r="578" spans="1:257" s="682" customFormat="1" ht="45.75" customHeight="1">
      <c r="A578" s="809" t="s">
        <v>91</v>
      </c>
      <c r="B578" s="696" t="s">
        <v>1446</v>
      </c>
      <c r="C578" s="699"/>
      <c r="D578" s="699"/>
      <c r="E578" s="700"/>
      <c r="F578" s="700">
        <v>100000000</v>
      </c>
      <c r="G578" s="1096"/>
      <c r="H578" s="1096"/>
      <c r="I578" s="1096"/>
      <c r="J578" s="700"/>
      <c r="K578" s="700"/>
      <c r="L578" s="1315"/>
      <c r="M578" s="651"/>
      <c r="N578" s="820"/>
      <c r="O578" s="820"/>
      <c r="P578" s="1097"/>
      <c r="Q578" s="1097"/>
      <c r="R578" s="891"/>
      <c r="S578" s="866"/>
      <c r="T578" s="839"/>
      <c r="U578" s="577"/>
      <c r="V578" s="680"/>
      <c r="W578" s="680"/>
      <c r="X578" s="677"/>
      <c r="Y578" s="681"/>
      <c r="Z578" s="681"/>
      <c r="AA578" s="681"/>
      <c r="AB578" s="681"/>
      <c r="AC578" s="681"/>
      <c r="AD578" s="681"/>
      <c r="AE578" s="681"/>
      <c r="AF578" s="681"/>
      <c r="AG578" s="681"/>
      <c r="AH578" s="681"/>
      <c r="AI578" s="681"/>
      <c r="AJ578" s="681"/>
      <c r="AK578" s="681"/>
      <c r="AL578" s="681"/>
      <c r="AM578" s="681"/>
      <c r="AN578" s="681"/>
      <c r="AO578" s="681"/>
      <c r="AP578" s="681"/>
      <c r="AQ578" s="681"/>
      <c r="AR578" s="681"/>
      <c r="AS578" s="681"/>
      <c r="AT578" s="681"/>
      <c r="AU578" s="681"/>
      <c r="AV578" s="681"/>
      <c r="AW578" s="681"/>
      <c r="AX578" s="681"/>
      <c r="AY578" s="681"/>
      <c r="AZ578" s="681"/>
      <c r="BA578" s="681"/>
      <c r="BB578" s="681"/>
      <c r="BC578" s="681"/>
      <c r="BD578" s="681"/>
      <c r="BE578" s="681"/>
      <c r="BF578" s="681"/>
      <c r="BG578" s="681"/>
      <c r="BH578" s="681"/>
      <c r="BI578" s="681"/>
      <c r="BJ578" s="681"/>
      <c r="BK578" s="681"/>
      <c r="BL578" s="681"/>
      <c r="BM578" s="681"/>
      <c r="BN578" s="681"/>
      <c r="BO578" s="681"/>
      <c r="BP578" s="681"/>
      <c r="BQ578" s="681"/>
      <c r="BR578" s="681"/>
      <c r="BS578" s="681"/>
      <c r="BT578" s="681"/>
      <c r="BU578" s="681"/>
      <c r="BV578" s="681"/>
      <c r="BW578" s="681"/>
      <c r="BX578" s="681"/>
      <c r="BY578" s="681"/>
      <c r="BZ578" s="681"/>
      <c r="CA578" s="681"/>
      <c r="CB578" s="681"/>
      <c r="CC578" s="681"/>
      <c r="CD578" s="681"/>
      <c r="CE578" s="681"/>
      <c r="CF578" s="681"/>
      <c r="CG578" s="681"/>
      <c r="CH578" s="681"/>
      <c r="CI578" s="681"/>
      <c r="CJ578" s="681"/>
      <c r="CK578" s="681"/>
      <c r="CL578" s="681"/>
      <c r="CM578" s="681"/>
      <c r="CN578" s="681"/>
      <c r="CO578" s="681"/>
      <c r="CP578" s="681"/>
      <c r="CQ578" s="681"/>
      <c r="CR578" s="681"/>
      <c r="CS578" s="681"/>
      <c r="CT578" s="681"/>
      <c r="CU578" s="681"/>
      <c r="CV578" s="681"/>
      <c r="CW578" s="681"/>
      <c r="CX578" s="681"/>
      <c r="CY578" s="681"/>
      <c r="CZ578" s="681"/>
      <c r="DA578" s="681"/>
      <c r="DB578" s="681"/>
      <c r="DC578" s="681"/>
      <c r="DD578" s="681"/>
      <c r="DE578" s="681"/>
      <c r="DF578" s="681"/>
      <c r="DG578" s="681"/>
      <c r="DH578" s="681"/>
      <c r="DI578" s="681"/>
      <c r="DJ578" s="681"/>
      <c r="DK578" s="681"/>
      <c r="DL578" s="681"/>
      <c r="DM578" s="681"/>
      <c r="DN578" s="681"/>
      <c r="DO578" s="681"/>
      <c r="DP578" s="681"/>
      <c r="DQ578" s="681"/>
      <c r="DR578" s="681"/>
      <c r="DS578" s="681"/>
      <c r="DT578" s="681"/>
      <c r="DU578" s="681"/>
      <c r="DV578" s="681"/>
      <c r="DW578" s="681"/>
      <c r="DX578" s="681"/>
      <c r="DY578" s="681"/>
      <c r="DZ578" s="681"/>
      <c r="EA578" s="681"/>
      <c r="EB578" s="681"/>
      <c r="EC578" s="681"/>
      <c r="ED578" s="681"/>
      <c r="EE578" s="681"/>
      <c r="EF578" s="681"/>
      <c r="EG578" s="681"/>
      <c r="EH578" s="681"/>
      <c r="EI578" s="681"/>
      <c r="EJ578" s="681"/>
      <c r="EK578" s="681"/>
      <c r="EL578" s="681"/>
      <c r="EM578" s="681"/>
      <c r="EN578" s="681"/>
      <c r="EO578" s="681"/>
      <c r="EP578" s="681"/>
      <c r="EQ578" s="681"/>
      <c r="ER578" s="681"/>
      <c r="ES578" s="681"/>
      <c r="ET578" s="681"/>
      <c r="EU578" s="681"/>
      <c r="EV578" s="681"/>
      <c r="EW578" s="681"/>
      <c r="EX578" s="681"/>
      <c r="EY578" s="681"/>
      <c r="EZ578" s="681"/>
      <c r="FA578" s="681"/>
      <c r="FB578" s="681"/>
      <c r="FC578" s="681"/>
      <c r="FD578" s="681"/>
      <c r="FE578" s="681"/>
      <c r="FF578" s="681"/>
      <c r="FG578" s="681"/>
      <c r="FH578" s="681"/>
      <c r="FI578" s="681"/>
      <c r="FJ578" s="681"/>
      <c r="FK578" s="681"/>
      <c r="FL578" s="681"/>
      <c r="FM578" s="681"/>
      <c r="FN578" s="681"/>
      <c r="FO578" s="681"/>
      <c r="FP578" s="681"/>
      <c r="FQ578" s="681"/>
      <c r="FR578" s="681"/>
      <c r="FS578" s="681"/>
      <c r="FT578" s="681"/>
      <c r="FU578" s="681"/>
      <c r="FV578" s="681"/>
      <c r="FW578" s="681"/>
      <c r="FX578" s="681"/>
      <c r="FY578" s="681"/>
      <c r="FZ578" s="681"/>
      <c r="GA578" s="681"/>
      <c r="GB578" s="681"/>
      <c r="GC578" s="681"/>
      <c r="GD578" s="681"/>
      <c r="GE578" s="681"/>
      <c r="GF578" s="681"/>
      <c r="GG578" s="681"/>
      <c r="GH578" s="681"/>
      <c r="GI578" s="681"/>
      <c r="GJ578" s="681"/>
      <c r="GK578" s="681"/>
      <c r="GL578" s="681"/>
      <c r="GM578" s="681"/>
      <c r="GN578" s="681"/>
      <c r="GO578" s="681"/>
      <c r="GP578" s="681"/>
      <c r="GQ578" s="681"/>
      <c r="GR578" s="681"/>
      <c r="GS578" s="681"/>
      <c r="GT578" s="681"/>
      <c r="GU578" s="681"/>
      <c r="GV578" s="681"/>
      <c r="GW578" s="681"/>
      <c r="GX578" s="681"/>
      <c r="GY578" s="681"/>
      <c r="GZ578" s="681"/>
      <c r="HA578" s="681"/>
      <c r="HB578" s="681"/>
      <c r="HC578" s="681"/>
      <c r="HD578" s="681"/>
      <c r="HE578" s="681"/>
      <c r="HF578" s="681"/>
      <c r="HG578" s="681"/>
      <c r="HH578" s="681"/>
      <c r="HI578" s="681"/>
      <c r="HJ578" s="681"/>
      <c r="HK578" s="681"/>
      <c r="HL578" s="681"/>
      <c r="HM578" s="681"/>
      <c r="HN578" s="681"/>
      <c r="HO578" s="681"/>
      <c r="HP578" s="681"/>
      <c r="HQ578" s="681"/>
      <c r="HR578" s="681"/>
      <c r="HS578" s="681"/>
      <c r="HT578" s="681"/>
      <c r="HU578" s="681"/>
      <c r="HV578" s="681"/>
      <c r="HW578" s="681"/>
      <c r="HX578" s="681"/>
      <c r="HY578" s="681"/>
      <c r="HZ578" s="681"/>
      <c r="IA578" s="681"/>
      <c r="IB578" s="681"/>
      <c r="IC578" s="681"/>
      <c r="ID578" s="681"/>
      <c r="IE578" s="681"/>
      <c r="IF578" s="681"/>
      <c r="IG578" s="681"/>
      <c r="IH578" s="681"/>
      <c r="II578" s="681"/>
      <c r="IJ578" s="681"/>
      <c r="IK578" s="681"/>
      <c r="IL578" s="681"/>
      <c r="IM578" s="681"/>
      <c r="IN578" s="681"/>
      <c r="IO578" s="681"/>
      <c r="IP578" s="681"/>
      <c r="IQ578" s="681"/>
      <c r="IR578" s="681"/>
      <c r="IS578" s="681"/>
      <c r="IT578" s="681"/>
      <c r="IU578" s="681"/>
      <c r="IV578" s="681"/>
      <c r="IW578" s="681"/>
    </row>
    <row r="579" spans="1:257" s="682" customFormat="1" ht="45.75" customHeight="1">
      <c r="A579" s="809" t="s">
        <v>91</v>
      </c>
      <c r="B579" s="696" t="s">
        <v>1073</v>
      </c>
      <c r="C579" s="699"/>
      <c r="D579" s="699"/>
      <c r="E579" s="700"/>
      <c r="F579" s="700"/>
      <c r="G579" s="1096"/>
      <c r="H579" s="1096"/>
      <c r="I579" s="1096"/>
      <c r="J579" s="700"/>
      <c r="K579" s="700">
        <v>15000000</v>
      </c>
      <c r="L579" s="1315">
        <v>14000000</v>
      </c>
      <c r="M579" s="651"/>
      <c r="N579" s="820"/>
      <c r="O579" s="820"/>
      <c r="P579" s="1097"/>
      <c r="Q579" s="1097"/>
      <c r="R579" s="891"/>
      <c r="S579" s="866"/>
      <c r="T579" s="839"/>
      <c r="U579" s="577"/>
      <c r="V579" s="680"/>
      <c r="W579" s="680"/>
      <c r="X579" s="677"/>
      <c r="Y579" s="681"/>
      <c r="Z579" s="681"/>
      <c r="AA579" s="681"/>
      <c r="AB579" s="681"/>
      <c r="AC579" s="681"/>
      <c r="AD579" s="681"/>
      <c r="AE579" s="681"/>
      <c r="AF579" s="681"/>
      <c r="AG579" s="681"/>
      <c r="AH579" s="681"/>
      <c r="AI579" s="681"/>
      <c r="AJ579" s="681"/>
      <c r="AK579" s="681"/>
      <c r="AL579" s="681"/>
      <c r="AM579" s="681"/>
      <c r="AN579" s="681"/>
      <c r="AO579" s="681"/>
      <c r="AP579" s="681"/>
      <c r="AQ579" s="681"/>
      <c r="AR579" s="681"/>
      <c r="AS579" s="681"/>
      <c r="AT579" s="681"/>
      <c r="AU579" s="681"/>
      <c r="AV579" s="681"/>
      <c r="AW579" s="681"/>
      <c r="AX579" s="681"/>
      <c r="AY579" s="681"/>
      <c r="AZ579" s="681"/>
      <c r="BA579" s="681"/>
      <c r="BB579" s="681"/>
      <c r="BC579" s="681"/>
      <c r="BD579" s="681"/>
      <c r="BE579" s="681"/>
      <c r="BF579" s="681"/>
      <c r="BG579" s="681"/>
      <c r="BH579" s="681"/>
      <c r="BI579" s="681"/>
      <c r="BJ579" s="681"/>
      <c r="BK579" s="681"/>
      <c r="BL579" s="681"/>
      <c r="BM579" s="681"/>
      <c r="BN579" s="681"/>
      <c r="BO579" s="681"/>
      <c r="BP579" s="681"/>
      <c r="BQ579" s="681"/>
      <c r="BR579" s="681"/>
      <c r="BS579" s="681"/>
      <c r="BT579" s="681"/>
      <c r="BU579" s="681"/>
      <c r="BV579" s="681"/>
      <c r="BW579" s="681"/>
      <c r="BX579" s="681"/>
      <c r="BY579" s="681"/>
      <c r="BZ579" s="681"/>
      <c r="CA579" s="681"/>
      <c r="CB579" s="681"/>
      <c r="CC579" s="681"/>
      <c r="CD579" s="681"/>
      <c r="CE579" s="681"/>
      <c r="CF579" s="681"/>
      <c r="CG579" s="681"/>
      <c r="CH579" s="681"/>
      <c r="CI579" s="681"/>
      <c r="CJ579" s="681"/>
      <c r="CK579" s="681"/>
      <c r="CL579" s="681"/>
      <c r="CM579" s="681"/>
      <c r="CN579" s="681"/>
      <c r="CO579" s="681"/>
      <c r="CP579" s="681"/>
      <c r="CQ579" s="681"/>
      <c r="CR579" s="681"/>
      <c r="CS579" s="681"/>
      <c r="CT579" s="681"/>
      <c r="CU579" s="681"/>
      <c r="CV579" s="681"/>
      <c r="CW579" s="681"/>
      <c r="CX579" s="681"/>
      <c r="CY579" s="681"/>
      <c r="CZ579" s="681"/>
      <c r="DA579" s="681"/>
      <c r="DB579" s="681"/>
      <c r="DC579" s="681"/>
      <c r="DD579" s="681"/>
      <c r="DE579" s="681"/>
      <c r="DF579" s="681"/>
      <c r="DG579" s="681"/>
      <c r="DH579" s="681"/>
      <c r="DI579" s="681"/>
      <c r="DJ579" s="681"/>
      <c r="DK579" s="681"/>
      <c r="DL579" s="681"/>
      <c r="DM579" s="681"/>
      <c r="DN579" s="681"/>
      <c r="DO579" s="681"/>
      <c r="DP579" s="681"/>
      <c r="DQ579" s="681"/>
      <c r="DR579" s="681"/>
      <c r="DS579" s="681"/>
      <c r="DT579" s="681"/>
      <c r="DU579" s="681"/>
      <c r="DV579" s="681"/>
      <c r="DW579" s="681"/>
      <c r="DX579" s="681"/>
      <c r="DY579" s="681"/>
      <c r="DZ579" s="681"/>
      <c r="EA579" s="681"/>
      <c r="EB579" s="681"/>
      <c r="EC579" s="681"/>
      <c r="ED579" s="681"/>
      <c r="EE579" s="681"/>
      <c r="EF579" s="681"/>
      <c r="EG579" s="681"/>
      <c r="EH579" s="681"/>
      <c r="EI579" s="681"/>
      <c r="EJ579" s="681"/>
      <c r="EK579" s="681"/>
      <c r="EL579" s="681"/>
      <c r="EM579" s="681"/>
      <c r="EN579" s="681"/>
      <c r="EO579" s="681"/>
      <c r="EP579" s="681"/>
      <c r="EQ579" s="681"/>
      <c r="ER579" s="681"/>
      <c r="ES579" s="681"/>
      <c r="ET579" s="681"/>
      <c r="EU579" s="681"/>
      <c r="EV579" s="681"/>
      <c r="EW579" s="681"/>
      <c r="EX579" s="681"/>
      <c r="EY579" s="681"/>
      <c r="EZ579" s="681"/>
      <c r="FA579" s="681"/>
      <c r="FB579" s="681"/>
      <c r="FC579" s="681"/>
      <c r="FD579" s="681"/>
      <c r="FE579" s="681"/>
      <c r="FF579" s="681"/>
      <c r="FG579" s="681"/>
      <c r="FH579" s="681"/>
      <c r="FI579" s="681"/>
      <c r="FJ579" s="681"/>
      <c r="FK579" s="681"/>
      <c r="FL579" s="681"/>
      <c r="FM579" s="681"/>
      <c r="FN579" s="681"/>
      <c r="FO579" s="681"/>
      <c r="FP579" s="681"/>
      <c r="FQ579" s="681"/>
      <c r="FR579" s="681"/>
      <c r="FS579" s="681"/>
      <c r="FT579" s="681"/>
      <c r="FU579" s="681"/>
      <c r="FV579" s="681"/>
      <c r="FW579" s="681"/>
      <c r="FX579" s="681"/>
      <c r="FY579" s="681"/>
      <c r="FZ579" s="681"/>
      <c r="GA579" s="681"/>
      <c r="GB579" s="681"/>
      <c r="GC579" s="681"/>
      <c r="GD579" s="681"/>
      <c r="GE579" s="681"/>
      <c r="GF579" s="681"/>
      <c r="GG579" s="681"/>
      <c r="GH579" s="681"/>
      <c r="GI579" s="681"/>
      <c r="GJ579" s="681"/>
      <c r="GK579" s="681"/>
      <c r="GL579" s="681"/>
      <c r="GM579" s="681"/>
      <c r="GN579" s="681"/>
      <c r="GO579" s="681"/>
      <c r="GP579" s="681"/>
      <c r="GQ579" s="681"/>
      <c r="GR579" s="681"/>
      <c r="GS579" s="681"/>
      <c r="GT579" s="681"/>
      <c r="GU579" s="681"/>
      <c r="GV579" s="681"/>
      <c r="GW579" s="681"/>
      <c r="GX579" s="681"/>
      <c r="GY579" s="681"/>
      <c r="GZ579" s="681"/>
      <c r="HA579" s="681"/>
      <c r="HB579" s="681"/>
      <c r="HC579" s="681"/>
      <c r="HD579" s="681"/>
      <c r="HE579" s="681"/>
      <c r="HF579" s="681"/>
      <c r="HG579" s="681"/>
      <c r="HH579" s="681"/>
      <c r="HI579" s="681"/>
      <c r="HJ579" s="681"/>
      <c r="HK579" s="681"/>
      <c r="HL579" s="681"/>
      <c r="HM579" s="681"/>
      <c r="HN579" s="681"/>
      <c r="HO579" s="681"/>
      <c r="HP579" s="681"/>
      <c r="HQ579" s="681"/>
      <c r="HR579" s="681"/>
      <c r="HS579" s="681"/>
      <c r="HT579" s="681"/>
      <c r="HU579" s="681"/>
      <c r="HV579" s="681"/>
      <c r="HW579" s="681"/>
      <c r="HX579" s="681"/>
      <c r="HY579" s="681"/>
      <c r="HZ579" s="681"/>
      <c r="IA579" s="681"/>
      <c r="IB579" s="681"/>
      <c r="IC579" s="681"/>
      <c r="ID579" s="681"/>
      <c r="IE579" s="681"/>
      <c r="IF579" s="681"/>
      <c r="IG579" s="681"/>
      <c r="IH579" s="681"/>
      <c r="II579" s="681"/>
      <c r="IJ579" s="681"/>
      <c r="IK579" s="681"/>
      <c r="IL579" s="681"/>
      <c r="IM579" s="681"/>
      <c r="IN579" s="681"/>
      <c r="IO579" s="681"/>
      <c r="IP579" s="681"/>
      <c r="IQ579" s="681"/>
      <c r="IR579" s="681"/>
      <c r="IS579" s="681"/>
      <c r="IT579" s="681"/>
      <c r="IU579" s="681"/>
      <c r="IV579" s="681"/>
      <c r="IW579" s="681"/>
    </row>
    <row r="580" spans="1:257" s="682" customFormat="1">
      <c r="A580" s="809" t="s">
        <v>91</v>
      </c>
      <c r="B580" s="696" t="s">
        <v>1074</v>
      </c>
      <c r="C580" s="699"/>
      <c r="D580" s="699"/>
      <c r="E580" s="700"/>
      <c r="F580" s="700"/>
      <c r="G580" s="700">
        <v>15000000</v>
      </c>
      <c r="H580" s="700"/>
      <c r="I580" s="700"/>
      <c r="J580" s="700"/>
      <c r="K580" s="700">
        <v>50000000</v>
      </c>
      <c r="L580" s="1315">
        <v>0</v>
      </c>
      <c r="M580" s="651"/>
      <c r="N580" s="820"/>
      <c r="O580" s="820"/>
      <c r="P580" s="820"/>
      <c r="Q580" s="820"/>
      <c r="R580" s="891"/>
      <c r="S580" s="866"/>
      <c r="T580" s="839"/>
      <c r="U580" s="577"/>
      <c r="V580" s="680"/>
      <c r="W580" s="680"/>
      <c r="X580" s="677"/>
      <c r="Y580" s="681"/>
      <c r="Z580" s="681"/>
      <c r="AA580" s="681"/>
      <c r="AB580" s="681"/>
      <c r="AC580" s="681"/>
      <c r="AD580" s="681"/>
      <c r="AE580" s="681"/>
      <c r="AF580" s="681"/>
      <c r="AG580" s="681"/>
      <c r="AH580" s="681"/>
      <c r="AI580" s="681"/>
      <c r="AJ580" s="681"/>
      <c r="AK580" s="681"/>
      <c r="AL580" s="681"/>
      <c r="AM580" s="681"/>
      <c r="AN580" s="681"/>
      <c r="AO580" s="681"/>
      <c r="AP580" s="681"/>
      <c r="AQ580" s="681"/>
      <c r="AR580" s="681"/>
      <c r="AS580" s="681"/>
      <c r="AT580" s="681"/>
      <c r="AU580" s="681"/>
      <c r="AV580" s="681"/>
      <c r="AW580" s="681"/>
      <c r="AX580" s="681"/>
      <c r="AY580" s="681"/>
      <c r="AZ580" s="681"/>
      <c r="BA580" s="681"/>
      <c r="BB580" s="681"/>
      <c r="BC580" s="681"/>
      <c r="BD580" s="681"/>
      <c r="BE580" s="681"/>
      <c r="BF580" s="681"/>
      <c r="BG580" s="681"/>
      <c r="BH580" s="681"/>
      <c r="BI580" s="681"/>
      <c r="BJ580" s="681"/>
      <c r="BK580" s="681"/>
      <c r="BL580" s="681"/>
      <c r="BM580" s="681"/>
      <c r="BN580" s="681"/>
      <c r="BO580" s="681"/>
      <c r="BP580" s="681"/>
      <c r="BQ580" s="681"/>
      <c r="BR580" s="681"/>
      <c r="BS580" s="681"/>
      <c r="BT580" s="681"/>
      <c r="BU580" s="681"/>
      <c r="BV580" s="681"/>
      <c r="BW580" s="681"/>
      <c r="BX580" s="681"/>
      <c r="BY580" s="681"/>
      <c r="BZ580" s="681"/>
      <c r="CA580" s="681"/>
      <c r="CB580" s="681"/>
      <c r="CC580" s="681"/>
      <c r="CD580" s="681"/>
      <c r="CE580" s="681"/>
      <c r="CF580" s="681"/>
      <c r="CG580" s="681"/>
      <c r="CH580" s="681"/>
      <c r="CI580" s="681"/>
      <c r="CJ580" s="681"/>
      <c r="CK580" s="681"/>
      <c r="CL580" s="681"/>
      <c r="CM580" s="681"/>
      <c r="CN580" s="681"/>
      <c r="CO580" s="681"/>
      <c r="CP580" s="681"/>
      <c r="CQ580" s="681"/>
      <c r="CR580" s="681"/>
      <c r="CS580" s="681"/>
      <c r="CT580" s="681"/>
      <c r="CU580" s="681"/>
      <c r="CV580" s="681"/>
      <c r="CW580" s="681"/>
      <c r="CX580" s="681"/>
      <c r="CY580" s="681"/>
      <c r="CZ580" s="681"/>
      <c r="DA580" s="681"/>
      <c r="DB580" s="681"/>
      <c r="DC580" s="681"/>
      <c r="DD580" s="681"/>
      <c r="DE580" s="681"/>
      <c r="DF580" s="681"/>
      <c r="DG580" s="681"/>
      <c r="DH580" s="681"/>
      <c r="DI580" s="681"/>
      <c r="DJ580" s="681"/>
      <c r="DK580" s="681"/>
      <c r="DL580" s="681"/>
      <c r="DM580" s="681"/>
      <c r="DN580" s="681"/>
      <c r="DO580" s="681"/>
      <c r="DP580" s="681"/>
      <c r="DQ580" s="681"/>
      <c r="DR580" s="681"/>
      <c r="DS580" s="681"/>
      <c r="DT580" s="681"/>
      <c r="DU580" s="681"/>
      <c r="DV580" s="681"/>
      <c r="DW580" s="681"/>
      <c r="DX580" s="681"/>
      <c r="DY580" s="681"/>
      <c r="DZ580" s="681"/>
      <c r="EA580" s="681"/>
      <c r="EB580" s="681"/>
      <c r="EC580" s="681"/>
      <c r="ED580" s="681"/>
      <c r="EE580" s="681"/>
      <c r="EF580" s="681"/>
      <c r="EG580" s="681"/>
      <c r="EH580" s="681"/>
      <c r="EI580" s="681"/>
      <c r="EJ580" s="681"/>
      <c r="EK580" s="681"/>
      <c r="EL580" s="681"/>
      <c r="EM580" s="681"/>
      <c r="EN580" s="681"/>
      <c r="EO580" s="681"/>
      <c r="EP580" s="681"/>
      <c r="EQ580" s="681"/>
      <c r="ER580" s="681"/>
      <c r="ES580" s="681"/>
      <c r="ET580" s="681"/>
      <c r="EU580" s="681"/>
      <c r="EV580" s="681"/>
      <c r="EW580" s="681"/>
      <c r="EX580" s="681"/>
      <c r="EY580" s="681"/>
      <c r="EZ580" s="681"/>
      <c r="FA580" s="681"/>
      <c r="FB580" s="681"/>
      <c r="FC580" s="681"/>
      <c r="FD580" s="681"/>
      <c r="FE580" s="681"/>
      <c r="FF580" s="681"/>
      <c r="FG580" s="681"/>
      <c r="FH580" s="681"/>
      <c r="FI580" s="681"/>
      <c r="FJ580" s="681"/>
      <c r="FK580" s="681"/>
      <c r="FL580" s="681"/>
      <c r="FM580" s="681"/>
      <c r="FN580" s="681"/>
      <c r="FO580" s="681"/>
      <c r="FP580" s="681"/>
      <c r="FQ580" s="681"/>
      <c r="FR580" s="681"/>
      <c r="FS580" s="681"/>
      <c r="FT580" s="681"/>
      <c r="FU580" s="681"/>
      <c r="FV580" s="681"/>
      <c r="FW580" s="681"/>
      <c r="FX580" s="681"/>
      <c r="FY580" s="681"/>
      <c r="FZ580" s="681"/>
      <c r="GA580" s="681"/>
      <c r="GB580" s="681"/>
      <c r="GC580" s="681"/>
      <c r="GD580" s="681"/>
      <c r="GE580" s="681"/>
      <c r="GF580" s="681"/>
      <c r="GG580" s="681"/>
      <c r="GH580" s="681"/>
      <c r="GI580" s="681"/>
      <c r="GJ580" s="681"/>
      <c r="GK580" s="681"/>
      <c r="GL580" s="681"/>
      <c r="GM580" s="681"/>
      <c r="GN580" s="681"/>
      <c r="GO580" s="681"/>
      <c r="GP580" s="681"/>
      <c r="GQ580" s="681"/>
      <c r="GR580" s="681"/>
      <c r="GS580" s="681"/>
      <c r="GT580" s="681"/>
      <c r="GU580" s="681"/>
      <c r="GV580" s="681"/>
      <c r="GW580" s="681"/>
      <c r="GX580" s="681"/>
      <c r="GY580" s="681"/>
      <c r="GZ580" s="681"/>
      <c r="HA580" s="681"/>
      <c r="HB580" s="681"/>
      <c r="HC580" s="681"/>
      <c r="HD580" s="681"/>
      <c r="HE580" s="681"/>
      <c r="HF580" s="681"/>
      <c r="HG580" s="681"/>
      <c r="HH580" s="681"/>
      <c r="HI580" s="681"/>
      <c r="HJ580" s="681"/>
      <c r="HK580" s="681"/>
      <c r="HL580" s="681"/>
      <c r="HM580" s="681"/>
      <c r="HN580" s="681"/>
      <c r="HO580" s="681"/>
      <c r="HP580" s="681"/>
      <c r="HQ580" s="681"/>
      <c r="HR580" s="681"/>
      <c r="HS580" s="681"/>
      <c r="HT580" s="681"/>
      <c r="HU580" s="681"/>
      <c r="HV580" s="681"/>
      <c r="HW580" s="681"/>
      <c r="HX580" s="681"/>
      <c r="HY580" s="681"/>
      <c r="HZ580" s="681"/>
      <c r="IA580" s="681"/>
      <c r="IB580" s="681"/>
      <c r="IC580" s="681"/>
      <c r="ID580" s="681"/>
      <c r="IE580" s="681"/>
      <c r="IF580" s="681"/>
      <c r="IG580" s="681"/>
      <c r="IH580" s="681"/>
      <c r="II580" s="681"/>
      <c r="IJ580" s="681"/>
      <c r="IK580" s="681"/>
      <c r="IL580" s="681"/>
      <c r="IM580" s="681"/>
      <c r="IN580" s="681"/>
      <c r="IO580" s="681"/>
      <c r="IP580" s="681"/>
      <c r="IQ580" s="681"/>
      <c r="IR580" s="681"/>
      <c r="IS580" s="681"/>
      <c r="IT580" s="681"/>
      <c r="IU580" s="681"/>
      <c r="IV580" s="681"/>
      <c r="IW580" s="681"/>
    </row>
    <row r="581" spans="1:257" s="682" customFormat="1">
      <c r="A581" s="809" t="s">
        <v>91</v>
      </c>
      <c r="B581" s="696" t="s">
        <v>420</v>
      </c>
      <c r="C581" s="699"/>
      <c r="D581" s="699"/>
      <c r="E581" s="700"/>
      <c r="F581" s="700"/>
      <c r="G581" s="700">
        <v>7000000</v>
      </c>
      <c r="H581" s="700"/>
      <c r="I581" s="700"/>
      <c r="J581" s="700"/>
      <c r="K581" s="700"/>
      <c r="L581" s="1315"/>
      <c r="M581" s="651"/>
      <c r="N581" s="820"/>
      <c r="O581" s="820"/>
      <c r="P581" s="820"/>
      <c r="Q581" s="820"/>
      <c r="R581" s="891"/>
      <c r="S581" s="866"/>
      <c r="T581" s="839"/>
      <c r="U581" s="577"/>
      <c r="V581" s="680"/>
      <c r="W581" s="680"/>
      <c r="X581" s="677"/>
      <c r="Y581" s="681"/>
      <c r="Z581" s="681"/>
      <c r="AA581" s="681"/>
      <c r="AB581" s="681"/>
      <c r="AC581" s="681"/>
      <c r="AD581" s="681"/>
      <c r="AE581" s="681"/>
      <c r="AF581" s="681"/>
      <c r="AG581" s="681"/>
      <c r="AH581" s="681"/>
      <c r="AI581" s="681"/>
      <c r="AJ581" s="681"/>
      <c r="AK581" s="681"/>
      <c r="AL581" s="681"/>
      <c r="AM581" s="681"/>
      <c r="AN581" s="681"/>
      <c r="AO581" s="681"/>
      <c r="AP581" s="681"/>
      <c r="AQ581" s="681"/>
      <c r="AR581" s="681"/>
      <c r="AS581" s="681"/>
      <c r="AT581" s="681"/>
      <c r="AU581" s="681"/>
      <c r="AV581" s="681"/>
      <c r="AW581" s="681"/>
      <c r="AX581" s="681"/>
      <c r="AY581" s="681"/>
      <c r="AZ581" s="681"/>
      <c r="BA581" s="681"/>
      <c r="BB581" s="681"/>
      <c r="BC581" s="681"/>
      <c r="BD581" s="681"/>
      <c r="BE581" s="681"/>
      <c r="BF581" s="681"/>
      <c r="BG581" s="681"/>
      <c r="BH581" s="681"/>
      <c r="BI581" s="681"/>
      <c r="BJ581" s="681"/>
      <c r="BK581" s="681"/>
      <c r="BL581" s="681"/>
      <c r="BM581" s="681"/>
      <c r="BN581" s="681"/>
      <c r="BO581" s="681"/>
      <c r="BP581" s="681"/>
      <c r="BQ581" s="681"/>
      <c r="BR581" s="681"/>
      <c r="BS581" s="681"/>
      <c r="BT581" s="681"/>
      <c r="BU581" s="681"/>
      <c r="BV581" s="681"/>
      <c r="BW581" s="681"/>
      <c r="BX581" s="681"/>
      <c r="BY581" s="681"/>
      <c r="BZ581" s="681"/>
      <c r="CA581" s="681"/>
      <c r="CB581" s="681"/>
      <c r="CC581" s="681"/>
      <c r="CD581" s="681"/>
      <c r="CE581" s="681"/>
      <c r="CF581" s="681"/>
      <c r="CG581" s="681"/>
      <c r="CH581" s="681"/>
      <c r="CI581" s="681"/>
      <c r="CJ581" s="681"/>
      <c r="CK581" s="681"/>
      <c r="CL581" s="681"/>
      <c r="CM581" s="681"/>
      <c r="CN581" s="681"/>
      <c r="CO581" s="681"/>
      <c r="CP581" s="681"/>
      <c r="CQ581" s="681"/>
      <c r="CR581" s="681"/>
      <c r="CS581" s="681"/>
      <c r="CT581" s="681"/>
      <c r="CU581" s="681"/>
      <c r="CV581" s="681"/>
      <c r="CW581" s="681"/>
      <c r="CX581" s="681"/>
      <c r="CY581" s="681"/>
      <c r="CZ581" s="681"/>
      <c r="DA581" s="681"/>
      <c r="DB581" s="681"/>
      <c r="DC581" s="681"/>
      <c r="DD581" s="681"/>
      <c r="DE581" s="681"/>
      <c r="DF581" s="681"/>
      <c r="DG581" s="681"/>
      <c r="DH581" s="681"/>
      <c r="DI581" s="681"/>
      <c r="DJ581" s="681"/>
      <c r="DK581" s="681"/>
      <c r="DL581" s="681"/>
      <c r="DM581" s="681"/>
      <c r="DN581" s="681"/>
      <c r="DO581" s="681"/>
      <c r="DP581" s="681"/>
      <c r="DQ581" s="681"/>
      <c r="DR581" s="681"/>
      <c r="DS581" s="681"/>
      <c r="DT581" s="681"/>
      <c r="DU581" s="681"/>
      <c r="DV581" s="681"/>
      <c r="DW581" s="681"/>
      <c r="DX581" s="681"/>
      <c r="DY581" s="681"/>
      <c r="DZ581" s="681"/>
      <c r="EA581" s="681"/>
      <c r="EB581" s="681"/>
      <c r="EC581" s="681"/>
      <c r="ED581" s="681"/>
      <c r="EE581" s="681"/>
      <c r="EF581" s="681"/>
      <c r="EG581" s="681"/>
      <c r="EH581" s="681"/>
      <c r="EI581" s="681"/>
      <c r="EJ581" s="681"/>
      <c r="EK581" s="681"/>
      <c r="EL581" s="681"/>
      <c r="EM581" s="681"/>
      <c r="EN581" s="681"/>
      <c r="EO581" s="681"/>
      <c r="EP581" s="681"/>
      <c r="EQ581" s="681"/>
      <c r="ER581" s="681"/>
      <c r="ES581" s="681"/>
      <c r="ET581" s="681"/>
      <c r="EU581" s="681"/>
      <c r="EV581" s="681"/>
      <c r="EW581" s="681"/>
      <c r="EX581" s="681"/>
      <c r="EY581" s="681"/>
      <c r="EZ581" s="681"/>
      <c r="FA581" s="681"/>
      <c r="FB581" s="681"/>
      <c r="FC581" s="681"/>
      <c r="FD581" s="681"/>
      <c r="FE581" s="681"/>
      <c r="FF581" s="681"/>
      <c r="FG581" s="681"/>
      <c r="FH581" s="681"/>
      <c r="FI581" s="681"/>
      <c r="FJ581" s="681"/>
      <c r="FK581" s="681"/>
      <c r="FL581" s="681"/>
      <c r="FM581" s="681"/>
      <c r="FN581" s="681"/>
      <c r="FO581" s="681"/>
      <c r="FP581" s="681"/>
      <c r="FQ581" s="681"/>
      <c r="FR581" s="681"/>
      <c r="FS581" s="681"/>
      <c r="FT581" s="681"/>
      <c r="FU581" s="681"/>
      <c r="FV581" s="681"/>
      <c r="FW581" s="681"/>
      <c r="FX581" s="681"/>
      <c r="FY581" s="681"/>
      <c r="FZ581" s="681"/>
      <c r="GA581" s="681"/>
      <c r="GB581" s="681"/>
      <c r="GC581" s="681"/>
      <c r="GD581" s="681"/>
      <c r="GE581" s="681"/>
      <c r="GF581" s="681"/>
      <c r="GG581" s="681"/>
      <c r="GH581" s="681"/>
      <c r="GI581" s="681"/>
      <c r="GJ581" s="681"/>
      <c r="GK581" s="681"/>
      <c r="GL581" s="681"/>
      <c r="GM581" s="681"/>
      <c r="GN581" s="681"/>
      <c r="GO581" s="681"/>
      <c r="GP581" s="681"/>
      <c r="GQ581" s="681"/>
      <c r="GR581" s="681"/>
      <c r="GS581" s="681"/>
      <c r="GT581" s="681"/>
      <c r="GU581" s="681"/>
      <c r="GV581" s="681"/>
      <c r="GW581" s="681"/>
      <c r="GX581" s="681"/>
      <c r="GY581" s="681"/>
      <c r="GZ581" s="681"/>
      <c r="HA581" s="681"/>
      <c r="HB581" s="681"/>
      <c r="HC581" s="681"/>
      <c r="HD581" s="681"/>
      <c r="HE581" s="681"/>
      <c r="HF581" s="681"/>
      <c r="HG581" s="681"/>
      <c r="HH581" s="681"/>
      <c r="HI581" s="681"/>
      <c r="HJ581" s="681"/>
      <c r="HK581" s="681"/>
      <c r="HL581" s="681"/>
      <c r="HM581" s="681"/>
      <c r="HN581" s="681"/>
      <c r="HO581" s="681"/>
      <c r="HP581" s="681"/>
      <c r="HQ581" s="681"/>
      <c r="HR581" s="681"/>
      <c r="HS581" s="681"/>
      <c r="HT581" s="681"/>
      <c r="HU581" s="681"/>
      <c r="HV581" s="681"/>
      <c r="HW581" s="681"/>
      <c r="HX581" s="681"/>
      <c r="HY581" s="681"/>
      <c r="HZ581" s="681"/>
      <c r="IA581" s="681"/>
      <c r="IB581" s="681"/>
      <c r="IC581" s="681"/>
      <c r="ID581" s="681"/>
      <c r="IE581" s="681"/>
      <c r="IF581" s="681"/>
      <c r="IG581" s="681"/>
      <c r="IH581" s="681"/>
      <c r="II581" s="681"/>
      <c r="IJ581" s="681"/>
      <c r="IK581" s="681"/>
      <c r="IL581" s="681"/>
      <c r="IM581" s="681"/>
      <c r="IN581" s="681"/>
      <c r="IO581" s="681"/>
      <c r="IP581" s="681"/>
      <c r="IQ581" s="681"/>
      <c r="IR581" s="681"/>
      <c r="IS581" s="681"/>
      <c r="IT581" s="681"/>
      <c r="IU581" s="681"/>
      <c r="IV581" s="681"/>
      <c r="IW581" s="681"/>
    </row>
    <row r="582" spans="1:257" s="682" customFormat="1">
      <c r="A582" s="809" t="s">
        <v>91</v>
      </c>
      <c r="B582" s="696" t="s">
        <v>145</v>
      </c>
      <c r="C582" s="699"/>
      <c r="D582" s="699"/>
      <c r="E582" s="700"/>
      <c r="F582" s="700"/>
      <c r="G582" s="700">
        <v>10000000</v>
      </c>
      <c r="H582" s="700"/>
      <c r="I582" s="700"/>
      <c r="J582" s="700">
        <v>10000000</v>
      </c>
      <c r="K582" s="700"/>
      <c r="L582" s="1315"/>
      <c r="M582" s="651"/>
      <c r="N582" s="820"/>
      <c r="O582" s="820"/>
      <c r="P582" s="820"/>
      <c r="Q582" s="820"/>
      <c r="R582" s="891"/>
      <c r="S582" s="866"/>
      <c r="T582" s="839"/>
      <c r="U582" s="577"/>
      <c r="V582" s="680"/>
      <c r="W582" s="680"/>
      <c r="X582" s="677"/>
      <c r="Y582" s="681"/>
      <c r="Z582" s="681"/>
      <c r="AA582" s="681"/>
      <c r="AB582" s="681"/>
      <c r="AC582" s="681"/>
      <c r="AD582" s="681"/>
      <c r="AE582" s="681"/>
      <c r="AF582" s="681"/>
      <c r="AG582" s="681"/>
      <c r="AH582" s="681"/>
      <c r="AI582" s="681"/>
      <c r="AJ582" s="681"/>
      <c r="AK582" s="681"/>
      <c r="AL582" s="681"/>
      <c r="AM582" s="681"/>
      <c r="AN582" s="681"/>
      <c r="AO582" s="681"/>
      <c r="AP582" s="681"/>
      <c r="AQ582" s="681"/>
      <c r="AR582" s="681"/>
      <c r="AS582" s="681"/>
      <c r="AT582" s="681"/>
      <c r="AU582" s="681"/>
      <c r="AV582" s="681"/>
      <c r="AW582" s="681"/>
      <c r="AX582" s="681"/>
      <c r="AY582" s="681"/>
      <c r="AZ582" s="681"/>
      <c r="BA582" s="681"/>
      <c r="BB582" s="681"/>
      <c r="BC582" s="681"/>
      <c r="BD582" s="681"/>
      <c r="BE582" s="681"/>
      <c r="BF582" s="681"/>
      <c r="BG582" s="681"/>
      <c r="BH582" s="681"/>
      <c r="BI582" s="681"/>
      <c r="BJ582" s="681"/>
      <c r="BK582" s="681"/>
      <c r="BL582" s="681"/>
      <c r="BM582" s="681"/>
      <c r="BN582" s="681"/>
      <c r="BO582" s="681"/>
      <c r="BP582" s="681"/>
      <c r="BQ582" s="681"/>
      <c r="BR582" s="681"/>
      <c r="BS582" s="681"/>
      <c r="BT582" s="681"/>
      <c r="BU582" s="681"/>
      <c r="BV582" s="681"/>
      <c r="BW582" s="681"/>
      <c r="BX582" s="681"/>
      <c r="BY582" s="681"/>
      <c r="BZ582" s="681"/>
      <c r="CA582" s="681"/>
      <c r="CB582" s="681"/>
      <c r="CC582" s="681"/>
      <c r="CD582" s="681"/>
      <c r="CE582" s="681"/>
      <c r="CF582" s="681"/>
      <c r="CG582" s="681"/>
      <c r="CH582" s="681"/>
      <c r="CI582" s="681"/>
      <c r="CJ582" s="681"/>
      <c r="CK582" s="681"/>
      <c r="CL582" s="681"/>
      <c r="CM582" s="681"/>
      <c r="CN582" s="681"/>
      <c r="CO582" s="681"/>
      <c r="CP582" s="681"/>
      <c r="CQ582" s="681"/>
      <c r="CR582" s="681"/>
      <c r="CS582" s="681"/>
      <c r="CT582" s="681"/>
      <c r="CU582" s="681"/>
      <c r="CV582" s="681"/>
      <c r="CW582" s="681"/>
      <c r="CX582" s="681"/>
      <c r="CY582" s="681"/>
      <c r="CZ582" s="681"/>
      <c r="DA582" s="681"/>
      <c r="DB582" s="681"/>
      <c r="DC582" s="681"/>
      <c r="DD582" s="681"/>
      <c r="DE582" s="681"/>
      <c r="DF582" s="681"/>
      <c r="DG582" s="681"/>
      <c r="DH582" s="681"/>
      <c r="DI582" s="681"/>
      <c r="DJ582" s="681"/>
      <c r="DK582" s="681"/>
      <c r="DL582" s="681"/>
      <c r="DM582" s="681"/>
      <c r="DN582" s="681"/>
      <c r="DO582" s="681"/>
      <c r="DP582" s="681"/>
      <c r="DQ582" s="681"/>
      <c r="DR582" s="681"/>
      <c r="DS582" s="681"/>
      <c r="DT582" s="681"/>
      <c r="DU582" s="681"/>
      <c r="DV582" s="681"/>
      <c r="DW582" s="681"/>
      <c r="DX582" s="681"/>
      <c r="DY582" s="681"/>
      <c r="DZ582" s="681"/>
      <c r="EA582" s="681"/>
      <c r="EB582" s="681"/>
      <c r="EC582" s="681"/>
      <c r="ED582" s="681"/>
      <c r="EE582" s="681"/>
      <c r="EF582" s="681"/>
      <c r="EG582" s="681"/>
      <c r="EH582" s="681"/>
      <c r="EI582" s="681"/>
      <c r="EJ582" s="681"/>
      <c r="EK582" s="681"/>
      <c r="EL582" s="681"/>
      <c r="EM582" s="681"/>
      <c r="EN582" s="681"/>
      <c r="EO582" s="681"/>
      <c r="EP582" s="681"/>
      <c r="EQ582" s="681"/>
      <c r="ER582" s="681"/>
      <c r="ES582" s="681"/>
      <c r="ET582" s="681"/>
      <c r="EU582" s="681"/>
      <c r="EV582" s="681"/>
      <c r="EW582" s="681"/>
      <c r="EX582" s="681"/>
      <c r="EY582" s="681"/>
      <c r="EZ582" s="681"/>
      <c r="FA582" s="681"/>
      <c r="FB582" s="681"/>
      <c r="FC582" s="681"/>
      <c r="FD582" s="681"/>
      <c r="FE582" s="681"/>
      <c r="FF582" s="681"/>
      <c r="FG582" s="681"/>
      <c r="FH582" s="681"/>
      <c r="FI582" s="681"/>
      <c r="FJ582" s="681"/>
      <c r="FK582" s="681"/>
      <c r="FL582" s="681"/>
      <c r="FM582" s="681"/>
      <c r="FN582" s="681"/>
      <c r="FO582" s="681"/>
      <c r="FP582" s="681"/>
      <c r="FQ582" s="681"/>
      <c r="FR582" s="681"/>
      <c r="FS582" s="681"/>
      <c r="FT582" s="681"/>
      <c r="FU582" s="681"/>
      <c r="FV582" s="681"/>
      <c r="FW582" s="681"/>
      <c r="FX582" s="681"/>
      <c r="FY582" s="681"/>
      <c r="FZ582" s="681"/>
      <c r="GA582" s="681"/>
      <c r="GB582" s="681"/>
      <c r="GC582" s="681"/>
      <c r="GD582" s="681"/>
      <c r="GE582" s="681"/>
      <c r="GF582" s="681"/>
      <c r="GG582" s="681"/>
      <c r="GH582" s="681"/>
      <c r="GI582" s="681"/>
      <c r="GJ582" s="681"/>
      <c r="GK582" s="681"/>
      <c r="GL582" s="681"/>
      <c r="GM582" s="681"/>
      <c r="GN582" s="681"/>
      <c r="GO582" s="681"/>
      <c r="GP582" s="681"/>
      <c r="GQ582" s="681"/>
      <c r="GR582" s="681"/>
      <c r="GS582" s="681"/>
      <c r="GT582" s="681"/>
      <c r="GU582" s="681"/>
      <c r="GV582" s="681"/>
      <c r="GW582" s="681"/>
      <c r="GX582" s="681"/>
      <c r="GY582" s="681"/>
      <c r="GZ582" s="681"/>
      <c r="HA582" s="681"/>
      <c r="HB582" s="681"/>
      <c r="HC582" s="681"/>
      <c r="HD582" s="681"/>
      <c r="HE582" s="681"/>
      <c r="HF582" s="681"/>
      <c r="HG582" s="681"/>
      <c r="HH582" s="681"/>
      <c r="HI582" s="681"/>
      <c r="HJ582" s="681"/>
      <c r="HK582" s="681"/>
      <c r="HL582" s="681"/>
      <c r="HM582" s="681"/>
      <c r="HN582" s="681"/>
      <c r="HO582" s="681"/>
      <c r="HP582" s="681"/>
      <c r="HQ582" s="681"/>
      <c r="HR582" s="681"/>
      <c r="HS582" s="681"/>
      <c r="HT582" s="681"/>
      <c r="HU582" s="681"/>
      <c r="HV582" s="681"/>
      <c r="HW582" s="681"/>
      <c r="HX582" s="681"/>
      <c r="HY582" s="681"/>
      <c r="HZ582" s="681"/>
      <c r="IA582" s="681"/>
      <c r="IB582" s="681"/>
      <c r="IC582" s="681"/>
      <c r="ID582" s="681"/>
      <c r="IE582" s="681"/>
      <c r="IF582" s="681"/>
      <c r="IG582" s="681"/>
      <c r="IH582" s="681"/>
      <c r="II582" s="681"/>
      <c r="IJ582" s="681"/>
      <c r="IK582" s="681"/>
      <c r="IL582" s="681"/>
      <c r="IM582" s="681"/>
      <c r="IN582" s="681"/>
      <c r="IO582" s="681"/>
      <c r="IP582" s="681"/>
      <c r="IQ582" s="681"/>
      <c r="IR582" s="681"/>
      <c r="IS582" s="681"/>
      <c r="IT582" s="681"/>
      <c r="IU582" s="681"/>
      <c r="IV582" s="681"/>
      <c r="IW582" s="681"/>
    </row>
    <row r="583" spans="1:257" s="1098" customFormat="1" ht="31.5">
      <c r="A583" s="809" t="s">
        <v>91</v>
      </c>
      <c r="B583" s="696" t="s">
        <v>146</v>
      </c>
      <c r="C583" s="699"/>
      <c r="D583" s="699"/>
      <c r="E583" s="700"/>
      <c r="F583" s="700">
        <v>40000000</v>
      </c>
      <c r="G583" s="725"/>
      <c r="H583" s="725"/>
      <c r="I583" s="725"/>
      <c r="J583" s="700">
        <v>21800000</v>
      </c>
      <c r="K583" s="700">
        <v>30000000</v>
      </c>
      <c r="L583" s="1315">
        <v>30000000</v>
      </c>
      <c r="M583" s="651" t="s">
        <v>1426</v>
      </c>
      <c r="N583" s="820"/>
      <c r="O583" s="820"/>
      <c r="P583" s="868"/>
      <c r="Q583" s="868"/>
      <c r="R583" s="891"/>
      <c r="S583" s="891"/>
      <c r="T583" s="832"/>
      <c r="U583" s="577"/>
      <c r="V583" s="680"/>
      <c r="W583" s="727"/>
      <c r="X583" s="728"/>
      <c r="Y583" s="682"/>
      <c r="Z583" s="682"/>
      <c r="AA583" s="682"/>
      <c r="AB583" s="682"/>
      <c r="AC583" s="682"/>
      <c r="AD583" s="682"/>
      <c r="AE583" s="682"/>
      <c r="AF583" s="682"/>
      <c r="AG583" s="682"/>
      <c r="AH583" s="682"/>
      <c r="AI583" s="682"/>
      <c r="AJ583" s="682"/>
      <c r="AK583" s="682"/>
      <c r="AL583" s="682"/>
      <c r="AM583" s="682"/>
      <c r="AN583" s="682"/>
      <c r="AO583" s="682"/>
      <c r="AP583" s="682"/>
      <c r="AQ583" s="682"/>
      <c r="AR583" s="682"/>
      <c r="AS583" s="682"/>
      <c r="AT583" s="682"/>
      <c r="AU583" s="682"/>
      <c r="AV583" s="682"/>
      <c r="AW583" s="682"/>
      <c r="AX583" s="682"/>
      <c r="AY583" s="682"/>
      <c r="AZ583" s="682"/>
      <c r="BA583" s="682"/>
      <c r="BB583" s="682"/>
      <c r="BC583" s="682"/>
      <c r="BD583" s="682"/>
      <c r="BE583" s="682"/>
      <c r="BF583" s="682"/>
      <c r="BG583" s="682"/>
      <c r="BH583" s="682"/>
      <c r="BI583" s="682"/>
      <c r="BJ583" s="682"/>
      <c r="BK583" s="682"/>
      <c r="BL583" s="682"/>
      <c r="BM583" s="682"/>
      <c r="BN583" s="682"/>
      <c r="BO583" s="682"/>
      <c r="BP583" s="682"/>
      <c r="BQ583" s="682"/>
      <c r="BR583" s="682"/>
      <c r="BS583" s="682"/>
      <c r="BT583" s="682"/>
      <c r="BU583" s="682"/>
      <c r="BV583" s="682"/>
      <c r="BW583" s="682"/>
      <c r="BX583" s="682"/>
      <c r="BY583" s="682"/>
      <c r="BZ583" s="682"/>
      <c r="CA583" s="682"/>
      <c r="CB583" s="682"/>
      <c r="CC583" s="682"/>
      <c r="CD583" s="682"/>
      <c r="CE583" s="682"/>
      <c r="CF583" s="682"/>
      <c r="CG583" s="682"/>
      <c r="CH583" s="682"/>
      <c r="CI583" s="682"/>
      <c r="CJ583" s="682"/>
      <c r="CK583" s="682"/>
      <c r="CL583" s="682"/>
      <c r="CM583" s="682"/>
      <c r="CN583" s="682"/>
      <c r="CO583" s="682"/>
      <c r="CP583" s="682"/>
      <c r="CQ583" s="682"/>
      <c r="CR583" s="682"/>
      <c r="CS583" s="682"/>
      <c r="CT583" s="682"/>
      <c r="CU583" s="682"/>
      <c r="CV583" s="682"/>
      <c r="CW583" s="682"/>
      <c r="CX583" s="682"/>
      <c r="CY583" s="682"/>
      <c r="CZ583" s="682"/>
      <c r="DA583" s="682"/>
      <c r="DB583" s="682"/>
      <c r="DC583" s="682"/>
      <c r="DD583" s="682"/>
      <c r="DE583" s="682"/>
      <c r="DF583" s="682"/>
      <c r="DG583" s="682"/>
      <c r="DH583" s="682"/>
      <c r="DI583" s="682"/>
      <c r="DJ583" s="682"/>
      <c r="DK583" s="682"/>
      <c r="DL583" s="682"/>
      <c r="DM583" s="682"/>
      <c r="DN583" s="682"/>
      <c r="DO583" s="682"/>
      <c r="DP583" s="682"/>
      <c r="DQ583" s="682"/>
      <c r="DR583" s="682"/>
      <c r="DS583" s="682"/>
      <c r="DT583" s="682"/>
      <c r="DU583" s="682"/>
      <c r="DV583" s="682"/>
      <c r="DW583" s="682"/>
      <c r="DX583" s="682"/>
      <c r="DY583" s="682"/>
      <c r="DZ583" s="682"/>
      <c r="EA583" s="682"/>
      <c r="EB583" s="682"/>
      <c r="EC583" s="682"/>
      <c r="ED583" s="682"/>
      <c r="EE583" s="682"/>
      <c r="EF583" s="682"/>
      <c r="EG583" s="682"/>
      <c r="EH583" s="682"/>
      <c r="EI583" s="682"/>
      <c r="EJ583" s="682"/>
      <c r="EK583" s="682"/>
      <c r="EL583" s="682"/>
      <c r="EM583" s="682"/>
      <c r="EN583" s="682"/>
      <c r="EO583" s="682"/>
      <c r="EP583" s="682"/>
      <c r="EQ583" s="682"/>
      <c r="ER583" s="682"/>
      <c r="ES583" s="682"/>
      <c r="ET583" s="682"/>
      <c r="EU583" s="682"/>
      <c r="EV583" s="682"/>
      <c r="EW583" s="682"/>
      <c r="EX583" s="682"/>
      <c r="EY583" s="682"/>
      <c r="EZ583" s="682"/>
      <c r="FA583" s="682"/>
      <c r="FB583" s="682"/>
      <c r="FC583" s="682"/>
      <c r="FD583" s="682"/>
      <c r="FE583" s="682"/>
      <c r="FF583" s="682"/>
      <c r="FG583" s="682"/>
      <c r="FH583" s="682"/>
      <c r="FI583" s="682"/>
      <c r="FJ583" s="682"/>
      <c r="FK583" s="682"/>
      <c r="FL583" s="682"/>
      <c r="FM583" s="682"/>
      <c r="FN583" s="682"/>
      <c r="FO583" s="682"/>
      <c r="FP583" s="682"/>
      <c r="FQ583" s="682"/>
      <c r="FR583" s="682"/>
      <c r="FS583" s="682"/>
      <c r="FT583" s="682"/>
      <c r="FU583" s="682"/>
      <c r="FV583" s="682"/>
      <c r="FW583" s="682"/>
      <c r="FX583" s="682"/>
      <c r="FY583" s="682"/>
      <c r="FZ583" s="682"/>
      <c r="GA583" s="682"/>
      <c r="GB583" s="682"/>
      <c r="GC583" s="682"/>
      <c r="GD583" s="682"/>
      <c r="GE583" s="682"/>
      <c r="GF583" s="682"/>
      <c r="GG583" s="682"/>
      <c r="GH583" s="682"/>
      <c r="GI583" s="682"/>
      <c r="GJ583" s="682"/>
      <c r="GK583" s="682"/>
      <c r="GL583" s="682"/>
      <c r="GM583" s="682"/>
      <c r="GN583" s="682"/>
      <c r="GO583" s="682"/>
      <c r="GP583" s="682"/>
      <c r="GQ583" s="682"/>
      <c r="GR583" s="682"/>
      <c r="GS583" s="682"/>
      <c r="GT583" s="682"/>
      <c r="GU583" s="682"/>
      <c r="GV583" s="682"/>
      <c r="GW583" s="682"/>
      <c r="GX583" s="682"/>
      <c r="GY583" s="682"/>
      <c r="GZ583" s="682"/>
      <c r="HA583" s="682"/>
      <c r="HB583" s="682"/>
      <c r="HC583" s="682"/>
      <c r="HD583" s="682"/>
      <c r="HE583" s="682"/>
      <c r="HF583" s="682"/>
      <c r="HG583" s="682"/>
      <c r="HH583" s="682"/>
      <c r="HI583" s="682"/>
      <c r="HJ583" s="682"/>
      <c r="HK583" s="682"/>
      <c r="HL583" s="682"/>
      <c r="HM583" s="682"/>
      <c r="HN583" s="682"/>
      <c r="HO583" s="682"/>
      <c r="HP583" s="682"/>
      <c r="HQ583" s="682"/>
      <c r="HR583" s="682"/>
      <c r="HS583" s="682"/>
      <c r="HT583" s="682"/>
      <c r="HU583" s="682"/>
      <c r="HV583" s="682"/>
      <c r="HW583" s="682"/>
      <c r="HX583" s="682"/>
      <c r="HY583" s="682"/>
      <c r="HZ583" s="682"/>
      <c r="IA583" s="682"/>
      <c r="IB583" s="682"/>
      <c r="IC583" s="682"/>
      <c r="ID583" s="682"/>
      <c r="IE583" s="682"/>
      <c r="IF583" s="682"/>
      <c r="IG583" s="682"/>
      <c r="IH583" s="682"/>
      <c r="II583" s="682"/>
      <c r="IJ583" s="682"/>
      <c r="IK583" s="682"/>
      <c r="IL583" s="682"/>
      <c r="IM583" s="682"/>
      <c r="IN583" s="682"/>
      <c r="IO583" s="682"/>
      <c r="IP583" s="682"/>
      <c r="IQ583" s="682"/>
      <c r="IR583" s="682"/>
      <c r="IS583" s="682"/>
      <c r="IT583" s="682"/>
      <c r="IU583" s="682"/>
      <c r="IV583" s="682"/>
      <c r="IW583" s="682"/>
    </row>
    <row r="584" spans="1:257" s="641" customFormat="1" ht="24.75" customHeight="1">
      <c r="A584" s="809" t="s">
        <v>91</v>
      </c>
      <c r="B584" s="696" t="s">
        <v>147</v>
      </c>
      <c r="C584" s="699"/>
      <c r="D584" s="699"/>
      <c r="E584" s="700"/>
      <c r="F584" s="700">
        <v>26000000</v>
      </c>
      <c r="G584" s="725"/>
      <c r="H584" s="725"/>
      <c r="I584" s="725"/>
      <c r="J584" s="700">
        <v>20000000</v>
      </c>
      <c r="K584" s="700">
        <v>20000000</v>
      </c>
      <c r="L584" s="1315">
        <v>20000000</v>
      </c>
      <c r="M584" s="651"/>
      <c r="N584" s="820"/>
      <c r="O584" s="820"/>
      <c r="P584" s="868"/>
      <c r="Q584" s="868"/>
      <c r="R584" s="891"/>
      <c r="S584" s="871"/>
      <c r="T584" s="824"/>
      <c r="U584" s="721"/>
      <c r="V584" s="727"/>
      <c r="W584" s="581"/>
      <c r="X584" s="578"/>
      <c r="Y584" s="582"/>
      <c r="Z584" s="582"/>
      <c r="AA584" s="582"/>
      <c r="AB584" s="582"/>
      <c r="AC584" s="582"/>
      <c r="AD584" s="582"/>
      <c r="AE584" s="582"/>
      <c r="AF584" s="582"/>
      <c r="AG584" s="582"/>
      <c r="AH584" s="582"/>
      <c r="AI584" s="582"/>
      <c r="AJ584" s="582"/>
      <c r="AK584" s="582"/>
      <c r="AL584" s="582"/>
      <c r="AM584" s="582"/>
      <c r="AN584" s="582"/>
      <c r="AO584" s="582"/>
      <c r="AP584" s="582"/>
      <c r="AQ584" s="582"/>
      <c r="AR584" s="582"/>
      <c r="AS584" s="582"/>
      <c r="AT584" s="582"/>
      <c r="AU584" s="582"/>
      <c r="AV584" s="582"/>
      <c r="AW584" s="582"/>
      <c r="AX584" s="582"/>
      <c r="AY584" s="582"/>
      <c r="AZ584" s="582"/>
      <c r="BA584" s="582"/>
      <c r="BB584" s="582"/>
      <c r="BC584" s="582"/>
      <c r="BD584" s="582"/>
      <c r="BE584" s="582"/>
      <c r="BF584" s="582"/>
      <c r="BG584" s="582"/>
      <c r="BH584" s="582"/>
      <c r="BI584" s="582"/>
      <c r="BJ584" s="582"/>
      <c r="BK584" s="582"/>
      <c r="BL584" s="582"/>
      <c r="BM584" s="582"/>
      <c r="BN584" s="582"/>
      <c r="BO584" s="582"/>
      <c r="BP584" s="582"/>
      <c r="BQ584" s="582"/>
      <c r="BR584" s="582"/>
      <c r="BS584" s="582"/>
      <c r="BT584" s="582"/>
      <c r="BU584" s="582"/>
      <c r="BV584" s="582"/>
      <c r="BW584" s="582"/>
      <c r="BX584" s="582"/>
      <c r="BY584" s="582"/>
      <c r="BZ584" s="582"/>
      <c r="CA584" s="582"/>
      <c r="CB584" s="582"/>
      <c r="CC584" s="582"/>
      <c r="CD584" s="582"/>
      <c r="CE584" s="582"/>
      <c r="CF584" s="582"/>
      <c r="CG584" s="582"/>
      <c r="CH584" s="582"/>
      <c r="CI584" s="582"/>
      <c r="CJ584" s="582"/>
      <c r="CK584" s="582"/>
      <c r="CL584" s="582"/>
      <c r="CM584" s="582"/>
      <c r="CN584" s="582"/>
      <c r="CO584" s="582"/>
      <c r="CP584" s="582"/>
      <c r="CQ584" s="582"/>
      <c r="CR584" s="582"/>
      <c r="CS584" s="582"/>
      <c r="CT584" s="582"/>
      <c r="CU584" s="582"/>
      <c r="CV584" s="582"/>
      <c r="CW584" s="582"/>
      <c r="CX584" s="582"/>
      <c r="CY584" s="582"/>
      <c r="CZ584" s="582"/>
      <c r="DA584" s="582"/>
      <c r="DB584" s="582"/>
      <c r="DC584" s="582"/>
      <c r="DD584" s="582"/>
      <c r="DE584" s="582"/>
      <c r="DF584" s="582"/>
      <c r="DG584" s="582"/>
      <c r="DH584" s="582"/>
      <c r="DI584" s="582"/>
      <c r="DJ584" s="582"/>
      <c r="DK584" s="582"/>
      <c r="DL584" s="582"/>
      <c r="DM584" s="582"/>
      <c r="DN584" s="582"/>
      <c r="DO584" s="582"/>
      <c r="DP584" s="582"/>
      <c r="DQ584" s="582"/>
      <c r="DR584" s="582"/>
      <c r="DS584" s="582"/>
      <c r="DT584" s="582"/>
      <c r="DU584" s="582"/>
      <c r="DV584" s="582"/>
      <c r="DW584" s="582"/>
      <c r="DX584" s="582"/>
      <c r="DY584" s="582"/>
      <c r="DZ584" s="582"/>
      <c r="EA584" s="582"/>
      <c r="EB584" s="582"/>
      <c r="EC584" s="582"/>
      <c r="ED584" s="582"/>
      <c r="EE584" s="582"/>
      <c r="EF584" s="582"/>
      <c r="EG584" s="582"/>
      <c r="EH584" s="582"/>
      <c r="EI584" s="582"/>
      <c r="EJ584" s="582"/>
      <c r="EK584" s="582"/>
      <c r="EL584" s="582"/>
      <c r="EM584" s="582"/>
      <c r="EN584" s="582"/>
      <c r="EO584" s="582"/>
      <c r="EP584" s="582"/>
      <c r="EQ584" s="582"/>
      <c r="ER584" s="582"/>
      <c r="ES584" s="582"/>
      <c r="ET584" s="582"/>
      <c r="EU584" s="582"/>
      <c r="EV584" s="582"/>
      <c r="EW584" s="582"/>
      <c r="EX584" s="582"/>
      <c r="EY584" s="582"/>
      <c r="EZ584" s="582"/>
      <c r="FA584" s="582"/>
      <c r="FB584" s="582"/>
      <c r="FC584" s="582"/>
      <c r="FD584" s="582"/>
      <c r="FE584" s="582"/>
      <c r="FF584" s="582"/>
      <c r="FG584" s="582"/>
      <c r="FH584" s="582"/>
      <c r="FI584" s="582"/>
      <c r="FJ584" s="582"/>
      <c r="FK584" s="582"/>
      <c r="FL584" s="582"/>
      <c r="FM584" s="582"/>
      <c r="FN584" s="582"/>
      <c r="FO584" s="582"/>
      <c r="FP584" s="582"/>
      <c r="FQ584" s="582"/>
      <c r="FR584" s="582"/>
      <c r="FS584" s="582"/>
      <c r="FT584" s="582"/>
      <c r="FU584" s="582"/>
      <c r="FV584" s="582"/>
      <c r="FW584" s="582"/>
      <c r="FX584" s="582"/>
      <c r="FY584" s="582"/>
      <c r="FZ584" s="582"/>
      <c r="GA584" s="582"/>
      <c r="GB584" s="582"/>
      <c r="GC584" s="582"/>
      <c r="GD584" s="582"/>
      <c r="GE584" s="582"/>
      <c r="GF584" s="582"/>
      <c r="GG584" s="582"/>
      <c r="GH584" s="582"/>
      <c r="GI584" s="582"/>
      <c r="GJ584" s="582"/>
      <c r="GK584" s="582"/>
      <c r="GL584" s="582"/>
      <c r="GM584" s="582"/>
      <c r="GN584" s="582"/>
      <c r="GO584" s="582"/>
      <c r="GP584" s="582"/>
      <c r="GQ584" s="582"/>
      <c r="GR584" s="582"/>
      <c r="GS584" s="582"/>
      <c r="GT584" s="582"/>
      <c r="GU584" s="582"/>
      <c r="GV584" s="582"/>
      <c r="GW584" s="582"/>
      <c r="GX584" s="582"/>
      <c r="GY584" s="582"/>
      <c r="GZ584" s="582"/>
      <c r="HA584" s="582"/>
      <c r="HB584" s="582"/>
      <c r="HC584" s="582"/>
      <c r="HD584" s="582"/>
      <c r="HE584" s="582"/>
      <c r="HF584" s="582"/>
      <c r="HG584" s="582"/>
      <c r="HH584" s="582"/>
      <c r="HI584" s="582"/>
      <c r="HJ584" s="582"/>
      <c r="HK584" s="582"/>
      <c r="HL584" s="582"/>
      <c r="HM584" s="582"/>
      <c r="HN584" s="582"/>
      <c r="HO584" s="582"/>
      <c r="HP584" s="582"/>
      <c r="HQ584" s="582"/>
      <c r="HR584" s="582"/>
      <c r="HS584" s="582"/>
      <c r="HT584" s="582"/>
      <c r="HU584" s="582"/>
      <c r="HV584" s="582"/>
      <c r="HW584" s="582"/>
      <c r="HX584" s="582"/>
      <c r="HY584" s="582"/>
      <c r="HZ584" s="582"/>
      <c r="IA584" s="582"/>
      <c r="IB584" s="582"/>
      <c r="IC584" s="582"/>
      <c r="ID584" s="582"/>
      <c r="IE584" s="582"/>
      <c r="IF584" s="582"/>
      <c r="IG584" s="582"/>
      <c r="IH584" s="582"/>
      <c r="II584" s="582"/>
      <c r="IJ584" s="582"/>
      <c r="IK584" s="582"/>
      <c r="IL584" s="582"/>
      <c r="IM584" s="582"/>
      <c r="IN584" s="582"/>
      <c r="IO584" s="582"/>
      <c r="IP584" s="582"/>
      <c r="IQ584" s="582"/>
      <c r="IR584" s="582"/>
      <c r="IS584" s="582"/>
      <c r="IT584" s="582"/>
      <c r="IU584" s="582"/>
      <c r="IV584" s="582"/>
      <c r="IW584" s="582"/>
    </row>
    <row r="585" spans="1:257" s="582" customFormat="1">
      <c r="A585" s="809" t="s">
        <v>91</v>
      </c>
      <c r="B585" s="696" t="s">
        <v>148</v>
      </c>
      <c r="C585" s="699"/>
      <c r="D585" s="699"/>
      <c r="E585" s="700"/>
      <c r="F585" s="700">
        <v>50000000</v>
      </c>
      <c r="G585" s="725"/>
      <c r="H585" s="725"/>
      <c r="I585" s="725"/>
      <c r="J585" s="700">
        <f>114000000+194000000-56000000</f>
        <v>252000000</v>
      </c>
      <c r="K585" s="700">
        <v>80000000</v>
      </c>
      <c r="L585" s="1315">
        <v>90000000</v>
      </c>
      <c r="M585" s="651"/>
      <c r="N585" s="820"/>
      <c r="O585" s="820"/>
      <c r="P585" s="868"/>
      <c r="Q585" s="868"/>
      <c r="R585" s="891"/>
      <c r="S585" s="908"/>
      <c r="T585" s="1017"/>
      <c r="U585" s="721"/>
      <c r="V585" s="727"/>
      <c r="W585" s="581"/>
      <c r="X585" s="578"/>
    </row>
    <row r="586" spans="1:257" s="582" customFormat="1">
      <c r="A586" s="809" t="s">
        <v>91</v>
      </c>
      <c r="B586" s="696" t="s">
        <v>149</v>
      </c>
      <c r="C586" s="699"/>
      <c r="D586" s="699"/>
      <c r="E586" s="700"/>
      <c r="F586" s="700">
        <v>32000000</v>
      </c>
      <c r="G586" s="725"/>
      <c r="H586" s="725"/>
      <c r="I586" s="725"/>
      <c r="J586" s="700">
        <v>96800000</v>
      </c>
      <c r="K586" s="700">
        <v>27000000</v>
      </c>
      <c r="L586" s="1315">
        <v>15000000</v>
      </c>
      <c r="M586" s="651"/>
      <c r="N586" s="820"/>
      <c r="O586" s="820"/>
      <c r="P586" s="868"/>
      <c r="Q586" s="868"/>
      <c r="R586" s="891"/>
      <c r="S586" s="908"/>
      <c r="T586" s="1017"/>
      <c r="U586" s="721"/>
      <c r="V586" s="727"/>
      <c r="W586" s="581"/>
      <c r="X586" s="578"/>
    </row>
    <row r="587" spans="1:257" s="582" customFormat="1">
      <c r="A587" s="809" t="s">
        <v>91</v>
      </c>
      <c r="B587" s="696" t="s">
        <v>150</v>
      </c>
      <c r="C587" s="699"/>
      <c r="D587" s="699"/>
      <c r="E587" s="700"/>
      <c r="F587" s="700">
        <v>180000000</v>
      </c>
      <c r="G587" s="725"/>
      <c r="H587" s="725"/>
      <c r="I587" s="725"/>
      <c r="J587" s="700">
        <v>133078000</v>
      </c>
      <c r="K587" s="700">
        <v>110000000</v>
      </c>
      <c r="L587" s="1315">
        <v>75000000</v>
      </c>
      <c r="M587" s="651"/>
      <c r="N587" s="820"/>
      <c r="O587" s="820"/>
      <c r="P587" s="868"/>
      <c r="Q587" s="868"/>
      <c r="R587" s="891"/>
      <c r="S587" s="908"/>
      <c r="T587" s="1017"/>
      <c r="U587" s="580"/>
      <c r="V587" s="581"/>
      <c r="W587" s="581"/>
      <c r="X587" s="578"/>
    </row>
    <row r="588" spans="1:257" s="582" customFormat="1">
      <c r="A588" s="809" t="s">
        <v>91</v>
      </c>
      <c r="B588" s="696" t="s">
        <v>151</v>
      </c>
      <c r="C588" s="699"/>
      <c r="D588" s="699"/>
      <c r="E588" s="700"/>
      <c r="F588" s="700">
        <v>80000000</v>
      </c>
      <c r="G588" s="725"/>
      <c r="H588" s="725"/>
      <c r="I588" s="725"/>
      <c r="J588" s="700">
        <v>331450000</v>
      </c>
      <c r="K588" s="700">
        <v>156000000</v>
      </c>
      <c r="L588" s="1315">
        <v>180000000</v>
      </c>
      <c r="M588" s="651" t="s">
        <v>1429</v>
      </c>
      <c r="N588" s="820"/>
      <c r="O588" s="820"/>
      <c r="P588" s="868"/>
      <c r="Q588" s="868"/>
      <c r="R588" s="891"/>
      <c r="S588" s="866"/>
      <c r="T588" s="839"/>
      <c r="U588" s="811"/>
      <c r="V588" s="639"/>
      <c r="W588" s="727"/>
      <c r="X588" s="728"/>
      <c r="Y588" s="682"/>
      <c r="Z588" s="682"/>
      <c r="AA588" s="682"/>
      <c r="AB588" s="682"/>
      <c r="AC588" s="682"/>
      <c r="AD588" s="682"/>
      <c r="AE588" s="682"/>
      <c r="AF588" s="682"/>
      <c r="AG588" s="682"/>
      <c r="AH588" s="682"/>
      <c r="AI588" s="682"/>
      <c r="AJ588" s="682"/>
      <c r="AK588" s="682"/>
      <c r="AL588" s="682"/>
      <c r="AM588" s="682"/>
      <c r="AN588" s="682"/>
      <c r="AO588" s="682"/>
      <c r="AP588" s="682"/>
      <c r="AQ588" s="682"/>
      <c r="AR588" s="682"/>
      <c r="AS588" s="682"/>
      <c r="AT588" s="682"/>
      <c r="AU588" s="682"/>
      <c r="AV588" s="682"/>
      <c r="AW588" s="682"/>
      <c r="AX588" s="682"/>
      <c r="AY588" s="682"/>
      <c r="AZ588" s="682"/>
      <c r="BA588" s="682"/>
      <c r="BB588" s="682"/>
      <c r="BC588" s="682"/>
      <c r="BD588" s="682"/>
      <c r="BE588" s="682"/>
      <c r="BF588" s="682"/>
      <c r="BG588" s="682"/>
      <c r="BH588" s="682"/>
      <c r="BI588" s="682"/>
      <c r="BJ588" s="682"/>
      <c r="BK588" s="682"/>
      <c r="BL588" s="682"/>
      <c r="BM588" s="682"/>
      <c r="BN588" s="682"/>
      <c r="BO588" s="682"/>
      <c r="BP588" s="682"/>
      <c r="BQ588" s="682"/>
      <c r="BR588" s="682"/>
      <c r="BS588" s="682"/>
      <c r="BT588" s="682"/>
      <c r="BU588" s="682"/>
      <c r="BV588" s="682"/>
      <c r="BW588" s="682"/>
      <c r="BX588" s="682"/>
      <c r="BY588" s="682"/>
      <c r="BZ588" s="682"/>
      <c r="CA588" s="682"/>
      <c r="CB588" s="682"/>
      <c r="CC588" s="682"/>
      <c r="CD588" s="682"/>
      <c r="CE588" s="682"/>
      <c r="CF588" s="682"/>
      <c r="CG588" s="682"/>
      <c r="CH588" s="682"/>
      <c r="CI588" s="682"/>
      <c r="CJ588" s="682"/>
      <c r="CK588" s="682"/>
      <c r="CL588" s="682"/>
      <c r="CM588" s="682"/>
      <c r="CN588" s="682"/>
      <c r="CO588" s="682"/>
      <c r="CP588" s="682"/>
      <c r="CQ588" s="682"/>
      <c r="CR588" s="682"/>
      <c r="CS588" s="682"/>
      <c r="CT588" s="682"/>
      <c r="CU588" s="682"/>
      <c r="CV588" s="682"/>
      <c r="CW588" s="682"/>
      <c r="CX588" s="682"/>
      <c r="CY588" s="682"/>
      <c r="CZ588" s="682"/>
      <c r="DA588" s="682"/>
      <c r="DB588" s="682"/>
      <c r="DC588" s="682"/>
      <c r="DD588" s="682"/>
      <c r="DE588" s="682"/>
      <c r="DF588" s="682"/>
      <c r="DG588" s="682"/>
      <c r="DH588" s="682"/>
      <c r="DI588" s="682"/>
      <c r="DJ588" s="682"/>
      <c r="DK588" s="682"/>
      <c r="DL588" s="682"/>
      <c r="DM588" s="682"/>
      <c r="DN588" s="682"/>
      <c r="DO588" s="682"/>
      <c r="DP588" s="682"/>
      <c r="DQ588" s="682"/>
      <c r="DR588" s="682"/>
      <c r="DS588" s="682"/>
      <c r="DT588" s="682"/>
      <c r="DU588" s="682"/>
      <c r="DV588" s="682"/>
      <c r="DW588" s="682"/>
      <c r="DX588" s="682"/>
      <c r="DY588" s="682"/>
      <c r="DZ588" s="682"/>
      <c r="EA588" s="682"/>
      <c r="EB588" s="682"/>
      <c r="EC588" s="682"/>
      <c r="ED588" s="682"/>
      <c r="EE588" s="682"/>
      <c r="EF588" s="682"/>
      <c r="EG588" s="682"/>
      <c r="EH588" s="682"/>
      <c r="EI588" s="682"/>
      <c r="EJ588" s="682"/>
      <c r="EK588" s="682"/>
      <c r="EL588" s="682"/>
      <c r="EM588" s="682"/>
      <c r="EN588" s="682"/>
      <c r="EO588" s="682"/>
      <c r="EP588" s="682"/>
      <c r="EQ588" s="682"/>
      <c r="ER588" s="682"/>
      <c r="ES588" s="682"/>
      <c r="ET588" s="682"/>
      <c r="EU588" s="682"/>
      <c r="EV588" s="682"/>
      <c r="EW588" s="682"/>
      <c r="EX588" s="682"/>
      <c r="EY588" s="682"/>
      <c r="EZ588" s="682"/>
      <c r="FA588" s="682"/>
      <c r="FB588" s="682"/>
      <c r="FC588" s="682"/>
      <c r="FD588" s="682"/>
      <c r="FE588" s="682"/>
      <c r="FF588" s="682"/>
      <c r="FG588" s="682"/>
      <c r="FH588" s="682"/>
      <c r="FI588" s="682"/>
      <c r="FJ588" s="682"/>
      <c r="FK588" s="682"/>
      <c r="FL588" s="682"/>
      <c r="FM588" s="682"/>
      <c r="FN588" s="682"/>
      <c r="FO588" s="682"/>
      <c r="FP588" s="682"/>
      <c r="FQ588" s="682"/>
      <c r="FR588" s="682"/>
      <c r="FS588" s="682"/>
      <c r="FT588" s="682"/>
      <c r="FU588" s="682"/>
      <c r="FV588" s="682"/>
      <c r="FW588" s="682"/>
      <c r="FX588" s="682"/>
      <c r="FY588" s="682"/>
      <c r="FZ588" s="682"/>
      <c r="GA588" s="682"/>
      <c r="GB588" s="682"/>
      <c r="GC588" s="682"/>
      <c r="GD588" s="682"/>
      <c r="GE588" s="682"/>
      <c r="GF588" s="682"/>
      <c r="GG588" s="682"/>
      <c r="GH588" s="682"/>
      <c r="GI588" s="682"/>
      <c r="GJ588" s="682"/>
      <c r="GK588" s="682"/>
      <c r="GL588" s="682"/>
      <c r="GM588" s="682"/>
      <c r="GN588" s="682"/>
      <c r="GO588" s="682"/>
      <c r="GP588" s="682"/>
      <c r="GQ588" s="682"/>
      <c r="GR588" s="682"/>
      <c r="GS588" s="682"/>
      <c r="GT588" s="682"/>
      <c r="GU588" s="682"/>
      <c r="GV588" s="682"/>
      <c r="GW588" s="682"/>
      <c r="GX588" s="682"/>
      <c r="GY588" s="682"/>
      <c r="GZ588" s="682"/>
      <c r="HA588" s="682"/>
      <c r="HB588" s="682"/>
      <c r="HC588" s="682"/>
      <c r="HD588" s="682"/>
      <c r="HE588" s="682"/>
      <c r="HF588" s="682"/>
      <c r="HG588" s="682"/>
      <c r="HH588" s="682"/>
      <c r="HI588" s="682"/>
      <c r="HJ588" s="682"/>
      <c r="HK588" s="682"/>
      <c r="HL588" s="682"/>
      <c r="HM588" s="682"/>
      <c r="HN588" s="682"/>
      <c r="HO588" s="682"/>
      <c r="HP588" s="682"/>
      <c r="HQ588" s="682"/>
      <c r="HR588" s="682"/>
      <c r="HS588" s="682"/>
      <c r="HT588" s="682"/>
      <c r="HU588" s="682"/>
      <c r="HV588" s="682"/>
      <c r="HW588" s="682"/>
      <c r="HX588" s="682"/>
      <c r="HY588" s="682"/>
      <c r="HZ588" s="682"/>
      <c r="IA588" s="682"/>
      <c r="IB588" s="682"/>
      <c r="IC588" s="682"/>
      <c r="ID588" s="682"/>
      <c r="IE588" s="682"/>
      <c r="IF588" s="682"/>
      <c r="IG588" s="682"/>
      <c r="IH588" s="682"/>
      <c r="II588" s="682"/>
      <c r="IJ588" s="682"/>
      <c r="IK588" s="682"/>
      <c r="IL588" s="682"/>
      <c r="IM588" s="682"/>
      <c r="IN588" s="682"/>
      <c r="IO588" s="682"/>
      <c r="IP588" s="682"/>
      <c r="IQ588" s="682"/>
      <c r="IR588" s="682"/>
      <c r="IS588" s="682"/>
      <c r="IT588" s="682"/>
      <c r="IU588" s="682"/>
      <c r="IV588" s="682"/>
      <c r="IW588" s="682"/>
    </row>
    <row r="589" spans="1:257" s="582" customFormat="1" ht="31.5">
      <c r="A589" s="809" t="s">
        <v>91</v>
      </c>
      <c r="B589" s="696" t="str">
        <f>'Tư pháp V'!B32</f>
        <v>Hoạt động tổ công tác theo Quyết định số 1837/QĐ-UBND của UBND thành phố</v>
      </c>
      <c r="C589" s="699"/>
      <c r="D589" s="699"/>
      <c r="E589" s="700"/>
      <c r="F589" s="700">
        <v>100000000</v>
      </c>
      <c r="G589" s="725"/>
      <c r="H589" s="725"/>
      <c r="I589" s="725"/>
      <c r="J589" s="700">
        <v>85000000</v>
      </c>
      <c r="K589" s="700">
        <v>50000000</v>
      </c>
      <c r="L589" s="1315">
        <v>35000000</v>
      </c>
      <c r="M589" s="651"/>
      <c r="N589" s="820"/>
      <c r="O589" s="820"/>
      <c r="P589" s="868"/>
      <c r="Q589" s="868"/>
      <c r="R589" s="891"/>
      <c r="S589" s="866"/>
      <c r="T589" s="839"/>
      <c r="U589" s="811"/>
      <c r="V589" s="639"/>
      <c r="W589" s="727"/>
      <c r="X589" s="728"/>
      <c r="Y589" s="682"/>
      <c r="Z589" s="682"/>
      <c r="AA589" s="682"/>
      <c r="AB589" s="682"/>
      <c r="AC589" s="682"/>
      <c r="AD589" s="682"/>
      <c r="AE589" s="682"/>
      <c r="AF589" s="682"/>
      <c r="AG589" s="682"/>
      <c r="AH589" s="682"/>
      <c r="AI589" s="682"/>
      <c r="AJ589" s="682"/>
      <c r="AK589" s="682"/>
      <c r="AL589" s="682"/>
      <c r="AM589" s="682"/>
      <c r="AN589" s="682"/>
      <c r="AO589" s="682"/>
      <c r="AP589" s="682"/>
      <c r="AQ589" s="682"/>
      <c r="AR589" s="682"/>
      <c r="AS589" s="682"/>
      <c r="AT589" s="682"/>
      <c r="AU589" s="682"/>
      <c r="AV589" s="682"/>
      <c r="AW589" s="682"/>
      <c r="AX589" s="682"/>
      <c r="AY589" s="682"/>
      <c r="AZ589" s="682"/>
      <c r="BA589" s="682"/>
      <c r="BB589" s="682"/>
      <c r="BC589" s="682"/>
      <c r="BD589" s="682"/>
      <c r="BE589" s="682"/>
      <c r="BF589" s="682"/>
      <c r="BG589" s="682"/>
      <c r="BH589" s="682"/>
      <c r="BI589" s="682"/>
      <c r="BJ589" s="682"/>
      <c r="BK589" s="682"/>
      <c r="BL589" s="682"/>
      <c r="BM589" s="682"/>
      <c r="BN589" s="682"/>
      <c r="BO589" s="682"/>
      <c r="BP589" s="682"/>
      <c r="BQ589" s="682"/>
      <c r="BR589" s="682"/>
      <c r="BS589" s="682"/>
      <c r="BT589" s="682"/>
      <c r="BU589" s="682"/>
      <c r="BV589" s="682"/>
      <c r="BW589" s="682"/>
      <c r="BX589" s="682"/>
      <c r="BY589" s="682"/>
      <c r="BZ589" s="682"/>
      <c r="CA589" s="682"/>
      <c r="CB589" s="682"/>
      <c r="CC589" s="682"/>
      <c r="CD589" s="682"/>
      <c r="CE589" s="682"/>
      <c r="CF589" s="682"/>
      <c r="CG589" s="682"/>
      <c r="CH589" s="682"/>
      <c r="CI589" s="682"/>
      <c r="CJ589" s="682"/>
      <c r="CK589" s="682"/>
      <c r="CL589" s="682"/>
      <c r="CM589" s="682"/>
      <c r="CN589" s="682"/>
      <c r="CO589" s="682"/>
      <c r="CP589" s="682"/>
      <c r="CQ589" s="682"/>
      <c r="CR589" s="682"/>
      <c r="CS589" s="682"/>
      <c r="CT589" s="682"/>
      <c r="CU589" s="682"/>
      <c r="CV589" s="682"/>
      <c r="CW589" s="682"/>
      <c r="CX589" s="682"/>
      <c r="CY589" s="682"/>
      <c r="CZ589" s="682"/>
      <c r="DA589" s="682"/>
      <c r="DB589" s="682"/>
      <c r="DC589" s="682"/>
      <c r="DD589" s="682"/>
      <c r="DE589" s="682"/>
      <c r="DF589" s="682"/>
      <c r="DG589" s="682"/>
      <c r="DH589" s="682"/>
      <c r="DI589" s="682"/>
      <c r="DJ589" s="682"/>
      <c r="DK589" s="682"/>
      <c r="DL589" s="682"/>
      <c r="DM589" s="682"/>
      <c r="DN589" s="682"/>
      <c r="DO589" s="682"/>
      <c r="DP589" s="682"/>
      <c r="DQ589" s="682"/>
      <c r="DR589" s="682"/>
      <c r="DS589" s="682"/>
      <c r="DT589" s="682"/>
      <c r="DU589" s="682"/>
      <c r="DV589" s="682"/>
      <c r="DW589" s="682"/>
      <c r="DX589" s="682"/>
      <c r="DY589" s="682"/>
      <c r="DZ589" s="682"/>
      <c r="EA589" s="682"/>
      <c r="EB589" s="682"/>
      <c r="EC589" s="682"/>
      <c r="ED589" s="682"/>
      <c r="EE589" s="682"/>
      <c r="EF589" s="682"/>
      <c r="EG589" s="682"/>
      <c r="EH589" s="682"/>
      <c r="EI589" s="682"/>
      <c r="EJ589" s="682"/>
      <c r="EK589" s="682"/>
      <c r="EL589" s="682"/>
      <c r="EM589" s="682"/>
      <c r="EN589" s="682"/>
      <c r="EO589" s="682"/>
      <c r="EP589" s="682"/>
      <c r="EQ589" s="682"/>
      <c r="ER589" s="682"/>
      <c r="ES589" s="682"/>
      <c r="ET589" s="682"/>
      <c r="EU589" s="682"/>
      <c r="EV589" s="682"/>
      <c r="EW589" s="682"/>
      <c r="EX589" s="682"/>
      <c r="EY589" s="682"/>
      <c r="EZ589" s="682"/>
      <c r="FA589" s="682"/>
      <c r="FB589" s="682"/>
      <c r="FC589" s="682"/>
      <c r="FD589" s="682"/>
      <c r="FE589" s="682"/>
      <c r="FF589" s="682"/>
      <c r="FG589" s="682"/>
      <c r="FH589" s="682"/>
      <c r="FI589" s="682"/>
      <c r="FJ589" s="682"/>
      <c r="FK589" s="682"/>
      <c r="FL589" s="682"/>
      <c r="FM589" s="682"/>
      <c r="FN589" s="682"/>
      <c r="FO589" s="682"/>
      <c r="FP589" s="682"/>
      <c r="FQ589" s="682"/>
      <c r="FR589" s="682"/>
      <c r="FS589" s="682"/>
      <c r="FT589" s="682"/>
      <c r="FU589" s="682"/>
      <c r="FV589" s="682"/>
      <c r="FW589" s="682"/>
      <c r="FX589" s="682"/>
      <c r="FY589" s="682"/>
      <c r="FZ589" s="682"/>
      <c r="GA589" s="682"/>
      <c r="GB589" s="682"/>
      <c r="GC589" s="682"/>
      <c r="GD589" s="682"/>
      <c r="GE589" s="682"/>
      <c r="GF589" s="682"/>
      <c r="GG589" s="682"/>
      <c r="GH589" s="682"/>
      <c r="GI589" s="682"/>
      <c r="GJ589" s="682"/>
      <c r="GK589" s="682"/>
      <c r="GL589" s="682"/>
      <c r="GM589" s="682"/>
      <c r="GN589" s="682"/>
      <c r="GO589" s="682"/>
      <c r="GP589" s="682"/>
      <c r="GQ589" s="682"/>
      <c r="GR589" s="682"/>
      <c r="GS589" s="682"/>
      <c r="GT589" s="682"/>
      <c r="GU589" s="682"/>
      <c r="GV589" s="682"/>
      <c r="GW589" s="682"/>
      <c r="GX589" s="682"/>
      <c r="GY589" s="682"/>
      <c r="GZ589" s="682"/>
      <c r="HA589" s="682"/>
      <c r="HB589" s="682"/>
      <c r="HC589" s="682"/>
      <c r="HD589" s="682"/>
      <c r="HE589" s="682"/>
      <c r="HF589" s="682"/>
      <c r="HG589" s="682"/>
      <c r="HH589" s="682"/>
      <c r="HI589" s="682"/>
      <c r="HJ589" s="682"/>
      <c r="HK589" s="682"/>
      <c r="HL589" s="682"/>
      <c r="HM589" s="682"/>
      <c r="HN589" s="682"/>
      <c r="HO589" s="682"/>
      <c r="HP589" s="682"/>
      <c r="HQ589" s="682"/>
      <c r="HR589" s="682"/>
      <c r="HS589" s="682"/>
      <c r="HT589" s="682"/>
      <c r="HU589" s="682"/>
      <c r="HV589" s="682"/>
      <c r="HW589" s="682"/>
      <c r="HX589" s="682"/>
      <c r="HY589" s="682"/>
      <c r="HZ589" s="682"/>
      <c r="IA589" s="682"/>
      <c r="IB589" s="682"/>
      <c r="IC589" s="682"/>
      <c r="ID589" s="682"/>
      <c r="IE589" s="682"/>
      <c r="IF589" s="682"/>
      <c r="IG589" s="682"/>
      <c r="IH589" s="682"/>
      <c r="II589" s="682"/>
      <c r="IJ589" s="682"/>
      <c r="IK589" s="682"/>
      <c r="IL589" s="682"/>
      <c r="IM589" s="682"/>
      <c r="IN589" s="682"/>
      <c r="IO589" s="682"/>
      <c r="IP589" s="682"/>
      <c r="IQ589" s="682"/>
      <c r="IR589" s="682"/>
      <c r="IS589" s="682"/>
      <c r="IT589" s="682"/>
      <c r="IU589" s="682"/>
      <c r="IV589" s="682"/>
      <c r="IW589" s="682"/>
    </row>
    <row r="590" spans="1:257" s="582" customFormat="1">
      <c r="A590" s="809" t="s">
        <v>91</v>
      </c>
      <c r="B590" s="711" t="s">
        <v>153</v>
      </c>
      <c r="C590" s="699"/>
      <c r="D590" s="699"/>
      <c r="E590" s="700"/>
      <c r="F590" s="700">
        <v>15000000</v>
      </c>
      <c r="G590" s="725"/>
      <c r="H590" s="725"/>
      <c r="I590" s="725"/>
      <c r="J590" s="700">
        <v>15000000</v>
      </c>
      <c r="K590" s="700">
        <v>15000000</v>
      </c>
      <c r="L590" s="1315">
        <v>22800000</v>
      </c>
      <c r="M590" s="651"/>
      <c r="N590" s="820"/>
      <c r="O590" s="820"/>
      <c r="P590" s="868"/>
      <c r="Q590" s="868"/>
      <c r="R590" s="891"/>
      <c r="S590" s="866"/>
      <c r="T590" s="839"/>
      <c r="U590" s="811"/>
      <c r="V590" s="639"/>
      <c r="W590" s="727"/>
      <c r="X590" s="728"/>
      <c r="Y590" s="682"/>
      <c r="Z590" s="682"/>
      <c r="AA590" s="682"/>
      <c r="AB590" s="682"/>
      <c r="AC590" s="682"/>
      <c r="AD590" s="682"/>
      <c r="AE590" s="682"/>
      <c r="AF590" s="682"/>
      <c r="AG590" s="682"/>
      <c r="AH590" s="682"/>
      <c r="AI590" s="682"/>
      <c r="AJ590" s="682"/>
      <c r="AK590" s="682"/>
      <c r="AL590" s="682"/>
      <c r="AM590" s="682"/>
      <c r="AN590" s="682"/>
      <c r="AO590" s="682"/>
      <c r="AP590" s="682"/>
      <c r="AQ590" s="682"/>
      <c r="AR590" s="682"/>
      <c r="AS590" s="682"/>
      <c r="AT590" s="682"/>
      <c r="AU590" s="682"/>
      <c r="AV590" s="682"/>
      <c r="AW590" s="682"/>
      <c r="AX590" s="682"/>
      <c r="AY590" s="682"/>
      <c r="AZ590" s="682"/>
      <c r="BA590" s="682"/>
      <c r="BB590" s="682"/>
      <c r="BC590" s="682"/>
      <c r="BD590" s="682"/>
      <c r="BE590" s="682"/>
      <c r="BF590" s="682"/>
      <c r="BG590" s="682"/>
      <c r="BH590" s="682"/>
      <c r="BI590" s="682"/>
      <c r="BJ590" s="682"/>
      <c r="BK590" s="682"/>
      <c r="BL590" s="682"/>
      <c r="BM590" s="682"/>
      <c r="BN590" s="682"/>
      <c r="BO590" s="682"/>
      <c r="BP590" s="682"/>
      <c r="BQ590" s="682"/>
      <c r="BR590" s="682"/>
      <c r="BS590" s="682"/>
      <c r="BT590" s="682"/>
      <c r="BU590" s="682"/>
      <c r="BV590" s="682"/>
      <c r="BW590" s="682"/>
      <c r="BX590" s="682"/>
      <c r="BY590" s="682"/>
      <c r="BZ590" s="682"/>
      <c r="CA590" s="682"/>
      <c r="CB590" s="682"/>
      <c r="CC590" s="682"/>
      <c r="CD590" s="682"/>
      <c r="CE590" s="682"/>
      <c r="CF590" s="682"/>
      <c r="CG590" s="682"/>
      <c r="CH590" s="682"/>
      <c r="CI590" s="682"/>
      <c r="CJ590" s="682"/>
      <c r="CK590" s="682"/>
      <c r="CL590" s="682"/>
      <c r="CM590" s="682"/>
      <c r="CN590" s="682"/>
      <c r="CO590" s="682"/>
      <c r="CP590" s="682"/>
      <c r="CQ590" s="682"/>
      <c r="CR590" s="682"/>
      <c r="CS590" s="682"/>
      <c r="CT590" s="682"/>
      <c r="CU590" s="682"/>
      <c r="CV590" s="682"/>
      <c r="CW590" s="682"/>
      <c r="CX590" s="682"/>
      <c r="CY590" s="682"/>
      <c r="CZ590" s="682"/>
      <c r="DA590" s="682"/>
      <c r="DB590" s="682"/>
      <c r="DC590" s="682"/>
      <c r="DD590" s="682"/>
      <c r="DE590" s="682"/>
      <c r="DF590" s="682"/>
      <c r="DG590" s="682"/>
      <c r="DH590" s="682"/>
      <c r="DI590" s="682"/>
      <c r="DJ590" s="682"/>
      <c r="DK590" s="682"/>
      <c r="DL590" s="682"/>
      <c r="DM590" s="682"/>
      <c r="DN590" s="682"/>
      <c r="DO590" s="682"/>
      <c r="DP590" s="682"/>
      <c r="DQ590" s="682"/>
      <c r="DR590" s="682"/>
      <c r="DS590" s="682"/>
      <c r="DT590" s="682"/>
      <c r="DU590" s="682"/>
      <c r="DV590" s="682"/>
      <c r="DW590" s="682"/>
      <c r="DX590" s="682"/>
      <c r="DY590" s="682"/>
      <c r="DZ590" s="682"/>
      <c r="EA590" s="682"/>
      <c r="EB590" s="682"/>
      <c r="EC590" s="682"/>
      <c r="ED590" s="682"/>
      <c r="EE590" s="682"/>
      <c r="EF590" s="682"/>
      <c r="EG590" s="682"/>
      <c r="EH590" s="682"/>
      <c r="EI590" s="682"/>
      <c r="EJ590" s="682"/>
      <c r="EK590" s="682"/>
      <c r="EL590" s="682"/>
      <c r="EM590" s="682"/>
      <c r="EN590" s="682"/>
      <c r="EO590" s="682"/>
      <c r="EP590" s="682"/>
      <c r="EQ590" s="682"/>
      <c r="ER590" s="682"/>
      <c r="ES590" s="682"/>
      <c r="ET590" s="682"/>
      <c r="EU590" s="682"/>
      <c r="EV590" s="682"/>
      <c r="EW590" s="682"/>
      <c r="EX590" s="682"/>
      <c r="EY590" s="682"/>
      <c r="EZ590" s="682"/>
      <c r="FA590" s="682"/>
      <c r="FB590" s="682"/>
      <c r="FC590" s="682"/>
      <c r="FD590" s="682"/>
      <c r="FE590" s="682"/>
      <c r="FF590" s="682"/>
      <c r="FG590" s="682"/>
      <c r="FH590" s="682"/>
      <c r="FI590" s="682"/>
      <c r="FJ590" s="682"/>
      <c r="FK590" s="682"/>
      <c r="FL590" s="682"/>
      <c r="FM590" s="682"/>
      <c r="FN590" s="682"/>
      <c r="FO590" s="682"/>
      <c r="FP590" s="682"/>
      <c r="FQ590" s="682"/>
      <c r="FR590" s="682"/>
      <c r="FS590" s="682"/>
      <c r="FT590" s="682"/>
      <c r="FU590" s="682"/>
      <c r="FV590" s="682"/>
      <c r="FW590" s="682"/>
      <c r="FX590" s="682"/>
      <c r="FY590" s="682"/>
      <c r="FZ590" s="682"/>
      <c r="GA590" s="682"/>
      <c r="GB590" s="682"/>
      <c r="GC590" s="682"/>
      <c r="GD590" s="682"/>
      <c r="GE590" s="682"/>
      <c r="GF590" s="682"/>
      <c r="GG590" s="682"/>
      <c r="GH590" s="682"/>
      <c r="GI590" s="682"/>
      <c r="GJ590" s="682"/>
      <c r="GK590" s="682"/>
      <c r="GL590" s="682"/>
      <c r="GM590" s="682"/>
      <c r="GN590" s="682"/>
      <c r="GO590" s="682"/>
      <c r="GP590" s="682"/>
      <c r="GQ590" s="682"/>
      <c r="GR590" s="682"/>
      <c r="GS590" s="682"/>
      <c r="GT590" s="682"/>
      <c r="GU590" s="682"/>
      <c r="GV590" s="682"/>
      <c r="GW590" s="682"/>
      <c r="GX590" s="682"/>
      <c r="GY590" s="682"/>
      <c r="GZ590" s="682"/>
      <c r="HA590" s="682"/>
      <c r="HB590" s="682"/>
      <c r="HC590" s="682"/>
      <c r="HD590" s="682"/>
      <c r="HE590" s="682"/>
      <c r="HF590" s="682"/>
      <c r="HG590" s="682"/>
      <c r="HH590" s="682"/>
      <c r="HI590" s="682"/>
      <c r="HJ590" s="682"/>
      <c r="HK590" s="682"/>
      <c r="HL590" s="682"/>
      <c r="HM590" s="682"/>
      <c r="HN590" s="682"/>
      <c r="HO590" s="682"/>
      <c r="HP590" s="682"/>
      <c r="HQ590" s="682"/>
      <c r="HR590" s="682"/>
      <c r="HS590" s="682"/>
      <c r="HT590" s="682"/>
      <c r="HU590" s="682"/>
      <c r="HV590" s="682"/>
      <c r="HW590" s="682"/>
      <c r="HX590" s="682"/>
      <c r="HY590" s="682"/>
      <c r="HZ590" s="682"/>
      <c r="IA590" s="682"/>
      <c r="IB590" s="682"/>
      <c r="IC590" s="682"/>
      <c r="ID590" s="682"/>
      <c r="IE590" s="682"/>
      <c r="IF590" s="682"/>
      <c r="IG590" s="682"/>
      <c r="IH590" s="682"/>
      <c r="II590" s="682"/>
      <c r="IJ590" s="682"/>
      <c r="IK590" s="682"/>
      <c r="IL590" s="682"/>
      <c r="IM590" s="682"/>
      <c r="IN590" s="682"/>
      <c r="IO590" s="682"/>
      <c r="IP590" s="682"/>
      <c r="IQ590" s="682"/>
      <c r="IR590" s="682"/>
      <c r="IS590" s="682"/>
      <c r="IT590" s="682"/>
      <c r="IU590" s="682"/>
      <c r="IV590" s="682"/>
      <c r="IW590" s="682"/>
    </row>
    <row r="591" spans="1:257" s="582" customFormat="1">
      <c r="A591" s="809" t="s">
        <v>91</v>
      </c>
      <c r="B591" s="711" t="s">
        <v>1431</v>
      </c>
      <c r="C591" s="699"/>
      <c r="D591" s="699"/>
      <c r="E591" s="700"/>
      <c r="F591" s="700"/>
      <c r="G591" s="725"/>
      <c r="H591" s="725"/>
      <c r="I591" s="725"/>
      <c r="J591" s="700"/>
      <c r="K591" s="700"/>
      <c r="L591" s="1315">
        <v>11900000</v>
      </c>
      <c r="M591" s="651"/>
      <c r="N591" s="820"/>
      <c r="O591" s="820"/>
      <c r="P591" s="868"/>
      <c r="Q591" s="868"/>
      <c r="R591" s="891"/>
      <c r="S591" s="866"/>
      <c r="T591" s="839"/>
      <c r="U591" s="811"/>
      <c r="V591" s="639"/>
      <c r="W591" s="727"/>
      <c r="X591" s="728"/>
      <c r="Y591" s="682"/>
      <c r="Z591" s="682"/>
      <c r="AA591" s="682"/>
      <c r="AB591" s="682"/>
      <c r="AC591" s="682"/>
      <c r="AD591" s="682"/>
      <c r="AE591" s="682"/>
      <c r="AF591" s="682"/>
      <c r="AG591" s="682"/>
      <c r="AH591" s="682"/>
      <c r="AI591" s="682"/>
      <c r="AJ591" s="682"/>
      <c r="AK591" s="682"/>
      <c r="AL591" s="682"/>
      <c r="AM591" s="682"/>
      <c r="AN591" s="682"/>
      <c r="AO591" s="682"/>
      <c r="AP591" s="682"/>
      <c r="AQ591" s="682"/>
      <c r="AR591" s="682"/>
      <c r="AS591" s="682"/>
      <c r="AT591" s="682"/>
      <c r="AU591" s="682"/>
      <c r="AV591" s="682"/>
      <c r="AW591" s="682"/>
      <c r="AX591" s="682"/>
      <c r="AY591" s="682"/>
      <c r="AZ591" s="682"/>
      <c r="BA591" s="682"/>
      <c r="BB591" s="682"/>
      <c r="BC591" s="682"/>
      <c r="BD591" s="682"/>
      <c r="BE591" s="682"/>
      <c r="BF591" s="682"/>
      <c r="BG591" s="682"/>
      <c r="BH591" s="682"/>
      <c r="BI591" s="682"/>
      <c r="BJ591" s="682"/>
      <c r="BK591" s="682"/>
      <c r="BL591" s="682"/>
      <c r="BM591" s="682"/>
      <c r="BN591" s="682"/>
      <c r="BO591" s="682"/>
      <c r="BP591" s="682"/>
      <c r="BQ591" s="682"/>
      <c r="BR591" s="682"/>
      <c r="BS591" s="682"/>
      <c r="BT591" s="682"/>
      <c r="BU591" s="682"/>
      <c r="BV591" s="682"/>
      <c r="BW591" s="682"/>
      <c r="BX591" s="682"/>
      <c r="BY591" s="682"/>
      <c r="BZ591" s="682"/>
      <c r="CA591" s="682"/>
      <c r="CB591" s="682"/>
      <c r="CC591" s="682"/>
      <c r="CD591" s="682"/>
      <c r="CE591" s="682"/>
      <c r="CF591" s="682"/>
      <c r="CG591" s="682"/>
      <c r="CH591" s="682"/>
      <c r="CI591" s="682"/>
      <c r="CJ591" s="682"/>
      <c r="CK591" s="682"/>
      <c r="CL591" s="682"/>
      <c r="CM591" s="682"/>
      <c r="CN591" s="682"/>
      <c r="CO591" s="682"/>
      <c r="CP591" s="682"/>
      <c r="CQ591" s="682"/>
      <c r="CR591" s="682"/>
      <c r="CS591" s="682"/>
      <c r="CT591" s="682"/>
      <c r="CU591" s="682"/>
      <c r="CV591" s="682"/>
      <c r="CW591" s="682"/>
      <c r="CX591" s="682"/>
      <c r="CY591" s="682"/>
      <c r="CZ591" s="682"/>
      <c r="DA591" s="682"/>
      <c r="DB591" s="682"/>
      <c r="DC591" s="682"/>
      <c r="DD591" s="682"/>
      <c r="DE591" s="682"/>
      <c r="DF591" s="682"/>
      <c r="DG591" s="682"/>
      <c r="DH591" s="682"/>
      <c r="DI591" s="682"/>
      <c r="DJ591" s="682"/>
      <c r="DK591" s="682"/>
      <c r="DL591" s="682"/>
      <c r="DM591" s="682"/>
      <c r="DN591" s="682"/>
      <c r="DO591" s="682"/>
      <c r="DP591" s="682"/>
      <c r="DQ591" s="682"/>
      <c r="DR591" s="682"/>
      <c r="DS591" s="682"/>
      <c r="DT591" s="682"/>
      <c r="DU591" s="682"/>
      <c r="DV591" s="682"/>
      <c r="DW591" s="682"/>
      <c r="DX591" s="682"/>
      <c r="DY591" s="682"/>
      <c r="DZ591" s="682"/>
      <c r="EA591" s="682"/>
      <c r="EB591" s="682"/>
      <c r="EC591" s="682"/>
      <c r="ED591" s="682"/>
      <c r="EE591" s="682"/>
      <c r="EF591" s="682"/>
      <c r="EG591" s="682"/>
      <c r="EH591" s="682"/>
      <c r="EI591" s="682"/>
      <c r="EJ591" s="682"/>
      <c r="EK591" s="682"/>
      <c r="EL591" s="682"/>
      <c r="EM591" s="682"/>
      <c r="EN591" s="682"/>
      <c r="EO591" s="682"/>
      <c r="EP591" s="682"/>
      <c r="EQ591" s="682"/>
      <c r="ER591" s="682"/>
      <c r="ES591" s="682"/>
      <c r="ET591" s="682"/>
      <c r="EU591" s="682"/>
      <c r="EV591" s="682"/>
      <c r="EW591" s="682"/>
      <c r="EX591" s="682"/>
      <c r="EY591" s="682"/>
      <c r="EZ591" s="682"/>
      <c r="FA591" s="682"/>
      <c r="FB591" s="682"/>
      <c r="FC591" s="682"/>
      <c r="FD591" s="682"/>
      <c r="FE591" s="682"/>
      <c r="FF591" s="682"/>
      <c r="FG591" s="682"/>
      <c r="FH591" s="682"/>
      <c r="FI591" s="682"/>
      <c r="FJ591" s="682"/>
      <c r="FK591" s="682"/>
      <c r="FL591" s="682"/>
      <c r="FM591" s="682"/>
      <c r="FN591" s="682"/>
      <c r="FO591" s="682"/>
      <c r="FP591" s="682"/>
      <c r="FQ591" s="682"/>
      <c r="FR591" s="682"/>
      <c r="FS591" s="682"/>
      <c r="FT591" s="682"/>
      <c r="FU591" s="682"/>
      <c r="FV591" s="682"/>
      <c r="FW591" s="682"/>
      <c r="FX591" s="682"/>
      <c r="FY591" s="682"/>
      <c r="FZ591" s="682"/>
      <c r="GA591" s="682"/>
      <c r="GB591" s="682"/>
      <c r="GC591" s="682"/>
      <c r="GD591" s="682"/>
      <c r="GE591" s="682"/>
      <c r="GF591" s="682"/>
      <c r="GG591" s="682"/>
      <c r="GH591" s="682"/>
      <c r="GI591" s="682"/>
      <c r="GJ591" s="682"/>
      <c r="GK591" s="682"/>
      <c r="GL591" s="682"/>
      <c r="GM591" s="682"/>
      <c r="GN591" s="682"/>
      <c r="GO591" s="682"/>
      <c r="GP591" s="682"/>
      <c r="GQ591" s="682"/>
      <c r="GR591" s="682"/>
      <c r="GS591" s="682"/>
      <c r="GT591" s="682"/>
      <c r="GU591" s="682"/>
      <c r="GV591" s="682"/>
      <c r="GW591" s="682"/>
      <c r="GX591" s="682"/>
      <c r="GY591" s="682"/>
      <c r="GZ591" s="682"/>
      <c r="HA591" s="682"/>
      <c r="HB591" s="682"/>
      <c r="HC591" s="682"/>
      <c r="HD591" s="682"/>
      <c r="HE591" s="682"/>
      <c r="HF591" s="682"/>
      <c r="HG591" s="682"/>
      <c r="HH591" s="682"/>
      <c r="HI591" s="682"/>
      <c r="HJ591" s="682"/>
      <c r="HK591" s="682"/>
      <c r="HL591" s="682"/>
      <c r="HM591" s="682"/>
      <c r="HN591" s="682"/>
      <c r="HO591" s="682"/>
      <c r="HP591" s="682"/>
      <c r="HQ591" s="682"/>
      <c r="HR591" s="682"/>
      <c r="HS591" s="682"/>
      <c r="HT591" s="682"/>
      <c r="HU591" s="682"/>
      <c r="HV591" s="682"/>
      <c r="HW591" s="682"/>
      <c r="HX591" s="682"/>
      <c r="HY591" s="682"/>
      <c r="HZ591" s="682"/>
      <c r="IA591" s="682"/>
      <c r="IB591" s="682"/>
      <c r="IC591" s="682"/>
      <c r="ID591" s="682"/>
      <c r="IE591" s="682"/>
      <c r="IF591" s="682"/>
      <c r="IG591" s="682"/>
      <c r="IH591" s="682"/>
      <c r="II591" s="682"/>
      <c r="IJ591" s="682"/>
      <c r="IK591" s="682"/>
      <c r="IL591" s="682"/>
      <c r="IM591" s="682"/>
      <c r="IN591" s="682"/>
      <c r="IO591" s="682"/>
      <c r="IP591" s="682"/>
      <c r="IQ591" s="682"/>
      <c r="IR591" s="682"/>
      <c r="IS591" s="682"/>
      <c r="IT591" s="682"/>
      <c r="IU591" s="682"/>
      <c r="IV591" s="682"/>
      <c r="IW591" s="682"/>
    </row>
    <row r="592" spans="1:257" s="582" customFormat="1">
      <c r="A592" s="809" t="s">
        <v>91</v>
      </c>
      <c r="B592" s="696" t="s">
        <v>154</v>
      </c>
      <c r="C592" s="699"/>
      <c r="D592" s="699"/>
      <c r="E592" s="700"/>
      <c r="F592" s="700">
        <v>10000000</v>
      </c>
      <c r="G592" s="725"/>
      <c r="H592" s="725"/>
      <c r="I592" s="725"/>
      <c r="J592" s="700">
        <v>47050000</v>
      </c>
      <c r="K592" s="700">
        <v>20000000</v>
      </c>
      <c r="L592" s="1315">
        <v>20000000</v>
      </c>
      <c r="M592" s="651" t="s">
        <v>1428</v>
      </c>
      <c r="N592" s="820"/>
      <c r="O592" s="820"/>
      <c r="P592" s="868"/>
      <c r="Q592" s="868"/>
      <c r="R592" s="891"/>
      <c r="S592" s="866"/>
      <c r="T592" s="839"/>
      <c r="U592" s="811"/>
      <c r="V592" s="639"/>
      <c r="W592" s="727"/>
      <c r="X592" s="728"/>
      <c r="Y592" s="682"/>
      <c r="Z592" s="682"/>
      <c r="AA592" s="682"/>
      <c r="AB592" s="682"/>
      <c r="AC592" s="682"/>
      <c r="AD592" s="682"/>
      <c r="AE592" s="682"/>
      <c r="AF592" s="682"/>
      <c r="AG592" s="682"/>
      <c r="AH592" s="682"/>
      <c r="AI592" s="682"/>
      <c r="AJ592" s="682"/>
      <c r="AK592" s="682"/>
      <c r="AL592" s="682"/>
      <c r="AM592" s="682"/>
      <c r="AN592" s="682"/>
      <c r="AO592" s="682"/>
      <c r="AP592" s="682"/>
      <c r="AQ592" s="682"/>
      <c r="AR592" s="682"/>
      <c r="AS592" s="682"/>
      <c r="AT592" s="682"/>
      <c r="AU592" s="682"/>
      <c r="AV592" s="682"/>
      <c r="AW592" s="682"/>
      <c r="AX592" s="682"/>
      <c r="AY592" s="682"/>
      <c r="AZ592" s="682"/>
      <c r="BA592" s="682"/>
      <c r="BB592" s="682"/>
      <c r="BC592" s="682"/>
      <c r="BD592" s="682"/>
      <c r="BE592" s="682"/>
      <c r="BF592" s="682"/>
      <c r="BG592" s="682"/>
      <c r="BH592" s="682"/>
      <c r="BI592" s="682"/>
      <c r="BJ592" s="682"/>
      <c r="BK592" s="682"/>
      <c r="BL592" s="682"/>
      <c r="BM592" s="682"/>
      <c r="BN592" s="682"/>
      <c r="BO592" s="682"/>
      <c r="BP592" s="682"/>
      <c r="BQ592" s="682"/>
      <c r="BR592" s="682"/>
      <c r="BS592" s="682"/>
      <c r="BT592" s="682"/>
      <c r="BU592" s="682"/>
      <c r="BV592" s="682"/>
      <c r="BW592" s="682"/>
      <c r="BX592" s="682"/>
      <c r="BY592" s="682"/>
      <c r="BZ592" s="682"/>
      <c r="CA592" s="682"/>
      <c r="CB592" s="682"/>
      <c r="CC592" s="682"/>
      <c r="CD592" s="682"/>
      <c r="CE592" s="682"/>
      <c r="CF592" s="682"/>
      <c r="CG592" s="682"/>
      <c r="CH592" s="682"/>
      <c r="CI592" s="682"/>
      <c r="CJ592" s="682"/>
      <c r="CK592" s="682"/>
      <c r="CL592" s="682"/>
      <c r="CM592" s="682"/>
      <c r="CN592" s="682"/>
      <c r="CO592" s="682"/>
      <c r="CP592" s="682"/>
      <c r="CQ592" s="682"/>
      <c r="CR592" s="682"/>
      <c r="CS592" s="682"/>
      <c r="CT592" s="682"/>
      <c r="CU592" s="682"/>
      <c r="CV592" s="682"/>
      <c r="CW592" s="682"/>
      <c r="CX592" s="682"/>
      <c r="CY592" s="682"/>
      <c r="CZ592" s="682"/>
      <c r="DA592" s="682"/>
      <c r="DB592" s="682"/>
      <c r="DC592" s="682"/>
      <c r="DD592" s="682"/>
      <c r="DE592" s="682"/>
      <c r="DF592" s="682"/>
      <c r="DG592" s="682"/>
      <c r="DH592" s="682"/>
      <c r="DI592" s="682"/>
      <c r="DJ592" s="682"/>
      <c r="DK592" s="682"/>
      <c r="DL592" s="682"/>
      <c r="DM592" s="682"/>
      <c r="DN592" s="682"/>
      <c r="DO592" s="682"/>
      <c r="DP592" s="682"/>
      <c r="DQ592" s="682"/>
      <c r="DR592" s="682"/>
      <c r="DS592" s="682"/>
      <c r="DT592" s="682"/>
      <c r="DU592" s="682"/>
      <c r="DV592" s="682"/>
      <c r="DW592" s="682"/>
      <c r="DX592" s="682"/>
      <c r="DY592" s="682"/>
      <c r="DZ592" s="682"/>
      <c r="EA592" s="682"/>
      <c r="EB592" s="682"/>
      <c r="EC592" s="682"/>
      <c r="ED592" s="682"/>
      <c r="EE592" s="682"/>
      <c r="EF592" s="682"/>
      <c r="EG592" s="682"/>
      <c r="EH592" s="682"/>
      <c r="EI592" s="682"/>
      <c r="EJ592" s="682"/>
      <c r="EK592" s="682"/>
      <c r="EL592" s="682"/>
      <c r="EM592" s="682"/>
      <c r="EN592" s="682"/>
      <c r="EO592" s="682"/>
      <c r="EP592" s="682"/>
      <c r="EQ592" s="682"/>
      <c r="ER592" s="682"/>
      <c r="ES592" s="682"/>
      <c r="ET592" s="682"/>
      <c r="EU592" s="682"/>
      <c r="EV592" s="682"/>
      <c r="EW592" s="682"/>
      <c r="EX592" s="682"/>
      <c r="EY592" s="682"/>
      <c r="EZ592" s="682"/>
      <c r="FA592" s="682"/>
      <c r="FB592" s="682"/>
      <c r="FC592" s="682"/>
      <c r="FD592" s="682"/>
      <c r="FE592" s="682"/>
      <c r="FF592" s="682"/>
      <c r="FG592" s="682"/>
      <c r="FH592" s="682"/>
      <c r="FI592" s="682"/>
      <c r="FJ592" s="682"/>
      <c r="FK592" s="682"/>
      <c r="FL592" s="682"/>
      <c r="FM592" s="682"/>
      <c r="FN592" s="682"/>
      <c r="FO592" s="682"/>
      <c r="FP592" s="682"/>
      <c r="FQ592" s="682"/>
      <c r="FR592" s="682"/>
      <c r="FS592" s="682"/>
      <c r="FT592" s="682"/>
      <c r="FU592" s="682"/>
      <c r="FV592" s="682"/>
      <c r="FW592" s="682"/>
      <c r="FX592" s="682"/>
      <c r="FY592" s="682"/>
      <c r="FZ592" s="682"/>
      <c r="GA592" s="682"/>
      <c r="GB592" s="682"/>
      <c r="GC592" s="682"/>
      <c r="GD592" s="682"/>
      <c r="GE592" s="682"/>
      <c r="GF592" s="682"/>
      <c r="GG592" s="682"/>
      <c r="GH592" s="682"/>
      <c r="GI592" s="682"/>
      <c r="GJ592" s="682"/>
      <c r="GK592" s="682"/>
      <c r="GL592" s="682"/>
      <c r="GM592" s="682"/>
      <c r="GN592" s="682"/>
      <c r="GO592" s="682"/>
      <c r="GP592" s="682"/>
      <c r="GQ592" s="682"/>
      <c r="GR592" s="682"/>
      <c r="GS592" s="682"/>
      <c r="GT592" s="682"/>
      <c r="GU592" s="682"/>
      <c r="GV592" s="682"/>
      <c r="GW592" s="682"/>
      <c r="GX592" s="682"/>
      <c r="GY592" s="682"/>
      <c r="GZ592" s="682"/>
      <c r="HA592" s="682"/>
      <c r="HB592" s="682"/>
      <c r="HC592" s="682"/>
      <c r="HD592" s="682"/>
      <c r="HE592" s="682"/>
      <c r="HF592" s="682"/>
      <c r="HG592" s="682"/>
      <c r="HH592" s="682"/>
      <c r="HI592" s="682"/>
      <c r="HJ592" s="682"/>
      <c r="HK592" s="682"/>
      <c r="HL592" s="682"/>
      <c r="HM592" s="682"/>
      <c r="HN592" s="682"/>
      <c r="HO592" s="682"/>
      <c r="HP592" s="682"/>
      <c r="HQ592" s="682"/>
      <c r="HR592" s="682"/>
      <c r="HS592" s="682"/>
      <c r="HT592" s="682"/>
      <c r="HU592" s="682"/>
      <c r="HV592" s="682"/>
      <c r="HW592" s="682"/>
      <c r="HX592" s="682"/>
      <c r="HY592" s="682"/>
      <c r="HZ592" s="682"/>
      <c r="IA592" s="682"/>
      <c r="IB592" s="682"/>
      <c r="IC592" s="682"/>
      <c r="ID592" s="682"/>
      <c r="IE592" s="682"/>
      <c r="IF592" s="682"/>
      <c r="IG592" s="682"/>
      <c r="IH592" s="682"/>
      <c r="II592" s="682"/>
      <c r="IJ592" s="682"/>
      <c r="IK592" s="682"/>
      <c r="IL592" s="682"/>
      <c r="IM592" s="682"/>
      <c r="IN592" s="682"/>
      <c r="IO592" s="682"/>
      <c r="IP592" s="682"/>
      <c r="IQ592" s="682"/>
      <c r="IR592" s="682"/>
      <c r="IS592" s="682"/>
      <c r="IT592" s="682"/>
      <c r="IU592" s="682"/>
      <c r="IV592" s="682"/>
      <c r="IW592" s="682"/>
    </row>
    <row r="593" spans="1:257" s="582" customFormat="1">
      <c r="A593" s="809" t="s">
        <v>91</v>
      </c>
      <c r="B593" s="696" t="s">
        <v>1430</v>
      </c>
      <c r="C593" s="699"/>
      <c r="D593" s="699"/>
      <c r="E593" s="700"/>
      <c r="F593" s="700"/>
      <c r="G593" s="725"/>
      <c r="H593" s="725"/>
      <c r="I593" s="725"/>
      <c r="J593" s="700">
        <v>10000000</v>
      </c>
      <c r="K593" s="700"/>
      <c r="L593" s="1315"/>
      <c r="M593" s="651"/>
      <c r="N593" s="820"/>
      <c r="O593" s="820"/>
      <c r="P593" s="868"/>
      <c r="Q593" s="868"/>
      <c r="R593" s="891"/>
      <c r="S593" s="866"/>
      <c r="T593" s="839"/>
      <c r="U593" s="811"/>
      <c r="V593" s="639"/>
      <c r="W593" s="727"/>
      <c r="X593" s="728"/>
      <c r="Y593" s="682"/>
      <c r="Z593" s="682"/>
      <c r="AA593" s="682"/>
      <c r="AB593" s="682"/>
      <c r="AC593" s="682"/>
      <c r="AD593" s="682"/>
      <c r="AE593" s="682"/>
      <c r="AF593" s="682"/>
      <c r="AG593" s="682"/>
      <c r="AH593" s="682"/>
      <c r="AI593" s="682"/>
      <c r="AJ593" s="682"/>
      <c r="AK593" s="682"/>
      <c r="AL593" s="682"/>
      <c r="AM593" s="682"/>
      <c r="AN593" s="682"/>
      <c r="AO593" s="682"/>
      <c r="AP593" s="682"/>
      <c r="AQ593" s="682"/>
      <c r="AR593" s="682"/>
      <c r="AS593" s="682"/>
      <c r="AT593" s="682"/>
      <c r="AU593" s="682"/>
      <c r="AV593" s="682"/>
      <c r="AW593" s="682"/>
      <c r="AX593" s="682"/>
      <c r="AY593" s="682"/>
      <c r="AZ593" s="682"/>
      <c r="BA593" s="682"/>
      <c r="BB593" s="682"/>
      <c r="BC593" s="682"/>
      <c r="BD593" s="682"/>
      <c r="BE593" s="682"/>
      <c r="BF593" s="682"/>
      <c r="BG593" s="682"/>
      <c r="BH593" s="682"/>
      <c r="BI593" s="682"/>
      <c r="BJ593" s="682"/>
      <c r="BK593" s="682"/>
      <c r="BL593" s="682"/>
      <c r="BM593" s="682"/>
      <c r="BN593" s="682"/>
      <c r="BO593" s="682"/>
      <c r="BP593" s="682"/>
      <c r="BQ593" s="682"/>
      <c r="BR593" s="682"/>
      <c r="BS593" s="682"/>
      <c r="BT593" s="682"/>
      <c r="BU593" s="682"/>
      <c r="BV593" s="682"/>
      <c r="BW593" s="682"/>
      <c r="BX593" s="682"/>
      <c r="BY593" s="682"/>
      <c r="BZ593" s="682"/>
      <c r="CA593" s="682"/>
      <c r="CB593" s="682"/>
      <c r="CC593" s="682"/>
      <c r="CD593" s="682"/>
      <c r="CE593" s="682"/>
      <c r="CF593" s="682"/>
      <c r="CG593" s="682"/>
      <c r="CH593" s="682"/>
      <c r="CI593" s="682"/>
      <c r="CJ593" s="682"/>
      <c r="CK593" s="682"/>
      <c r="CL593" s="682"/>
      <c r="CM593" s="682"/>
      <c r="CN593" s="682"/>
      <c r="CO593" s="682"/>
      <c r="CP593" s="682"/>
      <c r="CQ593" s="682"/>
      <c r="CR593" s="682"/>
      <c r="CS593" s="682"/>
      <c r="CT593" s="682"/>
      <c r="CU593" s="682"/>
      <c r="CV593" s="682"/>
      <c r="CW593" s="682"/>
      <c r="CX593" s="682"/>
      <c r="CY593" s="682"/>
      <c r="CZ593" s="682"/>
      <c r="DA593" s="682"/>
      <c r="DB593" s="682"/>
      <c r="DC593" s="682"/>
      <c r="DD593" s="682"/>
      <c r="DE593" s="682"/>
      <c r="DF593" s="682"/>
      <c r="DG593" s="682"/>
      <c r="DH593" s="682"/>
      <c r="DI593" s="682"/>
      <c r="DJ593" s="682"/>
      <c r="DK593" s="682"/>
      <c r="DL593" s="682"/>
      <c r="DM593" s="682"/>
      <c r="DN593" s="682"/>
      <c r="DO593" s="682"/>
      <c r="DP593" s="682"/>
      <c r="DQ593" s="682"/>
      <c r="DR593" s="682"/>
      <c r="DS593" s="682"/>
      <c r="DT593" s="682"/>
      <c r="DU593" s="682"/>
      <c r="DV593" s="682"/>
      <c r="DW593" s="682"/>
      <c r="DX593" s="682"/>
      <c r="DY593" s="682"/>
      <c r="DZ593" s="682"/>
      <c r="EA593" s="682"/>
      <c r="EB593" s="682"/>
      <c r="EC593" s="682"/>
      <c r="ED593" s="682"/>
      <c r="EE593" s="682"/>
      <c r="EF593" s="682"/>
      <c r="EG593" s="682"/>
      <c r="EH593" s="682"/>
      <c r="EI593" s="682"/>
      <c r="EJ593" s="682"/>
      <c r="EK593" s="682"/>
      <c r="EL593" s="682"/>
      <c r="EM593" s="682"/>
      <c r="EN593" s="682"/>
      <c r="EO593" s="682"/>
      <c r="EP593" s="682"/>
      <c r="EQ593" s="682"/>
      <c r="ER593" s="682"/>
      <c r="ES593" s="682"/>
      <c r="ET593" s="682"/>
      <c r="EU593" s="682"/>
      <c r="EV593" s="682"/>
      <c r="EW593" s="682"/>
      <c r="EX593" s="682"/>
      <c r="EY593" s="682"/>
      <c r="EZ593" s="682"/>
      <c r="FA593" s="682"/>
      <c r="FB593" s="682"/>
      <c r="FC593" s="682"/>
      <c r="FD593" s="682"/>
      <c r="FE593" s="682"/>
      <c r="FF593" s="682"/>
      <c r="FG593" s="682"/>
      <c r="FH593" s="682"/>
      <c r="FI593" s="682"/>
      <c r="FJ593" s="682"/>
      <c r="FK593" s="682"/>
      <c r="FL593" s="682"/>
      <c r="FM593" s="682"/>
      <c r="FN593" s="682"/>
      <c r="FO593" s="682"/>
      <c r="FP593" s="682"/>
      <c r="FQ593" s="682"/>
      <c r="FR593" s="682"/>
      <c r="FS593" s="682"/>
      <c r="FT593" s="682"/>
      <c r="FU593" s="682"/>
      <c r="FV593" s="682"/>
      <c r="FW593" s="682"/>
      <c r="FX593" s="682"/>
      <c r="FY593" s="682"/>
      <c r="FZ593" s="682"/>
      <c r="GA593" s="682"/>
      <c r="GB593" s="682"/>
      <c r="GC593" s="682"/>
      <c r="GD593" s="682"/>
      <c r="GE593" s="682"/>
      <c r="GF593" s="682"/>
      <c r="GG593" s="682"/>
      <c r="GH593" s="682"/>
      <c r="GI593" s="682"/>
      <c r="GJ593" s="682"/>
      <c r="GK593" s="682"/>
      <c r="GL593" s="682"/>
      <c r="GM593" s="682"/>
      <c r="GN593" s="682"/>
      <c r="GO593" s="682"/>
      <c r="GP593" s="682"/>
      <c r="GQ593" s="682"/>
      <c r="GR593" s="682"/>
      <c r="GS593" s="682"/>
      <c r="GT593" s="682"/>
      <c r="GU593" s="682"/>
      <c r="GV593" s="682"/>
      <c r="GW593" s="682"/>
      <c r="GX593" s="682"/>
      <c r="GY593" s="682"/>
      <c r="GZ593" s="682"/>
      <c r="HA593" s="682"/>
      <c r="HB593" s="682"/>
      <c r="HC593" s="682"/>
      <c r="HD593" s="682"/>
      <c r="HE593" s="682"/>
      <c r="HF593" s="682"/>
      <c r="HG593" s="682"/>
      <c r="HH593" s="682"/>
      <c r="HI593" s="682"/>
      <c r="HJ593" s="682"/>
      <c r="HK593" s="682"/>
      <c r="HL593" s="682"/>
      <c r="HM593" s="682"/>
      <c r="HN593" s="682"/>
      <c r="HO593" s="682"/>
      <c r="HP593" s="682"/>
      <c r="HQ593" s="682"/>
      <c r="HR593" s="682"/>
      <c r="HS593" s="682"/>
      <c r="HT593" s="682"/>
      <c r="HU593" s="682"/>
      <c r="HV593" s="682"/>
      <c r="HW593" s="682"/>
      <c r="HX593" s="682"/>
      <c r="HY593" s="682"/>
      <c r="HZ593" s="682"/>
      <c r="IA593" s="682"/>
      <c r="IB593" s="682"/>
      <c r="IC593" s="682"/>
      <c r="ID593" s="682"/>
      <c r="IE593" s="682"/>
      <c r="IF593" s="682"/>
      <c r="IG593" s="682"/>
      <c r="IH593" s="682"/>
      <c r="II593" s="682"/>
      <c r="IJ593" s="682"/>
      <c r="IK593" s="682"/>
      <c r="IL593" s="682"/>
      <c r="IM593" s="682"/>
      <c r="IN593" s="682"/>
      <c r="IO593" s="682"/>
      <c r="IP593" s="682"/>
      <c r="IQ593" s="682"/>
      <c r="IR593" s="682"/>
      <c r="IS593" s="682"/>
      <c r="IT593" s="682"/>
      <c r="IU593" s="682"/>
      <c r="IV593" s="682"/>
      <c r="IW593" s="682"/>
    </row>
    <row r="594" spans="1:257" s="682" customFormat="1" ht="36" customHeight="1">
      <c r="A594" s="809" t="s">
        <v>91</v>
      </c>
      <c r="B594" s="696" t="s">
        <v>1432</v>
      </c>
      <c r="C594" s="683"/>
      <c r="D594" s="683"/>
      <c r="E594" s="669"/>
      <c r="F594" s="651">
        <v>50000000</v>
      </c>
      <c r="G594" s="705" t="s">
        <v>1075</v>
      </c>
      <c r="H594" s="705"/>
      <c r="I594" s="705"/>
      <c r="J594" s="651">
        <v>90000000</v>
      </c>
      <c r="K594" s="651">
        <v>100000000</v>
      </c>
      <c r="L594" s="1305">
        <v>130000000</v>
      </c>
      <c r="M594" s="705"/>
      <c r="N594" s="826"/>
      <c r="O594" s="826"/>
      <c r="P594" s="937"/>
      <c r="Q594" s="937"/>
      <c r="R594" s="871"/>
      <c r="S594" s="866"/>
      <c r="T594" s="839"/>
      <c r="U594" s="811"/>
      <c r="V594" s="727"/>
      <c r="W594" s="727"/>
      <c r="X594" s="728"/>
    </row>
    <row r="595" spans="1:257" s="582" customFormat="1">
      <c r="A595" s="738" t="s">
        <v>261</v>
      </c>
      <c r="B595" s="965" t="s">
        <v>262</v>
      </c>
      <c r="C595" s="738"/>
      <c r="D595" s="738"/>
      <c r="E595" s="740"/>
      <c r="F595" s="966">
        <f t="shared" ref="F595:L595" si="69">F596</f>
        <v>124600000</v>
      </c>
      <c r="G595" s="966">
        <f t="shared" si="69"/>
        <v>0</v>
      </c>
      <c r="H595" s="966">
        <f t="shared" si="69"/>
        <v>0</v>
      </c>
      <c r="I595" s="966">
        <f t="shared" si="69"/>
        <v>0</v>
      </c>
      <c r="J595" s="966">
        <f t="shared" si="69"/>
        <v>188900000</v>
      </c>
      <c r="K595" s="966">
        <f t="shared" si="69"/>
        <v>136600000</v>
      </c>
      <c r="L595" s="1313">
        <f t="shared" si="69"/>
        <v>131700000</v>
      </c>
      <c r="M595" s="741"/>
      <c r="N595" s="934"/>
      <c r="O595" s="934"/>
      <c r="P595" s="868"/>
      <c r="Q595" s="868"/>
      <c r="R595" s="871"/>
      <c r="S595" s="866"/>
      <c r="T595" s="839"/>
      <c r="U595" s="670"/>
      <c r="V595" s="581"/>
      <c r="W595" s="701"/>
      <c r="X595" s="702"/>
      <c r="Y595" s="703"/>
      <c r="Z595" s="703"/>
      <c r="AA595" s="703"/>
      <c r="AB595" s="703"/>
      <c r="AC595" s="703"/>
      <c r="AD595" s="703"/>
      <c r="AE595" s="703"/>
      <c r="AF595" s="703"/>
      <c r="AG595" s="703"/>
      <c r="AH595" s="703"/>
      <c r="AI595" s="703"/>
      <c r="AJ595" s="703"/>
      <c r="AK595" s="703"/>
      <c r="AL595" s="703"/>
      <c r="AM595" s="703"/>
      <c r="AN595" s="703"/>
      <c r="AO595" s="703"/>
      <c r="AP595" s="703"/>
      <c r="AQ595" s="703"/>
      <c r="AR595" s="703"/>
      <c r="AS595" s="703"/>
      <c r="AT595" s="703"/>
      <c r="AU595" s="703"/>
      <c r="AV595" s="703"/>
      <c r="AW595" s="703"/>
      <c r="AX595" s="703"/>
      <c r="AY595" s="703"/>
      <c r="AZ595" s="703"/>
      <c r="BA595" s="703"/>
      <c r="BB595" s="703"/>
      <c r="BC595" s="703"/>
      <c r="BD595" s="703"/>
      <c r="BE595" s="703"/>
      <c r="BF595" s="703"/>
      <c r="BG595" s="703"/>
      <c r="BH595" s="703"/>
      <c r="BI595" s="703"/>
      <c r="BJ595" s="703"/>
      <c r="BK595" s="703"/>
      <c r="BL595" s="703"/>
      <c r="BM595" s="703"/>
      <c r="BN595" s="703"/>
      <c r="BO595" s="703"/>
      <c r="BP595" s="703"/>
      <c r="BQ595" s="703"/>
      <c r="BR595" s="703"/>
      <c r="BS595" s="703"/>
      <c r="BT595" s="703"/>
      <c r="BU595" s="703"/>
      <c r="BV595" s="703"/>
      <c r="BW595" s="703"/>
      <c r="BX595" s="703"/>
      <c r="BY595" s="703"/>
      <c r="BZ595" s="703"/>
      <c r="CA595" s="703"/>
      <c r="CB595" s="703"/>
      <c r="CC595" s="703"/>
      <c r="CD595" s="703"/>
      <c r="CE595" s="703"/>
      <c r="CF595" s="703"/>
      <c r="CG595" s="703"/>
      <c r="CH595" s="703"/>
      <c r="CI595" s="703"/>
      <c r="CJ595" s="703"/>
      <c r="CK595" s="703"/>
      <c r="CL595" s="703"/>
      <c r="CM595" s="703"/>
      <c r="CN595" s="703"/>
      <c r="CO595" s="703"/>
      <c r="CP595" s="703"/>
      <c r="CQ595" s="703"/>
      <c r="CR595" s="703"/>
      <c r="CS595" s="703"/>
      <c r="CT595" s="703"/>
      <c r="CU595" s="703"/>
      <c r="CV595" s="703"/>
      <c r="CW595" s="703"/>
      <c r="CX595" s="703"/>
      <c r="CY595" s="703"/>
      <c r="CZ595" s="703"/>
      <c r="DA595" s="703"/>
      <c r="DB595" s="703"/>
      <c r="DC595" s="703"/>
      <c r="DD595" s="703"/>
      <c r="DE595" s="703"/>
      <c r="DF595" s="703"/>
      <c r="DG595" s="703"/>
      <c r="DH595" s="703"/>
      <c r="DI595" s="703"/>
      <c r="DJ595" s="703"/>
      <c r="DK595" s="703"/>
      <c r="DL595" s="703"/>
      <c r="DM595" s="703"/>
      <c r="DN595" s="703"/>
      <c r="DO595" s="703"/>
      <c r="DP595" s="703"/>
      <c r="DQ595" s="703"/>
      <c r="DR595" s="703"/>
      <c r="DS595" s="703"/>
      <c r="DT595" s="703"/>
      <c r="DU595" s="703"/>
      <c r="DV595" s="703"/>
      <c r="DW595" s="703"/>
      <c r="DX595" s="703"/>
      <c r="DY595" s="703"/>
      <c r="DZ595" s="703"/>
      <c r="EA595" s="703"/>
      <c r="EB595" s="703"/>
      <c r="EC595" s="703"/>
      <c r="ED595" s="703"/>
      <c r="EE595" s="703"/>
      <c r="EF595" s="703"/>
      <c r="EG595" s="703"/>
      <c r="EH595" s="703"/>
      <c r="EI595" s="703"/>
      <c r="EJ595" s="703"/>
      <c r="EK595" s="703"/>
      <c r="EL595" s="703"/>
      <c r="EM595" s="703"/>
      <c r="EN595" s="703"/>
      <c r="EO595" s="703"/>
      <c r="EP595" s="703"/>
      <c r="EQ595" s="703"/>
      <c r="ER595" s="703"/>
      <c r="ES595" s="703"/>
      <c r="ET595" s="703"/>
      <c r="EU595" s="703"/>
      <c r="EV595" s="703"/>
      <c r="EW595" s="703"/>
      <c r="EX595" s="703"/>
      <c r="EY595" s="703"/>
      <c r="EZ595" s="703"/>
      <c r="FA595" s="703"/>
      <c r="FB595" s="703"/>
      <c r="FC595" s="703"/>
      <c r="FD595" s="703"/>
      <c r="FE595" s="703"/>
      <c r="FF595" s="703"/>
      <c r="FG595" s="703"/>
      <c r="FH595" s="703"/>
      <c r="FI595" s="703"/>
      <c r="FJ595" s="703"/>
      <c r="FK595" s="703"/>
      <c r="FL595" s="703"/>
      <c r="FM595" s="703"/>
      <c r="FN595" s="703"/>
      <c r="FO595" s="703"/>
      <c r="FP595" s="703"/>
      <c r="FQ595" s="703"/>
      <c r="FR595" s="703"/>
      <c r="FS595" s="703"/>
      <c r="FT595" s="703"/>
      <c r="FU595" s="703"/>
      <c r="FV595" s="703"/>
      <c r="FW595" s="703"/>
      <c r="FX595" s="703"/>
      <c r="FY595" s="703"/>
      <c r="FZ595" s="703"/>
      <c r="GA595" s="703"/>
      <c r="GB595" s="703"/>
      <c r="GC595" s="703"/>
      <c r="GD595" s="703"/>
      <c r="GE595" s="703"/>
      <c r="GF595" s="703"/>
      <c r="GG595" s="703"/>
      <c r="GH595" s="703"/>
      <c r="GI595" s="703"/>
      <c r="GJ595" s="703"/>
      <c r="GK595" s="703"/>
      <c r="GL595" s="703"/>
      <c r="GM595" s="703"/>
      <c r="GN595" s="703"/>
      <c r="GO595" s="703"/>
      <c r="GP595" s="703"/>
      <c r="GQ595" s="703"/>
      <c r="GR595" s="703"/>
      <c r="GS595" s="703"/>
      <c r="GT595" s="703"/>
      <c r="GU595" s="703"/>
      <c r="GV595" s="703"/>
      <c r="GW595" s="703"/>
      <c r="GX595" s="703"/>
      <c r="GY595" s="703"/>
      <c r="GZ595" s="703"/>
      <c r="HA595" s="703"/>
      <c r="HB595" s="703"/>
      <c r="HC595" s="703"/>
      <c r="HD595" s="703"/>
      <c r="HE595" s="703"/>
      <c r="HF595" s="703"/>
      <c r="HG595" s="703"/>
      <c r="HH595" s="703"/>
      <c r="HI595" s="703"/>
      <c r="HJ595" s="703"/>
      <c r="HK595" s="703"/>
      <c r="HL595" s="703"/>
      <c r="HM595" s="703"/>
      <c r="HN595" s="703"/>
      <c r="HO595" s="703"/>
      <c r="HP595" s="703"/>
      <c r="HQ595" s="703"/>
      <c r="HR595" s="703"/>
      <c r="HS595" s="703"/>
      <c r="HT595" s="703"/>
      <c r="HU595" s="703"/>
      <c r="HV595" s="703"/>
      <c r="HW595" s="703"/>
      <c r="HX595" s="703"/>
      <c r="HY595" s="703"/>
      <c r="HZ595" s="703"/>
      <c r="IA595" s="703"/>
      <c r="IB595" s="703"/>
      <c r="IC595" s="703"/>
      <c r="ID595" s="703"/>
      <c r="IE595" s="703"/>
      <c r="IF595" s="703"/>
      <c r="IG595" s="703"/>
      <c r="IH595" s="703"/>
      <c r="II595" s="703"/>
      <c r="IJ595" s="703"/>
      <c r="IK595" s="703"/>
      <c r="IL595" s="703"/>
      <c r="IM595" s="703"/>
      <c r="IN595" s="703"/>
      <c r="IO595" s="703"/>
      <c r="IP595" s="703"/>
      <c r="IQ595" s="703"/>
      <c r="IR595" s="703"/>
      <c r="IS595" s="703"/>
      <c r="IT595" s="703"/>
      <c r="IU595" s="703"/>
      <c r="IV595" s="703"/>
      <c r="IW595" s="703"/>
    </row>
    <row r="596" spans="1:257" s="582" customFormat="1">
      <c r="A596" s="758"/>
      <c r="B596" s="759" t="s">
        <v>263</v>
      </c>
      <c r="C596" s="758"/>
      <c r="D596" s="758"/>
      <c r="E596" s="760"/>
      <c r="F596" s="761">
        <f>(F575+F577+F578+F583+F584+F585+F586+F588+F587+F589+F592+F594)*10%</f>
        <v>124600000</v>
      </c>
      <c r="G596" s="740"/>
      <c r="H596" s="740"/>
      <c r="I596" s="740"/>
      <c r="J596" s="761">
        <f>(J575+J577+J578+J580+J581+J582+J583+J584+J585+J586+J587+J588+J589+J592+J593+J594)*10%</f>
        <v>188900000</v>
      </c>
      <c r="K596" s="761">
        <f>(K575+K577+K579+K580+K583+K584+K585+K586+K587+K588+K589+K592+K594)*10%</f>
        <v>136600000</v>
      </c>
      <c r="L596" s="1306">
        <f>(L575+L576-L590-L591)*10%</f>
        <v>131700000</v>
      </c>
      <c r="M596" s="761"/>
      <c r="N596" s="837"/>
      <c r="O596" s="837"/>
      <c r="P596" s="820"/>
      <c r="Q596" s="820"/>
      <c r="R596" s="866"/>
      <c r="S596" s="871"/>
      <c r="T596" s="824"/>
      <c r="U596" s="670"/>
      <c r="V596" s="581"/>
      <c r="W596" s="581"/>
      <c r="X596" s="578"/>
    </row>
    <row r="597" spans="1:257" s="1093" customFormat="1">
      <c r="A597" s="791">
        <v>4</v>
      </c>
      <c r="B597" s="840" t="s">
        <v>203</v>
      </c>
      <c r="C597" s="791"/>
      <c r="D597" s="791"/>
      <c r="E597" s="792"/>
      <c r="F597" s="793">
        <f t="shared" ref="F597:J597" si="70">F598+F607</f>
        <v>2515000000</v>
      </c>
      <c r="G597" s="793">
        <f t="shared" si="70"/>
        <v>30000000</v>
      </c>
      <c r="H597" s="793">
        <f t="shared" si="70"/>
        <v>0</v>
      </c>
      <c r="I597" s="793">
        <f t="shared" si="70"/>
        <v>0</v>
      </c>
      <c r="J597" s="793">
        <f t="shared" si="70"/>
        <v>3181456000</v>
      </c>
      <c r="K597" s="793">
        <f>K598+K607</f>
        <v>3236000000</v>
      </c>
      <c r="L597" s="1302">
        <f>L598+L607</f>
        <v>3615700000</v>
      </c>
      <c r="M597" s="793"/>
      <c r="N597" s="946"/>
      <c r="O597" s="946"/>
      <c r="P597" s="1086"/>
      <c r="Q597" s="1086"/>
      <c r="R597" s="947"/>
      <c r="S597" s="894"/>
      <c r="T597" s="845"/>
      <c r="U597" s="1073"/>
      <c r="V597" s="800"/>
      <c r="W597" s="800"/>
      <c r="X597" s="975"/>
      <c r="Y597" s="976"/>
      <c r="Z597" s="976"/>
      <c r="AA597" s="976"/>
      <c r="AB597" s="976"/>
      <c r="AC597" s="976"/>
      <c r="AD597" s="976"/>
      <c r="AE597" s="976"/>
      <c r="AF597" s="976"/>
      <c r="AG597" s="976"/>
      <c r="AH597" s="976"/>
      <c r="AI597" s="976"/>
      <c r="AJ597" s="976"/>
      <c r="AK597" s="976"/>
      <c r="AL597" s="976"/>
      <c r="AM597" s="976"/>
      <c r="AN597" s="976"/>
      <c r="AO597" s="976"/>
      <c r="AP597" s="976"/>
      <c r="AQ597" s="976"/>
      <c r="AR597" s="976"/>
      <c r="AS597" s="976"/>
      <c r="AT597" s="976"/>
      <c r="AU597" s="976"/>
      <c r="AV597" s="976"/>
      <c r="AW597" s="976"/>
      <c r="AX597" s="976"/>
      <c r="AY597" s="976"/>
      <c r="AZ597" s="976"/>
      <c r="BA597" s="976"/>
      <c r="BB597" s="976"/>
      <c r="BC597" s="976"/>
      <c r="BD597" s="976"/>
      <c r="BE597" s="976"/>
      <c r="BF597" s="976"/>
      <c r="BG597" s="976"/>
      <c r="BH597" s="976"/>
      <c r="BI597" s="976"/>
      <c r="BJ597" s="976"/>
      <c r="BK597" s="976"/>
      <c r="BL597" s="976"/>
      <c r="BM597" s="976"/>
      <c r="BN597" s="976"/>
      <c r="BO597" s="976"/>
      <c r="BP597" s="976"/>
      <c r="BQ597" s="976"/>
      <c r="BR597" s="976"/>
      <c r="BS597" s="976"/>
      <c r="BT597" s="976"/>
      <c r="BU597" s="976"/>
      <c r="BV597" s="976"/>
      <c r="BW597" s="976"/>
      <c r="BX597" s="976"/>
      <c r="BY597" s="976"/>
      <c r="BZ597" s="976"/>
      <c r="CA597" s="976"/>
      <c r="CB597" s="976"/>
      <c r="CC597" s="976"/>
      <c r="CD597" s="976"/>
      <c r="CE597" s="976"/>
      <c r="CF597" s="976"/>
      <c r="CG597" s="976"/>
      <c r="CH597" s="976"/>
      <c r="CI597" s="976"/>
      <c r="CJ597" s="976"/>
      <c r="CK597" s="976"/>
      <c r="CL597" s="976"/>
      <c r="CM597" s="976"/>
      <c r="CN597" s="976"/>
      <c r="CO597" s="976"/>
      <c r="CP597" s="976"/>
      <c r="CQ597" s="976"/>
      <c r="CR597" s="976"/>
      <c r="CS597" s="976"/>
      <c r="CT597" s="976"/>
      <c r="CU597" s="976"/>
      <c r="CV597" s="976"/>
      <c r="CW597" s="976"/>
      <c r="CX597" s="976"/>
      <c r="CY597" s="976"/>
      <c r="CZ597" s="976"/>
      <c r="DA597" s="976"/>
      <c r="DB597" s="976"/>
      <c r="DC597" s="976"/>
      <c r="DD597" s="976"/>
      <c r="DE597" s="976"/>
      <c r="DF597" s="976"/>
      <c r="DG597" s="976"/>
      <c r="DH597" s="976"/>
      <c r="DI597" s="976"/>
      <c r="DJ597" s="976"/>
      <c r="DK597" s="976"/>
      <c r="DL597" s="976"/>
      <c r="DM597" s="976"/>
      <c r="DN597" s="976"/>
      <c r="DO597" s="976"/>
      <c r="DP597" s="976"/>
      <c r="DQ597" s="976"/>
      <c r="DR597" s="976"/>
      <c r="DS597" s="976"/>
      <c r="DT597" s="976"/>
      <c r="DU597" s="976"/>
      <c r="DV597" s="976"/>
      <c r="DW597" s="976"/>
      <c r="DX597" s="976"/>
      <c r="DY597" s="976"/>
      <c r="DZ597" s="976"/>
      <c r="EA597" s="976"/>
      <c r="EB597" s="976"/>
      <c r="EC597" s="976"/>
      <c r="ED597" s="976"/>
      <c r="EE597" s="976"/>
      <c r="EF597" s="976"/>
      <c r="EG597" s="976"/>
      <c r="EH597" s="976"/>
      <c r="EI597" s="976"/>
      <c r="EJ597" s="976"/>
      <c r="EK597" s="976"/>
      <c r="EL597" s="976"/>
      <c r="EM597" s="976"/>
      <c r="EN597" s="976"/>
      <c r="EO597" s="976"/>
      <c r="EP597" s="976"/>
      <c r="EQ597" s="976"/>
      <c r="ER597" s="976"/>
      <c r="ES597" s="976"/>
      <c r="ET597" s="976"/>
      <c r="EU597" s="976"/>
      <c r="EV597" s="976"/>
      <c r="EW597" s="976"/>
      <c r="EX597" s="976"/>
      <c r="EY597" s="976"/>
      <c r="EZ597" s="976"/>
      <c r="FA597" s="976"/>
      <c r="FB597" s="976"/>
      <c r="FC597" s="976"/>
      <c r="FD597" s="976"/>
      <c r="FE597" s="976"/>
      <c r="FF597" s="976"/>
      <c r="FG597" s="976"/>
      <c r="FH597" s="976"/>
      <c r="FI597" s="976"/>
      <c r="FJ597" s="976"/>
      <c r="FK597" s="976"/>
      <c r="FL597" s="976"/>
      <c r="FM597" s="976"/>
      <c r="FN597" s="976"/>
      <c r="FO597" s="976"/>
      <c r="FP597" s="976"/>
      <c r="FQ597" s="976"/>
      <c r="FR597" s="976"/>
      <c r="FS597" s="976"/>
      <c r="FT597" s="976"/>
      <c r="FU597" s="976"/>
      <c r="FV597" s="976"/>
      <c r="FW597" s="976"/>
      <c r="FX597" s="976"/>
      <c r="FY597" s="976"/>
      <c r="FZ597" s="976"/>
      <c r="GA597" s="976"/>
      <c r="GB597" s="976"/>
      <c r="GC597" s="976"/>
      <c r="GD597" s="976"/>
      <c r="GE597" s="976"/>
      <c r="GF597" s="976"/>
      <c r="GG597" s="976"/>
      <c r="GH597" s="976"/>
      <c r="GI597" s="976"/>
      <c r="GJ597" s="976"/>
      <c r="GK597" s="976"/>
      <c r="GL597" s="976"/>
      <c r="GM597" s="976"/>
      <c r="GN597" s="976"/>
      <c r="GO597" s="976"/>
      <c r="GP597" s="976"/>
      <c r="GQ597" s="976"/>
      <c r="GR597" s="976"/>
      <c r="GS597" s="976"/>
      <c r="GT597" s="976"/>
      <c r="GU597" s="976"/>
      <c r="GV597" s="976"/>
      <c r="GW597" s="976"/>
      <c r="GX597" s="976"/>
      <c r="GY597" s="976"/>
      <c r="GZ597" s="976"/>
      <c r="HA597" s="976"/>
      <c r="HB597" s="976"/>
      <c r="HC597" s="976"/>
      <c r="HD597" s="976"/>
      <c r="HE597" s="976"/>
      <c r="HF597" s="976"/>
      <c r="HG597" s="976"/>
      <c r="HH597" s="976"/>
      <c r="HI597" s="976"/>
      <c r="HJ597" s="976"/>
      <c r="HK597" s="976"/>
      <c r="HL597" s="976"/>
      <c r="HM597" s="976"/>
      <c r="HN597" s="976"/>
      <c r="HO597" s="976"/>
      <c r="HP597" s="976"/>
      <c r="HQ597" s="976"/>
      <c r="HR597" s="976"/>
      <c r="HS597" s="976"/>
      <c r="HT597" s="976"/>
      <c r="HU597" s="976"/>
      <c r="HV597" s="976"/>
      <c r="HW597" s="976"/>
      <c r="HX597" s="976"/>
      <c r="HY597" s="976"/>
      <c r="HZ597" s="976"/>
      <c r="IA597" s="976"/>
      <c r="IB597" s="976"/>
      <c r="IC597" s="976"/>
      <c r="ID597" s="976"/>
      <c r="IE597" s="976"/>
      <c r="IF597" s="976"/>
      <c r="IG597" s="976"/>
      <c r="IH597" s="976"/>
      <c r="II597" s="976"/>
      <c r="IJ597" s="976"/>
      <c r="IK597" s="976"/>
      <c r="IL597" s="976"/>
      <c r="IM597" s="976"/>
      <c r="IN597" s="976"/>
      <c r="IO597" s="976"/>
      <c r="IP597" s="976"/>
      <c r="IQ597" s="976"/>
      <c r="IR597" s="976"/>
      <c r="IS597" s="976"/>
      <c r="IT597" s="976"/>
      <c r="IU597" s="976"/>
      <c r="IV597" s="976"/>
      <c r="IW597" s="976"/>
    </row>
    <row r="598" spans="1:257" s="621" customFormat="1">
      <c r="A598" s="589" t="s">
        <v>222</v>
      </c>
      <c r="B598" s="804" t="s">
        <v>252</v>
      </c>
      <c r="C598" s="715"/>
      <c r="D598" s="715"/>
      <c r="E598" s="716"/>
      <c r="F598" s="1099">
        <f t="shared" ref="F598:J598" si="71">F599</f>
        <v>1190000000</v>
      </c>
      <c r="G598" s="1099">
        <f t="shared" si="71"/>
        <v>0</v>
      </c>
      <c r="H598" s="1099">
        <f t="shared" si="71"/>
        <v>0</v>
      </c>
      <c r="I598" s="1099">
        <f t="shared" si="71"/>
        <v>0</v>
      </c>
      <c r="J598" s="1099">
        <f t="shared" si="71"/>
        <v>1411456000</v>
      </c>
      <c r="K598" s="1099">
        <f>K599</f>
        <v>1511000000</v>
      </c>
      <c r="L598" s="1324">
        <f>L599</f>
        <v>1660000000</v>
      </c>
      <c r="M598" s="717"/>
      <c r="N598" s="1100"/>
      <c r="O598" s="1100"/>
      <c r="P598" s="829"/>
      <c r="Q598" s="829"/>
      <c r="R598" s="891"/>
      <c r="S598" s="891"/>
      <c r="T598" s="832"/>
      <c r="U598" s="667"/>
      <c r="V598" s="701"/>
      <c r="W598" s="722"/>
      <c r="X598" s="723"/>
      <c r="Y598" s="724"/>
      <c r="Z598" s="724"/>
      <c r="AA598" s="724"/>
      <c r="AB598" s="724"/>
      <c r="AC598" s="724"/>
      <c r="AD598" s="724"/>
      <c r="AE598" s="724"/>
      <c r="AF598" s="724"/>
      <c r="AG598" s="724"/>
      <c r="AH598" s="724"/>
      <c r="AI598" s="724"/>
      <c r="AJ598" s="724"/>
      <c r="AK598" s="724"/>
      <c r="AL598" s="724"/>
      <c r="AM598" s="724"/>
      <c r="AN598" s="724"/>
      <c r="AO598" s="724"/>
      <c r="AP598" s="724"/>
      <c r="AQ598" s="724"/>
      <c r="AR598" s="724"/>
      <c r="AS598" s="724"/>
      <c r="AT598" s="724"/>
      <c r="AU598" s="724"/>
      <c r="AV598" s="724"/>
      <c r="AW598" s="724"/>
      <c r="AX598" s="724"/>
      <c r="AY598" s="724"/>
      <c r="AZ598" s="724"/>
      <c r="BA598" s="724"/>
      <c r="BB598" s="724"/>
      <c r="BC598" s="724"/>
      <c r="BD598" s="724"/>
      <c r="BE598" s="724"/>
      <c r="BF598" s="724"/>
      <c r="BG598" s="724"/>
      <c r="BH598" s="724"/>
      <c r="BI598" s="724"/>
      <c r="BJ598" s="724"/>
      <c r="BK598" s="724"/>
      <c r="BL598" s="724"/>
      <c r="BM598" s="724"/>
      <c r="BN598" s="724"/>
      <c r="BO598" s="724"/>
      <c r="BP598" s="724"/>
      <c r="BQ598" s="724"/>
      <c r="BR598" s="724"/>
      <c r="BS598" s="724"/>
      <c r="BT598" s="724"/>
      <c r="BU598" s="724"/>
      <c r="BV598" s="724"/>
      <c r="BW598" s="724"/>
      <c r="BX598" s="724"/>
      <c r="BY598" s="724"/>
      <c r="BZ598" s="724"/>
      <c r="CA598" s="724"/>
      <c r="CB598" s="724"/>
      <c r="CC598" s="724"/>
      <c r="CD598" s="724"/>
      <c r="CE598" s="724"/>
      <c r="CF598" s="724"/>
      <c r="CG598" s="724"/>
      <c r="CH598" s="724"/>
      <c r="CI598" s="724"/>
      <c r="CJ598" s="724"/>
      <c r="CK598" s="724"/>
      <c r="CL598" s="724"/>
      <c r="CM598" s="724"/>
      <c r="CN598" s="724"/>
      <c r="CO598" s="724"/>
      <c r="CP598" s="724"/>
      <c r="CQ598" s="724"/>
      <c r="CR598" s="724"/>
      <c r="CS598" s="724"/>
      <c r="CT598" s="724"/>
      <c r="CU598" s="724"/>
      <c r="CV598" s="724"/>
      <c r="CW598" s="724"/>
      <c r="CX598" s="724"/>
      <c r="CY598" s="724"/>
      <c r="CZ598" s="724"/>
      <c r="DA598" s="724"/>
      <c r="DB598" s="724"/>
      <c r="DC598" s="724"/>
      <c r="DD598" s="724"/>
      <c r="DE598" s="724"/>
      <c r="DF598" s="724"/>
      <c r="DG598" s="724"/>
      <c r="DH598" s="724"/>
      <c r="DI598" s="724"/>
      <c r="DJ598" s="724"/>
      <c r="DK598" s="724"/>
      <c r="DL598" s="724"/>
      <c r="DM598" s="724"/>
      <c r="DN598" s="724"/>
      <c r="DO598" s="724"/>
      <c r="DP598" s="724"/>
      <c r="DQ598" s="724"/>
      <c r="DR598" s="724"/>
      <c r="DS598" s="724"/>
      <c r="DT598" s="724"/>
      <c r="DU598" s="724"/>
      <c r="DV598" s="724"/>
      <c r="DW598" s="724"/>
      <c r="DX598" s="724"/>
      <c r="DY598" s="724"/>
      <c r="DZ598" s="724"/>
      <c r="EA598" s="724"/>
      <c r="EB598" s="724"/>
      <c r="EC598" s="724"/>
      <c r="ED598" s="724"/>
      <c r="EE598" s="724"/>
      <c r="EF598" s="724"/>
      <c r="EG598" s="724"/>
      <c r="EH598" s="724"/>
      <c r="EI598" s="724"/>
      <c r="EJ598" s="724"/>
      <c r="EK598" s="724"/>
      <c r="EL598" s="724"/>
      <c r="EM598" s="724"/>
      <c r="EN598" s="724"/>
      <c r="EO598" s="724"/>
      <c r="EP598" s="724"/>
      <c r="EQ598" s="724"/>
      <c r="ER598" s="724"/>
      <c r="ES598" s="724"/>
      <c r="ET598" s="724"/>
      <c r="EU598" s="724"/>
      <c r="EV598" s="724"/>
      <c r="EW598" s="724"/>
      <c r="EX598" s="724"/>
      <c r="EY598" s="724"/>
      <c r="EZ598" s="724"/>
      <c r="FA598" s="724"/>
      <c r="FB598" s="724"/>
      <c r="FC598" s="724"/>
      <c r="FD598" s="724"/>
      <c r="FE598" s="724"/>
      <c r="FF598" s="724"/>
      <c r="FG598" s="724"/>
      <c r="FH598" s="724"/>
      <c r="FI598" s="724"/>
      <c r="FJ598" s="724"/>
      <c r="FK598" s="724"/>
      <c r="FL598" s="724"/>
      <c r="FM598" s="724"/>
      <c r="FN598" s="724"/>
      <c r="FO598" s="724"/>
      <c r="FP598" s="724"/>
      <c r="FQ598" s="724"/>
      <c r="FR598" s="724"/>
      <c r="FS598" s="724"/>
      <c r="FT598" s="724"/>
      <c r="FU598" s="724"/>
      <c r="FV598" s="724"/>
      <c r="FW598" s="724"/>
      <c r="FX598" s="724"/>
      <c r="FY598" s="724"/>
      <c r="FZ598" s="724"/>
      <c r="GA598" s="724"/>
      <c r="GB598" s="724"/>
      <c r="GC598" s="724"/>
      <c r="GD598" s="724"/>
      <c r="GE598" s="724"/>
      <c r="GF598" s="724"/>
      <c r="GG598" s="724"/>
      <c r="GH598" s="724"/>
      <c r="GI598" s="724"/>
      <c r="GJ598" s="724"/>
      <c r="GK598" s="724"/>
      <c r="GL598" s="724"/>
      <c r="GM598" s="724"/>
      <c r="GN598" s="724"/>
      <c r="GO598" s="724"/>
      <c r="GP598" s="724"/>
      <c r="GQ598" s="724"/>
      <c r="GR598" s="724"/>
      <c r="GS598" s="724"/>
      <c r="GT598" s="724"/>
      <c r="GU598" s="724"/>
      <c r="GV598" s="724"/>
      <c r="GW598" s="724"/>
      <c r="GX598" s="724"/>
      <c r="GY598" s="724"/>
      <c r="GZ598" s="724"/>
      <c r="HA598" s="724"/>
      <c r="HB598" s="724"/>
      <c r="HC598" s="724"/>
      <c r="HD598" s="724"/>
      <c r="HE598" s="724"/>
      <c r="HF598" s="724"/>
      <c r="HG598" s="724"/>
      <c r="HH598" s="724"/>
      <c r="HI598" s="724"/>
      <c r="HJ598" s="724"/>
      <c r="HK598" s="724"/>
      <c r="HL598" s="724"/>
      <c r="HM598" s="724"/>
      <c r="HN598" s="724"/>
      <c r="HO598" s="724"/>
      <c r="HP598" s="724"/>
      <c r="HQ598" s="724"/>
      <c r="HR598" s="724"/>
      <c r="HS598" s="724"/>
      <c r="HT598" s="724"/>
      <c r="HU598" s="724"/>
      <c r="HV598" s="724"/>
      <c r="HW598" s="724"/>
      <c r="HX598" s="724"/>
      <c r="HY598" s="724"/>
      <c r="HZ598" s="724"/>
      <c r="IA598" s="724"/>
      <c r="IB598" s="724"/>
      <c r="IC598" s="724"/>
      <c r="ID598" s="724"/>
      <c r="IE598" s="724"/>
      <c r="IF598" s="724"/>
      <c r="IG598" s="724"/>
      <c r="IH598" s="724"/>
      <c r="II598" s="724"/>
      <c r="IJ598" s="724"/>
      <c r="IK598" s="724"/>
      <c r="IL598" s="724"/>
      <c r="IM598" s="724"/>
      <c r="IN598" s="724"/>
      <c r="IO598" s="724"/>
      <c r="IP598" s="724"/>
      <c r="IQ598" s="724"/>
      <c r="IR598" s="724"/>
      <c r="IS598" s="724"/>
      <c r="IT598" s="724"/>
      <c r="IU598" s="724"/>
      <c r="IV598" s="724"/>
      <c r="IW598" s="724"/>
    </row>
    <row r="599" spans="1:257" s="621" customFormat="1">
      <c r="A599" s="699" t="s">
        <v>192</v>
      </c>
      <c r="B599" s="808" t="s">
        <v>292</v>
      </c>
      <c r="C599" s="699"/>
      <c r="D599" s="699"/>
      <c r="E599" s="700"/>
      <c r="F599" s="700">
        <f t="shared" ref="F599:J599" si="72">F600+F606</f>
        <v>1190000000</v>
      </c>
      <c r="G599" s="700">
        <f t="shared" si="72"/>
        <v>0</v>
      </c>
      <c r="H599" s="700">
        <f t="shared" si="72"/>
        <v>0</v>
      </c>
      <c r="I599" s="700">
        <f t="shared" si="72"/>
        <v>0</v>
      </c>
      <c r="J599" s="700">
        <f t="shared" si="72"/>
        <v>1411456000</v>
      </c>
      <c r="K599" s="700">
        <f>K602+K604+K605</f>
        <v>1511000000</v>
      </c>
      <c r="L599" s="1315">
        <f>L602+L604+L605</f>
        <v>1660000000</v>
      </c>
      <c r="M599" s="651" t="s">
        <v>1445</v>
      </c>
      <c r="N599" s="820"/>
      <c r="O599" s="820"/>
      <c r="P599" s="868"/>
      <c r="Q599" s="868"/>
      <c r="R599" s="871"/>
      <c r="S599" s="866"/>
      <c r="T599" s="839"/>
      <c r="U599" s="726"/>
      <c r="V599" s="1095"/>
      <c r="W599" s="722"/>
      <c r="X599" s="723"/>
      <c r="Y599" s="724"/>
      <c r="Z599" s="724"/>
      <c r="AA599" s="724"/>
      <c r="AB599" s="724"/>
      <c r="AC599" s="724"/>
      <c r="AD599" s="724"/>
      <c r="AE599" s="724"/>
      <c r="AF599" s="724"/>
      <c r="AG599" s="724"/>
      <c r="AH599" s="724"/>
      <c r="AI599" s="724"/>
      <c r="AJ599" s="724"/>
      <c r="AK599" s="724"/>
      <c r="AL599" s="724"/>
      <c r="AM599" s="724"/>
      <c r="AN599" s="724"/>
      <c r="AO599" s="724"/>
      <c r="AP599" s="724"/>
      <c r="AQ599" s="724"/>
      <c r="AR599" s="724"/>
      <c r="AS599" s="724"/>
      <c r="AT599" s="724"/>
      <c r="AU599" s="724"/>
      <c r="AV599" s="724"/>
      <c r="AW599" s="724"/>
      <c r="AX599" s="724"/>
      <c r="AY599" s="724"/>
      <c r="AZ599" s="724"/>
      <c r="BA599" s="724"/>
      <c r="BB599" s="724"/>
      <c r="BC599" s="724"/>
      <c r="BD599" s="724"/>
      <c r="BE599" s="724"/>
      <c r="BF599" s="724"/>
      <c r="BG599" s="724"/>
      <c r="BH599" s="724"/>
      <c r="BI599" s="724"/>
      <c r="BJ599" s="724"/>
      <c r="BK599" s="724"/>
      <c r="BL599" s="724"/>
      <c r="BM599" s="724"/>
      <c r="BN599" s="724"/>
      <c r="BO599" s="724"/>
      <c r="BP599" s="724"/>
      <c r="BQ599" s="724"/>
      <c r="BR599" s="724"/>
      <c r="BS599" s="724"/>
      <c r="BT599" s="724"/>
      <c r="BU599" s="724"/>
      <c r="BV599" s="724"/>
      <c r="BW599" s="724"/>
      <c r="BX599" s="724"/>
      <c r="BY599" s="724"/>
      <c r="BZ599" s="724"/>
      <c r="CA599" s="724"/>
      <c r="CB599" s="724"/>
      <c r="CC599" s="724"/>
      <c r="CD599" s="724"/>
      <c r="CE599" s="724"/>
      <c r="CF599" s="724"/>
      <c r="CG599" s="724"/>
      <c r="CH599" s="724"/>
      <c r="CI599" s="724"/>
      <c r="CJ599" s="724"/>
      <c r="CK599" s="724"/>
      <c r="CL599" s="724"/>
      <c r="CM599" s="724"/>
      <c r="CN599" s="724"/>
      <c r="CO599" s="724"/>
      <c r="CP599" s="724"/>
      <c r="CQ599" s="724"/>
      <c r="CR599" s="724"/>
      <c r="CS599" s="724"/>
      <c r="CT599" s="724"/>
      <c r="CU599" s="724"/>
      <c r="CV599" s="724"/>
      <c r="CW599" s="724"/>
      <c r="CX599" s="724"/>
      <c r="CY599" s="724"/>
      <c r="CZ599" s="724"/>
      <c r="DA599" s="724"/>
      <c r="DB599" s="724"/>
      <c r="DC599" s="724"/>
      <c r="DD599" s="724"/>
      <c r="DE599" s="724"/>
      <c r="DF599" s="724"/>
      <c r="DG599" s="724"/>
      <c r="DH599" s="724"/>
      <c r="DI599" s="724"/>
      <c r="DJ599" s="724"/>
      <c r="DK599" s="724"/>
      <c r="DL599" s="724"/>
      <c r="DM599" s="724"/>
      <c r="DN599" s="724"/>
      <c r="DO599" s="724"/>
      <c r="DP599" s="724"/>
      <c r="DQ599" s="724"/>
      <c r="DR599" s="724"/>
      <c r="DS599" s="724"/>
      <c r="DT599" s="724"/>
      <c r="DU599" s="724"/>
      <c r="DV599" s="724"/>
      <c r="DW599" s="724"/>
      <c r="DX599" s="724"/>
      <c r="DY599" s="724"/>
      <c r="DZ599" s="724"/>
      <c r="EA599" s="724"/>
      <c r="EB599" s="724"/>
      <c r="EC599" s="724"/>
      <c r="ED599" s="724"/>
      <c r="EE599" s="724"/>
      <c r="EF599" s="724"/>
      <c r="EG599" s="724"/>
      <c r="EH599" s="724"/>
      <c r="EI599" s="724"/>
      <c r="EJ599" s="724"/>
      <c r="EK599" s="724"/>
      <c r="EL599" s="724"/>
      <c r="EM599" s="724"/>
      <c r="EN599" s="724"/>
      <c r="EO599" s="724"/>
      <c r="EP599" s="724"/>
      <c r="EQ599" s="724"/>
      <c r="ER599" s="724"/>
      <c r="ES599" s="724"/>
      <c r="ET599" s="724"/>
      <c r="EU599" s="724"/>
      <c r="EV599" s="724"/>
      <c r="EW599" s="724"/>
      <c r="EX599" s="724"/>
      <c r="EY599" s="724"/>
      <c r="EZ599" s="724"/>
      <c r="FA599" s="724"/>
      <c r="FB599" s="724"/>
      <c r="FC599" s="724"/>
      <c r="FD599" s="724"/>
      <c r="FE599" s="724"/>
      <c r="FF599" s="724"/>
      <c r="FG599" s="724"/>
      <c r="FH599" s="724"/>
      <c r="FI599" s="724"/>
      <c r="FJ599" s="724"/>
      <c r="FK599" s="724"/>
      <c r="FL599" s="724"/>
      <c r="FM599" s="724"/>
      <c r="FN599" s="724"/>
      <c r="FO599" s="724"/>
      <c r="FP599" s="724"/>
      <c r="FQ599" s="724"/>
      <c r="FR599" s="724"/>
      <c r="FS599" s="724"/>
      <c r="FT599" s="724"/>
      <c r="FU599" s="724"/>
      <c r="FV599" s="724"/>
      <c r="FW599" s="724"/>
      <c r="FX599" s="724"/>
      <c r="FY599" s="724"/>
      <c r="FZ599" s="724"/>
      <c r="GA599" s="724"/>
      <c r="GB599" s="724"/>
      <c r="GC599" s="724"/>
      <c r="GD599" s="724"/>
      <c r="GE599" s="724"/>
      <c r="GF599" s="724"/>
      <c r="GG599" s="724"/>
      <c r="GH599" s="724"/>
      <c r="GI599" s="724"/>
      <c r="GJ599" s="724"/>
      <c r="GK599" s="724"/>
      <c r="GL599" s="724"/>
      <c r="GM599" s="724"/>
      <c r="GN599" s="724"/>
      <c r="GO599" s="724"/>
      <c r="GP599" s="724"/>
      <c r="GQ599" s="724"/>
      <c r="GR599" s="724"/>
      <c r="GS599" s="724"/>
      <c r="GT599" s="724"/>
      <c r="GU599" s="724"/>
      <c r="GV599" s="724"/>
      <c r="GW599" s="724"/>
      <c r="GX599" s="724"/>
      <c r="GY599" s="724"/>
      <c r="GZ599" s="724"/>
      <c r="HA599" s="724"/>
      <c r="HB599" s="724"/>
      <c r="HC599" s="724"/>
      <c r="HD599" s="724"/>
      <c r="HE599" s="724"/>
      <c r="HF599" s="724"/>
      <c r="HG599" s="724"/>
      <c r="HH599" s="724"/>
      <c r="HI599" s="724"/>
      <c r="HJ599" s="724"/>
      <c r="HK599" s="724"/>
      <c r="HL599" s="724"/>
      <c r="HM599" s="724"/>
      <c r="HN599" s="724"/>
      <c r="HO599" s="724"/>
      <c r="HP599" s="724"/>
      <c r="HQ599" s="724"/>
      <c r="HR599" s="724"/>
      <c r="HS599" s="724"/>
      <c r="HT599" s="724"/>
      <c r="HU599" s="724"/>
      <c r="HV599" s="724"/>
      <c r="HW599" s="724"/>
      <c r="HX599" s="724"/>
      <c r="HY599" s="724"/>
      <c r="HZ599" s="724"/>
      <c r="IA599" s="724"/>
      <c r="IB599" s="724"/>
      <c r="IC599" s="724"/>
      <c r="ID599" s="724"/>
      <c r="IE599" s="724"/>
      <c r="IF599" s="724"/>
      <c r="IG599" s="724"/>
      <c r="IH599" s="724"/>
      <c r="II599" s="724"/>
      <c r="IJ599" s="724"/>
      <c r="IK599" s="724"/>
      <c r="IL599" s="724"/>
      <c r="IM599" s="724"/>
      <c r="IN599" s="724"/>
      <c r="IO599" s="724"/>
      <c r="IP599" s="724"/>
      <c r="IQ599" s="724"/>
      <c r="IR599" s="724"/>
      <c r="IS599" s="724"/>
      <c r="IT599" s="724"/>
      <c r="IU599" s="724"/>
      <c r="IV599" s="724"/>
      <c r="IW599" s="724"/>
    </row>
    <row r="600" spans="1:257" s="621" customFormat="1">
      <c r="A600" s="713" t="s">
        <v>258</v>
      </c>
      <c r="B600" s="696" t="s">
        <v>382</v>
      </c>
      <c r="C600" s="699"/>
      <c r="D600" s="699"/>
      <c r="E600" s="700"/>
      <c r="F600" s="700">
        <f t="shared" ref="F600:J600" si="73">F601+F605</f>
        <v>1190000000</v>
      </c>
      <c r="G600" s="700">
        <f t="shared" si="73"/>
        <v>0</v>
      </c>
      <c r="H600" s="700">
        <f t="shared" si="73"/>
        <v>0</v>
      </c>
      <c r="I600" s="700">
        <f t="shared" si="73"/>
        <v>0</v>
      </c>
      <c r="J600" s="700">
        <f t="shared" si="73"/>
        <v>1411456000</v>
      </c>
      <c r="K600" s="700"/>
      <c r="L600" s="1315"/>
      <c r="M600" s="651"/>
      <c r="N600" s="820"/>
      <c r="O600" s="820"/>
      <c r="P600" s="868"/>
      <c r="Q600" s="868"/>
      <c r="R600" s="871"/>
      <c r="S600" s="900"/>
      <c r="T600" s="822"/>
      <c r="U600" s="726"/>
      <c r="V600" s="722"/>
      <c r="W600" s="722"/>
      <c r="X600" s="723"/>
      <c r="Y600" s="724"/>
      <c r="Z600" s="724"/>
      <c r="AA600" s="724"/>
      <c r="AB600" s="724"/>
      <c r="AC600" s="724"/>
      <c r="AD600" s="724"/>
      <c r="AE600" s="724"/>
      <c r="AF600" s="724"/>
      <c r="AG600" s="724"/>
      <c r="AH600" s="724"/>
      <c r="AI600" s="724"/>
      <c r="AJ600" s="724"/>
      <c r="AK600" s="724"/>
      <c r="AL600" s="724"/>
      <c r="AM600" s="724"/>
      <c r="AN600" s="724"/>
      <c r="AO600" s="724"/>
      <c r="AP600" s="724"/>
      <c r="AQ600" s="724"/>
      <c r="AR600" s="724"/>
      <c r="AS600" s="724"/>
      <c r="AT600" s="724"/>
      <c r="AU600" s="724"/>
      <c r="AV600" s="724"/>
      <c r="AW600" s="724"/>
      <c r="AX600" s="724"/>
      <c r="AY600" s="724"/>
      <c r="AZ600" s="724"/>
      <c r="BA600" s="724"/>
      <c r="BB600" s="724"/>
      <c r="BC600" s="724"/>
      <c r="BD600" s="724"/>
      <c r="BE600" s="724"/>
      <c r="BF600" s="724"/>
      <c r="BG600" s="724"/>
      <c r="BH600" s="724"/>
      <c r="BI600" s="724"/>
      <c r="BJ600" s="724"/>
      <c r="BK600" s="724"/>
      <c r="BL600" s="724"/>
      <c r="BM600" s="724"/>
      <c r="BN600" s="724"/>
      <c r="BO600" s="724"/>
      <c r="BP600" s="724"/>
      <c r="BQ600" s="724"/>
      <c r="BR600" s="724"/>
      <c r="BS600" s="724"/>
      <c r="BT600" s="724"/>
      <c r="BU600" s="724"/>
      <c r="BV600" s="724"/>
      <c r="BW600" s="724"/>
      <c r="BX600" s="724"/>
      <c r="BY600" s="724"/>
      <c r="BZ600" s="724"/>
      <c r="CA600" s="724"/>
      <c r="CB600" s="724"/>
      <c r="CC600" s="724"/>
      <c r="CD600" s="724"/>
      <c r="CE600" s="724"/>
      <c r="CF600" s="724"/>
      <c r="CG600" s="724"/>
      <c r="CH600" s="724"/>
      <c r="CI600" s="724"/>
      <c r="CJ600" s="724"/>
      <c r="CK600" s="724"/>
      <c r="CL600" s="724"/>
      <c r="CM600" s="724"/>
      <c r="CN600" s="724"/>
      <c r="CO600" s="724"/>
      <c r="CP600" s="724"/>
      <c r="CQ600" s="724"/>
      <c r="CR600" s="724"/>
      <c r="CS600" s="724"/>
      <c r="CT600" s="724"/>
      <c r="CU600" s="724"/>
      <c r="CV600" s="724"/>
      <c r="CW600" s="724"/>
      <c r="CX600" s="724"/>
      <c r="CY600" s="724"/>
      <c r="CZ600" s="724"/>
      <c r="DA600" s="724"/>
      <c r="DB600" s="724"/>
      <c r="DC600" s="724"/>
      <c r="DD600" s="724"/>
      <c r="DE600" s="724"/>
      <c r="DF600" s="724"/>
      <c r="DG600" s="724"/>
      <c r="DH600" s="724"/>
      <c r="DI600" s="724"/>
      <c r="DJ600" s="724"/>
      <c r="DK600" s="724"/>
      <c r="DL600" s="724"/>
      <c r="DM600" s="724"/>
      <c r="DN600" s="724"/>
      <c r="DO600" s="724"/>
      <c r="DP600" s="724"/>
      <c r="DQ600" s="724"/>
      <c r="DR600" s="724"/>
      <c r="DS600" s="724"/>
      <c r="DT600" s="724"/>
      <c r="DU600" s="724"/>
      <c r="DV600" s="724"/>
      <c r="DW600" s="724"/>
      <c r="DX600" s="724"/>
      <c r="DY600" s="724"/>
      <c r="DZ600" s="724"/>
      <c r="EA600" s="724"/>
      <c r="EB600" s="724"/>
      <c r="EC600" s="724"/>
      <c r="ED600" s="724"/>
      <c r="EE600" s="724"/>
      <c r="EF600" s="724"/>
      <c r="EG600" s="724"/>
      <c r="EH600" s="724"/>
      <c r="EI600" s="724"/>
      <c r="EJ600" s="724"/>
      <c r="EK600" s="724"/>
      <c r="EL600" s="724"/>
      <c r="EM600" s="724"/>
      <c r="EN600" s="724"/>
      <c r="EO600" s="724"/>
      <c r="EP600" s="724"/>
      <c r="EQ600" s="724"/>
      <c r="ER600" s="724"/>
      <c r="ES600" s="724"/>
      <c r="ET600" s="724"/>
      <c r="EU600" s="724"/>
      <c r="EV600" s="724"/>
      <c r="EW600" s="724"/>
      <c r="EX600" s="724"/>
      <c r="EY600" s="724"/>
      <c r="EZ600" s="724"/>
      <c r="FA600" s="724"/>
      <c r="FB600" s="724"/>
      <c r="FC600" s="724"/>
      <c r="FD600" s="724"/>
      <c r="FE600" s="724"/>
      <c r="FF600" s="724"/>
      <c r="FG600" s="724"/>
      <c r="FH600" s="724"/>
      <c r="FI600" s="724"/>
      <c r="FJ600" s="724"/>
      <c r="FK600" s="724"/>
      <c r="FL600" s="724"/>
      <c r="FM600" s="724"/>
      <c r="FN600" s="724"/>
      <c r="FO600" s="724"/>
      <c r="FP600" s="724"/>
      <c r="FQ600" s="724"/>
      <c r="FR600" s="724"/>
      <c r="FS600" s="724"/>
      <c r="FT600" s="724"/>
      <c r="FU600" s="724"/>
      <c r="FV600" s="724"/>
      <c r="FW600" s="724"/>
      <c r="FX600" s="724"/>
      <c r="FY600" s="724"/>
      <c r="FZ600" s="724"/>
      <c r="GA600" s="724"/>
      <c r="GB600" s="724"/>
      <c r="GC600" s="724"/>
      <c r="GD600" s="724"/>
      <c r="GE600" s="724"/>
      <c r="GF600" s="724"/>
      <c r="GG600" s="724"/>
      <c r="GH600" s="724"/>
      <c r="GI600" s="724"/>
      <c r="GJ600" s="724"/>
      <c r="GK600" s="724"/>
      <c r="GL600" s="724"/>
      <c r="GM600" s="724"/>
      <c r="GN600" s="724"/>
      <c r="GO600" s="724"/>
      <c r="GP600" s="724"/>
      <c r="GQ600" s="724"/>
      <c r="GR600" s="724"/>
      <c r="GS600" s="724"/>
      <c r="GT600" s="724"/>
      <c r="GU600" s="724"/>
      <c r="GV600" s="724"/>
      <c r="GW600" s="724"/>
      <c r="GX600" s="724"/>
      <c r="GY600" s="724"/>
      <c r="GZ600" s="724"/>
      <c r="HA600" s="724"/>
      <c r="HB600" s="724"/>
      <c r="HC600" s="724"/>
      <c r="HD600" s="724"/>
      <c r="HE600" s="724"/>
      <c r="HF600" s="724"/>
      <c r="HG600" s="724"/>
      <c r="HH600" s="724"/>
      <c r="HI600" s="724"/>
      <c r="HJ600" s="724"/>
      <c r="HK600" s="724"/>
      <c r="HL600" s="724"/>
      <c r="HM600" s="724"/>
      <c r="HN600" s="724"/>
      <c r="HO600" s="724"/>
      <c r="HP600" s="724"/>
      <c r="HQ600" s="724"/>
      <c r="HR600" s="724"/>
      <c r="HS600" s="724"/>
      <c r="HT600" s="724"/>
      <c r="HU600" s="724"/>
      <c r="HV600" s="724"/>
      <c r="HW600" s="724"/>
      <c r="HX600" s="724"/>
      <c r="HY600" s="724"/>
      <c r="HZ600" s="724"/>
      <c r="IA600" s="724"/>
      <c r="IB600" s="724"/>
      <c r="IC600" s="724"/>
      <c r="ID600" s="724"/>
      <c r="IE600" s="724"/>
      <c r="IF600" s="724"/>
      <c r="IG600" s="724"/>
      <c r="IH600" s="724"/>
      <c r="II600" s="724"/>
      <c r="IJ600" s="724"/>
      <c r="IK600" s="724"/>
      <c r="IL600" s="724"/>
      <c r="IM600" s="724"/>
      <c r="IN600" s="724"/>
      <c r="IO600" s="724"/>
      <c r="IP600" s="724"/>
      <c r="IQ600" s="724"/>
      <c r="IR600" s="724"/>
      <c r="IS600" s="724"/>
      <c r="IT600" s="724"/>
      <c r="IU600" s="724"/>
      <c r="IV600" s="724"/>
      <c r="IW600" s="724"/>
    </row>
    <row r="601" spans="1:257" s="621" customFormat="1">
      <c r="A601" s="812" t="s">
        <v>248</v>
      </c>
      <c r="B601" s="813" t="s">
        <v>255</v>
      </c>
      <c r="C601" s="713">
        <v>10</v>
      </c>
      <c r="D601" s="713"/>
      <c r="E601" s="725"/>
      <c r="F601" s="725">
        <v>920000000</v>
      </c>
      <c r="G601" s="725"/>
      <c r="H601" s="725"/>
      <c r="I601" s="725"/>
      <c r="J601" s="725">
        <v>1141456000</v>
      </c>
      <c r="K601" s="725">
        <f>K602+K603</f>
        <v>1407000000</v>
      </c>
      <c r="L601" s="1311">
        <f>L602+L603</f>
        <v>1604000000</v>
      </c>
      <c r="M601" s="669"/>
      <c r="N601" s="868"/>
      <c r="O601" s="868"/>
      <c r="P601" s="868"/>
      <c r="Q601" s="868"/>
      <c r="R601" s="866"/>
      <c r="S601" s="866"/>
      <c r="T601" s="839"/>
      <c r="U601" s="726"/>
      <c r="V601" s="722"/>
      <c r="W601" s="722"/>
      <c r="X601" s="723"/>
      <c r="Y601" s="724"/>
      <c r="Z601" s="724"/>
      <c r="AA601" s="724"/>
      <c r="AB601" s="724"/>
      <c r="AC601" s="724"/>
      <c r="AD601" s="724"/>
      <c r="AE601" s="724"/>
      <c r="AF601" s="724"/>
      <c r="AG601" s="724"/>
      <c r="AH601" s="724"/>
      <c r="AI601" s="724"/>
      <c r="AJ601" s="724"/>
      <c r="AK601" s="724"/>
      <c r="AL601" s="724"/>
      <c r="AM601" s="724"/>
      <c r="AN601" s="724"/>
      <c r="AO601" s="724"/>
      <c r="AP601" s="724"/>
      <c r="AQ601" s="724"/>
      <c r="AR601" s="724"/>
      <c r="AS601" s="724"/>
      <c r="AT601" s="724"/>
      <c r="AU601" s="724"/>
      <c r="AV601" s="724"/>
      <c r="AW601" s="724"/>
      <c r="AX601" s="724"/>
      <c r="AY601" s="724"/>
      <c r="AZ601" s="724"/>
      <c r="BA601" s="724"/>
      <c r="BB601" s="724"/>
      <c r="BC601" s="724"/>
      <c r="BD601" s="724"/>
      <c r="BE601" s="724"/>
      <c r="BF601" s="724"/>
      <c r="BG601" s="724"/>
      <c r="BH601" s="724"/>
      <c r="BI601" s="724"/>
      <c r="BJ601" s="724"/>
      <c r="BK601" s="724"/>
      <c r="BL601" s="724"/>
      <c r="BM601" s="724"/>
      <c r="BN601" s="724"/>
      <c r="BO601" s="724"/>
      <c r="BP601" s="724"/>
      <c r="BQ601" s="724"/>
      <c r="BR601" s="724"/>
      <c r="BS601" s="724"/>
      <c r="BT601" s="724"/>
      <c r="BU601" s="724"/>
      <c r="BV601" s="724"/>
      <c r="BW601" s="724"/>
      <c r="BX601" s="724"/>
      <c r="BY601" s="724"/>
      <c r="BZ601" s="724"/>
      <c r="CA601" s="724"/>
      <c r="CB601" s="724"/>
      <c r="CC601" s="724"/>
      <c r="CD601" s="724"/>
      <c r="CE601" s="724"/>
      <c r="CF601" s="724"/>
      <c r="CG601" s="724"/>
      <c r="CH601" s="724"/>
      <c r="CI601" s="724"/>
      <c r="CJ601" s="724"/>
      <c r="CK601" s="724"/>
      <c r="CL601" s="724"/>
      <c r="CM601" s="724"/>
      <c r="CN601" s="724"/>
      <c r="CO601" s="724"/>
      <c r="CP601" s="724"/>
      <c r="CQ601" s="724"/>
      <c r="CR601" s="724"/>
      <c r="CS601" s="724"/>
      <c r="CT601" s="724"/>
      <c r="CU601" s="724"/>
      <c r="CV601" s="724"/>
      <c r="CW601" s="724"/>
      <c r="CX601" s="724"/>
      <c r="CY601" s="724"/>
      <c r="CZ601" s="724"/>
      <c r="DA601" s="724"/>
      <c r="DB601" s="724"/>
      <c r="DC601" s="724"/>
      <c r="DD601" s="724"/>
      <c r="DE601" s="724"/>
      <c r="DF601" s="724"/>
      <c r="DG601" s="724"/>
      <c r="DH601" s="724"/>
      <c r="DI601" s="724"/>
      <c r="DJ601" s="724"/>
      <c r="DK601" s="724"/>
      <c r="DL601" s="724"/>
      <c r="DM601" s="724"/>
      <c r="DN601" s="724"/>
      <c r="DO601" s="724"/>
      <c r="DP601" s="724"/>
      <c r="DQ601" s="724"/>
      <c r="DR601" s="724"/>
      <c r="DS601" s="724"/>
      <c r="DT601" s="724"/>
      <c r="DU601" s="724"/>
      <c r="DV601" s="724"/>
      <c r="DW601" s="724"/>
      <c r="DX601" s="724"/>
      <c r="DY601" s="724"/>
      <c r="DZ601" s="724"/>
      <c r="EA601" s="724"/>
      <c r="EB601" s="724"/>
      <c r="EC601" s="724"/>
      <c r="ED601" s="724"/>
      <c r="EE601" s="724"/>
      <c r="EF601" s="724"/>
      <c r="EG601" s="724"/>
      <c r="EH601" s="724"/>
      <c r="EI601" s="724"/>
      <c r="EJ601" s="724"/>
      <c r="EK601" s="724"/>
      <c r="EL601" s="724"/>
      <c r="EM601" s="724"/>
      <c r="EN601" s="724"/>
      <c r="EO601" s="724"/>
      <c r="EP601" s="724"/>
      <c r="EQ601" s="724"/>
      <c r="ER601" s="724"/>
      <c r="ES601" s="724"/>
      <c r="ET601" s="724"/>
      <c r="EU601" s="724"/>
      <c r="EV601" s="724"/>
      <c r="EW601" s="724"/>
      <c r="EX601" s="724"/>
      <c r="EY601" s="724"/>
      <c r="EZ601" s="724"/>
      <c r="FA601" s="724"/>
      <c r="FB601" s="724"/>
      <c r="FC601" s="724"/>
      <c r="FD601" s="724"/>
      <c r="FE601" s="724"/>
      <c r="FF601" s="724"/>
      <c r="FG601" s="724"/>
      <c r="FH601" s="724"/>
      <c r="FI601" s="724"/>
      <c r="FJ601" s="724"/>
      <c r="FK601" s="724"/>
      <c r="FL601" s="724"/>
      <c r="FM601" s="724"/>
      <c r="FN601" s="724"/>
      <c r="FO601" s="724"/>
      <c r="FP601" s="724"/>
      <c r="FQ601" s="724"/>
      <c r="FR601" s="724"/>
      <c r="FS601" s="724"/>
      <c r="FT601" s="724"/>
      <c r="FU601" s="724"/>
      <c r="FV601" s="724"/>
      <c r="FW601" s="724"/>
      <c r="FX601" s="724"/>
      <c r="FY601" s="724"/>
      <c r="FZ601" s="724"/>
      <c r="GA601" s="724"/>
      <c r="GB601" s="724"/>
      <c r="GC601" s="724"/>
      <c r="GD601" s="724"/>
      <c r="GE601" s="724"/>
      <c r="GF601" s="724"/>
      <c r="GG601" s="724"/>
      <c r="GH601" s="724"/>
      <c r="GI601" s="724"/>
      <c r="GJ601" s="724"/>
      <c r="GK601" s="724"/>
      <c r="GL601" s="724"/>
      <c r="GM601" s="724"/>
      <c r="GN601" s="724"/>
      <c r="GO601" s="724"/>
      <c r="GP601" s="724"/>
      <c r="GQ601" s="724"/>
      <c r="GR601" s="724"/>
      <c r="GS601" s="724"/>
      <c r="GT601" s="724"/>
      <c r="GU601" s="724"/>
      <c r="GV601" s="724"/>
      <c r="GW601" s="724"/>
      <c r="GX601" s="724"/>
      <c r="GY601" s="724"/>
      <c r="GZ601" s="724"/>
      <c r="HA601" s="724"/>
      <c r="HB601" s="724"/>
      <c r="HC601" s="724"/>
      <c r="HD601" s="724"/>
      <c r="HE601" s="724"/>
      <c r="HF601" s="724"/>
      <c r="HG601" s="724"/>
      <c r="HH601" s="724"/>
      <c r="HI601" s="724"/>
      <c r="HJ601" s="724"/>
      <c r="HK601" s="724"/>
      <c r="HL601" s="724"/>
      <c r="HM601" s="724"/>
      <c r="HN601" s="724"/>
      <c r="HO601" s="724"/>
      <c r="HP601" s="724"/>
      <c r="HQ601" s="724"/>
      <c r="HR601" s="724"/>
      <c r="HS601" s="724"/>
      <c r="HT601" s="724"/>
      <c r="HU601" s="724"/>
      <c r="HV601" s="724"/>
      <c r="HW601" s="724"/>
      <c r="HX601" s="724"/>
      <c r="HY601" s="724"/>
      <c r="HZ601" s="724"/>
      <c r="IA601" s="724"/>
      <c r="IB601" s="724"/>
      <c r="IC601" s="724"/>
      <c r="ID601" s="724"/>
      <c r="IE601" s="724"/>
      <c r="IF601" s="724"/>
      <c r="IG601" s="724"/>
      <c r="IH601" s="724"/>
      <c r="II601" s="724"/>
      <c r="IJ601" s="724"/>
      <c r="IK601" s="724"/>
      <c r="IL601" s="724"/>
      <c r="IM601" s="724"/>
      <c r="IN601" s="724"/>
      <c r="IO601" s="724"/>
      <c r="IP601" s="724"/>
      <c r="IQ601" s="724"/>
      <c r="IR601" s="724"/>
      <c r="IS601" s="724"/>
      <c r="IT601" s="724"/>
      <c r="IU601" s="724"/>
      <c r="IV601" s="724"/>
      <c r="IW601" s="724"/>
    </row>
    <row r="602" spans="1:257" s="621" customFormat="1">
      <c r="A602" s="812"/>
      <c r="B602" s="684" t="s">
        <v>918</v>
      </c>
      <c r="C602" s="713"/>
      <c r="D602" s="713"/>
      <c r="E602" s="725"/>
      <c r="F602" s="725"/>
      <c r="G602" s="725"/>
      <c r="H602" s="725"/>
      <c r="I602" s="725"/>
      <c r="J602" s="725"/>
      <c r="K602" s="725">
        <v>1165000000</v>
      </c>
      <c r="L602" s="1311">
        <f>ROUND(84252000*12,-6)+11000000</f>
        <v>1022000000</v>
      </c>
      <c r="M602" s="669"/>
      <c r="N602" s="868"/>
      <c r="O602" s="868"/>
      <c r="P602" s="868"/>
      <c r="Q602" s="868"/>
      <c r="R602" s="866"/>
      <c r="S602" s="866"/>
      <c r="T602" s="839"/>
      <c r="U602" s="726"/>
      <c r="V602" s="722"/>
      <c r="W602" s="722"/>
      <c r="X602" s="723"/>
      <c r="Y602" s="724"/>
      <c r="Z602" s="724"/>
      <c r="AA602" s="724"/>
      <c r="AB602" s="724"/>
      <c r="AC602" s="724"/>
      <c r="AD602" s="724"/>
      <c r="AE602" s="724"/>
      <c r="AF602" s="724"/>
      <c r="AG602" s="724"/>
      <c r="AH602" s="724"/>
      <c r="AI602" s="724"/>
      <c r="AJ602" s="724"/>
      <c r="AK602" s="724"/>
      <c r="AL602" s="724"/>
      <c r="AM602" s="724"/>
      <c r="AN602" s="724"/>
      <c r="AO602" s="724"/>
      <c r="AP602" s="724"/>
      <c r="AQ602" s="724"/>
      <c r="AR602" s="724"/>
      <c r="AS602" s="724"/>
      <c r="AT602" s="724"/>
      <c r="AU602" s="724"/>
      <c r="AV602" s="724"/>
      <c r="AW602" s="724"/>
      <c r="AX602" s="724"/>
      <c r="AY602" s="724"/>
      <c r="AZ602" s="724"/>
      <c r="BA602" s="724"/>
      <c r="BB602" s="724"/>
      <c r="BC602" s="724"/>
      <c r="BD602" s="724"/>
      <c r="BE602" s="724"/>
      <c r="BF602" s="724"/>
      <c r="BG602" s="724"/>
      <c r="BH602" s="724"/>
      <c r="BI602" s="724"/>
      <c r="BJ602" s="724"/>
      <c r="BK602" s="724"/>
      <c r="BL602" s="724"/>
      <c r="BM602" s="724"/>
      <c r="BN602" s="724"/>
      <c r="BO602" s="724"/>
      <c r="BP602" s="724"/>
      <c r="BQ602" s="724"/>
      <c r="BR602" s="724"/>
      <c r="BS602" s="724"/>
      <c r="BT602" s="724"/>
      <c r="BU602" s="724"/>
      <c r="BV602" s="724"/>
      <c r="BW602" s="724"/>
      <c r="BX602" s="724"/>
      <c r="BY602" s="724"/>
      <c r="BZ602" s="724"/>
      <c r="CA602" s="724"/>
      <c r="CB602" s="724"/>
      <c r="CC602" s="724"/>
      <c r="CD602" s="724"/>
      <c r="CE602" s="724"/>
      <c r="CF602" s="724"/>
      <c r="CG602" s="724"/>
      <c r="CH602" s="724"/>
      <c r="CI602" s="724"/>
      <c r="CJ602" s="724"/>
      <c r="CK602" s="724"/>
      <c r="CL602" s="724"/>
      <c r="CM602" s="724"/>
      <c r="CN602" s="724"/>
      <c r="CO602" s="724"/>
      <c r="CP602" s="724"/>
      <c r="CQ602" s="724"/>
      <c r="CR602" s="724"/>
      <c r="CS602" s="724"/>
      <c r="CT602" s="724"/>
      <c r="CU602" s="724"/>
      <c r="CV602" s="724"/>
      <c r="CW602" s="724"/>
      <c r="CX602" s="724"/>
      <c r="CY602" s="724"/>
      <c r="CZ602" s="724"/>
      <c r="DA602" s="724"/>
      <c r="DB602" s="724"/>
      <c r="DC602" s="724"/>
      <c r="DD602" s="724"/>
      <c r="DE602" s="724"/>
      <c r="DF602" s="724"/>
      <c r="DG602" s="724"/>
      <c r="DH602" s="724"/>
      <c r="DI602" s="724"/>
      <c r="DJ602" s="724"/>
      <c r="DK602" s="724"/>
      <c r="DL602" s="724"/>
      <c r="DM602" s="724"/>
      <c r="DN602" s="724"/>
      <c r="DO602" s="724"/>
      <c r="DP602" s="724"/>
      <c r="DQ602" s="724"/>
      <c r="DR602" s="724"/>
      <c r="DS602" s="724"/>
      <c r="DT602" s="724"/>
      <c r="DU602" s="724"/>
      <c r="DV602" s="724"/>
      <c r="DW602" s="724"/>
      <c r="DX602" s="724"/>
      <c r="DY602" s="724"/>
      <c r="DZ602" s="724"/>
      <c r="EA602" s="724"/>
      <c r="EB602" s="724"/>
      <c r="EC602" s="724"/>
      <c r="ED602" s="724"/>
      <c r="EE602" s="724"/>
      <c r="EF602" s="724"/>
      <c r="EG602" s="724"/>
      <c r="EH602" s="724"/>
      <c r="EI602" s="724"/>
      <c r="EJ602" s="724"/>
      <c r="EK602" s="724"/>
      <c r="EL602" s="724"/>
      <c r="EM602" s="724"/>
      <c r="EN602" s="724"/>
      <c r="EO602" s="724"/>
      <c r="EP602" s="724"/>
      <c r="EQ602" s="724"/>
      <c r="ER602" s="724"/>
      <c r="ES602" s="724"/>
      <c r="ET602" s="724"/>
      <c r="EU602" s="724"/>
      <c r="EV602" s="724"/>
      <c r="EW602" s="724"/>
      <c r="EX602" s="724"/>
      <c r="EY602" s="724"/>
      <c r="EZ602" s="724"/>
      <c r="FA602" s="724"/>
      <c r="FB602" s="724"/>
      <c r="FC602" s="724"/>
      <c r="FD602" s="724"/>
      <c r="FE602" s="724"/>
      <c r="FF602" s="724"/>
      <c r="FG602" s="724"/>
      <c r="FH602" s="724"/>
      <c r="FI602" s="724"/>
      <c r="FJ602" s="724"/>
      <c r="FK602" s="724"/>
      <c r="FL602" s="724"/>
      <c r="FM602" s="724"/>
      <c r="FN602" s="724"/>
      <c r="FO602" s="724"/>
      <c r="FP602" s="724"/>
      <c r="FQ602" s="724"/>
      <c r="FR602" s="724"/>
      <c r="FS602" s="724"/>
      <c r="FT602" s="724"/>
      <c r="FU602" s="724"/>
      <c r="FV602" s="724"/>
      <c r="FW602" s="724"/>
      <c r="FX602" s="724"/>
      <c r="FY602" s="724"/>
      <c r="FZ602" s="724"/>
      <c r="GA602" s="724"/>
      <c r="GB602" s="724"/>
      <c r="GC602" s="724"/>
      <c r="GD602" s="724"/>
      <c r="GE602" s="724"/>
      <c r="GF602" s="724"/>
      <c r="GG602" s="724"/>
      <c r="GH602" s="724"/>
      <c r="GI602" s="724"/>
      <c r="GJ602" s="724"/>
      <c r="GK602" s="724"/>
      <c r="GL602" s="724"/>
      <c r="GM602" s="724"/>
      <c r="GN602" s="724"/>
      <c r="GO602" s="724"/>
      <c r="GP602" s="724"/>
      <c r="GQ602" s="724"/>
      <c r="GR602" s="724"/>
      <c r="GS602" s="724"/>
      <c r="GT602" s="724"/>
      <c r="GU602" s="724"/>
      <c r="GV602" s="724"/>
      <c r="GW602" s="724"/>
      <c r="GX602" s="724"/>
      <c r="GY602" s="724"/>
      <c r="GZ602" s="724"/>
      <c r="HA602" s="724"/>
      <c r="HB602" s="724"/>
      <c r="HC602" s="724"/>
      <c r="HD602" s="724"/>
      <c r="HE602" s="724"/>
      <c r="HF602" s="724"/>
      <c r="HG602" s="724"/>
      <c r="HH602" s="724"/>
      <c r="HI602" s="724"/>
      <c r="HJ602" s="724"/>
      <c r="HK602" s="724"/>
      <c r="HL602" s="724"/>
      <c r="HM602" s="724"/>
      <c r="HN602" s="724"/>
      <c r="HO602" s="724"/>
      <c r="HP602" s="724"/>
      <c r="HQ602" s="724"/>
      <c r="HR602" s="724"/>
      <c r="HS602" s="724"/>
      <c r="HT602" s="724"/>
      <c r="HU602" s="724"/>
      <c r="HV602" s="724"/>
      <c r="HW602" s="724"/>
      <c r="HX602" s="724"/>
      <c r="HY602" s="724"/>
      <c r="HZ602" s="724"/>
      <c r="IA602" s="724"/>
      <c r="IB602" s="724"/>
      <c r="IC602" s="724"/>
      <c r="ID602" s="724"/>
      <c r="IE602" s="724"/>
      <c r="IF602" s="724"/>
      <c r="IG602" s="724"/>
      <c r="IH602" s="724"/>
      <c r="II602" s="724"/>
      <c r="IJ602" s="724"/>
      <c r="IK602" s="724"/>
      <c r="IL602" s="724"/>
      <c r="IM602" s="724"/>
      <c r="IN602" s="724"/>
      <c r="IO602" s="724"/>
      <c r="IP602" s="724"/>
      <c r="IQ602" s="724"/>
      <c r="IR602" s="724"/>
      <c r="IS602" s="724"/>
      <c r="IT602" s="724"/>
      <c r="IU602" s="724"/>
      <c r="IV602" s="724"/>
      <c r="IW602" s="724"/>
    </row>
    <row r="603" spans="1:257" s="621" customFormat="1">
      <c r="A603" s="812"/>
      <c r="B603" s="684" t="s">
        <v>1369</v>
      </c>
      <c r="C603" s="713"/>
      <c r="D603" s="713"/>
      <c r="E603" s="725"/>
      <c r="F603" s="725"/>
      <c r="G603" s="725"/>
      <c r="H603" s="725"/>
      <c r="I603" s="725"/>
      <c r="J603" s="725"/>
      <c r="K603" s="725">
        <f>1407000000-K602</f>
        <v>242000000</v>
      </c>
      <c r="L603" s="1311">
        <f>ROUND(132315000-84252000,-6)*12+6000000</f>
        <v>582000000</v>
      </c>
      <c r="M603" s="669"/>
      <c r="N603" s="868"/>
      <c r="O603" s="868"/>
      <c r="P603" s="868"/>
      <c r="Q603" s="868"/>
      <c r="R603" s="866"/>
      <c r="S603" s="866"/>
      <c r="T603" s="839"/>
      <c r="U603" s="726"/>
      <c r="V603" s="722"/>
      <c r="W603" s="722"/>
      <c r="X603" s="723"/>
      <c r="Y603" s="724"/>
      <c r="Z603" s="724"/>
      <c r="AA603" s="724"/>
      <c r="AB603" s="724"/>
      <c r="AC603" s="724"/>
      <c r="AD603" s="724"/>
      <c r="AE603" s="724"/>
      <c r="AF603" s="724"/>
      <c r="AG603" s="724"/>
      <c r="AH603" s="724"/>
      <c r="AI603" s="724"/>
      <c r="AJ603" s="724"/>
      <c r="AK603" s="724"/>
      <c r="AL603" s="724"/>
      <c r="AM603" s="724"/>
      <c r="AN603" s="724"/>
      <c r="AO603" s="724"/>
      <c r="AP603" s="724"/>
      <c r="AQ603" s="724"/>
      <c r="AR603" s="724"/>
      <c r="AS603" s="724"/>
      <c r="AT603" s="724"/>
      <c r="AU603" s="724"/>
      <c r="AV603" s="724"/>
      <c r="AW603" s="724"/>
      <c r="AX603" s="724"/>
      <c r="AY603" s="724"/>
      <c r="AZ603" s="724"/>
      <c r="BA603" s="724"/>
      <c r="BB603" s="724"/>
      <c r="BC603" s="724"/>
      <c r="BD603" s="724"/>
      <c r="BE603" s="724"/>
      <c r="BF603" s="724"/>
      <c r="BG603" s="724"/>
      <c r="BH603" s="724"/>
      <c r="BI603" s="724"/>
      <c r="BJ603" s="724"/>
      <c r="BK603" s="724"/>
      <c r="BL603" s="724"/>
      <c r="BM603" s="724"/>
      <c r="BN603" s="724"/>
      <c r="BO603" s="724"/>
      <c r="BP603" s="724"/>
      <c r="BQ603" s="724"/>
      <c r="BR603" s="724"/>
      <c r="BS603" s="724"/>
      <c r="BT603" s="724"/>
      <c r="BU603" s="724"/>
      <c r="BV603" s="724"/>
      <c r="BW603" s="724"/>
      <c r="BX603" s="724"/>
      <c r="BY603" s="724"/>
      <c r="BZ603" s="724"/>
      <c r="CA603" s="724"/>
      <c r="CB603" s="724"/>
      <c r="CC603" s="724"/>
      <c r="CD603" s="724"/>
      <c r="CE603" s="724"/>
      <c r="CF603" s="724"/>
      <c r="CG603" s="724"/>
      <c r="CH603" s="724"/>
      <c r="CI603" s="724"/>
      <c r="CJ603" s="724"/>
      <c r="CK603" s="724"/>
      <c r="CL603" s="724"/>
      <c r="CM603" s="724"/>
      <c r="CN603" s="724"/>
      <c r="CO603" s="724"/>
      <c r="CP603" s="724"/>
      <c r="CQ603" s="724"/>
      <c r="CR603" s="724"/>
      <c r="CS603" s="724"/>
      <c r="CT603" s="724"/>
      <c r="CU603" s="724"/>
      <c r="CV603" s="724"/>
      <c r="CW603" s="724"/>
      <c r="CX603" s="724"/>
      <c r="CY603" s="724"/>
      <c r="CZ603" s="724"/>
      <c r="DA603" s="724"/>
      <c r="DB603" s="724"/>
      <c r="DC603" s="724"/>
      <c r="DD603" s="724"/>
      <c r="DE603" s="724"/>
      <c r="DF603" s="724"/>
      <c r="DG603" s="724"/>
      <c r="DH603" s="724"/>
      <c r="DI603" s="724"/>
      <c r="DJ603" s="724"/>
      <c r="DK603" s="724"/>
      <c r="DL603" s="724"/>
      <c r="DM603" s="724"/>
      <c r="DN603" s="724"/>
      <c r="DO603" s="724"/>
      <c r="DP603" s="724"/>
      <c r="DQ603" s="724"/>
      <c r="DR603" s="724"/>
      <c r="DS603" s="724"/>
      <c r="DT603" s="724"/>
      <c r="DU603" s="724"/>
      <c r="DV603" s="724"/>
      <c r="DW603" s="724"/>
      <c r="DX603" s="724"/>
      <c r="DY603" s="724"/>
      <c r="DZ603" s="724"/>
      <c r="EA603" s="724"/>
      <c r="EB603" s="724"/>
      <c r="EC603" s="724"/>
      <c r="ED603" s="724"/>
      <c r="EE603" s="724"/>
      <c r="EF603" s="724"/>
      <c r="EG603" s="724"/>
      <c r="EH603" s="724"/>
      <c r="EI603" s="724"/>
      <c r="EJ603" s="724"/>
      <c r="EK603" s="724"/>
      <c r="EL603" s="724"/>
      <c r="EM603" s="724"/>
      <c r="EN603" s="724"/>
      <c r="EO603" s="724"/>
      <c r="EP603" s="724"/>
      <c r="EQ603" s="724"/>
      <c r="ER603" s="724"/>
      <c r="ES603" s="724"/>
      <c r="ET603" s="724"/>
      <c r="EU603" s="724"/>
      <c r="EV603" s="724"/>
      <c r="EW603" s="724"/>
      <c r="EX603" s="724"/>
      <c r="EY603" s="724"/>
      <c r="EZ603" s="724"/>
      <c r="FA603" s="724"/>
      <c r="FB603" s="724"/>
      <c r="FC603" s="724"/>
      <c r="FD603" s="724"/>
      <c r="FE603" s="724"/>
      <c r="FF603" s="724"/>
      <c r="FG603" s="724"/>
      <c r="FH603" s="724"/>
      <c r="FI603" s="724"/>
      <c r="FJ603" s="724"/>
      <c r="FK603" s="724"/>
      <c r="FL603" s="724"/>
      <c r="FM603" s="724"/>
      <c r="FN603" s="724"/>
      <c r="FO603" s="724"/>
      <c r="FP603" s="724"/>
      <c r="FQ603" s="724"/>
      <c r="FR603" s="724"/>
      <c r="FS603" s="724"/>
      <c r="FT603" s="724"/>
      <c r="FU603" s="724"/>
      <c r="FV603" s="724"/>
      <c r="FW603" s="724"/>
      <c r="FX603" s="724"/>
      <c r="FY603" s="724"/>
      <c r="FZ603" s="724"/>
      <c r="GA603" s="724"/>
      <c r="GB603" s="724"/>
      <c r="GC603" s="724"/>
      <c r="GD603" s="724"/>
      <c r="GE603" s="724"/>
      <c r="GF603" s="724"/>
      <c r="GG603" s="724"/>
      <c r="GH603" s="724"/>
      <c r="GI603" s="724"/>
      <c r="GJ603" s="724"/>
      <c r="GK603" s="724"/>
      <c r="GL603" s="724"/>
      <c r="GM603" s="724"/>
      <c r="GN603" s="724"/>
      <c r="GO603" s="724"/>
      <c r="GP603" s="724"/>
      <c r="GQ603" s="724"/>
      <c r="GR603" s="724"/>
      <c r="GS603" s="724"/>
      <c r="GT603" s="724"/>
      <c r="GU603" s="724"/>
      <c r="GV603" s="724"/>
      <c r="GW603" s="724"/>
      <c r="GX603" s="724"/>
      <c r="GY603" s="724"/>
      <c r="GZ603" s="724"/>
      <c r="HA603" s="724"/>
      <c r="HB603" s="724"/>
      <c r="HC603" s="724"/>
      <c r="HD603" s="724"/>
      <c r="HE603" s="724"/>
      <c r="HF603" s="724"/>
      <c r="HG603" s="724"/>
      <c r="HH603" s="724"/>
      <c r="HI603" s="724"/>
      <c r="HJ603" s="724"/>
      <c r="HK603" s="724"/>
      <c r="HL603" s="724"/>
      <c r="HM603" s="724"/>
      <c r="HN603" s="724"/>
      <c r="HO603" s="724"/>
      <c r="HP603" s="724"/>
      <c r="HQ603" s="724"/>
      <c r="HR603" s="724"/>
      <c r="HS603" s="724"/>
      <c r="HT603" s="724"/>
      <c r="HU603" s="724"/>
      <c r="HV603" s="724"/>
      <c r="HW603" s="724"/>
      <c r="HX603" s="724"/>
      <c r="HY603" s="724"/>
      <c r="HZ603" s="724"/>
      <c r="IA603" s="724"/>
      <c r="IB603" s="724"/>
      <c r="IC603" s="724"/>
      <c r="ID603" s="724"/>
      <c r="IE603" s="724"/>
      <c r="IF603" s="724"/>
      <c r="IG603" s="724"/>
      <c r="IH603" s="724"/>
      <c r="II603" s="724"/>
      <c r="IJ603" s="724"/>
      <c r="IK603" s="724"/>
      <c r="IL603" s="724"/>
      <c r="IM603" s="724"/>
      <c r="IN603" s="724"/>
      <c r="IO603" s="724"/>
      <c r="IP603" s="724"/>
      <c r="IQ603" s="724"/>
      <c r="IR603" s="724"/>
      <c r="IS603" s="724"/>
      <c r="IT603" s="724"/>
      <c r="IU603" s="724"/>
      <c r="IV603" s="724"/>
      <c r="IW603" s="724"/>
    </row>
    <row r="604" spans="1:257" s="621" customFormat="1">
      <c r="A604" s="812"/>
      <c r="B604" s="684" t="s">
        <v>1357</v>
      </c>
      <c r="C604" s="713"/>
      <c r="D604" s="713"/>
      <c r="E604" s="725"/>
      <c r="F604" s="725"/>
      <c r="G604" s="725"/>
      <c r="H604" s="725"/>
      <c r="I604" s="725"/>
      <c r="J604" s="725"/>
      <c r="K604" s="725">
        <f>ROUND(K603-K627,-6)</f>
        <v>76000000</v>
      </c>
      <c r="L604" s="1311">
        <f>ROUND(L603-L627,-6)</f>
        <v>368000000</v>
      </c>
      <c r="M604" s="669"/>
      <c r="N604" s="868"/>
      <c r="O604" s="868"/>
      <c r="P604" s="868"/>
      <c r="Q604" s="868"/>
      <c r="R604" s="866"/>
      <c r="S604" s="866"/>
      <c r="T604" s="839"/>
      <c r="U604" s="726"/>
      <c r="V604" s="722"/>
      <c r="W604" s="722"/>
      <c r="X604" s="723"/>
      <c r="Y604" s="724"/>
      <c r="Z604" s="724"/>
      <c r="AA604" s="724"/>
      <c r="AB604" s="724"/>
      <c r="AC604" s="724"/>
      <c r="AD604" s="724"/>
      <c r="AE604" s="724"/>
      <c r="AF604" s="724"/>
      <c r="AG604" s="724"/>
      <c r="AH604" s="724"/>
      <c r="AI604" s="724"/>
      <c r="AJ604" s="724"/>
      <c r="AK604" s="724"/>
      <c r="AL604" s="724"/>
      <c r="AM604" s="724"/>
      <c r="AN604" s="724"/>
      <c r="AO604" s="724"/>
      <c r="AP604" s="724"/>
      <c r="AQ604" s="724"/>
      <c r="AR604" s="724"/>
      <c r="AS604" s="724"/>
      <c r="AT604" s="724"/>
      <c r="AU604" s="724"/>
      <c r="AV604" s="724"/>
      <c r="AW604" s="724"/>
      <c r="AX604" s="724"/>
      <c r="AY604" s="724"/>
      <c r="AZ604" s="724"/>
      <c r="BA604" s="724"/>
      <c r="BB604" s="724"/>
      <c r="BC604" s="724"/>
      <c r="BD604" s="724"/>
      <c r="BE604" s="724"/>
      <c r="BF604" s="724"/>
      <c r="BG604" s="724"/>
      <c r="BH604" s="724"/>
      <c r="BI604" s="724"/>
      <c r="BJ604" s="724"/>
      <c r="BK604" s="724"/>
      <c r="BL604" s="724"/>
      <c r="BM604" s="724"/>
      <c r="BN604" s="724"/>
      <c r="BO604" s="724"/>
      <c r="BP604" s="724"/>
      <c r="BQ604" s="724"/>
      <c r="BR604" s="724"/>
      <c r="BS604" s="724"/>
      <c r="BT604" s="724"/>
      <c r="BU604" s="724"/>
      <c r="BV604" s="724"/>
      <c r="BW604" s="724"/>
      <c r="BX604" s="724"/>
      <c r="BY604" s="724"/>
      <c r="BZ604" s="724"/>
      <c r="CA604" s="724"/>
      <c r="CB604" s="724"/>
      <c r="CC604" s="724"/>
      <c r="CD604" s="724"/>
      <c r="CE604" s="724"/>
      <c r="CF604" s="724"/>
      <c r="CG604" s="724"/>
      <c r="CH604" s="724"/>
      <c r="CI604" s="724"/>
      <c r="CJ604" s="724"/>
      <c r="CK604" s="724"/>
      <c r="CL604" s="724"/>
      <c r="CM604" s="724"/>
      <c r="CN604" s="724"/>
      <c r="CO604" s="724"/>
      <c r="CP604" s="724"/>
      <c r="CQ604" s="724"/>
      <c r="CR604" s="724"/>
      <c r="CS604" s="724"/>
      <c r="CT604" s="724"/>
      <c r="CU604" s="724"/>
      <c r="CV604" s="724"/>
      <c r="CW604" s="724"/>
      <c r="CX604" s="724"/>
      <c r="CY604" s="724"/>
      <c r="CZ604" s="724"/>
      <c r="DA604" s="724"/>
      <c r="DB604" s="724"/>
      <c r="DC604" s="724"/>
      <c r="DD604" s="724"/>
      <c r="DE604" s="724"/>
      <c r="DF604" s="724"/>
      <c r="DG604" s="724"/>
      <c r="DH604" s="724"/>
      <c r="DI604" s="724"/>
      <c r="DJ604" s="724"/>
      <c r="DK604" s="724"/>
      <c r="DL604" s="724"/>
      <c r="DM604" s="724"/>
      <c r="DN604" s="724"/>
      <c r="DO604" s="724"/>
      <c r="DP604" s="724"/>
      <c r="DQ604" s="724"/>
      <c r="DR604" s="724"/>
      <c r="DS604" s="724"/>
      <c r="DT604" s="724"/>
      <c r="DU604" s="724"/>
      <c r="DV604" s="724"/>
      <c r="DW604" s="724"/>
      <c r="DX604" s="724"/>
      <c r="DY604" s="724"/>
      <c r="DZ604" s="724"/>
      <c r="EA604" s="724"/>
      <c r="EB604" s="724"/>
      <c r="EC604" s="724"/>
      <c r="ED604" s="724"/>
      <c r="EE604" s="724"/>
      <c r="EF604" s="724"/>
      <c r="EG604" s="724"/>
      <c r="EH604" s="724"/>
      <c r="EI604" s="724"/>
      <c r="EJ604" s="724"/>
      <c r="EK604" s="724"/>
      <c r="EL604" s="724"/>
      <c r="EM604" s="724"/>
      <c r="EN604" s="724"/>
      <c r="EO604" s="724"/>
      <c r="EP604" s="724"/>
      <c r="EQ604" s="724"/>
      <c r="ER604" s="724"/>
      <c r="ES604" s="724"/>
      <c r="ET604" s="724"/>
      <c r="EU604" s="724"/>
      <c r="EV604" s="724"/>
      <c r="EW604" s="724"/>
      <c r="EX604" s="724"/>
      <c r="EY604" s="724"/>
      <c r="EZ604" s="724"/>
      <c r="FA604" s="724"/>
      <c r="FB604" s="724"/>
      <c r="FC604" s="724"/>
      <c r="FD604" s="724"/>
      <c r="FE604" s="724"/>
      <c r="FF604" s="724"/>
      <c r="FG604" s="724"/>
      <c r="FH604" s="724"/>
      <c r="FI604" s="724"/>
      <c r="FJ604" s="724"/>
      <c r="FK604" s="724"/>
      <c r="FL604" s="724"/>
      <c r="FM604" s="724"/>
      <c r="FN604" s="724"/>
      <c r="FO604" s="724"/>
      <c r="FP604" s="724"/>
      <c r="FQ604" s="724"/>
      <c r="FR604" s="724"/>
      <c r="FS604" s="724"/>
      <c r="FT604" s="724"/>
      <c r="FU604" s="724"/>
      <c r="FV604" s="724"/>
      <c r="FW604" s="724"/>
      <c r="FX604" s="724"/>
      <c r="FY604" s="724"/>
      <c r="FZ604" s="724"/>
      <c r="GA604" s="724"/>
      <c r="GB604" s="724"/>
      <c r="GC604" s="724"/>
      <c r="GD604" s="724"/>
      <c r="GE604" s="724"/>
      <c r="GF604" s="724"/>
      <c r="GG604" s="724"/>
      <c r="GH604" s="724"/>
      <c r="GI604" s="724"/>
      <c r="GJ604" s="724"/>
      <c r="GK604" s="724"/>
      <c r="GL604" s="724"/>
      <c r="GM604" s="724"/>
      <c r="GN604" s="724"/>
      <c r="GO604" s="724"/>
      <c r="GP604" s="724"/>
      <c r="GQ604" s="724"/>
      <c r="GR604" s="724"/>
      <c r="GS604" s="724"/>
      <c r="GT604" s="724"/>
      <c r="GU604" s="724"/>
      <c r="GV604" s="724"/>
      <c r="GW604" s="724"/>
      <c r="GX604" s="724"/>
      <c r="GY604" s="724"/>
      <c r="GZ604" s="724"/>
      <c r="HA604" s="724"/>
      <c r="HB604" s="724"/>
      <c r="HC604" s="724"/>
      <c r="HD604" s="724"/>
      <c r="HE604" s="724"/>
      <c r="HF604" s="724"/>
      <c r="HG604" s="724"/>
      <c r="HH604" s="724"/>
      <c r="HI604" s="724"/>
      <c r="HJ604" s="724"/>
      <c r="HK604" s="724"/>
      <c r="HL604" s="724"/>
      <c r="HM604" s="724"/>
      <c r="HN604" s="724"/>
      <c r="HO604" s="724"/>
      <c r="HP604" s="724"/>
      <c r="HQ604" s="724"/>
      <c r="HR604" s="724"/>
      <c r="HS604" s="724"/>
      <c r="HT604" s="724"/>
      <c r="HU604" s="724"/>
      <c r="HV604" s="724"/>
      <c r="HW604" s="724"/>
      <c r="HX604" s="724"/>
      <c r="HY604" s="724"/>
      <c r="HZ604" s="724"/>
      <c r="IA604" s="724"/>
      <c r="IB604" s="724"/>
      <c r="IC604" s="724"/>
      <c r="ID604" s="724"/>
      <c r="IE604" s="724"/>
      <c r="IF604" s="724"/>
      <c r="IG604" s="724"/>
      <c r="IH604" s="724"/>
      <c r="II604" s="724"/>
      <c r="IJ604" s="724"/>
      <c r="IK604" s="724"/>
      <c r="IL604" s="724"/>
      <c r="IM604" s="724"/>
      <c r="IN604" s="724"/>
      <c r="IO604" s="724"/>
      <c r="IP604" s="724"/>
      <c r="IQ604" s="724"/>
      <c r="IR604" s="724"/>
      <c r="IS604" s="724"/>
      <c r="IT604" s="724"/>
      <c r="IU604" s="724"/>
      <c r="IV604" s="724"/>
      <c r="IW604" s="724"/>
    </row>
    <row r="605" spans="1:257" s="621" customFormat="1" ht="15.75" customHeight="1">
      <c r="A605" s="812" t="s">
        <v>248</v>
      </c>
      <c r="B605" s="813" t="s">
        <v>256</v>
      </c>
      <c r="C605" s="713"/>
      <c r="D605" s="713"/>
      <c r="E605" s="725">
        <v>27000000</v>
      </c>
      <c r="F605" s="725">
        <f>C601*E605</f>
        <v>270000000</v>
      </c>
      <c r="G605" s="725"/>
      <c r="H605" s="725"/>
      <c r="I605" s="725"/>
      <c r="J605" s="725">
        <v>270000000</v>
      </c>
      <c r="K605" s="725">
        <f>10*27000000</f>
        <v>270000000</v>
      </c>
      <c r="L605" s="1311">
        <f>10*27000000</f>
        <v>270000000</v>
      </c>
      <c r="M605" s="669" t="s">
        <v>1076</v>
      </c>
      <c r="N605" s="868"/>
      <c r="O605" s="868"/>
      <c r="P605" s="868"/>
      <c r="Q605" s="868"/>
      <c r="R605" s="871"/>
      <c r="S605" s="866"/>
      <c r="T605" s="839"/>
      <c r="U605" s="580"/>
      <c r="V605" s="722"/>
      <c r="W605" s="722"/>
      <c r="X605" s="723"/>
      <c r="Y605" s="724"/>
      <c r="Z605" s="724"/>
      <c r="AA605" s="724"/>
      <c r="AB605" s="724"/>
      <c r="AC605" s="724"/>
      <c r="AD605" s="724"/>
      <c r="AE605" s="724"/>
      <c r="AF605" s="724"/>
      <c r="AG605" s="724"/>
      <c r="AH605" s="724"/>
      <c r="AI605" s="724"/>
      <c r="AJ605" s="724"/>
      <c r="AK605" s="724"/>
      <c r="AL605" s="724"/>
      <c r="AM605" s="724"/>
      <c r="AN605" s="724"/>
      <c r="AO605" s="724"/>
      <c r="AP605" s="724"/>
      <c r="AQ605" s="724"/>
      <c r="AR605" s="724"/>
      <c r="AS605" s="724"/>
      <c r="AT605" s="724"/>
      <c r="AU605" s="724"/>
      <c r="AV605" s="724"/>
      <c r="AW605" s="724"/>
      <c r="AX605" s="724"/>
      <c r="AY605" s="724"/>
      <c r="AZ605" s="724"/>
      <c r="BA605" s="724"/>
      <c r="BB605" s="724"/>
      <c r="BC605" s="724"/>
      <c r="BD605" s="724"/>
      <c r="BE605" s="724"/>
      <c r="BF605" s="724"/>
      <c r="BG605" s="724"/>
      <c r="BH605" s="724"/>
      <c r="BI605" s="724"/>
      <c r="BJ605" s="724"/>
      <c r="BK605" s="724"/>
      <c r="BL605" s="724"/>
      <c r="BM605" s="724"/>
      <c r="BN605" s="724"/>
      <c r="BO605" s="724"/>
      <c r="BP605" s="724"/>
      <c r="BQ605" s="724"/>
      <c r="BR605" s="724"/>
      <c r="BS605" s="724"/>
      <c r="BT605" s="724"/>
      <c r="BU605" s="724"/>
      <c r="BV605" s="724"/>
      <c r="BW605" s="724"/>
      <c r="BX605" s="724"/>
      <c r="BY605" s="724"/>
      <c r="BZ605" s="724"/>
      <c r="CA605" s="724"/>
      <c r="CB605" s="724"/>
      <c r="CC605" s="724"/>
      <c r="CD605" s="724"/>
      <c r="CE605" s="724"/>
      <c r="CF605" s="724"/>
      <c r="CG605" s="724"/>
      <c r="CH605" s="724"/>
      <c r="CI605" s="724"/>
      <c r="CJ605" s="724"/>
      <c r="CK605" s="724"/>
      <c r="CL605" s="724"/>
      <c r="CM605" s="724"/>
      <c r="CN605" s="724"/>
      <c r="CO605" s="724"/>
      <c r="CP605" s="724"/>
      <c r="CQ605" s="724"/>
      <c r="CR605" s="724"/>
      <c r="CS605" s="724"/>
      <c r="CT605" s="724"/>
      <c r="CU605" s="724"/>
      <c r="CV605" s="724"/>
      <c r="CW605" s="724"/>
      <c r="CX605" s="724"/>
      <c r="CY605" s="724"/>
      <c r="CZ605" s="724"/>
      <c r="DA605" s="724"/>
      <c r="DB605" s="724"/>
      <c r="DC605" s="724"/>
      <c r="DD605" s="724"/>
      <c r="DE605" s="724"/>
      <c r="DF605" s="724"/>
      <c r="DG605" s="724"/>
      <c r="DH605" s="724"/>
      <c r="DI605" s="724"/>
      <c r="DJ605" s="724"/>
      <c r="DK605" s="724"/>
      <c r="DL605" s="724"/>
      <c r="DM605" s="724"/>
      <c r="DN605" s="724"/>
      <c r="DO605" s="724"/>
      <c r="DP605" s="724"/>
      <c r="DQ605" s="724"/>
      <c r="DR605" s="724"/>
      <c r="DS605" s="724"/>
      <c r="DT605" s="724"/>
      <c r="DU605" s="724"/>
      <c r="DV605" s="724"/>
      <c r="DW605" s="724"/>
      <c r="DX605" s="724"/>
      <c r="DY605" s="724"/>
      <c r="DZ605" s="724"/>
      <c r="EA605" s="724"/>
      <c r="EB605" s="724"/>
      <c r="EC605" s="724"/>
      <c r="ED605" s="724"/>
      <c r="EE605" s="724"/>
      <c r="EF605" s="724"/>
      <c r="EG605" s="724"/>
      <c r="EH605" s="724"/>
      <c r="EI605" s="724"/>
      <c r="EJ605" s="724"/>
      <c r="EK605" s="724"/>
      <c r="EL605" s="724"/>
      <c r="EM605" s="724"/>
      <c r="EN605" s="724"/>
      <c r="EO605" s="724"/>
      <c r="EP605" s="724"/>
      <c r="EQ605" s="724"/>
      <c r="ER605" s="724"/>
      <c r="ES605" s="724"/>
      <c r="ET605" s="724"/>
      <c r="EU605" s="724"/>
      <c r="EV605" s="724"/>
      <c r="EW605" s="724"/>
      <c r="EX605" s="724"/>
      <c r="EY605" s="724"/>
      <c r="EZ605" s="724"/>
      <c r="FA605" s="724"/>
      <c r="FB605" s="724"/>
      <c r="FC605" s="724"/>
      <c r="FD605" s="724"/>
      <c r="FE605" s="724"/>
      <c r="FF605" s="724"/>
      <c r="FG605" s="724"/>
      <c r="FH605" s="724"/>
      <c r="FI605" s="724"/>
      <c r="FJ605" s="724"/>
      <c r="FK605" s="724"/>
      <c r="FL605" s="724"/>
      <c r="FM605" s="724"/>
      <c r="FN605" s="724"/>
      <c r="FO605" s="724"/>
      <c r="FP605" s="724"/>
      <c r="FQ605" s="724"/>
      <c r="FR605" s="724"/>
      <c r="FS605" s="724"/>
      <c r="FT605" s="724"/>
      <c r="FU605" s="724"/>
      <c r="FV605" s="724"/>
      <c r="FW605" s="724"/>
      <c r="FX605" s="724"/>
      <c r="FY605" s="724"/>
      <c r="FZ605" s="724"/>
      <c r="GA605" s="724"/>
      <c r="GB605" s="724"/>
      <c r="GC605" s="724"/>
      <c r="GD605" s="724"/>
      <c r="GE605" s="724"/>
      <c r="GF605" s="724"/>
      <c r="GG605" s="724"/>
      <c r="GH605" s="724"/>
      <c r="GI605" s="724"/>
      <c r="GJ605" s="724"/>
      <c r="GK605" s="724"/>
      <c r="GL605" s="724"/>
      <c r="GM605" s="724"/>
      <c r="GN605" s="724"/>
      <c r="GO605" s="724"/>
      <c r="GP605" s="724"/>
      <c r="GQ605" s="724"/>
      <c r="GR605" s="724"/>
      <c r="GS605" s="724"/>
      <c r="GT605" s="724"/>
      <c r="GU605" s="724"/>
      <c r="GV605" s="724"/>
      <c r="GW605" s="724"/>
      <c r="GX605" s="724"/>
      <c r="GY605" s="724"/>
      <c r="GZ605" s="724"/>
      <c r="HA605" s="724"/>
      <c r="HB605" s="724"/>
      <c r="HC605" s="724"/>
      <c r="HD605" s="724"/>
      <c r="HE605" s="724"/>
      <c r="HF605" s="724"/>
      <c r="HG605" s="724"/>
      <c r="HH605" s="724"/>
      <c r="HI605" s="724"/>
      <c r="HJ605" s="724"/>
      <c r="HK605" s="724"/>
      <c r="HL605" s="724"/>
      <c r="HM605" s="724"/>
      <c r="HN605" s="724"/>
      <c r="HO605" s="724"/>
      <c r="HP605" s="724"/>
      <c r="HQ605" s="724"/>
      <c r="HR605" s="724"/>
      <c r="HS605" s="724"/>
      <c r="HT605" s="724"/>
      <c r="HU605" s="724"/>
      <c r="HV605" s="724"/>
      <c r="HW605" s="724"/>
      <c r="HX605" s="724"/>
      <c r="HY605" s="724"/>
      <c r="HZ605" s="724"/>
      <c r="IA605" s="724"/>
      <c r="IB605" s="724"/>
      <c r="IC605" s="724"/>
      <c r="ID605" s="724"/>
      <c r="IE605" s="724"/>
      <c r="IF605" s="724"/>
      <c r="IG605" s="724"/>
      <c r="IH605" s="724"/>
      <c r="II605" s="724"/>
      <c r="IJ605" s="724"/>
      <c r="IK605" s="724"/>
      <c r="IL605" s="724"/>
      <c r="IM605" s="724"/>
      <c r="IN605" s="724"/>
      <c r="IO605" s="724"/>
      <c r="IP605" s="724"/>
      <c r="IQ605" s="724"/>
      <c r="IR605" s="724"/>
      <c r="IS605" s="724"/>
      <c r="IT605" s="724"/>
      <c r="IU605" s="724"/>
      <c r="IV605" s="724"/>
      <c r="IW605" s="724"/>
    </row>
    <row r="606" spans="1:257" s="582" customFormat="1" ht="15.75" hidden="1" customHeight="1">
      <c r="A606" s="812" t="s">
        <v>91</v>
      </c>
      <c r="B606" s="813" t="s">
        <v>383</v>
      </c>
      <c r="C606" s="715"/>
      <c r="D606" s="715"/>
      <c r="E606" s="725"/>
      <c r="F606" s="725"/>
      <c r="G606" s="1101"/>
      <c r="H606" s="1101"/>
      <c r="I606" s="1101"/>
      <c r="J606" s="725"/>
      <c r="K606" s="725"/>
      <c r="L606" s="1311"/>
      <c r="M606" s="669"/>
      <c r="N606" s="868"/>
      <c r="O606" s="868"/>
      <c r="P606" s="1074"/>
      <c r="Q606" s="1074"/>
      <c r="R606" s="826"/>
      <c r="S606" s="900"/>
      <c r="T606" s="822"/>
      <c r="U606" s="577"/>
      <c r="V606" s="722"/>
      <c r="W606" s="727"/>
      <c r="X606" s="728"/>
      <c r="Y606" s="682"/>
      <c r="Z606" s="682"/>
      <c r="AA606" s="682"/>
      <c r="AB606" s="682"/>
      <c r="AC606" s="682"/>
      <c r="AD606" s="682"/>
      <c r="AE606" s="682"/>
      <c r="AF606" s="682"/>
      <c r="AG606" s="682"/>
      <c r="AH606" s="682"/>
      <c r="AI606" s="682"/>
      <c r="AJ606" s="682"/>
      <c r="AK606" s="682"/>
      <c r="AL606" s="682"/>
      <c r="AM606" s="682"/>
      <c r="AN606" s="682"/>
      <c r="AO606" s="682"/>
      <c r="AP606" s="682"/>
      <c r="AQ606" s="682"/>
      <c r="AR606" s="682"/>
      <c r="AS606" s="682"/>
      <c r="AT606" s="682"/>
      <c r="AU606" s="682"/>
      <c r="AV606" s="682"/>
      <c r="AW606" s="682"/>
      <c r="AX606" s="682"/>
      <c r="AY606" s="682"/>
      <c r="AZ606" s="682"/>
      <c r="BA606" s="682"/>
      <c r="BB606" s="682"/>
      <c r="BC606" s="682"/>
      <c r="BD606" s="682"/>
      <c r="BE606" s="682"/>
      <c r="BF606" s="682"/>
      <c r="BG606" s="682"/>
      <c r="BH606" s="682"/>
      <c r="BI606" s="682"/>
      <c r="BJ606" s="682"/>
      <c r="BK606" s="682"/>
      <c r="BL606" s="682"/>
      <c r="BM606" s="682"/>
      <c r="BN606" s="682"/>
      <c r="BO606" s="682"/>
      <c r="BP606" s="682"/>
      <c r="BQ606" s="682"/>
      <c r="BR606" s="682"/>
      <c r="BS606" s="682"/>
      <c r="BT606" s="682"/>
      <c r="BU606" s="682"/>
      <c r="BV606" s="682"/>
      <c r="BW606" s="682"/>
      <c r="BX606" s="682"/>
      <c r="BY606" s="682"/>
      <c r="BZ606" s="682"/>
      <c r="CA606" s="682"/>
      <c r="CB606" s="682"/>
      <c r="CC606" s="682"/>
      <c r="CD606" s="682"/>
      <c r="CE606" s="682"/>
      <c r="CF606" s="682"/>
      <c r="CG606" s="682"/>
      <c r="CH606" s="682"/>
      <c r="CI606" s="682"/>
      <c r="CJ606" s="682"/>
      <c r="CK606" s="682"/>
      <c r="CL606" s="682"/>
      <c r="CM606" s="682"/>
      <c r="CN606" s="682"/>
      <c r="CO606" s="682"/>
      <c r="CP606" s="682"/>
      <c r="CQ606" s="682"/>
      <c r="CR606" s="682"/>
      <c r="CS606" s="682"/>
      <c r="CT606" s="682"/>
      <c r="CU606" s="682"/>
      <c r="CV606" s="682"/>
      <c r="CW606" s="682"/>
      <c r="CX606" s="682"/>
      <c r="CY606" s="682"/>
      <c r="CZ606" s="682"/>
      <c r="DA606" s="682"/>
      <c r="DB606" s="682"/>
      <c r="DC606" s="682"/>
      <c r="DD606" s="682"/>
      <c r="DE606" s="682"/>
      <c r="DF606" s="682"/>
      <c r="DG606" s="682"/>
      <c r="DH606" s="682"/>
      <c r="DI606" s="682"/>
      <c r="DJ606" s="682"/>
      <c r="DK606" s="682"/>
      <c r="DL606" s="682"/>
      <c r="DM606" s="682"/>
      <c r="DN606" s="682"/>
      <c r="DO606" s="682"/>
      <c r="DP606" s="682"/>
      <c r="DQ606" s="682"/>
      <c r="DR606" s="682"/>
      <c r="DS606" s="682"/>
      <c r="DT606" s="682"/>
      <c r="DU606" s="682"/>
      <c r="DV606" s="682"/>
      <c r="DW606" s="682"/>
      <c r="DX606" s="682"/>
      <c r="DY606" s="682"/>
      <c r="DZ606" s="682"/>
      <c r="EA606" s="682"/>
      <c r="EB606" s="682"/>
      <c r="EC606" s="682"/>
      <c r="ED606" s="682"/>
      <c r="EE606" s="682"/>
      <c r="EF606" s="682"/>
      <c r="EG606" s="682"/>
      <c r="EH606" s="682"/>
      <c r="EI606" s="682"/>
      <c r="EJ606" s="682"/>
      <c r="EK606" s="682"/>
      <c r="EL606" s="682"/>
      <c r="EM606" s="682"/>
      <c r="EN606" s="682"/>
      <c r="EO606" s="682"/>
      <c r="EP606" s="682"/>
      <c r="EQ606" s="682"/>
      <c r="ER606" s="682"/>
      <c r="ES606" s="682"/>
      <c r="ET606" s="682"/>
      <c r="EU606" s="682"/>
      <c r="EV606" s="682"/>
      <c r="EW606" s="682"/>
      <c r="EX606" s="682"/>
      <c r="EY606" s="682"/>
      <c r="EZ606" s="682"/>
      <c r="FA606" s="682"/>
      <c r="FB606" s="682"/>
      <c r="FC606" s="682"/>
      <c r="FD606" s="682"/>
      <c r="FE606" s="682"/>
      <c r="FF606" s="682"/>
      <c r="FG606" s="682"/>
      <c r="FH606" s="682"/>
      <c r="FI606" s="682"/>
      <c r="FJ606" s="682"/>
      <c r="FK606" s="682"/>
      <c r="FL606" s="682"/>
      <c r="FM606" s="682"/>
      <c r="FN606" s="682"/>
      <c r="FO606" s="682"/>
      <c r="FP606" s="682"/>
      <c r="FQ606" s="682"/>
      <c r="FR606" s="682"/>
      <c r="FS606" s="682"/>
      <c r="FT606" s="682"/>
      <c r="FU606" s="682"/>
      <c r="FV606" s="682"/>
      <c r="FW606" s="682"/>
      <c r="FX606" s="682"/>
      <c r="FY606" s="682"/>
      <c r="FZ606" s="682"/>
      <c r="GA606" s="682"/>
      <c r="GB606" s="682"/>
      <c r="GC606" s="682"/>
      <c r="GD606" s="682"/>
      <c r="GE606" s="682"/>
      <c r="GF606" s="682"/>
      <c r="GG606" s="682"/>
      <c r="GH606" s="682"/>
      <c r="GI606" s="682"/>
      <c r="GJ606" s="682"/>
      <c r="GK606" s="682"/>
      <c r="GL606" s="682"/>
      <c r="GM606" s="682"/>
      <c r="GN606" s="682"/>
      <c r="GO606" s="682"/>
      <c r="GP606" s="682"/>
      <c r="GQ606" s="682"/>
      <c r="GR606" s="682"/>
      <c r="GS606" s="682"/>
      <c r="GT606" s="682"/>
      <c r="GU606" s="682"/>
      <c r="GV606" s="682"/>
      <c r="GW606" s="682"/>
      <c r="GX606" s="682"/>
      <c r="GY606" s="682"/>
      <c r="GZ606" s="682"/>
      <c r="HA606" s="682"/>
      <c r="HB606" s="682"/>
      <c r="HC606" s="682"/>
      <c r="HD606" s="682"/>
      <c r="HE606" s="682"/>
      <c r="HF606" s="682"/>
      <c r="HG606" s="682"/>
      <c r="HH606" s="682"/>
      <c r="HI606" s="682"/>
      <c r="HJ606" s="682"/>
      <c r="HK606" s="682"/>
      <c r="HL606" s="682"/>
      <c r="HM606" s="682"/>
      <c r="HN606" s="682"/>
      <c r="HO606" s="682"/>
      <c r="HP606" s="682"/>
      <c r="HQ606" s="682"/>
      <c r="HR606" s="682"/>
      <c r="HS606" s="682"/>
      <c r="HT606" s="682"/>
      <c r="HU606" s="682"/>
      <c r="HV606" s="682"/>
      <c r="HW606" s="682"/>
      <c r="HX606" s="682"/>
      <c r="HY606" s="682"/>
      <c r="HZ606" s="682"/>
      <c r="IA606" s="682"/>
      <c r="IB606" s="682"/>
      <c r="IC606" s="682"/>
      <c r="ID606" s="682"/>
      <c r="IE606" s="682"/>
      <c r="IF606" s="682"/>
      <c r="IG606" s="682"/>
      <c r="IH606" s="682"/>
      <c r="II606" s="682"/>
      <c r="IJ606" s="682"/>
      <c r="IK606" s="682"/>
      <c r="IL606" s="682"/>
      <c r="IM606" s="682"/>
      <c r="IN606" s="682"/>
      <c r="IO606" s="682"/>
      <c r="IP606" s="682"/>
      <c r="IQ606" s="682"/>
      <c r="IR606" s="682"/>
      <c r="IS606" s="682"/>
      <c r="IT606" s="682"/>
      <c r="IU606" s="682"/>
      <c r="IV606" s="682"/>
      <c r="IW606" s="682"/>
    </row>
    <row r="607" spans="1:257" s="1051" customFormat="1">
      <c r="A607" s="589" t="s">
        <v>225</v>
      </c>
      <c r="B607" s="804" t="s">
        <v>257</v>
      </c>
      <c r="C607" s="589"/>
      <c r="D607" s="589"/>
      <c r="E607" s="704"/>
      <c r="F607" s="805">
        <f t="shared" ref="F607:J607" si="74">SUM(F608:F626)</f>
        <v>1325000000</v>
      </c>
      <c r="G607" s="805">
        <f t="shared" si="74"/>
        <v>30000000</v>
      </c>
      <c r="H607" s="805">
        <f t="shared" si="74"/>
        <v>0</v>
      </c>
      <c r="I607" s="805">
        <f t="shared" si="74"/>
        <v>0</v>
      </c>
      <c r="J607" s="805">
        <f t="shared" si="74"/>
        <v>1770000000</v>
      </c>
      <c r="K607" s="805">
        <f>SUM(K608:K626)</f>
        <v>1725000000</v>
      </c>
      <c r="L607" s="1312">
        <f>SUM(L608:L626)</f>
        <v>1955700000</v>
      </c>
      <c r="M607" s="603"/>
      <c r="N607" s="835"/>
      <c r="O607" s="835"/>
      <c r="P607" s="829"/>
      <c r="Q607" s="829"/>
      <c r="R607" s="871"/>
      <c r="S607" s="900"/>
      <c r="T607" s="822"/>
      <c r="U607" s="577"/>
      <c r="V607" s="722"/>
      <c r="W607" s="727"/>
      <c r="X607" s="728"/>
      <c r="Y607" s="682"/>
      <c r="Z607" s="682"/>
      <c r="AA607" s="682"/>
      <c r="AB607" s="682"/>
      <c r="AC607" s="682"/>
      <c r="AD607" s="682"/>
      <c r="AE607" s="682"/>
      <c r="AF607" s="682"/>
      <c r="AG607" s="682"/>
      <c r="AH607" s="682"/>
      <c r="AI607" s="682"/>
      <c r="AJ607" s="682"/>
      <c r="AK607" s="682"/>
      <c r="AL607" s="682"/>
      <c r="AM607" s="682"/>
      <c r="AN607" s="682"/>
      <c r="AO607" s="682"/>
      <c r="AP607" s="682"/>
      <c r="AQ607" s="682"/>
      <c r="AR607" s="682"/>
      <c r="AS607" s="682"/>
      <c r="AT607" s="682"/>
      <c r="AU607" s="682"/>
      <c r="AV607" s="682"/>
      <c r="AW607" s="682"/>
      <c r="AX607" s="682"/>
      <c r="AY607" s="682"/>
      <c r="AZ607" s="682"/>
      <c r="BA607" s="682"/>
      <c r="BB607" s="682"/>
      <c r="BC607" s="682"/>
      <c r="BD607" s="682"/>
      <c r="BE607" s="682"/>
      <c r="BF607" s="682"/>
      <c r="BG607" s="682"/>
      <c r="BH607" s="682"/>
      <c r="BI607" s="682"/>
      <c r="BJ607" s="682"/>
      <c r="BK607" s="682"/>
      <c r="BL607" s="682"/>
      <c r="BM607" s="682"/>
      <c r="BN607" s="682"/>
      <c r="BO607" s="682"/>
      <c r="BP607" s="682"/>
      <c r="BQ607" s="682"/>
      <c r="BR607" s="682"/>
      <c r="BS607" s="682"/>
      <c r="BT607" s="682"/>
      <c r="BU607" s="682"/>
      <c r="BV607" s="682"/>
      <c r="BW607" s="682"/>
      <c r="BX607" s="682"/>
      <c r="BY607" s="682"/>
      <c r="BZ607" s="682"/>
      <c r="CA607" s="682"/>
      <c r="CB607" s="682"/>
      <c r="CC607" s="682"/>
      <c r="CD607" s="682"/>
      <c r="CE607" s="682"/>
      <c r="CF607" s="682"/>
      <c r="CG607" s="682"/>
      <c r="CH607" s="682"/>
      <c r="CI607" s="682"/>
      <c r="CJ607" s="682"/>
      <c r="CK607" s="682"/>
      <c r="CL607" s="682"/>
      <c r="CM607" s="682"/>
      <c r="CN607" s="682"/>
      <c r="CO607" s="682"/>
      <c r="CP607" s="682"/>
      <c r="CQ607" s="682"/>
      <c r="CR607" s="682"/>
      <c r="CS607" s="682"/>
      <c r="CT607" s="682"/>
      <c r="CU607" s="682"/>
      <c r="CV607" s="682"/>
      <c r="CW607" s="682"/>
      <c r="CX607" s="682"/>
      <c r="CY607" s="682"/>
      <c r="CZ607" s="682"/>
      <c r="DA607" s="682"/>
      <c r="DB607" s="682"/>
      <c r="DC607" s="682"/>
      <c r="DD607" s="682"/>
      <c r="DE607" s="682"/>
      <c r="DF607" s="682"/>
      <c r="DG607" s="682"/>
      <c r="DH607" s="682"/>
      <c r="DI607" s="682"/>
      <c r="DJ607" s="682"/>
      <c r="DK607" s="682"/>
      <c r="DL607" s="682"/>
      <c r="DM607" s="682"/>
      <c r="DN607" s="682"/>
      <c r="DO607" s="682"/>
      <c r="DP607" s="682"/>
      <c r="DQ607" s="682"/>
      <c r="DR607" s="682"/>
      <c r="DS607" s="682"/>
      <c r="DT607" s="682"/>
      <c r="DU607" s="682"/>
      <c r="DV607" s="682"/>
      <c r="DW607" s="682"/>
      <c r="DX607" s="682"/>
      <c r="DY607" s="682"/>
      <c r="DZ607" s="682"/>
      <c r="EA607" s="682"/>
      <c r="EB607" s="682"/>
      <c r="EC607" s="682"/>
      <c r="ED607" s="682"/>
      <c r="EE607" s="682"/>
      <c r="EF607" s="682"/>
      <c r="EG607" s="682"/>
      <c r="EH607" s="682"/>
      <c r="EI607" s="682"/>
      <c r="EJ607" s="682"/>
      <c r="EK607" s="682"/>
      <c r="EL607" s="682"/>
      <c r="EM607" s="682"/>
      <c r="EN607" s="682"/>
      <c r="EO607" s="682"/>
      <c r="EP607" s="682"/>
      <c r="EQ607" s="682"/>
      <c r="ER607" s="682"/>
      <c r="ES607" s="682"/>
      <c r="ET607" s="682"/>
      <c r="EU607" s="682"/>
      <c r="EV607" s="682"/>
      <c r="EW607" s="682"/>
      <c r="EX607" s="682"/>
      <c r="EY607" s="682"/>
      <c r="EZ607" s="682"/>
      <c r="FA607" s="682"/>
      <c r="FB607" s="682"/>
      <c r="FC607" s="682"/>
      <c r="FD607" s="682"/>
      <c r="FE607" s="682"/>
      <c r="FF607" s="682"/>
      <c r="FG607" s="682"/>
      <c r="FH607" s="682"/>
      <c r="FI607" s="682"/>
      <c r="FJ607" s="682"/>
      <c r="FK607" s="682"/>
      <c r="FL607" s="682"/>
      <c r="FM607" s="682"/>
      <c r="FN607" s="682"/>
      <c r="FO607" s="682"/>
      <c r="FP607" s="682"/>
      <c r="FQ607" s="682"/>
      <c r="FR607" s="682"/>
      <c r="FS607" s="682"/>
      <c r="FT607" s="682"/>
      <c r="FU607" s="682"/>
      <c r="FV607" s="682"/>
      <c r="FW607" s="682"/>
      <c r="FX607" s="682"/>
      <c r="FY607" s="682"/>
      <c r="FZ607" s="682"/>
      <c r="GA607" s="682"/>
      <c r="GB607" s="682"/>
      <c r="GC607" s="682"/>
      <c r="GD607" s="682"/>
      <c r="GE607" s="682"/>
      <c r="GF607" s="682"/>
      <c r="GG607" s="682"/>
      <c r="GH607" s="682"/>
      <c r="GI607" s="682"/>
      <c r="GJ607" s="682"/>
      <c r="GK607" s="682"/>
      <c r="GL607" s="682"/>
      <c r="GM607" s="682"/>
      <c r="GN607" s="682"/>
      <c r="GO607" s="682"/>
      <c r="GP607" s="682"/>
      <c r="GQ607" s="682"/>
      <c r="GR607" s="682"/>
      <c r="GS607" s="682"/>
      <c r="GT607" s="682"/>
      <c r="GU607" s="682"/>
      <c r="GV607" s="682"/>
      <c r="GW607" s="682"/>
      <c r="GX607" s="682"/>
      <c r="GY607" s="682"/>
      <c r="GZ607" s="682"/>
      <c r="HA607" s="682"/>
      <c r="HB607" s="682"/>
      <c r="HC607" s="682"/>
      <c r="HD607" s="682"/>
      <c r="HE607" s="682"/>
      <c r="HF607" s="682"/>
      <c r="HG607" s="682"/>
      <c r="HH607" s="682"/>
      <c r="HI607" s="682"/>
      <c r="HJ607" s="682"/>
      <c r="HK607" s="682"/>
      <c r="HL607" s="682"/>
      <c r="HM607" s="682"/>
      <c r="HN607" s="682"/>
      <c r="HO607" s="682"/>
      <c r="HP607" s="682"/>
      <c r="HQ607" s="682"/>
      <c r="HR607" s="682"/>
      <c r="HS607" s="682"/>
      <c r="HT607" s="682"/>
      <c r="HU607" s="682"/>
      <c r="HV607" s="682"/>
      <c r="HW607" s="682"/>
      <c r="HX607" s="682"/>
      <c r="HY607" s="682"/>
      <c r="HZ607" s="682"/>
      <c r="IA607" s="682"/>
      <c r="IB607" s="682"/>
      <c r="IC607" s="682"/>
      <c r="ID607" s="682"/>
      <c r="IE607" s="682"/>
      <c r="IF607" s="682"/>
      <c r="IG607" s="682"/>
      <c r="IH607" s="682"/>
      <c r="II607" s="682"/>
      <c r="IJ607" s="682"/>
      <c r="IK607" s="682"/>
      <c r="IL607" s="682"/>
      <c r="IM607" s="682"/>
      <c r="IN607" s="682"/>
      <c r="IO607" s="682"/>
      <c r="IP607" s="682"/>
      <c r="IQ607" s="682"/>
      <c r="IR607" s="682"/>
      <c r="IS607" s="682"/>
      <c r="IT607" s="682"/>
      <c r="IU607" s="682"/>
      <c r="IV607" s="682"/>
      <c r="IW607" s="682"/>
    </row>
    <row r="608" spans="1:257" s="1051" customFormat="1" ht="31.5">
      <c r="A608" s="713" t="s">
        <v>258</v>
      </c>
      <c r="B608" s="1102" t="s">
        <v>384</v>
      </c>
      <c r="C608" s="713"/>
      <c r="D608" s="713"/>
      <c r="E608" s="725"/>
      <c r="F608" s="725">
        <v>200000000</v>
      </c>
      <c r="G608" s="725"/>
      <c r="H608" s="725"/>
      <c r="I608" s="725"/>
      <c r="J608" s="725">
        <v>200000000</v>
      </c>
      <c r="K608" s="818">
        <v>200000000</v>
      </c>
      <c r="L608" s="1325">
        <v>100000000</v>
      </c>
      <c r="M608" s="669"/>
      <c r="N608" s="868"/>
      <c r="O608" s="868"/>
      <c r="P608" s="868"/>
      <c r="Q608" s="868"/>
      <c r="R608" s="871"/>
      <c r="S608" s="900"/>
      <c r="T608" s="822"/>
      <c r="U608" s="577"/>
      <c r="V608" s="727"/>
      <c r="W608" s="727"/>
      <c r="X608" s="728"/>
      <c r="Y608" s="682"/>
      <c r="Z608" s="682"/>
      <c r="AA608" s="682"/>
      <c r="AB608" s="682"/>
      <c r="AC608" s="682"/>
      <c r="AD608" s="682"/>
      <c r="AE608" s="682"/>
      <c r="AF608" s="682"/>
      <c r="AG608" s="682"/>
      <c r="AH608" s="682"/>
      <c r="AI608" s="682"/>
      <c r="AJ608" s="682"/>
      <c r="AK608" s="682"/>
      <c r="AL608" s="682"/>
      <c r="AM608" s="682"/>
      <c r="AN608" s="682"/>
      <c r="AO608" s="682"/>
      <c r="AP608" s="682"/>
      <c r="AQ608" s="682"/>
      <c r="AR608" s="682"/>
      <c r="AS608" s="682"/>
      <c r="AT608" s="682"/>
      <c r="AU608" s="682"/>
      <c r="AV608" s="682"/>
      <c r="AW608" s="682"/>
      <c r="AX608" s="682"/>
      <c r="AY608" s="682"/>
      <c r="AZ608" s="682"/>
      <c r="BA608" s="682"/>
      <c r="BB608" s="682"/>
      <c r="BC608" s="682"/>
      <c r="BD608" s="682"/>
      <c r="BE608" s="682"/>
      <c r="BF608" s="682"/>
      <c r="BG608" s="682"/>
      <c r="BH608" s="682"/>
      <c r="BI608" s="682"/>
      <c r="BJ608" s="682"/>
      <c r="BK608" s="682"/>
      <c r="BL608" s="682"/>
      <c r="BM608" s="682"/>
      <c r="BN608" s="682"/>
      <c r="BO608" s="682"/>
      <c r="BP608" s="682"/>
      <c r="BQ608" s="682"/>
      <c r="BR608" s="682"/>
      <c r="BS608" s="682"/>
      <c r="BT608" s="682"/>
      <c r="BU608" s="682"/>
      <c r="BV608" s="682"/>
      <c r="BW608" s="682"/>
      <c r="BX608" s="682"/>
      <c r="BY608" s="682"/>
      <c r="BZ608" s="682"/>
      <c r="CA608" s="682"/>
      <c r="CB608" s="682"/>
      <c r="CC608" s="682"/>
      <c r="CD608" s="682"/>
      <c r="CE608" s="682"/>
      <c r="CF608" s="682"/>
      <c r="CG608" s="682"/>
      <c r="CH608" s="682"/>
      <c r="CI608" s="682"/>
      <c r="CJ608" s="682"/>
      <c r="CK608" s="682"/>
      <c r="CL608" s="682"/>
      <c r="CM608" s="682"/>
      <c r="CN608" s="682"/>
      <c r="CO608" s="682"/>
      <c r="CP608" s="682"/>
      <c r="CQ608" s="682"/>
      <c r="CR608" s="682"/>
      <c r="CS608" s="682"/>
      <c r="CT608" s="682"/>
      <c r="CU608" s="682"/>
      <c r="CV608" s="682"/>
      <c r="CW608" s="682"/>
      <c r="CX608" s="682"/>
      <c r="CY608" s="682"/>
      <c r="CZ608" s="682"/>
      <c r="DA608" s="682"/>
      <c r="DB608" s="682"/>
      <c r="DC608" s="682"/>
      <c r="DD608" s="682"/>
      <c r="DE608" s="682"/>
      <c r="DF608" s="682"/>
      <c r="DG608" s="682"/>
      <c r="DH608" s="682"/>
      <c r="DI608" s="682"/>
      <c r="DJ608" s="682"/>
      <c r="DK608" s="682"/>
      <c r="DL608" s="682"/>
      <c r="DM608" s="682"/>
      <c r="DN608" s="682"/>
      <c r="DO608" s="682"/>
      <c r="DP608" s="682"/>
      <c r="DQ608" s="682"/>
      <c r="DR608" s="682"/>
      <c r="DS608" s="682"/>
      <c r="DT608" s="682"/>
      <c r="DU608" s="682"/>
      <c r="DV608" s="682"/>
      <c r="DW608" s="682"/>
      <c r="DX608" s="682"/>
      <c r="DY608" s="682"/>
      <c r="DZ608" s="682"/>
      <c r="EA608" s="682"/>
      <c r="EB608" s="682"/>
      <c r="EC608" s="682"/>
      <c r="ED608" s="682"/>
      <c r="EE608" s="682"/>
      <c r="EF608" s="682"/>
      <c r="EG608" s="682"/>
      <c r="EH608" s="682"/>
      <c r="EI608" s="682"/>
      <c r="EJ608" s="682"/>
      <c r="EK608" s="682"/>
      <c r="EL608" s="682"/>
      <c r="EM608" s="682"/>
      <c r="EN608" s="682"/>
      <c r="EO608" s="682"/>
      <c r="EP608" s="682"/>
      <c r="EQ608" s="682"/>
      <c r="ER608" s="682"/>
      <c r="ES608" s="682"/>
      <c r="ET608" s="682"/>
      <c r="EU608" s="682"/>
      <c r="EV608" s="682"/>
      <c r="EW608" s="682"/>
      <c r="EX608" s="682"/>
      <c r="EY608" s="682"/>
      <c r="EZ608" s="682"/>
      <c r="FA608" s="682"/>
      <c r="FB608" s="682"/>
      <c r="FC608" s="682"/>
      <c r="FD608" s="682"/>
      <c r="FE608" s="682"/>
      <c r="FF608" s="682"/>
      <c r="FG608" s="682"/>
      <c r="FH608" s="682"/>
      <c r="FI608" s="682"/>
      <c r="FJ608" s="682"/>
      <c r="FK608" s="682"/>
      <c r="FL608" s="682"/>
      <c r="FM608" s="682"/>
      <c r="FN608" s="682"/>
      <c r="FO608" s="682"/>
      <c r="FP608" s="682"/>
      <c r="FQ608" s="682"/>
      <c r="FR608" s="682"/>
      <c r="FS608" s="682"/>
      <c r="FT608" s="682"/>
      <c r="FU608" s="682"/>
      <c r="FV608" s="682"/>
      <c r="FW608" s="682"/>
      <c r="FX608" s="682"/>
      <c r="FY608" s="682"/>
      <c r="FZ608" s="682"/>
      <c r="GA608" s="682"/>
      <c r="GB608" s="682"/>
      <c r="GC608" s="682"/>
      <c r="GD608" s="682"/>
      <c r="GE608" s="682"/>
      <c r="GF608" s="682"/>
      <c r="GG608" s="682"/>
      <c r="GH608" s="682"/>
      <c r="GI608" s="682"/>
      <c r="GJ608" s="682"/>
      <c r="GK608" s="682"/>
      <c r="GL608" s="682"/>
      <c r="GM608" s="682"/>
      <c r="GN608" s="682"/>
      <c r="GO608" s="682"/>
      <c r="GP608" s="682"/>
      <c r="GQ608" s="682"/>
      <c r="GR608" s="682"/>
      <c r="GS608" s="682"/>
      <c r="GT608" s="682"/>
      <c r="GU608" s="682"/>
      <c r="GV608" s="682"/>
      <c r="GW608" s="682"/>
      <c r="GX608" s="682"/>
      <c r="GY608" s="682"/>
      <c r="GZ608" s="682"/>
      <c r="HA608" s="682"/>
      <c r="HB608" s="682"/>
      <c r="HC608" s="682"/>
      <c r="HD608" s="682"/>
      <c r="HE608" s="682"/>
      <c r="HF608" s="682"/>
      <c r="HG608" s="682"/>
      <c r="HH608" s="682"/>
      <c r="HI608" s="682"/>
      <c r="HJ608" s="682"/>
      <c r="HK608" s="682"/>
      <c r="HL608" s="682"/>
      <c r="HM608" s="682"/>
      <c r="HN608" s="682"/>
      <c r="HO608" s="682"/>
      <c r="HP608" s="682"/>
      <c r="HQ608" s="682"/>
      <c r="HR608" s="682"/>
      <c r="HS608" s="682"/>
      <c r="HT608" s="682"/>
      <c r="HU608" s="682"/>
      <c r="HV608" s="682"/>
      <c r="HW608" s="682"/>
      <c r="HX608" s="682"/>
      <c r="HY608" s="682"/>
      <c r="HZ608" s="682"/>
      <c r="IA608" s="682"/>
      <c r="IB608" s="682"/>
      <c r="IC608" s="682"/>
      <c r="ID608" s="682"/>
      <c r="IE608" s="682"/>
      <c r="IF608" s="682"/>
      <c r="IG608" s="682"/>
      <c r="IH608" s="682"/>
      <c r="II608" s="682"/>
      <c r="IJ608" s="682"/>
      <c r="IK608" s="682"/>
      <c r="IL608" s="682"/>
      <c r="IM608" s="682"/>
      <c r="IN608" s="682"/>
      <c r="IO608" s="682"/>
      <c r="IP608" s="682"/>
      <c r="IQ608" s="682"/>
      <c r="IR608" s="682"/>
      <c r="IS608" s="682"/>
      <c r="IT608" s="682"/>
      <c r="IU608" s="682"/>
      <c r="IV608" s="682"/>
      <c r="IW608" s="682"/>
    </row>
    <row r="609" spans="1:257" s="1051" customFormat="1">
      <c r="A609" s="713"/>
      <c r="B609" s="711" t="s">
        <v>153</v>
      </c>
      <c r="C609" s="713"/>
      <c r="D609" s="713"/>
      <c r="E609" s="725"/>
      <c r="F609" s="725">
        <v>15000000</v>
      </c>
      <c r="G609" s="725"/>
      <c r="H609" s="725"/>
      <c r="I609" s="725"/>
      <c r="J609" s="725">
        <v>15000000</v>
      </c>
      <c r="K609" s="818">
        <v>25000000</v>
      </c>
      <c r="L609" s="1325">
        <v>20700000</v>
      </c>
      <c r="M609" s="669"/>
      <c r="N609" s="868"/>
      <c r="O609" s="868"/>
      <c r="P609" s="868"/>
      <c r="Q609" s="868"/>
      <c r="R609" s="871"/>
      <c r="S609" s="900"/>
      <c r="T609" s="822"/>
      <c r="U609" s="577"/>
      <c r="V609" s="727"/>
      <c r="W609" s="727"/>
      <c r="X609" s="728"/>
      <c r="Y609" s="682"/>
      <c r="Z609" s="682"/>
      <c r="AA609" s="682"/>
      <c r="AB609" s="682"/>
      <c r="AC609" s="682"/>
      <c r="AD609" s="682"/>
      <c r="AE609" s="682"/>
      <c r="AF609" s="682"/>
      <c r="AG609" s="682"/>
      <c r="AH609" s="682"/>
      <c r="AI609" s="682"/>
      <c r="AJ609" s="682"/>
      <c r="AK609" s="682"/>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82"/>
      <c r="BG609" s="682"/>
      <c r="BH609" s="682"/>
      <c r="BI609" s="682"/>
      <c r="BJ609" s="682"/>
      <c r="BK609" s="682"/>
      <c r="BL609" s="682"/>
      <c r="BM609" s="682"/>
      <c r="BN609" s="682"/>
      <c r="BO609" s="682"/>
      <c r="BP609" s="682"/>
      <c r="BQ609" s="682"/>
      <c r="BR609" s="682"/>
      <c r="BS609" s="682"/>
      <c r="BT609" s="682"/>
      <c r="BU609" s="682"/>
      <c r="BV609" s="682"/>
      <c r="BW609" s="682"/>
      <c r="BX609" s="682"/>
      <c r="BY609" s="682"/>
      <c r="BZ609" s="682"/>
      <c r="CA609" s="682"/>
      <c r="CB609" s="682"/>
      <c r="CC609" s="682"/>
      <c r="CD609" s="682"/>
      <c r="CE609" s="682"/>
      <c r="CF609" s="682"/>
      <c r="CG609" s="682"/>
      <c r="CH609" s="682"/>
      <c r="CI609" s="682"/>
      <c r="CJ609" s="682"/>
      <c r="CK609" s="682"/>
      <c r="CL609" s="682"/>
      <c r="CM609" s="682"/>
      <c r="CN609" s="682"/>
      <c r="CO609" s="682"/>
      <c r="CP609" s="682"/>
      <c r="CQ609" s="682"/>
      <c r="CR609" s="682"/>
      <c r="CS609" s="682"/>
      <c r="CT609" s="682"/>
      <c r="CU609" s="682"/>
      <c r="CV609" s="682"/>
      <c r="CW609" s="682"/>
      <c r="CX609" s="682"/>
      <c r="CY609" s="682"/>
      <c r="CZ609" s="682"/>
      <c r="DA609" s="682"/>
      <c r="DB609" s="682"/>
      <c r="DC609" s="682"/>
      <c r="DD609" s="682"/>
      <c r="DE609" s="682"/>
      <c r="DF609" s="682"/>
      <c r="DG609" s="682"/>
      <c r="DH609" s="682"/>
      <c r="DI609" s="682"/>
      <c r="DJ609" s="682"/>
      <c r="DK609" s="682"/>
      <c r="DL609" s="682"/>
      <c r="DM609" s="682"/>
      <c r="DN609" s="682"/>
      <c r="DO609" s="682"/>
      <c r="DP609" s="682"/>
      <c r="DQ609" s="682"/>
      <c r="DR609" s="682"/>
      <c r="DS609" s="682"/>
      <c r="DT609" s="682"/>
      <c r="DU609" s="682"/>
      <c r="DV609" s="682"/>
      <c r="DW609" s="682"/>
      <c r="DX609" s="682"/>
      <c r="DY609" s="682"/>
      <c r="DZ609" s="682"/>
      <c r="EA609" s="682"/>
      <c r="EB609" s="682"/>
      <c r="EC609" s="682"/>
      <c r="ED609" s="682"/>
      <c r="EE609" s="682"/>
      <c r="EF609" s="682"/>
      <c r="EG609" s="682"/>
      <c r="EH609" s="682"/>
      <c r="EI609" s="682"/>
      <c r="EJ609" s="682"/>
      <c r="EK609" s="682"/>
      <c r="EL609" s="682"/>
      <c r="EM609" s="682"/>
      <c r="EN609" s="682"/>
      <c r="EO609" s="682"/>
      <c r="EP609" s="682"/>
      <c r="EQ609" s="682"/>
      <c r="ER609" s="682"/>
      <c r="ES609" s="682"/>
      <c r="ET609" s="682"/>
      <c r="EU609" s="682"/>
      <c r="EV609" s="682"/>
      <c r="EW609" s="682"/>
      <c r="EX609" s="682"/>
      <c r="EY609" s="682"/>
      <c r="EZ609" s="682"/>
      <c r="FA609" s="682"/>
      <c r="FB609" s="682"/>
      <c r="FC609" s="682"/>
      <c r="FD609" s="682"/>
      <c r="FE609" s="682"/>
      <c r="FF609" s="682"/>
      <c r="FG609" s="682"/>
      <c r="FH609" s="682"/>
      <c r="FI609" s="682"/>
      <c r="FJ609" s="682"/>
      <c r="FK609" s="682"/>
      <c r="FL609" s="682"/>
      <c r="FM609" s="682"/>
      <c r="FN609" s="682"/>
      <c r="FO609" s="682"/>
      <c r="FP609" s="682"/>
      <c r="FQ609" s="682"/>
      <c r="FR609" s="682"/>
      <c r="FS609" s="682"/>
      <c r="FT609" s="682"/>
      <c r="FU609" s="682"/>
      <c r="FV609" s="682"/>
      <c r="FW609" s="682"/>
      <c r="FX609" s="682"/>
      <c r="FY609" s="682"/>
      <c r="FZ609" s="682"/>
      <c r="GA609" s="682"/>
      <c r="GB609" s="682"/>
      <c r="GC609" s="682"/>
      <c r="GD609" s="682"/>
      <c r="GE609" s="682"/>
      <c r="GF609" s="682"/>
      <c r="GG609" s="682"/>
      <c r="GH609" s="682"/>
      <c r="GI609" s="682"/>
      <c r="GJ609" s="682"/>
      <c r="GK609" s="682"/>
      <c r="GL609" s="682"/>
      <c r="GM609" s="682"/>
      <c r="GN609" s="682"/>
      <c r="GO609" s="682"/>
      <c r="GP609" s="682"/>
      <c r="GQ609" s="682"/>
      <c r="GR609" s="682"/>
      <c r="GS609" s="682"/>
      <c r="GT609" s="682"/>
      <c r="GU609" s="682"/>
      <c r="GV609" s="682"/>
      <c r="GW609" s="682"/>
      <c r="GX609" s="682"/>
      <c r="GY609" s="682"/>
      <c r="GZ609" s="682"/>
      <c r="HA609" s="682"/>
      <c r="HB609" s="682"/>
      <c r="HC609" s="682"/>
      <c r="HD609" s="682"/>
      <c r="HE609" s="682"/>
      <c r="HF609" s="682"/>
      <c r="HG609" s="682"/>
      <c r="HH609" s="682"/>
      <c r="HI609" s="682"/>
      <c r="HJ609" s="682"/>
      <c r="HK609" s="682"/>
      <c r="HL609" s="682"/>
      <c r="HM609" s="682"/>
      <c r="HN609" s="682"/>
      <c r="HO609" s="682"/>
      <c r="HP609" s="682"/>
      <c r="HQ609" s="682"/>
      <c r="HR609" s="682"/>
      <c r="HS609" s="682"/>
      <c r="HT609" s="682"/>
      <c r="HU609" s="682"/>
      <c r="HV609" s="682"/>
      <c r="HW609" s="682"/>
      <c r="HX609" s="682"/>
      <c r="HY609" s="682"/>
      <c r="HZ609" s="682"/>
      <c r="IA609" s="682"/>
      <c r="IB609" s="682"/>
      <c r="IC609" s="682"/>
      <c r="ID609" s="682"/>
      <c r="IE609" s="682"/>
      <c r="IF609" s="682"/>
      <c r="IG609" s="682"/>
      <c r="IH609" s="682"/>
      <c r="II609" s="682"/>
      <c r="IJ609" s="682"/>
      <c r="IK609" s="682"/>
      <c r="IL609" s="682"/>
      <c r="IM609" s="682"/>
      <c r="IN609" s="682"/>
      <c r="IO609" s="682"/>
      <c r="IP609" s="682"/>
      <c r="IQ609" s="682"/>
      <c r="IR609" s="682"/>
      <c r="IS609" s="682"/>
      <c r="IT609" s="682"/>
      <c r="IU609" s="682"/>
      <c r="IV609" s="682"/>
      <c r="IW609" s="682"/>
    </row>
    <row r="610" spans="1:257" s="682" customFormat="1" ht="50.25" customHeight="1">
      <c r="A610" s="713" t="s">
        <v>258</v>
      </c>
      <c r="B610" s="696" t="s">
        <v>1433</v>
      </c>
      <c r="C610" s="713"/>
      <c r="D610" s="713"/>
      <c r="E610" s="725"/>
      <c r="F610" s="725">
        <v>50000000</v>
      </c>
      <c r="G610" s="725">
        <v>30000000</v>
      </c>
      <c r="H610" s="725"/>
      <c r="I610" s="725"/>
      <c r="J610" s="725">
        <v>100000000</v>
      </c>
      <c r="K610" s="818">
        <v>100000000</v>
      </c>
      <c r="L610" s="1325">
        <v>50000000</v>
      </c>
      <c r="M610" s="669"/>
      <c r="N610" s="868"/>
      <c r="O610" s="868"/>
      <c r="P610" s="868"/>
      <c r="Q610" s="868"/>
      <c r="R610" s="908" t="s">
        <v>1077</v>
      </c>
      <c r="S610" s="891"/>
      <c r="T610" s="832"/>
      <c r="U610" s="577"/>
      <c r="V610" s="727"/>
      <c r="W610" s="581"/>
      <c r="X610" s="578"/>
      <c r="Y610" s="582"/>
      <c r="Z610" s="582"/>
      <c r="AA610" s="582"/>
      <c r="AB610" s="582"/>
      <c r="AC610" s="582"/>
      <c r="AD610" s="582"/>
      <c r="AE610" s="582"/>
      <c r="AF610" s="582"/>
      <c r="AG610" s="582"/>
      <c r="AH610" s="582"/>
      <c r="AI610" s="582"/>
      <c r="AJ610" s="582"/>
      <c r="AK610" s="582"/>
      <c r="AL610" s="582"/>
      <c r="AM610" s="582"/>
      <c r="AN610" s="582"/>
      <c r="AO610" s="582"/>
      <c r="AP610" s="582"/>
      <c r="AQ610" s="582"/>
      <c r="AR610" s="582"/>
      <c r="AS610" s="582"/>
      <c r="AT610" s="582"/>
      <c r="AU610" s="582"/>
      <c r="AV610" s="582"/>
      <c r="AW610" s="582"/>
      <c r="AX610" s="582"/>
      <c r="AY610" s="582"/>
      <c r="AZ610" s="582"/>
      <c r="BA610" s="582"/>
      <c r="BB610" s="582"/>
      <c r="BC610" s="582"/>
      <c r="BD610" s="582"/>
      <c r="BE610" s="582"/>
      <c r="BF610" s="582"/>
      <c r="BG610" s="582"/>
      <c r="BH610" s="582"/>
      <c r="BI610" s="582"/>
      <c r="BJ610" s="582"/>
      <c r="BK610" s="582"/>
      <c r="BL610" s="582"/>
      <c r="BM610" s="582"/>
      <c r="BN610" s="582"/>
      <c r="BO610" s="582"/>
      <c r="BP610" s="582"/>
      <c r="BQ610" s="582"/>
      <c r="BR610" s="582"/>
      <c r="BS610" s="582"/>
      <c r="BT610" s="582"/>
      <c r="BU610" s="582"/>
      <c r="BV610" s="582"/>
      <c r="BW610" s="582"/>
      <c r="BX610" s="582"/>
      <c r="BY610" s="582"/>
      <c r="BZ610" s="582"/>
      <c r="CA610" s="582"/>
      <c r="CB610" s="582"/>
      <c r="CC610" s="582"/>
      <c r="CD610" s="582"/>
      <c r="CE610" s="582"/>
      <c r="CF610" s="582"/>
      <c r="CG610" s="582"/>
      <c r="CH610" s="582"/>
      <c r="CI610" s="582"/>
      <c r="CJ610" s="582"/>
      <c r="CK610" s="582"/>
      <c r="CL610" s="582"/>
      <c r="CM610" s="582"/>
      <c r="CN610" s="582"/>
      <c r="CO610" s="582"/>
      <c r="CP610" s="582"/>
      <c r="CQ610" s="582"/>
      <c r="CR610" s="582"/>
      <c r="CS610" s="582"/>
      <c r="CT610" s="582"/>
      <c r="CU610" s="582"/>
      <c r="CV610" s="582"/>
      <c r="CW610" s="582"/>
      <c r="CX610" s="582"/>
      <c r="CY610" s="582"/>
      <c r="CZ610" s="582"/>
      <c r="DA610" s="582"/>
      <c r="DB610" s="582"/>
      <c r="DC610" s="582"/>
      <c r="DD610" s="582"/>
      <c r="DE610" s="582"/>
      <c r="DF610" s="582"/>
      <c r="DG610" s="582"/>
      <c r="DH610" s="582"/>
      <c r="DI610" s="582"/>
      <c r="DJ610" s="582"/>
      <c r="DK610" s="582"/>
      <c r="DL610" s="582"/>
      <c r="DM610" s="582"/>
      <c r="DN610" s="582"/>
      <c r="DO610" s="582"/>
      <c r="DP610" s="582"/>
      <c r="DQ610" s="582"/>
      <c r="DR610" s="582"/>
      <c r="DS610" s="582"/>
      <c r="DT610" s="582"/>
      <c r="DU610" s="582"/>
      <c r="DV610" s="582"/>
      <c r="DW610" s="582"/>
      <c r="DX610" s="582"/>
      <c r="DY610" s="582"/>
      <c r="DZ610" s="582"/>
      <c r="EA610" s="582"/>
      <c r="EB610" s="582"/>
      <c r="EC610" s="582"/>
      <c r="ED610" s="582"/>
      <c r="EE610" s="582"/>
      <c r="EF610" s="582"/>
      <c r="EG610" s="582"/>
      <c r="EH610" s="582"/>
      <c r="EI610" s="582"/>
      <c r="EJ610" s="582"/>
      <c r="EK610" s="582"/>
      <c r="EL610" s="582"/>
      <c r="EM610" s="582"/>
      <c r="EN610" s="582"/>
      <c r="EO610" s="582"/>
      <c r="EP610" s="582"/>
      <c r="EQ610" s="582"/>
      <c r="ER610" s="582"/>
      <c r="ES610" s="582"/>
      <c r="ET610" s="582"/>
      <c r="EU610" s="582"/>
      <c r="EV610" s="582"/>
      <c r="EW610" s="582"/>
      <c r="EX610" s="582"/>
      <c r="EY610" s="582"/>
      <c r="EZ610" s="582"/>
      <c r="FA610" s="582"/>
      <c r="FB610" s="582"/>
      <c r="FC610" s="582"/>
      <c r="FD610" s="582"/>
      <c r="FE610" s="582"/>
      <c r="FF610" s="582"/>
      <c r="FG610" s="582"/>
      <c r="FH610" s="582"/>
      <c r="FI610" s="582"/>
      <c r="FJ610" s="582"/>
      <c r="FK610" s="582"/>
      <c r="FL610" s="582"/>
      <c r="FM610" s="582"/>
      <c r="FN610" s="582"/>
      <c r="FO610" s="582"/>
      <c r="FP610" s="582"/>
      <c r="FQ610" s="582"/>
      <c r="FR610" s="582"/>
      <c r="FS610" s="582"/>
      <c r="FT610" s="582"/>
      <c r="FU610" s="582"/>
      <c r="FV610" s="582"/>
      <c r="FW610" s="582"/>
      <c r="FX610" s="582"/>
      <c r="FY610" s="582"/>
      <c r="FZ610" s="582"/>
      <c r="GA610" s="582"/>
      <c r="GB610" s="582"/>
      <c r="GC610" s="582"/>
      <c r="GD610" s="582"/>
      <c r="GE610" s="582"/>
      <c r="GF610" s="582"/>
      <c r="GG610" s="582"/>
      <c r="GH610" s="582"/>
      <c r="GI610" s="582"/>
      <c r="GJ610" s="582"/>
      <c r="GK610" s="582"/>
      <c r="GL610" s="582"/>
      <c r="GM610" s="582"/>
      <c r="GN610" s="582"/>
      <c r="GO610" s="582"/>
      <c r="GP610" s="582"/>
      <c r="GQ610" s="582"/>
      <c r="GR610" s="582"/>
      <c r="GS610" s="582"/>
      <c r="GT610" s="582"/>
      <c r="GU610" s="582"/>
      <c r="GV610" s="582"/>
      <c r="GW610" s="582"/>
      <c r="GX610" s="582"/>
      <c r="GY610" s="582"/>
      <c r="GZ610" s="582"/>
      <c r="HA610" s="582"/>
      <c r="HB610" s="582"/>
      <c r="HC610" s="582"/>
      <c r="HD610" s="582"/>
      <c r="HE610" s="582"/>
      <c r="HF610" s="582"/>
      <c r="HG610" s="582"/>
      <c r="HH610" s="582"/>
      <c r="HI610" s="582"/>
      <c r="HJ610" s="582"/>
      <c r="HK610" s="582"/>
      <c r="HL610" s="582"/>
      <c r="HM610" s="582"/>
      <c r="HN610" s="582"/>
      <c r="HO610" s="582"/>
      <c r="HP610" s="582"/>
      <c r="HQ610" s="582"/>
      <c r="HR610" s="582"/>
      <c r="HS610" s="582"/>
      <c r="HT610" s="582"/>
      <c r="HU610" s="582"/>
      <c r="HV610" s="582"/>
      <c r="HW610" s="582"/>
      <c r="HX610" s="582"/>
      <c r="HY610" s="582"/>
      <c r="HZ610" s="582"/>
      <c r="IA610" s="582"/>
      <c r="IB610" s="582"/>
      <c r="IC610" s="582"/>
      <c r="ID610" s="582"/>
      <c r="IE610" s="582"/>
      <c r="IF610" s="582"/>
      <c r="IG610" s="582"/>
      <c r="IH610" s="582"/>
      <c r="II610" s="582"/>
      <c r="IJ610" s="582"/>
      <c r="IK610" s="582"/>
      <c r="IL610" s="582"/>
      <c r="IM610" s="582"/>
      <c r="IN610" s="582"/>
      <c r="IO610" s="582"/>
      <c r="IP610" s="582"/>
      <c r="IQ610" s="582"/>
      <c r="IR610" s="582"/>
      <c r="IS610" s="582"/>
      <c r="IT610" s="582"/>
      <c r="IU610" s="582"/>
      <c r="IV610" s="582"/>
      <c r="IW610" s="582"/>
    </row>
    <row r="611" spans="1:257" s="682" customFormat="1" ht="31.5">
      <c r="A611" s="713" t="s">
        <v>258</v>
      </c>
      <c r="B611" s="696" t="s">
        <v>387</v>
      </c>
      <c r="C611" s="683"/>
      <c r="D611" s="683"/>
      <c r="E611" s="669"/>
      <c r="F611" s="725">
        <v>50000000</v>
      </c>
      <c r="G611" s="669"/>
      <c r="H611" s="669"/>
      <c r="I611" s="669"/>
      <c r="J611" s="725">
        <v>110000000</v>
      </c>
      <c r="K611" s="818">
        <v>80000000</v>
      </c>
      <c r="L611" s="1325">
        <v>80000000</v>
      </c>
      <c r="M611" s="669"/>
      <c r="N611" s="868"/>
      <c r="O611" s="868"/>
      <c r="P611" s="837"/>
      <c r="Q611" s="837"/>
      <c r="R611" s="908"/>
      <c r="S611" s="871"/>
      <c r="T611" s="824"/>
      <c r="U611" s="721"/>
      <c r="V611" s="581"/>
      <c r="W611" s="727"/>
      <c r="X611" s="728"/>
    </row>
    <row r="612" spans="1:257" s="582" customFormat="1" ht="60" customHeight="1">
      <c r="A612" s="713" t="s">
        <v>258</v>
      </c>
      <c r="B612" s="696" t="s">
        <v>1078</v>
      </c>
      <c r="C612" s="713"/>
      <c r="D612" s="713"/>
      <c r="E612" s="725"/>
      <c r="F612" s="725">
        <v>150000000</v>
      </c>
      <c r="G612" s="725"/>
      <c r="H612" s="725"/>
      <c r="I612" s="725"/>
      <c r="J612" s="725">
        <v>150000000</v>
      </c>
      <c r="K612" s="818">
        <v>120000000</v>
      </c>
      <c r="L612" s="1325">
        <v>120000000</v>
      </c>
      <c r="M612" s="669"/>
      <c r="N612" s="868"/>
      <c r="O612" s="868"/>
      <c r="P612" s="868"/>
      <c r="Q612" s="868"/>
      <c r="R612" s="871"/>
      <c r="S612" s="871"/>
      <c r="T612" s="824"/>
      <c r="U612" s="814"/>
      <c r="V612" s="727"/>
      <c r="W612" s="727"/>
      <c r="X612" s="728"/>
      <c r="Y612" s="682"/>
      <c r="Z612" s="682"/>
      <c r="AA612" s="682"/>
      <c r="AB612" s="682"/>
      <c r="AC612" s="682"/>
      <c r="AD612" s="682"/>
      <c r="AE612" s="682"/>
      <c r="AF612" s="682"/>
      <c r="AG612" s="682"/>
      <c r="AH612" s="682"/>
      <c r="AI612" s="682"/>
      <c r="AJ612" s="682"/>
      <c r="AK612" s="682"/>
      <c r="AL612" s="682"/>
      <c r="AM612" s="682"/>
      <c r="AN612" s="682"/>
      <c r="AO612" s="682"/>
      <c r="AP612" s="682"/>
      <c r="AQ612" s="682"/>
      <c r="AR612" s="682"/>
      <c r="AS612" s="682"/>
      <c r="AT612" s="682"/>
      <c r="AU612" s="682"/>
      <c r="AV612" s="682"/>
      <c r="AW612" s="682"/>
      <c r="AX612" s="682"/>
      <c r="AY612" s="682"/>
      <c r="AZ612" s="682"/>
      <c r="BA612" s="682"/>
      <c r="BB612" s="682"/>
      <c r="BC612" s="682"/>
      <c r="BD612" s="682"/>
      <c r="BE612" s="682"/>
      <c r="BF612" s="682"/>
      <c r="BG612" s="682"/>
      <c r="BH612" s="682"/>
      <c r="BI612" s="682"/>
      <c r="BJ612" s="682"/>
      <c r="BK612" s="682"/>
      <c r="BL612" s="682"/>
      <c r="BM612" s="682"/>
      <c r="BN612" s="682"/>
      <c r="BO612" s="682"/>
      <c r="BP612" s="682"/>
      <c r="BQ612" s="682"/>
      <c r="BR612" s="682"/>
      <c r="BS612" s="682"/>
      <c r="BT612" s="682"/>
      <c r="BU612" s="682"/>
      <c r="BV612" s="682"/>
      <c r="BW612" s="682"/>
      <c r="BX612" s="682"/>
      <c r="BY612" s="682"/>
      <c r="BZ612" s="682"/>
      <c r="CA612" s="682"/>
      <c r="CB612" s="682"/>
      <c r="CC612" s="682"/>
      <c r="CD612" s="682"/>
      <c r="CE612" s="682"/>
      <c r="CF612" s="682"/>
      <c r="CG612" s="682"/>
      <c r="CH612" s="682"/>
      <c r="CI612" s="682"/>
      <c r="CJ612" s="682"/>
      <c r="CK612" s="682"/>
      <c r="CL612" s="682"/>
      <c r="CM612" s="682"/>
      <c r="CN612" s="682"/>
      <c r="CO612" s="682"/>
      <c r="CP612" s="682"/>
      <c r="CQ612" s="682"/>
      <c r="CR612" s="682"/>
      <c r="CS612" s="682"/>
      <c r="CT612" s="682"/>
      <c r="CU612" s="682"/>
      <c r="CV612" s="682"/>
      <c r="CW612" s="682"/>
      <c r="CX612" s="682"/>
      <c r="CY612" s="682"/>
      <c r="CZ612" s="682"/>
      <c r="DA612" s="682"/>
      <c r="DB612" s="682"/>
      <c r="DC612" s="682"/>
      <c r="DD612" s="682"/>
      <c r="DE612" s="682"/>
      <c r="DF612" s="682"/>
      <c r="DG612" s="682"/>
      <c r="DH612" s="682"/>
      <c r="DI612" s="682"/>
      <c r="DJ612" s="682"/>
      <c r="DK612" s="682"/>
      <c r="DL612" s="682"/>
      <c r="DM612" s="682"/>
      <c r="DN612" s="682"/>
      <c r="DO612" s="682"/>
      <c r="DP612" s="682"/>
      <c r="DQ612" s="682"/>
      <c r="DR612" s="682"/>
      <c r="DS612" s="682"/>
      <c r="DT612" s="682"/>
      <c r="DU612" s="682"/>
      <c r="DV612" s="682"/>
      <c r="DW612" s="682"/>
      <c r="DX612" s="682"/>
      <c r="DY612" s="682"/>
      <c r="DZ612" s="682"/>
      <c r="EA612" s="682"/>
      <c r="EB612" s="682"/>
      <c r="EC612" s="682"/>
      <c r="ED612" s="682"/>
      <c r="EE612" s="682"/>
      <c r="EF612" s="682"/>
      <c r="EG612" s="682"/>
      <c r="EH612" s="682"/>
      <c r="EI612" s="682"/>
      <c r="EJ612" s="682"/>
      <c r="EK612" s="682"/>
      <c r="EL612" s="682"/>
      <c r="EM612" s="682"/>
      <c r="EN612" s="682"/>
      <c r="EO612" s="682"/>
      <c r="EP612" s="682"/>
      <c r="EQ612" s="682"/>
      <c r="ER612" s="682"/>
      <c r="ES612" s="682"/>
      <c r="ET612" s="682"/>
      <c r="EU612" s="682"/>
      <c r="EV612" s="682"/>
      <c r="EW612" s="682"/>
      <c r="EX612" s="682"/>
      <c r="EY612" s="682"/>
      <c r="EZ612" s="682"/>
      <c r="FA612" s="682"/>
      <c r="FB612" s="682"/>
      <c r="FC612" s="682"/>
      <c r="FD612" s="682"/>
      <c r="FE612" s="682"/>
      <c r="FF612" s="682"/>
      <c r="FG612" s="682"/>
      <c r="FH612" s="682"/>
      <c r="FI612" s="682"/>
      <c r="FJ612" s="682"/>
      <c r="FK612" s="682"/>
      <c r="FL612" s="682"/>
      <c r="FM612" s="682"/>
      <c r="FN612" s="682"/>
      <c r="FO612" s="682"/>
      <c r="FP612" s="682"/>
      <c r="FQ612" s="682"/>
      <c r="FR612" s="682"/>
      <c r="FS612" s="682"/>
      <c r="FT612" s="682"/>
      <c r="FU612" s="682"/>
      <c r="FV612" s="682"/>
      <c r="FW612" s="682"/>
      <c r="FX612" s="682"/>
      <c r="FY612" s="682"/>
      <c r="FZ612" s="682"/>
      <c r="GA612" s="682"/>
      <c r="GB612" s="682"/>
      <c r="GC612" s="682"/>
      <c r="GD612" s="682"/>
      <c r="GE612" s="682"/>
      <c r="GF612" s="682"/>
      <c r="GG612" s="682"/>
      <c r="GH612" s="682"/>
      <c r="GI612" s="682"/>
      <c r="GJ612" s="682"/>
      <c r="GK612" s="682"/>
      <c r="GL612" s="682"/>
      <c r="GM612" s="682"/>
      <c r="GN612" s="682"/>
      <c r="GO612" s="682"/>
      <c r="GP612" s="682"/>
      <c r="GQ612" s="682"/>
      <c r="GR612" s="682"/>
      <c r="GS612" s="682"/>
      <c r="GT612" s="682"/>
      <c r="GU612" s="682"/>
      <c r="GV612" s="682"/>
      <c r="GW612" s="682"/>
      <c r="GX612" s="682"/>
      <c r="GY612" s="682"/>
      <c r="GZ612" s="682"/>
      <c r="HA612" s="682"/>
      <c r="HB612" s="682"/>
      <c r="HC612" s="682"/>
      <c r="HD612" s="682"/>
      <c r="HE612" s="682"/>
      <c r="HF612" s="682"/>
      <c r="HG612" s="682"/>
      <c r="HH612" s="682"/>
      <c r="HI612" s="682"/>
      <c r="HJ612" s="682"/>
      <c r="HK612" s="682"/>
      <c r="HL612" s="682"/>
      <c r="HM612" s="682"/>
      <c r="HN612" s="682"/>
      <c r="HO612" s="682"/>
      <c r="HP612" s="682"/>
      <c r="HQ612" s="682"/>
      <c r="HR612" s="682"/>
      <c r="HS612" s="682"/>
      <c r="HT612" s="682"/>
      <c r="HU612" s="682"/>
      <c r="HV612" s="682"/>
      <c r="HW612" s="682"/>
      <c r="HX612" s="682"/>
      <c r="HY612" s="682"/>
      <c r="HZ612" s="682"/>
      <c r="IA612" s="682"/>
      <c r="IB612" s="682"/>
      <c r="IC612" s="682"/>
      <c r="ID612" s="682"/>
      <c r="IE612" s="682"/>
      <c r="IF612" s="682"/>
      <c r="IG612" s="682"/>
      <c r="IH612" s="682"/>
      <c r="II612" s="682"/>
      <c r="IJ612" s="682"/>
      <c r="IK612" s="682"/>
      <c r="IL612" s="682"/>
      <c r="IM612" s="682"/>
      <c r="IN612" s="682"/>
      <c r="IO612" s="682"/>
      <c r="IP612" s="682"/>
      <c r="IQ612" s="682"/>
      <c r="IR612" s="682"/>
      <c r="IS612" s="682"/>
      <c r="IT612" s="682"/>
      <c r="IU612" s="682"/>
      <c r="IV612" s="682"/>
      <c r="IW612" s="682"/>
    </row>
    <row r="613" spans="1:257" s="582" customFormat="1">
      <c r="A613" s="713" t="s">
        <v>258</v>
      </c>
      <c r="B613" s="711" t="s">
        <v>1444</v>
      </c>
      <c r="C613" s="713"/>
      <c r="D613" s="713"/>
      <c r="E613" s="725"/>
      <c r="F613" s="725"/>
      <c r="G613" s="725"/>
      <c r="H613" s="725"/>
      <c r="I613" s="725"/>
      <c r="J613" s="725">
        <v>15000000</v>
      </c>
      <c r="K613" s="818">
        <v>0</v>
      </c>
      <c r="L613" s="1325">
        <v>15000000</v>
      </c>
      <c r="M613" s="669"/>
      <c r="N613" s="868"/>
      <c r="O613" s="868"/>
      <c r="P613" s="868"/>
      <c r="Q613" s="868"/>
      <c r="R613" s="871"/>
      <c r="S613" s="871"/>
      <c r="T613" s="824"/>
      <c r="U613" s="814"/>
      <c r="V613" s="727"/>
      <c r="W613" s="727"/>
      <c r="X613" s="728"/>
      <c r="Y613" s="682"/>
      <c r="Z613" s="682"/>
      <c r="AA613" s="682"/>
      <c r="AB613" s="682"/>
      <c r="AC613" s="682"/>
      <c r="AD613" s="682"/>
      <c r="AE613" s="682"/>
      <c r="AF613" s="682"/>
      <c r="AG613" s="682"/>
      <c r="AH613" s="682"/>
      <c r="AI613" s="682"/>
      <c r="AJ613" s="682"/>
      <c r="AK613" s="682"/>
      <c r="AL613" s="682"/>
      <c r="AM613" s="682"/>
      <c r="AN613" s="682"/>
      <c r="AO613" s="682"/>
      <c r="AP613" s="682"/>
      <c r="AQ613" s="682"/>
      <c r="AR613" s="682"/>
      <c r="AS613" s="682"/>
      <c r="AT613" s="682"/>
      <c r="AU613" s="682"/>
      <c r="AV613" s="682"/>
      <c r="AW613" s="682"/>
      <c r="AX613" s="682"/>
      <c r="AY613" s="682"/>
      <c r="AZ613" s="682"/>
      <c r="BA613" s="682"/>
      <c r="BB613" s="682"/>
      <c r="BC613" s="682"/>
      <c r="BD613" s="682"/>
      <c r="BE613" s="682"/>
      <c r="BF613" s="682"/>
      <c r="BG613" s="682"/>
      <c r="BH613" s="682"/>
      <c r="BI613" s="682"/>
      <c r="BJ613" s="682"/>
      <c r="BK613" s="682"/>
      <c r="BL613" s="682"/>
      <c r="BM613" s="682"/>
      <c r="BN613" s="682"/>
      <c r="BO613" s="682"/>
      <c r="BP613" s="682"/>
      <c r="BQ613" s="682"/>
      <c r="BR613" s="682"/>
      <c r="BS613" s="682"/>
      <c r="BT613" s="682"/>
      <c r="BU613" s="682"/>
      <c r="BV613" s="682"/>
      <c r="BW613" s="682"/>
      <c r="BX613" s="682"/>
      <c r="BY613" s="682"/>
      <c r="BZ613" s="682"/>
      <c r="CA613" s="682"/>
      <c r="CB613" s="682"/>
      <c r="CC613" s="682"/>
      <c r="CD613" s="682"/>
      <c r="CE613" s="682"/>
      <c r="CF613" s="682"/>
      <c r="CG613" s="682"/>
      <c r="CH613" s="682"/>
      <c r="CI613" s="682"/>
      <c r="CJ613" s="682"/>
      <c r="CK613" s="682"/>
      <c r="CL613" s="682"/>
      <c r="CM613" s="682"/>
      <c r="CN613" s="682"/>
      <c r="CO613" s="682"/>
      <c r="CP613" s="682"/>
      <c r="CQ613" s="682"/>
      <c r="CR613" s="682"/>
      <c r="CS613" s="682"/>
      <c r="CT613" s="682"/>
      <c r="CU613" s="682"/>
      <c r="CV613" s="682"/>
      <c r="CW613" s="682"/>
      <c r="CX613" s="682"/>
      <c r="CY613" s="682"/>
      <c r="CZ613" s="682"/>
      <c r="DA613" s="682"/>
      <c r="DB613" s="682"/>
      <c r="DC613" s="682"/>
      <c r="DD613" s="682"/>
      <c r="DE613" s="682"/>
      <c r="DF613" s="682"/>
      <c r="DG613" s="682"/>
      <c r="DH613" s="682"/>
      <c r="DI613" s="682"/>
      <c r="DJ613" s="682"/>
      <c r="DK613" s="682"/>
      <c r="DL613" s="682"/>
      <c r="DM613" s="682"/>
      <c r="DN613" s="682"/>
      <c r="DO613" s="682"/>
      <c r="DP613" s="682"/>
      <c r="DQ613" s="682"/>
      <c r="DR613" s="682"/>
      <c r="DS613" s="682"/>
      <c r="DT613" s="682"/>
      <c r="DU613" s="682"/>
      <c r="DV613" s="682"/>
      <c r="DW613" s="682"/>
      <c r="DX613" s="682"/>
      <c r="DY613" s="682"/>
      <c r="DZ613" s="682"/>
      <c r="EA613" s="682"/>
      <c r="EB613" s="682"/>
      <c r="EC613" s="682"/>
      <c r="ED613" s="682"/>
      <c r="EE613" s="682"/>
      <c r="EF613" s="682"/>
      <c r="EG613" s="682"/>
      <c r="EH613" s="682"/>
      <c r="EI613" s="682"/>
      <c r="EJ613" s="682"/>
      <c r="EK613" s="682"/>
      <c r="EL613" s="682"/>
      <c r="EM613" s="682"/>
      <c r="EN613" s="682"/>
      <c r="EO613" s="682"/>
      <c r="EP613" s="682"/>
      <c r="EQ613" s="682"/>
      <c r="ER613" s="682"/>
      <c r="ES613" s="682"/>
      <c r="ET613" s="682"/>
      <c r="EU613" s="682"/>
      <c r="EV613" s="682"/>
      <c r="EW613" s="682"/>
      <c r="EX613" s="682"/>
      <c r="EY613" s="682"/>
      <c r="EZ613" s="682"/>
      <c r="FA613" s="682"/>
      <c r="FB613" s="682"/>
      <c r="FC613" s="682"/>
      <c r="FD613" s="682"/>
      <c r="FE613" s="682"/>
      <c r="FF613" s="682"/>
      <c r="FG613" s="682"/>
      <c r="FH613" s="682"/>
      <c r="FI613" s="682"/>
      <c r="FJ613" s="682"/>
      <c r="FK613" s="682"/>
      <c r="FL613" s="682"/>
      <c r="FM613" s="682"/>
      <c r="FN613" s="682"/>
      <c r="FO613" s="682"/>
      <c r="FP613" s="682"/>
      <c r="FQ613" s="682"/>
      <c r="FR613" s="682"/>
      <c r="FS613" s="682"/>
      <c r="FT613" s="682"/>
      <c r="FU613" s="682"/>
      <c r="FV613" s="682"/>
      <c r="FW613" s="682"/>
      <c r="FX613" s="682"/>
      <c r="FY613" s="682"/>
      <c r="FZ613" s="682"/>
      <c r="GA613" s="682"/>
      <c r="GB613" s="682"/>
      <c r="GC613" s="682"/>
      <c r="GD613" s="682"/>
      <c r="GE613" s="682"/>
      <c r="GF613" s="682"/>
      <c r="GG613" s="682"/>
      <c r="GH613" s="682"/>
      <c r="GI613" s="682"/>
      <c r="GJ613" s="682"/>
      <c r="GK613" s="682"/>
      <c r="GL613" s="682"/>
      <c r="GM613" s="682"/>
      <c r="GN613" s="682"/>
      <c r="GO613" s="682"/>
      <c r="GP613" s="682"/>
      <c r="GQ613" s="682"/>
      <c r="GR613" s="682"/>
      <c r="GS613" s="682"/>
      <c r="GT613" s="682"/>
      <c r="GU613" s="682"/>
      <c r="GV613" s="682"/>
      <c r="GW613" s="682"/>
      <c r="GX613" s="682"/>
      <c r="GY613" s="682"/>
      <c r="GZ613" s="682"/>
      <c r="HA613" s="682"/>
      <c r="HB613" s="682"/>
      <c r="HC613" s="682"/>
      <c r="HD613" s="682"/>
      <c r="HE613" s="682"/>
      <c r="HF613" s="682"/>
      <c r="HG613" s="682"/>
      <c r="HH613" s="682"/>
      <c r="HI613" s="682"/>
      <c r="HJ613" s="682"/>
      <c r="HK613" s="682"/>
      <c r="HL613" s="682"/>
      <c r="HM613" s="682"/>
      <c r="HN613" s="682"/>
      <c r="HO613" s="682"/>
      <c r="HP613" s="682"/>
      <c r="HQ613" s="682"/>
      <c r="HR613" s="682"/>
      <c r="HS613" s="682"/>
      <c r="HT613" s="682"/>
      <c r="HU613" s="682"/>
      <c r="HV613" s="682"/>
      <c r="HW613" s="682"/>
      <c r="HX613" s="682"/>
      <c r="HY613" s="682"/>
      <c r="HZ613" s="682"/>
      <c r="IA613" s="682"/>
      <c r="IB613" s="682"/>
      <c r="IC613" s="682"/>
      <c r="ID613" s="682"/>
      <c r="IE613" s="682"/>
      <c r="IF613" s="682"/>
      <c r="IG613" s="682"/>
      <c r="IH613" s="682"/>
      <c r="II613" s="682"/>
      <c r="IJ613" s="682"/>
      <c r="IK613" s="682"/>
      <c r="IL613" s="682"/>
      <c r="IM613" s="682"/>
      <c r="IN613" s="682"/>
      <c r="IO613" s="682"/>
      <c r="IP613" s="682"/>
      <c r="IQ613" s="682"/>
      <c r="IR613" s="682"/>
      <c r="IS613" s="682"/>
      <c r="IT613" s="682"/>
      <c r="IU613" s="682"/>
      <c r="IV613" s="682"/>
      <c r="IW613" s="682"/>
    </row>
    <row r="614" spans="1:257" s="682" customFormat="1" ht="31.5">
      <c r="A614" s="713" t="s">
        <v>258</v>
      </c>
      <c r="B614" s="696" t="s">
        <v>389</v>
      </c>
      <c r="C614" s="713"/>
      <c r="D614" s="713"/>
      <c r="E614" s="725"/>
      <c r="F614" s="725">
        <v>60000000</v>
      </c>
      <c r="G614" s="725"/>
      <c r="H614" s="725"/>
      <c r="I614" s="725"/>
      <c r="J614" s="725">
        <v>60000000</v>
      </c>
      <c r="K614" s="818">
        <v>60000000</v>
      </c>
      <c r="L614" s="1325">
        <v>50000000</v>
      </c>
      <c r="M614" s="669"/>
      <c r="N614" s="868"/>
      <c r="O614" s="868"/>
      <c r="P614" s="868"/>
      <c r="Q614" s="868"/>
      <c r="R614" s="871"/>
      <c r="S614" s="1059"/>
      <c r="T614" s="1060"/>
      <c r="U614" s="814"/>
      <c r="V614" s="581"/>
      <c r="W614" s="581"/>
      <c r="X614" s="578"/>
      <c r="Y614" s="582"/>
      <c r="Z614" s="582"/>
      <c r="AA614" s="582"/>
      <c r="AB614" s="582"/>
      <c r="AC614" s="582"/>
      <c r="AD614" s="582"/>
      <c r="AE614" s="582"/>
      <c r="AF614" s="582"/>
      <c r="AG614" s="582"/>
      <c r="AH614" s="582"/>
      <c r="AI614" s="582"/>
      <c r="AJ614" s="582"/>
      <c r="AK614" s="582"/>
      <c r="AL614" s="582"/>
      <c r="AM614" s="582"/>
      <c r="AN614" s="582"/>
      <c r="AO614" s="582"/>
      <c r="AP614" s="582"/>
      <c r="AQ614" s="582"/>
      <c r="AR614" s="582"/>
      <c r="AS614" s="582"/>
      <c r="AT614" s="582"/>
      <c r="AU614" s="582"/>
      <c r="AV614" s="582"/>
      <c r="AW614" s="582"/>
      <c r="AX614" s="582"/>
      <c r="AY614" s="582"/>
      <c r="AZ614" s="582"/>
      <c r="BA614" s="582"/>
      <c r="BB614" s="582"/>
      <c r="BC614" s="582"/>
      <c r="BD614" s="582"/>
      <c r="BE614" s="582"/>
      <c r="BF614" s="582"/>
      <c r="BG614" s="582"/>
      <c r="BH614" s="582"/>
      <c r="BI614" s="582"/>
      <c r="BJ614" s="582"/>
      <c r="BK614" s="582"/>
      <c r="BL614" s="582"/>
      <c r="BM614" s="582"/>
      <c r="BN614" s="582"/>
      <c r="BO614" s="582"/>
      <c r="BP614" s="582"/>
      <c r="BQ614" s="582"/>
      <c r="BR614" s="582"/>
      <c r="BS614" s="582"/>
      <c r="BT614" s="582"/>
      <c r="BU614" s="582"/>
      <c r="BV614" s="582"/>
      <c r="BW614" s="582"/>
      <c r="BX614" s="582"/>
      <c r="BY614" s="582"/>
      <c r="BZ614" s="582"/>
      <c r="CA614" s="582"/>
      <c r="CB614" s="582"/>
      <c r="CC614" s="582"/>
      <c r="CD614" s="582"/>
      <c r="CE614" s="582"/>
      <c r="CF614" s="582"/>
      <c r="CG614" s="582"/>
      <c r="CH614" s="582"/>
      <c r="CI614" s="582"/>
      <c r="CJ614" s="582"/>
      <c r="CK614" s="582"/>
      <c r="CL614" s="582"/>
      <c r="CM614" s="582"/>
      <c r="CN614" s="582"/>
      <c r="CO614" s="582"/>
      <c r="CP614" s="582"/>
      <c r="CQ614" s="582"/>
      <c r="CR614" s="582"/>
      <c r="CS614" s="582"/>
      <c r="CT614" s="582"/>
      <c r="CU614" s="582"/>
      <c r="CV614" s="582"/>
      <c r="CW614" s="582"/>
      <c r="CX614" s="582"/>
      <c r="CY614" s="582"/>
      <c r="CZ614" s="582"/>
      <c r="DA614" s="582"/>
      <c r="DB614" s="582"/>
      <c r="DC614" s="582"/>
      <c r="DD614" s="582"/>
      <c r="DE614" s="582"/>
      <c r="DF614" s="582"/>
      <c r="DG614" s="582"/>
      <c r="DH614" s="582"/>
      <c r="DI614" s="582"/>
      <c r="DJ614" s="582"/>
      <c r="DK614" s="582"/>
      <c r="DL614" s="582"/>
      <c r="DM614" s="582"/>
      <c r="DN614" s="582"/>
      <c r="DO614" s="582"/>
      <c r="DP614" s="582"/>
      <c r="DQ614" s="582"/>
      <c r="DR614" s="582"/>
      <c r="DS614" s="582"/>
      <c r="DT614" s="582"/>
      <c r="DU614" s="582"/>
      <c r="DV614" s="582"/>
      <c r="DW614" s="582"/>
      <c r="DX614" s="582"/>
      <c r="DY614" s="582"/>
      <c r="DZ614" s="582"/>
      <c r="EA614" s="582"/>
      <c r="EB614" s="582"/>
      <c r="EC614" s="582"/>
      <c r="ED614" s="582"/>
      <c r="EE614" s="582"/>
      <c r="EF614" s="582"/>
      <c r="EG614" s="582"/>
      <c r="EH614" s="582"/>
      <c r="EI614" s="582"/>
      <c r="EJ614" s="582"/>
      <c r="EK614" s="582"/>
      <c r="EL614" s="582"/>
      <c r="EM614" s="582"/>
      <c r="EN614" s="582"/>
      <c r="EO614" s="582"/>
      <c r="EP614" s="582"/>
      <c r="EQ614" s="582"/>
      <c r="ER614" s="582"/>
      <c r="ES614" s="582"/>
      <c r="ET614" s="582"/>
      <c r="EU614" s="582"/>
      <c r="EV614" s="582"/>
      <c r="EW614" s="582"/>
      <c r="EX614" s="582"/>
      <c r="EY614" s="582"/>
      <c r="EZ614" s="582"/>
      <c r="FA614" s="582"/>
      <c r="FB614" s="582"/>
      <c r="FC614" s="582"/>
      <c r="FD614" s="582"/>
      <c r="FE614" s="582"/>
      <c r="FF614" s="582"/>
      <c r="FG614" s="582"/>
      <c r="FH614" s="582"/>
      <c r="FI614" s="582"/>
      <c r="FJ614" s="582"/>
      <c r="FK614" s="582"/>
      <c r="FL614" s="582"/>
      <c r="FM614" s="582"/>
      <c r="FN614" s="582"/>
      <c r="FO614" s="582"/>
      <c r="FP614" s="582"/>
      <c r="FQ614" s="582"/>
      <c r="FR614" s="582"/>
      <c r="FS614" s="582"/>
      <c r="FT614" s="582"/>
      <c r="FU614" s="582"/>
      <c r="FV614" s="582"/>
      <c r="FW614" s="582"/>
      <c r="FX614" s="582"/>
      <c r="FY614" s="582"/>
      <c r="FZ614" s="582"/>
      <c r="GA614" s="582"/>
      <c r="GB614" s="582"/>
      <c r="GC614" s="582"/>
      <c r="GD614" s="582"/>
      <c r="GE614" s="582"/>
      <c r="GF614" s="582"/>
      <c r="GG614" s="582"/>
      <c r="GH614" s="582"/>
      <c r="GI614" s="582"/>
      <c r="GJ614" s="582"/>
      <c r="GK614" s="582"/>
      <c r="GL614" s="582"/>
      <c r="GM614" s="582"/>
      <c r="GN614" s="582"/>
      <c r="GO614" s="582"/>
      <c r="GP614" s="582"/>
      <c r="GQ614" s="582"/>
      <c r="GR614" s="582"/>
      <c r="GS614" s="582"/>
      <c r="GT614" s="582"/>
      <c r="GU614" s="582"/>
      <c r="GV614" s="582"/>
      <c r="GW614" s="582"/>
      <c r="GX614" s="582"/>
      <c r="GY614" s="582"/>
      <c r="GZ614" s="582"/>
      <c r="HA614" s="582"/>
      <c r="HB614" s="582"/>
      <c r="HC614" s="582"/>
      <c r="HD614" s="582"/>
      <c r="HE614" s="582"/>
      <c r="HF614" s="582"/>
      <c r="HG614" s="582"/>
      <c r="HH614" s="582"/>
      <c r="HI614" s="582"/>
      <c r="HJ614" s="582"/>
      <c r="HK614" s="582"/>
      <c r="HL614" s="582"/>
      <c r="HM614" s="582"/>
      <c r="HN614" s="582"/>
      <c r="HO614" s="582"/>
      <c r="HP614" s="582"/>
      <c r="HQ614" s="582"/>
      <c r="HR614" s="582"/>
      <c r="HS614" s="582"/>
      <c r="HT614" s="582"/>
      <c r="HU614" s="582"/>
      <c r="HV614" s="582"/>
      <c r="HW614" s="582"/>
      <c r="HX614" s="582"/>
      <c r="HY614" s="582"/>
      <c r="HZ614" s="582"/>
      <c r="IA614" s="582"/>
      <c r="IB614" s="582"/>
      <c r="IC614" s="582"/>
      <c r="ID614" s="582"/>
      <c r="IE614" s="582"/>
      <c r="IF614" s="582"/>
      <c r="IG614" s="582"/>
      <c r="IH614" s="582"/>
      <c r="II614" s="582"/>
      <c r="IJ614" s="582"/>
      <c r="IK614" s="582"/>
      <c r="IL614" s="582"/>
      <c r="IM614" s="582"/>
      <c r="IN614" s="582"/>
      <c r="IO614" s="582"/>
      <c r="IP614" s="582"/>
      <c r="IQ614" s="582"/>
      <c r="IR614" s="582"/>
      <c r="IS614" s="582"/>
      <c r="IT614" s="582"/>
      <c r="IU614" s="582"/>
      <c r="IV614" s="582"/>
      <c r="IW614" s="582"/>
    </row>
    <row r="615" spans="1:257" s="724" customFormat="1" ht="31.5">
      <c r="A615" s="713" t="s">
        <v>258</v>
      </c>
      <c r="B615" s="696" t="s">
        <v>390</v>
      </c>
      <c r="C615" s="713"/>
      <c r="D615" s="713"/>
      <c r="E615" s="725"/>
      <c r="F615" s="725">
        <v>30000000</v>
      </c>
      <c r="G615" s="725"/>
      <c r="H615" s="725"/>
      <c r="I615" s="725"/>
      <c r="J615" s="725">
        <v>50000000</v>
      </c>
      <c r="K615" s="818">
        <v>40000000</v>
      </c>
      <c r="L615" s="1325">
        <v>20000000</v>
      </c>
      <c r="M615" s="669"/>
      <c r="N615" s="868"/>
      <c r="O615" s="868"/>
      <c r="P615" s="868"/>
      <c r="Q615" s="868"/>
      <c r="R615" s="871"/>
      <c r="S615" s="866"/>
      <c r="T615" s="839"/>
      <c r="U615" s="814"/>
      <c r="V615" s="581"/>
      <c r="W615" s="727"/>
      <c r="X615" s="728"/>
      <c r="Y615" s="682"/>
      <c r="Z615" s="682"/>
      <c r="AA615" s="682"/>
      <c r="AB615" s="682"/>
      <c r="AC615" s="682"/>
      <c r="AD615" s="682"/>
      <c r="AE615" s="682"/>
      <c r="AF615" s="682"/>
      <c r="AG615" s="682"/>
      <c r="AH615" s="682"/>
      <c r="AI615" s="682"/>
      <c r="AJ615" s="682"/>
      <c r="AK615" s="682"/>
      <c r="AL615" s="682"/>
      <c r="AM615" s="682"/>
      <c r="AN615" s="682"/>
      <c r="AO615" s="682"/>
      <c r="AP615" s="682"/>
      <c r="AQ615" s="682"/>
      <c r="AR615" s="682"/>
      <c r="AS615" s="682"/>
      <c r="AT615" s="682"/>
      <c r="AU615" s="682"/>
      <c r="AV615" s="682"/>
      <c r="AW615" s="682"/>
      <c r="AX615" s="682"/>
      <c r="AY615" s="682"/>
      <c r="AZ615" s="682"/>
      <c r="BA615" s="682"/>
      <c r="BB615" s="682"/>
      <c r="BC615" s="682"/>
      <c r="BD615" s="682"/>
      <c r="BE615" s="682"/>
      <c r="BF615" s="682"/>
      <c r="BG615" s="682"/>
      <c r="BH615" s="682"/>
      <c r="BI615" s="682"/>
      <c r="BJ615" s="682"/>
      <c r="BK615" s="682"/>
      <c r="BL615" s="682"/>
      <c r="BM615" s="682"/>
      <c r="BN615" s="682"/>
      <c r="BO615" s="682"/>
      <c r="BP615" s="682"/>
      <c r="BQ615" s="682"/>
      <c r="BR615" s="682"/>
      <c r="BS615" s="682"/>
      <c r="BT615" s="682"/>
      <c r="BU615" s="682"/>
      <c r="BV615" s="682"/>
      <c r="BW615" s="682"/>
      <c r="BX615" s="682"/>
      <c r="BY615" s="682"/>
      <c r="BZ615" s="682"/>
      <c r="CA615" s="682"/>
      <c r="CB615" s="682"/>
      <c r="CC615" s="682"/>
      <c r="CD615" s="682"/>
      <c r="CE615" s="682"/>
      <c r="CF615" s="682"/>
      <c r="CG615" s="682"/>
      <c r="CH615" s="682"/>
      <c r="CI615" s="682"/>
      <c r="CJ615" s="682"/>
      <c r="CK615" s="682"/>
      <c r="CL615" s="682"/>
      <c r="CM615" s="682"/>
      <c r="CN615" s="682"/>
      <c r="CO615" s="682"/>
      <c r="CP615" s="682"/>
      <c r="CQ615" s="682"/>
      <c r="CR615" s="682"/>
      <c r="CS615" s="682"/>
      <c r="CT615" s="682"/>
      <c r="CU615" s="682"/>
      <c r="CV615" s="682"/>
      <c r="CW615" s="682"/>
      <c r="CX615" s="682"/>
      <c r="CY615" s="682"/>
      <c r="CZ615" s="682"/>
      <c r="DA615" s="682"/>
      <c r="DB615" s="682"/>
      <c r="DC615" s="682"/>
      <c r="DD615" s="682"/>
      <c r="DE615" s="682"/>
      <c r="DF615" s="682"/>
      <c r="DG615" s="682"/>
      <c r="DH615" s="682"/>
      <c r="DI615" s="682"/>
      <c r="DJ615" s="682"/>
      <c r="DK615" s="682"/>
      <c r="DL615" s="682"/>
      <c r="DM615" s="682"/>
      <c r="DN615" s="682"/>
      <c r="DO615" s="682"/>
      <c r="DP615" s="682"/>
      <c r="DQ615" s="682"/>
      <c r="DR615" s="682"/>
      <c r="DS615" s="682"/>
      <c r="DT615" s="682"/>
      <c r="DU615" s="682"/>
      <c r="DV615" s="682"/>
      <c r="DW615" s="682"/>
      <c r="DX615" s="682"/>
      <c r="DY615" s="682"/>
      <c r="DZ615" s="682"/>
      <c r="EA615" s="682"/>
      <c r="EB615" s="682"/>
      <c r="EC615" s="682"/>
      <c r="ED615" s="682"/>
      <c r="EE615" s="682"/>
      <c r="EF615" s="682"/>
      <c r="EG615" s="682"/>
      <c r="EH615" s="682"/>
      <c r="EI615" s="682"/>
      <c r="EJ615" s="682"/>
      <c r="EK615" s="682"/>
      <c r="EL615" s="682"/>
      <c r="EM615" s="682"/>
      <c r="EN615" s="682"/>
      <c r="EO615" s="682"/>
      <c r="EP615" s="682"/>
      <c r="EQ615" s="682"/>
      <c r="ER615" s="682"/>
      <c r="ES615" s="682"/>
      <c r="ET615" s="682"/>
      <c r="EU615" s="682"/>
      <c r="EV615" s="682"/>
      <c r="EW615" s="682"/>
      <c r="EX615" s="682"/>
      <c r="EY615" s="682"/>
      <c r="EZ615" s="682"/>
      <c r="FA615" s="682"/>
      <c r="FB615" s="682"/>
      <c r="FC615" s="682"/>
      <c r="FD615" s="682"/>
      <c r="FE615" s="682"/>
      <c r="FF615" s="682"/>
      <c r="FG615" s="682"/>
      <c r="FH615" s="682"/>
      <c r="FI615" s="682"/>
      <c r="FJ615" s="682"/>
      <c r="FK615" s="682"/>
      <c r="FL615" s="682"/>
      <c r="FM615" s="682"/>
      <c r="FN615" s="682"/>
      <c r="FO615" s="682"/>
      <c r="FP615" s="682"/>
      <c r="FQ615" s="682"/>
      <c r="FR615" s="682"/>
      <c r="FS615" s="682"/>
      <c r="FT615" s="682"/>
      <c r="FU615" s="682"/>
      <c r="FV615" s="682"/>
      <c r="FW615" s="682"/>
      <c r="FX615" s="682"/>
      <c r="FY615" s="682"/>
      <c r="FZ615" s="682"/>
      <c r="GA615" s="682"/>
      <c r="GB615" s="682"/>
      <c r="GC615" s="682"/>
      <c r="GD615" s="682"/>
      <c r="GE615" s="682"/>
      <c r="GF615" s="682"/>
      <c r="GG615" s="682"/>
      <c r="GH615" s="682"/>
      <c r="GI615" s="682"/>
      <c r="GJ615" s="682"/>
      <c r="GK615" s="682"/>
      <c r="GL615" s="682"/>
      <c r="GM615" s="682"/>
      <c r="GN615" s="682"/>
      <c r="GO615" s="682"/>
      <c r="GP615" s="682"/>
      <c r="GQ615" s="682"/>
      <c r="GR615" s="682"/>
      <c r="GS615" s="682"/>
      <c r="GT615" s="682"/>
      <c r="GU615" s="682"/>
      <c r="GV615" s="682"/>
      <c r="GW615" s="682"/>
      <c r="GX615" s="682"/>
      <c r="GY615" s="682"/>
      <c r="GZ615" s="682"/>
      <c r="HA615" s="682"/>
      <c r="HB615" s="682"/>
      <c r="HC615" s="682"/>
      <c r="HD615" s="682"/>
      <c r="HE615" s="682"/>
      <c r="HF615" s="682"/>
      <c r="HG615" s="682"/>
      <c r="HH615" s="682"/>
      <c r="HI615" s="682"/>
      <c r="HJ615" s="682"/>
      <c r="HK615" s="682"/>
      <c r="HL615" s="682"/>
      <c r="HM615" s="682"/>
      <c r="HN615" s="682"/>
      <c r="HO615" s="682"/>
      <c r="HP615" s="682"/>
      <c r="HQ615" s="682"/>
      <c r="HR615" s="682"/>
      <c r="HS615" s="682"/>
      <c r="HT615" s="682"/>
      <c r="HU615" s="682"/>
      <c r="HV615" s="682"/>
      <c r="HW615" s="682"/>
      <c r="HX615" s="682"/>
      <c r="HY615" s="682"/>
      <c r="HZ615" s="682"/>
      <c r="IA615" s="682"/>
      <c r="IB615" s="682"/>
      <c r="IC615" s="682"/>
      <c r="ID615" s="682"/>
      <c r="IE615" s="682"/>
      <c r="IF615" s="682"/>
      <c r="IG615" s="682"/>
      <c r="IH615" s="682"/>
      <c r="II615" s="682"/>
      <c r="IJ615" s="682"/>
      <c r="IK615" s="682"/>
      <c r="IL615" s="682"/>
      <c r="IM615" s="682"/>
      <c r="IN615" s="682"/>
      <c r="IO615" s="682"/>
      <c r="IP615" s="682"/>
      <c r="IQ615" s="682"/>
      <c r="IR615" s="682"/>
      <c r="IS615" s="682"/>
      <c r="IT615" s="682"/>
      <c r="IU615" s="682"/>
      <c r="IV615" s="682"/>
      <c r="IW615" s="682"/>
    </row>
    <row r="616" spans="1:257" s="582" customFormat="1">
      <c r="A616" s="713" t="s">
        <v>258</v>
      </c>
      <c r="B616" s="696" t="s">
        <v>391</v>
      </c>
      <c r="C616" s="713"/>
      <c r="D616" s="713"/>
      <c r="E616" s="725"/>
      <c r="F616" s="725">
        <v>200000000</v>
      </c>
      <c r="G616" s="725"/>
      <c r="H616" s="725"/>
      <c r="I616" s="725"/>
      <c r="J616" s="725">
        <v>230000000</v>
      </c>
      <c r="K616" s="818">
        <v>200000000</v>
      </c>
      <c r="L616" s="1325">
        <v>200000000</v>
      </c>
      <c r="M616" s="669"/>
      <c r="N616" s="868"/>
      <c r="O616" s="868"/>
      <c r="P616" s="868"/>
      <c r="Q616" s="868"/>
      <c r="R616" s="871"/>
      <c r="S616" s="871"/>
      <c r="T616" s="824"/>
      <c r="U616" s="1065"/>
      <c r="V616" s="581"/>
      <c r="W616" s="727"/>
      <c r="X616" s="728"/>
      <c r="Y616" s="682"/>
      <c r="Z616" s="682"/>
      <c r="AA616" s="682"/>
      <c r="AB616" s="682"/>
      <c r="AC616" s="682"/>
      <c r="AD616" s="682"/>
      <c r="AE616" s="682"/>
      <c r="AF616" s="682"/>
      <c r="AG616" s="682"/>
      <c r="AH616" s="682"/>
      <c r="AI616" s="682"/>
      <c r="AJ616" s="682"/>
      <c r="AK616" s="682"/>
      <c r="AL616" s="682"/>
      <c r="AM616" s="682"/>
      <c r="AN616" s="682"/>
      <c r="AO616" s="682"/>
      <c r="AP616" s="682"/>
      <c r="AQ616" s="682"/>
      <c r="AR616" s="682"/>
      <c r="AS616" s="682"/>
      <c r="AT616" s="682"/>
      <c r="AU616" s="682"/>
      <c r="AV616" s="682"/>
      <c r="AW616" s="682"/>
      <c r="AX616" s="682"/>
      <c r="AY616" s="682"/>
      <c r="AZ616" s="682"/>
      <c r="BA616" s="682"/>
      <c r="BB616" s="682"/>
      <c r="BC616" s="682"/>
      <c r="BD616" s="682"/>
      <c r="BE616" s="682"/>
      <c r="BF616" s="682"/>
      <c r="BG616" s="682"/>
      <c r="BH616" s="682"/>
      <c r="BI616" s="682"/>
      <c r="BJ616" s="682"/>
      <c r="BK616" s="682"/>
      <c r="BL616" s="682"/>
      <c r="BM616" s="682"/>
      <c r="BN616" s="682"/>
      <c r="BO616" s="682"/>
      <c r="BP616" s="682"/>
      <c r="BQ616" s="682"/>
      <c r="BR616" s="682"/>
      <c r="BS616" s="682"/>
      <c r="BT616" s="682"/>
      <c r="BU616" s="682"/>
      <c r="BV616" s="682"/>
      <c r="BW616" s="682"/>
      <c r="BX616" s="682"/>
      <c r="BY616" s="682"/>
      <c r="BZ616" s="682"/>
      <c r="CA616" s="682"/>
      <c r="CB616" s="682"/>
      <c r="CC616" s="682"/>
      <c r="CD616" s="682"/>
      <c r="CE616" s="682"/>
      <c r="CF616" s="682"/>
      <c r="CG616" s="682"/>
      <c r="CH616" s="682"/>
      <c r="CI616" s="682"/>
      <c r="CJ616" s="682"/>
      <c r="CK616" s="682"/>
      <c r="CL616" s="682"/>
      <c r="CM616" s="682"/>
      <c r="CN616" s="682"/>
      <c r="CO616" s="682"/>
      <c r="CP616" s="682"/>
      <c r="CQ616" s="682"/>
      <c r="CR616" s="682"/>
      <c r="CS616" s="682"/>
      <c r="CT616" s="682"/>
      <c r="CU616" s="682"/>
      <c r="CV616" s="682"/>
      <c r="CW616" s="682"/>
      <c r="CX616" s="682"/>
      <c r="CY616" s="682"/>
      <c r="CZ616" s="682"/>
      <c r="DA616" s="682"/>
      <c r="DB616" s="682"/>
      <c r="DC616" s="682"/>
      <c r="DD616" s="682"/>
      <c r="DE616" s="682"/>
      <c r="DF616" s="682"/>
      <c r="DG616" s="682"/>
      <c r="DH616" s="682"/>
      <c r="DI616" s="682"/>
      <c r="DJ616" s="682"/>
      <c r="DK616" s="682"/>
      <c r="DL616" s="682"/>
      <c r="DM616" s="682"/>
      <c r="DN616" s="682"/>
      <c r="DO616" s="682"/>
      <c r="DP616" s="682"/>
      <c r="DQ616" s="682"/>
      <c r="DR616" s="682"/>
      <c r="DS616" s="682"/>
      <c r="DT616" s="682"/>
      <c r="DU616" s="682"/>
      <c r="DV616" s="682"/>
      <c r="DW616" s="682"/>
      <c r="DX616" s="682"/>
      <c r="DY616" s="682"/>
      <c r="DZ616" s="682"/>
      <c r="EA616" s="682"/>
      <c r="EB616" s="682"/>
      <c r="EC616" s="682"/>
      <c r="ED616" s="682"/>
      <c r="EE616" s="682"/>
      <c r="EF616" s="682"/>
      <c r="EG616" s="682"/>
      <c r="EH616" s="682"/>
      <c r="EI616" s="682"/>
      <c r="EJ616" s="682"/>
      <c r="EK616" s="682"/>
      <c r="EL616" s="682"/>
      <c r="EM616" s="682"/>
      <c r="EN616" s="682"/>
      <c r="EO616" s="682"/>
      <c r="EP616" s="682"/>
      <c r="EQ616" s="682"/>
      <c r="ER616" s="682"/>
      <c r="ES616" s="682"/>
      <c r="ET616" s="682"/>
      <c r="EU616" s="682"/>
      <c r="EV616" s="682"/>
      <c r="EW616" s="682"/>
      <c r="EX616" s="682"/>
      <c r="EY616" s="682"/>
      <c r="EZ616" s="682"/>
      <c r="FA616" s="682"/>
      <c r="FB616" s="682"/>
      <c r="FC616" s="682"/>
      <c r="FD616" s="682"/>
      <c r="FE616" s="682"/>
      <c r="FF616" s="682"/>
      <c r="FG616" s="682"/>
      <c r="FH616" s="682"/>
      <c r="FI616" s="682"/>
      <c r="FJ616" s="682"/>
      <c r="FK616" s="682"/>
      <c r="FL616" s="682"/>
      <c r="FM616" s="682"/>
      <c r="FN616" s="682"/>
      <c r="FO616" s="682"/>
      <c r="FP616" s="682"/>
      <c r="FQ616" s="682"/>
      <c r="FR616" s="682"/>
      <c r="FS616" s="682"/>
      <c r="FT616" s="682"/>
      <c r="FU616" s="682"/>
      <c r="FV616" s="682"/>
      <c r="FW616" s="682"/>
      <c r="FX616" s="682"/>
      <c r="FY616" s="682"/>
      <c r="FZ616" s="682"/>
      <c r="GA616" s="682"/>
      <c r="GB616" s="682"/>
      <c r="GC616" s="682"/>
      <c r="GD616" s="682"/>
      <c r="GE616" s="682"/>
      <c r="GF616" s="682"/>
      <c r="GG616" s="682"/>
      <c r="GH616" s="682"/>
      <c r="GI616" s="682"/>
      <c r="GJ616" s="682"/>
      <c r="GK616" s="682"/>
      <c r="GL616" s="682"/>
      <c r="GM616" s="682"/>
      <c r="GN616" s="682"/>
      <c r="GO616" s="682"/>
      <c r="GP616" s="682"/>
      <c r="GQ616" s="682"/>
      <c r="GR616" s="682"/>
      <c r="GS616" s="682"/>
      <c r="GT616" s="682"/>
      <c r="GU616" s="682"/>
      <c r="GV616" s="682"/>
      <c r="GW616" s="682"/>
      <c r="GX616" s="682"/>
      <c r="GY616" s="682"/>
      <c r="GZ616" s="682"/>
      <c r="HA616" s="682"/>
      <c r="HB616" s="682"/>
      <c r="HC616" s="682"/>
      <c r="HD616" s="682"/>
      <c r="HE616" s="682"/>
      <c r="HF616" s="682"/>
      <c r="HG616" s="682"/>
      <c r="HH616" s="682"/>
      <c r="HI616" s="682"/>
      <c r="HJ616" s="682"/>
      <c r="HK616" s="682"/>
      <c r="HL616" s="682"/>
      <c r="HM616" s="682"/>
      <c r="HN616" s="682"/>
      <c r="HO616" s="682"/>
      <c r="HP616" s="682"/>
      <c r="HQ616" s="682"/>
      <c r="HR616" s="682"/>
      <c r="HS616" s="682"/>
      <c r="HT616" s="682"/>
      <c r="HU616" s="682"/>
      <c r="HV616" s="682"/>
      <c r="HW616" s="682"/>
      <c r="HX616" s="682"/>
      <c r="HY616" s="682"/>
      <c r="HZ616" s="682"/>
      <c r="IA616" s="682"/>
      <c r="IB616" s="682"/>
      <c r="IC616" s="682"/>
      <c r="ID616" s="682"/>
      <c r="IE616" s="682"/>
      <c r="IF616" s="682"/>
      <c r="IG616" s="682"/>
      <c r="IH616" s="682"/>
      <c r="II616" s="682"/>
      <c r="IJ616" s="682"/>
      <c r="IK616" s="682"/>
      <c r="IL616" s="682"/>
      <c r="IM616" s="682"/>
      <c r="IN616" s="682"/>
      <c r="IO616" s="682"/>
      <c r="IP616" s="682"/>
      <c r="IQ616" s="682"/>
      <c r="IR616" s="682"/>
      <c r="IS616" s="682"/>
      <c r="IT616" s="682"/>
      <c r="IU616" s="682"/>
      <c r="IV616" s="682"/>
      <c r="IW616" s="682"/>
    </row>
    <row r="617" spans="1:257" s="582" customFormat="1" ht="31.5">
      <c r="A617" s="713" t="s">
        <v>91</v>
      </c>
      <c r="B617" s="696" t="s">
        <v>396</v>
      </c>
      <c r="C617" s="713"/>
      <c r="D617" s="713"/>
      <c r="E617" s="725"/>
      <c r="F617" s="725">
        <v>60000000</v>
      </c>
      <c r="G617" s="725"/>
      <c r="H617" s="725"/>
      <c r="I617" s="725"/>
      <c r="J617" s="725">
        <v>60000000</v>
      </c>
      <c r="K617" s="818">
        <v>50000000</v>
      </c>
      <c r="L617" s="1325">
        <v>50000000</v>
      </c>
      <c r="M617" s="669"/>
      <c r="N617" s="868"/>
      <c r="O617" s="868"/>
      <c r="P617" s="868"/>
      <c r="Q617" s="868"/>
      <c r="R617" s="866"/>
      <c r="S617" s="871"/>
      <c r="T617" s="824"/>
      <c r="U617" s="580"/>
      <c r="V617" s="727"/>
      <c r="W617" s="722"/>
      <c r="X617" s="723"/>
      <c r="Y617" s="724"/>
      <c r="Z617" s="724"/>
      <c r="AA617" s="724"/>
      <c r="AB617" s="724"/>
      <c r="AC617" s="724"/>
      <c r="AD617" s="724"/>
      <c r="AE617" s="724"/>
      <c r="AF617" s="724"/>
      <c r="AG617" s="724"/>
      <c r="AH617" s="724"/>
      <c r="AI617" s="724"/>
      <c r="AJ617" s="724"/>
      <c r="AK617" s="724"/>
      <c r="AL617" s="724"/>
      <c r="AM617" s="724"/>
      <c r="AN617" s="724"/>
      <c r="AO617" s="724"/>
      <c r="AP617" s="724"/>
      <c r="AQ617" s="724"/>
      <c r="AR617" s="724"/>
      <c r="AS617" s="724"/>
      <c r="AT617" s="724"/>
      <c r="AU617" s="724"/>
      <c r="AV617" s="724"/>
      <c r="AW617" s="724"/>
      <c r="AX617" s="724"/>
      <c r="AY617" s="724"/>
      <c r="AZ617" s="724"/>
      <c r="BA617" s="724"/>
      <c r="BB617" s="724"/>
      <c r="BC617" s="724"/>
      <c r="BD617" s="724"/>
      <c r="BE617" s="724"/>
      <c r="BF617" s="724"/>
      <c r="BG617" s="724"/>
      <c r="BH617" s="724"/>
      <c r="BI617" s="724"/>
      <c r="BJ617" s="724"/>
      <c r="BK617" s="724"/>
      <c r="BL617" s="724"/>
      <c r="BM617" s="724"/>
      <c r="BN617" s="724"/>
      <c r="BO617" s="724"/>
      <c r="BP617" s="724"/>
      <c r="BQ617" s="724"/>
      <c r="BR617" s="724"/>
      <c r="BS617" s="724"/>
      <c r="BT617" s="724"/>
      <c r="BU617" s="724"/>
      <c r="BV617" s="724"/>
      <c r="BW617" s="724"/>
      <c r="BX617" s="724"/>
      <c r="BY617" s="724"/>
      <c r="BZ617" s="724"/>
      <c r="CA617" s="724"/>
      <c r="CB617" s="724"/>
      <c r="CC617" s="724"/>
      <c r="CD617" s="724"/>
      <c r="CE617" s="724"/>
      <c r="CF617" s="724"/>
      <c r="CG617" s="724"/>
      <c r="CH617" s="724"/>
      <c r="CI617" s="724"/>
      <c r="CJ617" s="724"/>
      <c r="CK617" s="724"/>
      <c r="CL617" s="724"/>
      <c r="CM617" s="724"/>
      <c r="CN617" s="724"/>
      <c r="CO617" s="724"/>
      <c r="CP617" s="724"/>
      <c r="CQ617" s="724"/>
      <c r="CR617" s="724"/>
      <c r="CS617" s="724"/>
      <c r="CT617" s="724"/>
      <c r="CU617" s="724"/>
      <c r="CV617" s="724"/>
      <c r="CW617" s="724"/>
      <c r="CX617" s="724"/>
      <c r="CY617" s="724"/>
      <c r="CZ617" s="724"/>
      <c r="DA617" s="724"/>
      <c r="DB617" s="724"/>
      <c r="DC617" s="724"/>
      <c r="DD617" s="724"/>
      <c r="DE617" s="724"/>
      <c r="DF617" s="724"/>
      <c r="DG617" s="724"/>
      <c r="DH617" s="724"/>
      <c r="DI617" s="724"/>
      <c r="DJ617" s="724"/>
      <c r="DK617" s="724"/>
      <c r="DL617" s="724"/>
      <c r="DM617" s="724"/>
      <c r="DN617" s="724"/>
      <c r="DO617" s="724"/>
      <c r="DP617" s="724"/>
      <c r="DQ617" s="724"/>
      <c r="DR617" s="724"/>
      <c r="DS617" s="724"/>
      <c r="DT617" s="724"/>
      <c r="DU617" s="724"/>
      <c r="DV617" s="724"/>
      <c r="DW617" s="724"/>
      <c r="DX617" s="724"/>
      <c r="DY617" s="724"/>
      <c r="DZ617" s="724"/>
      <c r="EA617" s="724"/>
      <c r="EB617" s="724"/>
      <c r="EC617" s="724"/>
      <c r="ED617" s="724"/>
      <c r="EE617" s="724"/>
      <c r="EF617" s="724"/>
      <c r="EG617" s="724"/>
      <c r="EH617" s="724"/>
      <c r="EI617" s="724"/>
      <c r="EJ617" s="724"/>
      <c r="EK617" s="724"/>
      <c r="EL617" s="724"/>
      <c r="EM617" s="724"/>
      <c r="EN617" s="724"/>
      <c r="EO617" s="724"/>
      <c r="EP617" s="724"/>
      <c r="EQ617" s="724"/>
      <c r="ER617" s="724"/>
      <c r="ES617" s="724"/>
      <c r="ET617" s="724"/>
      <c r="EU617" s="724"/>
      <c r="EV617" s="724"/>
      <c r="EW617" s="724"/>
      <c r="EX617" s="724"/>
      <c r="EY617" s="724"/>
      <c r="EZ617" s="724"/>
      <c r="FA617" s="724"/>
      <c r="FB617" s="724"/>
      <c r="FC617" s="724"/>
      <c r="FD617" s="724"/>
      <c r="FE617" s="724"/>
      <c r="FF617" s="724"/>
      <c r="FG617" s="724"/>
      <c r="FH617" s="724"/>
      <c r="FI617" s="724"/>
      <c r="FJ617" s="724"/>
      <c r="FK617" s="724"/>
      <c r="FL617" s="724"/>
      <c r="FM617" s="724"/>
      <c r="FN617" s="724"/>
      <c r="FO617" s="724"/>
      <c r="FP617" s="724"/>
      <c r="FQ617" s="724"/>
      <c r="FR617" s="724"/>
      <c r="FS617" s="724"/>
      <c r="FT617" s="724"/>
      <c r="FU617" s="724"/>
      <c r="FV617" s="724"/>
      <c r="FW617" s="724"/>
      <c r="FX617" s="724"/>
      <c r="FY617" s="724"/>
      <c r="FZ617" s="724"/>
      <c r="GA617" s="724"/>
      <c r="GB617" s="724"/>
      <c r="GC617" s="724"/>
      <c r="GD617" s="724"/>
      <c r="GE617" s="724"/>
      <c r="GF617" s="724"/>
      <c r="GG617" s="724"/>
      <c r="GH617" s="724"/>
      <c r="GI617" s="724"/>
      <c r="GJ617" s="724"/>
      <c r="GK617" s="724"/>
      <c r="GL617" s="724"/>
      <c r="GM617" s="724"/>
      <c r="GN617" s="724"/>
      <c r="GO617" s="724"/>
      <c r="GP617" s="724"/>
      <c r="GQ617" s="724"/>
      <c r="GR617" s="724"/>
      <c r="GS617" s="724"/>
      <c r="GT617" s="724"/>
      <c r="GU617" s="724"/>
      <c r="GV617" s="724"/>
      <c r="GW617" s="724"/>
      <c r="GX617" s="724"/>
      <c r="GY617" s="724"/>
      <c r="GZ617" s="724"/>
      <c r="HA617" s="724"/>
      <c r="HB617" s="724"/>
      <c r="HC617" s="724"/>
      <c r="HD617" s="724"/>
      <c r="HE617" s="724"/>
      <c r="HF617" s="724"/>
      <c r="HG617" s="724"/>
      <c r="HH617" s="724"/>
      <c r="HI617" s="724"/>
      <c r="HJ617" s="724"/>
      <c r="HK617" s="724"/>
      <c r="HL617" s="724"/>
      <c r="HM617" s="724"/>
      <c r="HN617" s="724"/>
      <c r="HO617" s="724"/>
      <c r="HP617" s="724"/>
      <c r="HQ617" s="724"/>
      <c r="HR617" s="724"/>
      <c r="HS617" s="724"/>
      <c r="HT617" s="724"/>
      <c r="HU617" s="724"/>
      <c r="HV617" s="724"/>
      <c r="HW617" s="724"/>
      <c r="HX617" s="724"/>
      <c r="HY617" s="724"/>
      <c r="HZ617" s="724"/>
      <c r="IA617" s="724"/>
      <c r="IB617" s="724"/>
      <c r="IC617" s="724"/>
      <c r="ID617" s="724"/>
      <c r="IE617" s="724"/>
      <c r="IF617" s="724"/>
      <c r="IG617" s="724"/>
      <c r="IH617" s="724"/>
      <c r="II617" s="724"/>
      <c r="IJ617" s="724"/>
      <c r="IK617" s="724"/>
      <c r="IL617" s="724"/>
      <c r="IM617" s="724"/>
      <c r="IN617" s="724"/>
      <c r="IO617" s="724"/>
      <c r="IP617" s="724"/>
      <c r="IQ617" s="724"/>
      <c r="IR617" s="724"/>
      <c r="IS617" s="724"/>
      <c r="IT617" s="724"/>
      <c r="IU617" s="724"/>
      <c r="IV617" s="724"/>
      <c r="IW617" s="724"/>
    </row>
    <row r="618" spans="1:257" s="582" customFormat="1" ht="30" customHeight="1">
      <c r="A618" s="812" t="s">
        <v>91</v>
      </c>
      <c r="B618" s="696" t="s">
        <v>393</v>
      </c>
      <c r="C618" s="713"/>
      <c r="D618" s="713"/>
      <c r="E618" s="725"/>
      <c r="F618" s="725">
        <v>280000000</v>
      </c>
      <c r="G618" s="669" t="s">
        <v>1079</v>
      </c>
      <c r="H618" s="669"/>
      <c r="I618" s="669"/>
      <c r="J618" s="725">
        <v>330000000</v>
      </c>
      <c r="K618" s="818">
        <v>240000000</v>
      </c>
      <c r="L618" s="1325">
        <v>150000000</v>
      </c>
      <c r="M618" s="669"/>
      <c r="N618" s="868"/>
      <c r="O618" s="868"/>
      <c r="P618" s="837"/>
      <c r="Q618" s="837"/>
      <c r="R618" s="871"/>
      <c r="S618" s="871"/>
      <c r="T618" s="824"/>
      <c r="U618" s="580"/>
      <c r="V618" s="727"/>
      <c r="W618" s="727"/>
      <c r="X618" s="728"/>
      <c r="Y618" s="682"/>
      <c r="Z618" s="682"/>
      <c r="AA618" s="682"/>
      <c r="AB618" s="682"/>
      <c r="AC618" s="682"/>
      <c r="AD618" s="682"/>
      <c r="AE618" s="682"/>
      <c r="AF618" s="682"/>
      <c r="AG618" s="682"/>
      <c r="AH618" s="682"/>
      <c r="AI618" s="682"/>
      <c r="AJ618" s="682"/>
      <c r="AK618" s="682"/>
      <c r="AL618" s="682"/>
      <c r="AM618" s="682"/>
      <c r="AN618" s="682"/>
      <c r="AO618" s="682"/>
      <c r="AP618" s="682"/>
      <c r="AQ618" s="682"/>
      <c r="AR618" s="682"/>
      <c r="AS618" s="682"/>
      <c r="AT618" s="682"/>
      <c r="AU618" s="682"/>
      <c r="AV618" s="682"/>
      <c r="AW618" s="682"/>
      <c r="AX618" s="682"/>
      <c r="AY618" s="682"/>
      <c r="AZ618" s="682"/>
      <c r="BA618" s="682"/>
      <c r="BB618" s="682"/>
      <c r="BC618" s="682"/>
      <c r="BD618" s="682"/>
      <c r="BE618" s="682"/>
      <c r="BF618" s="682"/>
      <c r="BG618" s="682"/>
      <c r="BH618" s="682"/>
      <c r="BI618" s="682"/>
      <c r="BJ618" s="682"/>
      <c r="BK618" s="682"/>
      <c r="BL618" s="682"/>
      <c r="BM618" s="682"/>
      <c r="BN618" s="682"/>
      <c r="BO618" s="682"/>
      <c r="BP618" s="682"/>
      <c r="BQ618" s="682"/>
      <c r="BR618" s="682"/>
      <c r="BS618" s="682"/>
      <c r="BT618" s="682"/>
      <c r="BU618" s="682"/>
      <c r="BV618" s="682"/>
      <c r="BW618" s="682"/>
      <c r="BX618" s="682"/>
      <c r="BY618" s="682"/>
      <c r="BZ618" s="682"/>
      <c r="CA618" s="682"/>
      <c r="CB618" s="682"/>
      <c r="CC618" s="682"/>
      <c r="CD618" s="682"/>
      <c r="CE618" s="682"/>
      <c r="CF618" s="682"/>
      <c r="CG618" s="682"/>
      <c r="CH618" s="682"/>
      <c r="CI618" s="682"/>
      <c r="CJ618" s="682"/>
      <c r="CK618" s="682"/>
      <c r="CL618" s="682"/>
      <c r="CM618" s="682"/>
      <c r="CN618" s="682"/>
      <c r="CO618" s="682"/>
      <c r="CP618" s="682"/>
      <c r="CQ618" s="682"/>
      <c r="CR618" s="682"/>
      <c r="CS618" s="682"/>
      <c r="CT618" s="682"/>
      <c r="CU618" s="682"/>
      <c r="CV618" s="682"/>
      <c r="CW618" s="682"/>
      <c r="CX618" s="682"/>
      <c r="CY618" s="682"/>
      <c r="CZ618" s="682"/>
      <c r="DA618" s="682"/>
      <c r="DB618" s="682"/>
      <c r="DC618" s="682"/>
      <c r="DD618" s="682"/>
      <c r="DE618" s="682"/>
      <c r="DF618" s="682"/>
      <c r="DG618" s="682"/>
      <c r="DH618" s="682"/>
      <c r="DI618" s="682"/>
      <c r="DJ618" s="682"/>
      <c r="DK618" s="682"/>
      <c r="DL618" s="682"/>
      <c r="DM618" s="682"/>
      <c r="DN618" s="682"/>
      <c r="DO618" s="682"/>
      <c r="DP618" s="682"/>
      <c r="DQ618" s="682"/>
      <c r="DR618" s="682"/>
      <c r="DS618" s="682"/>
      <c r="DT618" s="682"/>
      <c r="DU618" s="682"/>
      <c r="DV618" s="682"/>
      <c r="DW618" s="682"/>
      <c r="DX618" s="682"/>
      <c r="DY618" s="682"/>
      <c r="DZ618" s="682"/>
      <c r="EA618" s="682"/>
      <c r="EB618" s="682"/>
      <c r="EC618" s="682"/>
      <c r="ED618" s="682"/>
      <c r="EE618" s="682"/>
      <c r="EF618" s="682"/>
      <c r="EG618" s="682"/>
      <c r="EH618" s="682"/>
      <c r="EI618" s="682"/>
      <c r="EJ618" s="682"/>
      <c r="EK618" s="682"/>
      <c r="EL618" s="682"/>
      <c r="EM618" s="682"/>
      <c r="EN618" s="682"/>
      <c r="EO618" s="682"/>
      <c r="EP618" s="682"/>
      <c r="EQ618" s="682"/>
      <c r="ER618" s="682"/>
      <c r="ES618" s="682"/>
      <c r="ET618" s="682"/>
      <c r="EU618" s="682"/>
      <c r="EV618" s="682"/>
      <c r="EW618" s="682"/>
      <c r="EX618" s="682"/>
      <c r="EY618" s="682"/>
      <c r="EZ618" s="682"/>
      <c r="FA618" s="682"/>
      <c r="FB618" s="682"/>
      <c r="FC618" s="682"/>
      <c r="FD618" s="682"/>
      <c r="FE618" s="682"/>
      <c r="FF618" s="682"/>
      <c r="FG618" s="682"/>
      <c r="FH618" s="682"/>
      <c r="FI618" s="682"/>
      <c r="FJ618" s="682"/>
      <c r="FK618" s="682"/>
      <c r="FL618" s="682"/>
      <c r="FM618" s="682"/>
      <c r="FN618" s="682"/>
      <c r="FO618" s="682"/>
      <c r="FP618" s="682"/>
      <c r="FQ618" s="682"/>
      <c r="FR618" s="682"/>
      <c r="FS618" s="682"/>
      <c r="FT618" s="682"/>
      <c r="FU618" s="682"/>
      <c r="FV618" s="682"/>
      <c r="FW618" s="682"/>
      <c r="FX618" s="682"/>
      <c r="FY618" s="682"/>
      <c r="FZ618" s="682"/>
      <c r="GA618" s="682"/>
      <c r="GB618" s="682"/>
      <c r="GC618" s="682"/>
      <c r="GD618" s="682"/>
      <c r="GE618" s="682"/>
      <c r="GF618" s="682"/>
      <c r="GG618" s="682"/>
      <c r="GH618" s="682"/>
      <c r="GI618" s="682"/>
      <c r="GJ618" s="682"/>
      <c r="GK618" s="682"/>
      <c r="GL618" s="682"/>
      <c r="GM618" s="682"/>
      <c r="GN618" s="682"/>
      <c r="GO618" s="682"/>
      <c r="GP618" s="682"/>
      <c r="GQ618" s="682"/>
      <c r="GR618" s="682"/>
      <c r="GS618" s="682"/>
      <c r="GT618" s="682"/>
      <c r="GU618" s="682"/>
      <c r="GV618" s="682"/>
      <c r="GW618" s="682"/>
      <c r="GX618" s="682"/>
      <c r="GY618" s="682"/>
      <c r="GZ618" s="682"/>
      <c r="HA618" s="682"/>
      <c r="HB618" s="682"/>
      <c r="HC618" s="682"/>
      <c r="HD618" s="682"/>
      <c r="HE618" s="682"/>
      <c r="HF618" s="682"/>
      <c r="HG618" s="682"/>
      <c r="HH618" s="682"/>
      <c r="HI618" s="682"/>
      <c r="HJ618" s="682"/>
      <c r="HK618" s="682"/>
      <c r="HL618" s="682"/>
      <c r="HM618" s="682"/>
      <c r="HN618" s="682"/>
      <c r="HO618" s="682"/>
      <c r="HP618" s="682"/>
      <c r="HQ618" s="682"/>
      <c r="HR618" s="682"/>
      <c r="HS618" s="682"/>
      <c r="HT618" s="682"/>
      <c r="HU618" s="682"/>
      <c r="HV618" s="682"/>
      <c r="HW618" s="682"/>
      <c r="HX618" s="682"/>
      <c r="HY618" s="682"/>
      <c r="HZ618" s="682"/>
      <c r="IA618" s="682"/>
      <c r="IB618" s="682"/>
      <c r="IC618" s="682"/>
      <c r="ID618" s="682"/>
      <c r="IE618" s="682"/>
      <c r="IF618" s="682"/>
      <c r="IG618" s="682"/>
      <c r="IH618" s="682"/>
      <c r="II618" s="682"/>
      <c r="IJ618" s="682"/>
      <c r="IK618" s="682"/>
      <c r="IL618" s="682"/>
      <c r="IM618" s="682"/>
      <c r="IN618" s="682"/>
      <c r="IO618" s="682"/>
      <c r="IP618" s="682"/>
      <c r="IQ618" s="682"/>
      <c r="IR618" s="682"/>
      <c r="IS618" s="682"/>
      <c r="IT618" s="682"/>
      <c r="IU618" s="682"/>
      <c r="IV618" s="682"/>
      <c r="IW618" s="682"/>
    </row>
    <row r="619" spans="1:257" s="582" customFormat="1">
      <c r="A619" s="812" t="s">
        <v>91</v>
      </c>
      <c r="B619" s="696" t="s">
        <v>1526</v>
      </c>
      <c r="C619" s="713"/>
      <c r="D619" s="713"/>
      <c r="E619" s="725"/>
      <c r="F619" s="725"/>
      <c r="G619" s="669"/>
      <c r="H619" s="669"/>
      <c r="I619" s="669"/>
      <c r="J619" s="725"/>
      <c r="K619" s="818">
        <v>0</v>
      </c>
      <c r="L619" s="1325">
        <v>250000000</v>
      </c>
      <c r="M619" s="669"/>
      <c r="N619" s="868"/>
      <c r="O619" s="868"/>
      <c r="P619" s="837"/>
      <c r="Q619" s="837"/>
      <c r="R619" s="871"/>
      <c r="S619" s="871"/>
      <c r="T619" s="824"/>
      <c r="U619" s="580"/>
      <c r="V619" s="727"/>
      <c r="W619" s="727"/>
      <c r="X619" s="728"/>
      <c r="Y619" s="682"/>
      <c r="Z619" s="682"/>
      <c r="AA619" s="682"/>
      <c r="AB619" s="682"/>
      <c r="AC619" s="682"/>
      <c r="AD619" s="682"/>
      <c r="AE619" s="682"/>
      <c r="AF619" s="682"/>
      <c r="AG619" s="682"/>
      <c r="AH619" s="682"/>
      <c r="AI619" s="682"/>
      <c r="AJ619" s="682"/>
      <c r="AK619" s="682"/>
      <c r="AL619" s="682"/>
      <c r="AM619" s="682"/>
      <c r="AN619" s="682"/>
      <c r="AO619" s="682"/>
      <c r="AP619" s="682"/>
      <c r="AQ619" s="682"/>
      <c r="AR619" s="682"/>
      <c r="AS619" s="682"/>
      <c r="AT619" s="682"/>
      <c r="AU619" s="682"/>
      <c r="AV619" s="682"/>
      <c r="AW619" s="682"/>
      <c r="AX619" s="682"/>
      <c r="AY619" s="682"/>
      <c r="AZ619" s="682"/>
      <c r="BA619" s="682"/>
      <c r="BB619" s="682"/>
      <c r="BC619" s="682"/>
      <c r="BD619" s="682"/>
      <c r="BE619" s="682"/>
      <c r="BF619" s="682"/>
      <c r="BG619" s="682"/>
      <c r="BH619" s="682"/>
      <c r="BI619" s="682"/>
      <c r="BJ619" s="682"/>
      <c r="BK619" s="682"/>
      <c r="BL619" s="682"/>
      <c r="BM619" s="682"/>
      <c r="BN619" s="682"/>
      <c r="BO619" s="682"/>
      <c r="BP619" s="682"/>
      <c r="BQ619" s="682"/>
      <c r="BR619" s="682"/>
      <c r="BS619" s="682"/>
      <c r="BT619" s="682"/>
      <c r="BU619" s="682"/>
      <c r="BV619" s="682"/>
      <c r="BW619" s="682"/>
      <c r="BX619" s="682"/>
      <c r="BY619" s="682"/>
      <c r="BZ619" s="682"/>
      <c r="CA619" s="682"/>
      <c r="CB619" s="682"/>
      <c r="CC619" s="682"/>
      <c r="CD619" s="682"/>
      <c r="CE619" s="682"/>
      <c r="CF619" s="682"/>
      <c r="CG619" s="682"/>
      <c r="CH619" s="682"/>
      <c r="CI619" s="682"/>
      <c r="CJ619" s="682"/>
      <c r="CK619" s="682"/>
      <c r="CL619" s="682"/>
      <c r="CM619" s="682"/>
      <c r="CN619" s="682"/>
      <c r="CO619" s="682"/>
      <c r="CP619" s="682"/>
      <c r="CQ619" s="682"/>
      <c r="CR619" s="682"/>
      <c r="CS619" s="682"/>
      <c r="CT619" s="682"/>
      <c r="CU619" s="682"/>
      <c r="CV619" s="682"/>
      <c r="CW619" s="682"/>
      <c r="CX619" s="682"/>
      <c r="CY619" s="682"/>
      <c r="CZ619" s="682"/>
      <c r="DA619" s="682"/>
      <c r="DB619" s="682"/>
      <c r="DC619" s="682"/>
      <c r="DD619" s="682"/>
      <c r="DE619" s="682"/>
      <c r="DF619" s="682"/>
      <c r="DG619" s="682"/>
      <c r="DH619" s="682"/>
      <c r="DI619" s="682"/>
      <c r="DJ619" s="682"/>
      <c r="DK619" s="682"/>
      <c r="DL619" s="682"/>
      <c r="DM619" s="682"/>
      <c r="DN619" s="682"/>
      <c r="DO619" s="682"/>
      <c r="DP619" s="682"/>
      <c r="DQ619" s="682"/>
      <c r="DR619" s="682"/>
      <c r="DS619" s="682"/>
      <c r="DT619" s="682"/>
      <c r="DU619" s="682"/>
      <c r="DV619" s="682"/>
      <c r="DW619" s="682"/>
      <c r="DX619" s="682"/>
      <c r="DY619" s="682"/>
      <c r="DZ619" s="682"/>
      <c r="EA619" s="682"/>
      <c r="EB619" s="682"/>
      <c r="EC619" s="682"/>
      <c r="ED619" s="682"/>
      <c r="EE619" s="682"/>
      <c r="EF619" s="682"/>
      <c r="EG619" s="682"/>
      <c r="EH619" s="682"/>
      <c r="EI619" s="682"/>
      <c r="EJ619" s="682"/>
      <c r="EK619" s="682"/>
      <c r="EL619" s="682"/>
      <c r="EM619" s="682"/>
      <c r="EN619" s="682"/>
      <c r="EO619" s="682"/>
      <c r="EP619" s="682"/>
      <c r="EQ619" s="682"/>
      <c r="ER619" s="682"/>
      <c r="ES619" s="682"/>
      <c r="ET619" s="682"/>
      <c r="EU619" s="682"/>
      <c r="EV619" s="682"/>
      <c r="EW619" s="682"/>
      <c r="EX619" s="682"/>
      <c r="EY619" s="682"/>
      <c r="EZ619" s="682"/>
      <c r="FA619" s="682"/>
      <c r="FB619" s="682"/>
      <c r="FC619" s="682"/>
      <c r="FD619" s="682"/>
      <c r="FE619" s="682"/>
      <c r="FF619" s="682"/>
      <c r="FG619" s="682"/>
      <c r="FH619" s="682"/>
      <c r="FI619" s="682"/>
      <c r="FJ619" s="682"/>
      <c r="FK619" s="682"/>
      <c r="FL619" s="682"/>
      <c r="FM619" s="682"/>
      <c r="FN619" s="682"/>
      <c r="FO619" s="682"/>
      <c r="FP619" s="682"/>
      <c r="FQ619" s="682"/>
      <c r="FR619" s="682"/>
      <c r="FS619" s="682"/>
      <c r="FT619" s="682"/>
      <c r="FU619" s="682"/>
      <c r="FV619" s="682"/>
      <c r="FW619" s="682"/>
      <c r="FX619" s="682"/>
      <c r="FY619" s="682"/>
      <c r="FZ619" s="682"/>
      <c r="GA619" s="682"/>
      <c r="GB619" s="682"/>
      <c r="GC619" s="682"/>
      <c r="GD619" s="682"/>
      <c r="GE619" s="682"/>
      <c r="GF619" s="682"/>
      <c r="GG619" s="682"/>
      <c r="GH619" s="682"/>
      <c r="GI619" s="682"/>
      <c r="GJ619" s="682"/>
      <c r="GK619" s="682"/>
      <c r="GL619" s="682"/>
      <c r="GM619" s="682"/>
      <c r="GN619" s="682"/>
      <c r="GO619" s="682"/>
      <c r="GP619" s="682"/>
      <c r="GQ619" s="682"/>
      <c r="GR619" s="682"/>
      <c r="GS619" s="682"/>
      <c r="GT619" s="682"/>
      <c r="GU619" s="682"/>
      <c r="GV619" s="682"/>
      <c r="GW619" s="682"/>
      <c r="GX619" s="682"/>
      <c r="GY619" s="682"/>
      <c r="GZ619" s="682"/>
      <c r="HA619" s="682"/>
      <c r="HB619" s="682"/>
      <c r="HC619" s="682"/>
      <c r="HD619" s="682"/>
      <c r="HE619" s="682"/>
      <c r="HF619" s="682"/>
      <c r="HG619" s="682"/>
      <c r="HH619" s="682"/>
      <c r="HI619" s="682"/>
      <c r="HJ619" s="682"/>
      <c r="HK619" s="682"/>
      <c r="HL619" s="682"/>
      <c r="HM619" s="682"/>
      <c r="HN619" s="682"/>
      <c r="HO619" s="682"/>
      <c r="HP619" s="682"/>
      <c r="HQ619" s="682"/>
      <c r="HR619" s="682"/>
      <c r="HS619" s="682"/>
      <c r="HT619" s="682"/>
      <c r="HU619" s="682"/>
      <c r="HV619" s="682"/>
      <c r="HW619" s="682"/>
      <c r="HX619" s="682"/>
      <c r="HY619" s="682"/>
      <c r="HZ619" s="682"/>
      <c r="IA619" s="682"/>
      <c r="IB619" s="682"/>
      <c r="IC619" s="682"/>
      <c r="ID619" s="682"/>
      <c r="IE619" s="682"/>
      <c r="IF619" s="682"/>
      <c r="IG619" s="682"/>
      <c r="IH619" s="682"/>
      <c r="II619" s="682"/>
      <c r="IJ619" s="682"/>
      <c r="IK619" s="682"/>
      <c r="IL619" s="682"/>
      <c r="IM619" s="682"/>
      <c r="IN619" s="682"/>
      <c r="IO619" s="682"/>
      <c r="IP619" s="682"/>
      <c r="IQ619" s="682"/>
      <c r="IR619" s="682"/>
      <c r="IS619" s="682"/>
      <c r="IT619" s="682"/>
      <c r="IU619" s="682"/>
      <c r="IV619" s="682"/>
      <c r="IW619" s="682"/>
    </row>
    <row r="620" spans="1:257" s="682" customFormat="1" ht="40.5" customHeight="1">
      <c r="A620" s="713" t="s">
        <v>258</v>
      </c>
      <c r="B620" s="696" t="s">
        <v>1704</v>
      </c>
      <c r="C620" s="713"/>
      <c r="D620" s="713"/>
      <c r="E620" s="725"/>
      <c r="F620" s="725">
        <v>200000000</v>
      </c>
      <c r="G620" s="725"/>
      <c r="H620" s="725"/>
      <c r="I620" s="725"/>
      <c r="J620" s="725">
        <v>400000000</v>
      </c>
      <c r="K620" s="818">
        <v>250000000</v>
      </c>
      <c r="L620" s="1325">
        <v>200000000</v>
      </c>
      <c r="M620" s="669"/>
      <c r="N620" s="868"/>
      <c r="O620" s="868"/>
      <c r="P620" s="868"/>
      <c r="Q620" s="868"/>
      <c r="R620" s="871"/>
      <c r="S620" s="1059"/>
      <c r="T620" s="1060"/>
      <c r="U620" s="814"/>
      <c r="V620" s="581"/>
      <c r="W620" s="581"/>
      <c r="X620" s="578"/>
      <c r="Y620" s="582"/>
      <c r="Z620" s="582"/>
      <c r="AA620" s="582"/>
      <c r="AB620" s="582"/>
      <c r="AC620" s="582"/>
      <c r="AD620" s="582"/>
      <c r="AE620" s="582"/>
      <c r="AF620" s="582"/>
      <c r="AG620" s="582"/>
      <c r="AH620" s="582"/>
      <c r="AI620" s="582"/>
      <c r="AJ620" s="582"/>
      <c r="AK620" s="582"/>
      <c r="AL620" s="582"/>
      <c r="AM620" s="582"/>
      <c r="AN620" s="582"/>
      <c r="AO620" s="582"/>
      <c r="AP620" s="582"/>
      <c r="AQ620" s="582"/>
      <c r="AR620" s="582"/>
      <c r="AS620" s="582"/>
      <c r="AT620" s="582"/>
      <c r="AU620" s="582"/>
      <c r="AV620" s="582"/>
      <c r="AW620" s="582"/>
      <c r="AX620" s="582"/>
      <c r="AY620" s="582"/>
      <c r="AZ620" s="582"/>
      <c r="BA620" s="582"/>
      <c r="BB620" s="582"/>
      <c r="BC620" s="582"/>
      <c r="BD620" s="582"/>
      <c r="BE620" s="582"/>
      <c r="BF620" s="582"/>
      <c r="BG620" s="582"/>
      <c r="BH620" s="582"/>
      <c r="BI620" s="582"/>
      <c r="BJ620" s="582"/>
      <c r="BK620" s="582"/>
      <c r="BL620" s="582"/>
      <c r="BM620" s="582"/>
      <c r="BN620" s="582"/>
      <c r="BO620" s="582"/>
      <c r="BP620" s="582"/>
      <c r="BQ620" s="582"/>
      <c r="BR620" s="582"/>
      <c r="BS620" s="582"/>
      <c r="BT620" s="582"/>
      <c r="BU620" s="582"/>
      <c r="BV620" s="582"/>
      <c r="BW620" s="582"/>
      <c r="BX620" s="582"/>
      <c r="BY620" s="582"/>
      <c r="BZ620" s="582"/>
      <c r="CA620" s="582"/>
      <c r="CB620" s="582"/>
      <c r="CC620" s="582"/>
      <c r="CD620" s="582"/>
      <c r="CE620" s="582"/>
      <c r="CF620" s="582"/>
      <c r="CG620" s="582"/>
      <c r="CH620" s="582"/>
      <c r="CI620" s="582"/>
      <c r="CJ620" s="582"/>
      <c r="CK620" s="582"/>
      <c r="CL620" s="582"/>
      <c r="CM620" s="582"/>
      <c r="CN620" s="582"/>
      <c r="CO620" s="582"/>
      <c r="CP620" s="582"/>
      <c r="CQ620" s="582"/>
      <c r="CR620" s="582"/>
      <c r="CS620" s="582"/>
      <c r="CT620" s="582"/>
      <c r="CU620" s="582"/>
      <c r="CV620" s="582"/>
      <c r="CW620" s="582"/>
      <c r="CX620" s="582"/>
      <c r="CY620" s="582"/>
      <c r="CZ620" s="582"/>
      <c r="DA620" s="582"/>
      <c r="DB620" s="582"/>
      <c r="DC620" s="582"/>
      <c r="DD620" s="582"/>
      <c r="DE620" s="582"/>
      <c r="DF620" s="582"/>
      <c r="DG620" s="582"/>
      <c r="DH620" s="582"/>
      <c r="DI620" s="582"/>
      <c r="DJ620" s="582"/>
      <c r="DK620" s="582"/>
      <c r="DL620" s="582"/>
      <c r="DM620" s="582"/>
      <c r="DN620" s="582"/>
      <c r="DO620" s="582"/>
      <c r="DP620" s="582"/>
      <c r="DQ620" s="582"/>
      <c r="DR620" s="582"/>
      <c r="DS620" s="582"/>
      <c r="DT620" s="582"/>
      <c r="DU620" s="582"/>
      <c r="DV620" s="582"/>
      <c r="DW620" s="582"/>
      <c r="DX620" s="582"/>
      <c r="DY620" s="582"/>
      <c r="DZ620" s="582"/>
      <c r="EA620" s="582"/>
      <c r="EB620" s="582"/>
      <c r="EC620" s="582"/>
      <c r="ED620" s="582"/>
      <c r="EE620" s="582"/>
      <c r="EF620" s="582"/>
      <c r="EG620" s="582"/>
      <c r="EH620" s="582"/>
      <c r="EI620" s="582"/>
      <c r="EJ620" s="582"/>
      <c r="EK620" s="582"/>
      <c r="EL620" s="582"/>
      <c r="EM620" s="582"/>
      <c r="EN620" s="582"/>
      <c r="EO620" s="582"/>
      <c r="EP620" s="582"/>
      <c r="EQ620" s="582"/>
      <c r="ER620" s="582"/>
      <c r="ES620" s="582"/>
      <c r="ET620" s="582"/>
      <c r="EU620" s="582"/>
      <c r="EV620" s="582"/>
      <c r="EW620" s="582"/>
      <c r="EX620" s="582"/>
      <c r="EY620" s="582"/>
      <c r="EZ620" s="582"/>
      <c r="FA620" s="582"/>
      <c r="FB620" s="582"/>
      <c r="FC620" s="582"/>
      <c r="FD620" s="582"/>
      <c r="FE620" s="582"/>
      <c r="FF620" s="582"/>
      <c r="FG620" s="582"/>
      <c r="FH620" s="582"/>
      <c r="FI620" s="582"/>
      <c r="FJ620" s="582"/>
      <c r="FK620" s="582"/>
      <c r="FL620" s="582"/>
      <c r="FM620" s="582"/>
      <c r="FN620" s="582"/>
      <c r="FO620" s="582"/>
      <c r="FP620" s="582"/>
      <c r="FQ620" s="582"/>
      <c r="FR620" s="582"/>
      <c r="FS620" s="582"/>
      <c r="FT620" s="582"/>
      <c r="FU620" s="582"/>
      <c r="FV620" s="582"/>
      <c r="FW620" s="582"/>
      <c r="FX620" s="582"/>
      <c r="FY620" s="582"/>
      <c r="FZ620" s="582"/>
      <c r="GA620" s="582"/>
      <c r="GB620" s="582"/>
      <c r="GC620" s="582"/>
      <c r="GD620" s="582"/>
      <c r="GE620" s="582"/>
      <c r="GF620" s="582"/>
      <c r="GG620" s="582"/>
      <c r="GH620" s="582"/>
      <c r="GI620" s="582"/>
      <c r="GJ620" s="582"/>
      <c r="GK620" s="582"/>
      <c r="GL620" s="582"/>
      <c r="GM620" s="582"/>
      <c r="GN620" s="582"/>
      <c r="GO620" s="582"/>
      <c r="GP620" s="582"/>
      <c r="GQ620" s="582"/>
      <c r="GR620" s="582"/>
      <c r="GS620" s="582"/>
      <c r="GT620" s="582"/>
      <c r="GU620" s="582"/>
      <c r="GV620" s="582"/>
      <c r="GW620" s="582"/>
      <c r="GX620" s="582"/>
      <c r="GY620" s="582"/>
      <c r="GZ620" s="582"/>
      <c r="HA620" s="582"/>
      <c r="HB620" s="582"/>
      <c r="HC620" s="582"/>
      <c r="HD620" s="582"/>
      <c r="HE620" s="582"/>
      <c r="HF620" s="582"/>
      <c r="HG620" s="582"/>
      <c r="HH620" s="582"/>
      <c r="HI620" s="582"/>
      <c r="HJ620" s="582"/>
      <c r="HK620" s="582"/>
      <c r="HL620" s="582"/>
      <c r="HM620" s="582"/>
      <c r="HN620" s="582"/>
      <c r="HO620" s="582"/>
      <c r="HP620" s="582"/>
      <c r="HQ620" s="582"/>
      <c r="HR620" s="582"/>
      <c r="HS620" s="582"/>
      <c r="HT620" s="582"/>
      <c r="HU620" s="582"/>
      <c r="HV620" s="582"/>
      <c r="HW620" s="582"/>
      <c r="HX620" s="582"/>
      <c r="HY620" s="582"/>
      <c r="HZ620" s="582"/>
      <c r="IA620" s="582"/>
      <c r="IB620" s="582"/>
      <c r="IC620" s="582"/>
      <c r="ID620" s="582"/>
      <c r="IE620" s="582"/>
      <c r="IF620" s="582"/>
      <c r="IG620" s="582"/>
      <c r="IH620" s="582"/>
      <c r="II620" s="582"/>
      <c r="IJ620" s="582"/>
      <c r="IK620" s="582"/>
      <c r="IL620" s="582"/>
      <c r="IM620" s="582"/>
      <c r="IN620" s="582"/>
      <c r="IO620" s="582"/>
      <c r="IP620" s="582"/>
      <c r="IQ620" s="582"/>
      <c r="IR620" s="582"/>
      <c r="IS620" s="582"/>
      <c r="IT620" s="582"/>
      <c r="IU620" s="582"/>
      <c r="IV620" s="582"/>
      <c r="IW620" s="582"/>
    </row>
    <row r="621" spans="1:257" s="582" customFormat="1" ht="41.25" customHeight="1">
      <c r="A621" s="812" t="s">
        <v>91</v>
      </c>
      <c r="B621" s="696" t="s">
        <v>1406</v>
      </c>
      <c r="C621" s="713"/>
      <c r="D621" s="713"/>
      <c r="E621" s="725"/>
      <c r="F621" s="725"/>
      <c r="G621" s="669"/>
      <c r="H621" s="669"/>
      <c r="I621" s="669"/>
      <c r="J621" s="725">
        <v>50000000</v>
      </c>
      <c r="K621" s="818">
        <v>50000000</v>
      </c>
      <c r="L621" s="1325">
        <v>500000000</v>
      </c>
      <c r="M621" s="669"/>
      <c r="N621" s="868"/>
      <c r="O621" s="868"/>
      <c r="P621" s="837"/>
      <c r="Q621" s="837"/>
      <c r="R621" s="871"/>
      <c r="S621" s="871"/>
      <c r="T621" s="824"/>
      <c r="U621" s="580"/>
      <c r="V621" s="727"/>
      <c r="W621" s="727"/>
      <c r="X621" s="728"/>
      <c r="Y621" s="682"/>
      <c r="Z621" s="682"/>
      <c r="AA621" s="682"/>
      <c r="AB621" s="682"/>
      <c r="AC621" s="682"/>
      <c r="AD621" s="682"/>
      <c r="AE621" s="682"/>
      <c r="AF621" s="682"/>
      <c r="AG621" s="682"/>
      <c r="AH621" s="682"/>
      <c r="AI621" s="682"/>
      <c r="AJ621" s="682"/>
      <c r="AK621" s="682"/>
      <c r="AL621" s="682"/>
      <c r="AM621" s="682"/>
      <c r="AN621" s="682"/>
      <c r="AO621" s="682"/>
      <c r="AP621" s="682"/>
      <c r="AQ621" s="682"/>
      <c r="AR621" s="682"/>
      <c r="AS621" s="682"/>
      <c r="AT621" s="682"/>
      <c r="AU621" s="682"/>
      <c r="AV621" s="682"/>
      <c r="AW621" s="682"/>
      <c r="AX621" s="682"/>
      <c r="AY621" s="682"/>
      <c r="AZ621" s="682"/>
      <c r="BA621" s="682"/>
      <c r="BB621" s="682"/>
      <c r="BC621" s="682"/>
      <c r="BD621" s="682"/>
      <c r="BE621" s="682"/>
      <c r="BF621" s="682"/>
      <c r="BG621" s="682"/>
      <c r="BH621" s="682"/>
      <c r="BI621" s="682"/>
      <c r="BJ621" s="682"/>
      <c r="BK621" s="682"/>
      <c r="BL621" s="682"/>
      <c r="BM621" s="682"/>
      <c r="BN621" s="682"/>
      <c r="BO621" s="682"/>
      <c r="BP621" s="682"/>
      <c r="BQ621" s="682"/>
      <c r="BR621" s="682"/>
      <c r="BS621" s="682"/>
      <c r="BT621" s="682"/>
      <c r="BU621" s="682"/>
      <c r="BV621" s="682"/>
      <c r="BW621" s="682"/>
      <c r="BX621" s="682"/>
      <c r="BY621" s="682"/>
      <c r="BZ621" s="682"/>
      <c r="CA621" s="682"/>
      <c r="CB621" s="682"/>
      <c r="CC621" s="682"/>
      <c r="CD621" s="682"/>
      <c r="CE621" s="682"/>
      <c r="CF621" s="682"/>
      <c r="CG621" s="682"/>
      <c r="CH621" s="682"/>
      <c r="CI621" s="682"/>
      <c r="CJ621" s="682"/>
      <c r="CK621" s="682"/>
      <c r="CL621" s="682"/>
      <c r="CM621" s="682"/>
      <c r="CN621" s="682"/>
      <c r="CO621" s="682"/>
      <c r="CP621" s="682"/>
      <c r="CQ621" s="682"/>
      <c r="CR621" s="682"/>
      <c r="CS621" s="682"/>
      <c r="CT621" s="682"/>
      <c r="CU621" s="682"/>
      <c r="CV621" s="682"/>
      <c r="CW621" s="682"/>
      <c r="CX621" s="682"/>
      <c r="CY621" s="682"/>
      <c r="CZ621" s="682"/>
      <c r="DA621" s="682"/>
      <c r="DB621" s="682"/>
      <c r="DC621" s="682"/>
      <c r="DD621" s="682"/>
      <c r="DE621" s="682"/>
      <c r="DF621" s="682"/>
      <c r="DG621" s="682"/>
      <c r="DH621" s="682"/>
      <c r="DI621" s="682"/>
      <c r="DJ621" s="682"/>
      <c r="DK621" s="682"/>
      <c r="DL621" s="682"/>
      <c r="DM621" s="682"/>
      <c r="DN621" s="682"/>
      <c r="DO621" s="682"/>
      <c r="DP621" s="682"/>
      <c r="DQ621" s="682"/>
      <c r="DR621" s="682"/>
      <c r="DS621" s="682"/>
      <c r="DT621" s="682"/>
      <c r="DU621" s="682"/>
      <c r="DV621" s="682"/>
      <c r="DW621" s="682"/>
      <c r="DX621" s="682"/>
      <c r="DY621" s="682"/>
      <c r="DZ621" s="682"/>
      <c r="EA621" s="682"/>
      <c r="EB621" s="682"/>
      <c r="EC621" s="682"/>
      <c r="ED621" s="682"/>
      <c r="EE621" s="682"/>
      <c r="EF621" s="682"/>
      <c r="EG621" s="682"/>
      <c r="EH621" s="682"/>
      <c r="EI621" s="682"/>
      <c r="EJ621" s="682"/>
      <c r="EK621" s="682"/>
      <c r="EL621" s="682"/>
      <c r="EM621" s="682"/>
      <c r="EN621" s="682"/>
      <c r="EO621" s="682"/>
      <c r="EP621" s="682"/>
      <c r="EQ621" s="682"/>
      <c r="ER621" s="682"/>
      <c r="ES621" s="682"/>
      <c r="ET621" s="682"/>
      <c r="EU621" s="682"/>
      <c r="EV621" s="682"/>
      <c r="EW621" s="682"/>
      <c r="EX621" s="682"/>
      <c r="EY621" s="682"/>
      <c r="EZ621" s="682"/>
      <c r="FA621" s="682"/>
      <c r="FB621" s="682"/>
      <c r="FC621" s="682"/>
      <c r="FD621" s="682"/>
      <c r="FE621" s="682"/>
      <c r="FF621" s="682"/>
      <c r="FG621" s="682"/>
      <c r="FH621" s="682"/>
      <c r="FI621" s="682"/>
      <c r="FJ621" s="682"/>
      <c r="FK621" s="682"/>
      <c r="FL621" s="682"/>
      <c r="FM621" s="682"/>
      <c r="FN621" s="682"/>
      <c r="FO621" s="682"/>
      <c r="FP621" s="682"/>
      <c r="FQ621" s="682"/>
      <c r="FR621" s="682"/>
      <c r="FS621" s="682"/>
      <c r="FT621" s="682"/>
      <c r="FU621" s="682"/>
      <c r="FV621" s="682"/>
      <c r="FW621" s="682"/>
      <c r="FX621" s="682"/>
      <c r="FY621" s="682"/>
      <c r="FZ621" s="682"/>
      <c r="GA621" s="682"/>
      <c r="GB621" s="682"/>
      <c r="GC621" s="682"/>
      <c r="GD621" s="682"/>
      <c r="GE621" s="682"/>
      <c r="GF621" s="682"/>
      <c r="GG621" s="682"/>
      <c r="GH621" s="682"/>
      <c r="GI621" s="682"/>
      <c r="GJ621" s="682"/>
      <c r="GK621" s="682"/>
      <c r="GL621" s="682"/>
      <c r="GM621" s="682"/>
      <c r="GN621" s="682"/>
      <c r="GO621" s="682"/>
      <c r="GP621" s="682"/>
      <c r="GQ621" s="682"/>
      <c r="GR621" s="682"/>
      <c r="GS621" s="682"/>
      <c r="GT621" s="682"/>
      <c r="GU621" s="682"/>
      <c r="GV621" s="682"/>
      <c r="GW621" s="682"/>
      <c r="GX621" s="682"/>
      <c r="GY621" s="682"/>
      <c r="GZ621" s="682"/>
      <c r="HA621" s="682"/>
      <c r="HB621" s="682"/>
      <c r="HC621" s="682"/>
      <c r="HD621" s="682"/>
      <c r="HE621" s="682"/>
      <c r="HF621" s="682"/>
      <c r="HG621" s="682"/>
      <c r="HH621" s="682"/>
      <c r="HI621" s="682"/>
      <c r="HJ621" s="682"/>
      <c r="HK621" s="682"/>
      <c r="HL621" s="682"/>
      <c r="HM621" s="682"/>
      <c r="HN621" s="682"/>
      <c r="HO621" s="682"/>
      <c r="HP621" s="682"/>
      <c r="HQ621" s="682"/>
      <c r="HR621" s="682"/>
      <c r="HS621" s="682"/>
      <c r="HT621" s="682"/>
      <c r="HU621" s="682"/>
      <c r="HV621" s="682"/>
      <c r="HW621" s="682"/>
      <c r="HX621" s="682"/>
      <c r="HY621" s="682"/>
      <c r="HZ621" s="682"/>
      <c r="IA621" s="682"/>
      <c r="IB621" s="682"/>
      <c r="IC621" s="682"/>
      <c r="ID621" s="682"/>
      <c r="IE621" s="682"/>
      <c r="IF621" s="682"/>
      <c r="IG621" s="682"/>
      <c r="IH621" s="682"/>
      <c r="II621" s="682"/>
      <c r="IJ621" s="682"/>
      <c r="IK621" s="682"/>
      <c r="IL621" s="682"/>
      <c r="IM621" s="682"/>
      <c r="IN621" s="682"/>
      <c r="IO621" s="682"/>
      <c r="IP621" s="682"/>
      <c r="IQ621" s="682"/>
      <c r="IR621" s="682"/>
      <c r="IS621" s="682"/>
      <c r="IT621" s="682"/>
      <c r="IU621" s="682"/>
      <c r="IV621" s="682"/>
      <c r="IW621" s="682"/>
    </row>
    <row r="622" spans="1:257" s="582" customFormat="1" ht="30" customHeight="1">
      <c r="A622" s="812" t="s">
        <v>91</v>
      </c>
      <c r="B622" s="696" t="s">
        <v>1080</v>
      </c>
      <c r="C622" s="713"/>
      <c r="D622" s="713"/>
      <c r="E622" s="725"/>
      <c r="F622" s="725"/>
      <c r="G622" s="669"/>
      <c r="H622" s="669"/>
      <c r="I622" s="669"/>
      <c r="J622" s="725"/>
      <c r="K622" s="818">
        <v>50000000</v>
      </c>
      <c r="L622" s="1325">
        <v>50000000</v>
      </c>
      <c r="M622" s="669"/>
      <c r="N622" s="868"/>
      <c r="O622" s="868"/>
      <c r="P622" s="837"/>
      <c r="Q622" s="837"/>
      <c r="R622" s="871"/>
      <c r="S622" s="871"/>
      <c r="T622" s="824"/>
      <c r="U622" s="580"/>
      <c r="V622" s="727"/>
      <c r="W622" s="727"/>
      <c r="X622" s="728"/>
      <c r="Y622" s="682"/>
      <c r="Z622" s="682"/>
      <c r="AA622" s="682"/>
      <c r="AB622" s="682"/>
      <c r="AC622" s="682"/>
      <c r="AD622" s="682"/>
      <c r="AE622" s="682"/>
      <c r="AF622" s="682"/>
      <c r="AG622" s="682"/>
      <c r="AH622" s="682"/>
      <c r="AI622" s="682"/>
      <c r="AJ622" s="682"/>
      <c r="AK622" s="682"/>
      <c r="AL622" s="682"/>
      <c r="AM622" s="682"/>
      <c r="AN622" s="682"/>
      <c r="AO622" s="682"/>
      <c r="AP622" s="682"/>
      <c r="AQ622" s="682"/>
      <c r="AR622" s="682"/>
      <c r="AS622" s="682"/>
      <c r="AT622" s="682"/>
      <c r="AU622" s="682"/>
      <c r="AV622" s="682"/>
      <c r="AW622" s="682"/>
      <c r="AX622" s="682"/>
      <c r="AY622" s="682"/>
      <c r="AZ622" s="682"/>
      <c r="BA622" s="682"/>
      <c r="BB622" s="682"/>
      <c r="BC622" s="682"/>
      <c r="BD622" s="682"/>
      <c r="BE622" s="682"/>
      <c r="BF622" s="682"/>
      <c r="BG622" s="682"/>
      <c r="BH622" s="682"/>
      <c r="BI622" s="682"/>
      <c r="BJ622" s="682"/>
      <c r="BK622" s="682"/>
      <c r="BL622" s="682"/>
      <c r="BM622" s="682"/>
      <c r="BN622" s="682"/>
      <c r="BO622" s="682"/>
      <c r="BP622" s="682"/>
      <c r="BQ622" s="682"/>
      <c r="BR622" s="682"/>
      <c r="BS622" s="682"/>
      <c r="BT622" s="682"/>
      <c r="BU622" s="682"/>
      <c r="BV622" s="682"/>
      <c r="BW622" s="682"/>
      <c r="BX622" s="682"/>
      <c r="BY622" s="682"/>
      <c r="BZ622" s="682"/>
      <c r="CA622" s="682"/>
      <c r="CB622" s="682"/>
      <c r="CC622" s="682"/>
      <c r="CD622" s="682"/>
      <c r="CE622" s="682"/>
      <c r="CF622" s="682"/>
      <c r="CG622" s="682"/>
      <c r="CH622" s="682"/>
      <c r="CI622" s="682"/>
      <c r="CJ622" s="682"/>
      <c r="CK622" s="682"/>
      <c r="CL622" s="682"/>
      <c r="CM622" s="682"/>
      <c r="CN622" s="682"/>
      <c r="CO622" s="682"/>
      <c r="CP622" s="682"/>
      <c r="CQ622" s="682"/>
      <c r="CR622" s="682"/>
      <c r="CS622" s="682"/>
      <c r="CT622" s="682"/>
      <c r="CU622" s="682"/>
      <c r="CV622" s="682"/>
      <c r="CW622" s="682"/>
      <c r="CX622" s="682"/>
      <c r="CY622" s="682"/>
      <c r="CZ622" s="682"/>
      <c r="DA622" s="682"/>
      <c r="DB622" s="682"/>
      <c r="DC622" s="682"/>
      <c r="DD622" s="682"/>
      <c r="DE622" s="682"/>
      <c r="DF622" s="682"/>
      <c r="DG622" s="682"/>
      <c r="DH622" s="682"/>
      <c r="DI622" s="682"/>
      <c r="DJ622" s="682"/>
      <c r="DK622" s="682"/>
      <c r="DL622" s="682"/>
      <c r="DM622" s="682"/>
      <c r="DN622" s="682"/>
      <c r="DO622" s="682"/>
      <c r="DP622" s="682"/>
      <c r="DQ622" s="682"/>
      <c r="DR622" s="682"/>
      <c r="DS622" s="682"/>
      <c r="DT622" s="682"/>
      <c r="DU622" s="682"/>
      <c r="DV622" s="682"/>
      <c r="DW622" s="682"/>
      <c r="DX622" s="682"/>
      <c r="DY622" s="682"/>
      <c r="DZ622" s="682"/>
      <c r="EA622" s="682"/>
      <c r="EB622" s="682"/>
      <c r="EC622" s="682"/>
      <c r="ED622" s="682"/>
      <c r="EE622" s="682"/>
      <c r="EF622" s="682"/>
      <c r="EG622" s="682"/>
      <c r="EH622" s="682"/>
      <c r="EI622" s="682"/>
      <c r="EJ622" s="682"/>
      <c r="EK622" s="682"/>
      <c r="EL622" s="682"/>
      <c r="EM622" s="682"/>
      <c r="EN622" s="682"/>
      <c r="EO622" s="682"/>
      <c r="EP622" s="682"/>
      <c r="EQ622" s="682"/>
      <c r="ER622" s="682"/>
      <c r="ES622" s="682"/>
      <c r="ET622" s="682"/>
      <c r="EU622" s="682"/>
      <c r="EV622" s="682"/>
      <c r="EW622" s="682"/>
      <c r="EX622" s="682"/>
      <c r="EY622" s="682"/>
      <c r="EZ622" s="682"/>
      <c r="FA622" s="682"/>
      <c r="FB622" s="682"/>
      <c r="FC622" s="682"/>
      <c r="FD622" s="682"/>
      <c r="FE622" s="682"/>
      <c r="FF622" s="682"/>
      <c r="FG622" s="682"/>
      <c r="FH622" s="682"/>
      <c r="FI622" s="682"/>
      <c r="FJ622" s="682"/>
      <c r="FK622" s="682"/>
      <c r="FL622" s="682"/>
      <c r="FM622" s="682"/>
      <c r="FN622" s="682"/>
      <c r="FO622" s="682"/>
      <c r="FP622" s="682"/>
      <c r="FQ622" s="682"/>
      <c r="FR622" s="682"/>
      <c r="FS622" s="682"/>
      <c r="FT622" s="682"/>
      <c r="FU622" s="682"/>
      <c r="FV622" s="682"/>
      <c r="FW622" s="682"/>
      <c r="FX622" s="682"/>
      <c r="FY622" s="682"/>
      <c r="FZ622" s="682"/>
      <c r="GA622" s="682"/>
      <c r="GB622" s="682"/>
      <c r="GC622" s="682"/>
      <c r="GD622" s="682"/>
      <c r="GE622" s="682"/>
      <c r="GF622" s="682"/>
      <c r="GG622" s="682"/>
      <c r="GH622" s="682"/>
      <c r="GI622" s="682"/>
      <c r="GJ622" s="682"/>
      <c r="GK622" s="682"/>
      <c r="GL622" s="682"/>
      <c r="GM622" s="682"/>
      <c r="GN622" s="682"/>
      <c r="GO622" s="682"/>
      <c r="GP622" s="682"/>
      <c r="GQ622" s="682"/>
      <c r="GR622" s="682"/>
      <c r="GS622" s="682"/>
      <c r="GT622" s="682"/>
      <c r="GU622" s="682"/>
      <c r="GV622" s="682"/>
      <c r="GW622" s="682"/>
      <c r="GX622" s="682"/>
      <c r="GY622" s="682"/>
      <c r="GZ622" s="682"/>
      <c r="HA622" s="682"/>
      <c r="HB622" s="682"/>
      <c r="HC622" s="682"/>
      <c r="HD622" s="682"/>
      <c r="HE622" s="682"/>
      <c r="HF622" s="682"/>
      <c r="HG622" s="682"/>
      <c r="HH622" s="682"/>
      <c r="HI622" s="682"/>
      <c r="HJ622" s="682"/>
      <c r="HK622" s="682"/>
      <c r="HL622" s="682"/>
      <c r="HM622" s="682"/>
      <c r="HN622" s="682"/>
      <c r="HO622" s="682"/>
      <c r="HP622" s="682"/>
      <c r="HQ622" s="682"/>
      <c r="HR622" s="682"/>
      <c r="HS622" s="682"/>
      <c r="HT622" s="682"/>
      <c r="HU622" s="682"/>
      <c r="HV622" s="682"/>
      <c r="HW622" s="682"/>
      <c r="HX622" s="682"/>
      <c r="HY622" s="682"/>
      <c r="HZ622" s="682"/>
      <c r="IA622" s="682"/>
      <c r="IB622" s="682"/>
      <c r="IC622" s="682"/>
      <c r="ID622" s="682"/>
      <c r="IE622" s="682"/>
      <c r="IF622" s="682"/>
      <c r="IG622" s="682"/>
      <c r="IH622" s="682"/>
      <c r="II622" s="682"/>
      <c r="IJ622" s="682"/>
      <c r="IK622" s="682"/>
      <c r="IL622" s="682"/>
      <c r="IM622" s="682"/>
      <c r="IN622" s="682"/>
      <c r="IO622" s="682"/>
      <c r="IP622" s="682"/>
      <c r="IQ622" s="682"/>
      <c r="IR622" s="682"/>
      <c r="IS622" s="682"/>
      <c r="IT622" s="682"/>
      <c r="IU622" s="682"/>
      <c r="IV622" s="682"/>
      <c r="IW622" s="682"/>
    </row>
    <row r="623" spans="1:257" s="582" customFormat="1" ht="30" customHeight="1">
      <c r="A623" s="812" t="s">
        <v>91</v>
      </c>
      <c r="B623" s="696" t="s">
        <v>1081</v>
      </c>
      <c r="C623" s="713"/>
      <c r="D623" s="713"/>
      <c r="E623" s="725"/>
      <c r="F623" s="725"/>
      <c r="G623" s="669"/>
      <c r="H623" s="669"/>
      <c r="I623" s="669"/>
      <c r="J623" s="725"/>
      <c r="K623" s="818">
        <v>50000000</v>
      </c>
      <c r="L623" s="1325">
        <v>0</v>
      </c>
      <c r="M623" s="669"/>
      <c r="N623" s="868"/>
      <c r="O623" s="868"/>
      <c r="P623" s="837"/>
      <c r="Q623" s="837"/>
      <c r="R623" s="871"/>
      <c r="S623" s="871"/>
      <c r="T623" s="824"/>
      <c r="U623" s="580"/>
      <c r="V623" s="727"/>
      <c r="W623" s="727"/>
      <c r="X623" s="728"/>
      <c r="Y623" s="682"/>
      <c r="Z623" s="682"/>
      <c r="AA623" s="682"/>
      <c r="AB623" s="682"/>
      <c r="AC623" s="682"/>
      <c r="AD623" s="682"/>
      <c r="AE623" s="682"/>
      <c r="AF623" s="682"/>
      <c r="AG623" s="682"/>
      <c r="AH623" s="682"/>
      <c r="AI623" s="682"/>
      <c r="AJ623" s="682"/>
      <c r="AK623" s="682"/>
      <c r="AL623" s="682"/>
      <c r="AM623" s="682"/>
      <c r="AN623" s="682"/>
      <c r="AO623" s="682"/>
      <c r="AP623" s="682"/>
      <c r="AQ623" s="682"/>
      <c r="AR623" s="682"/>
      <c r="AS623" s="682"/>
      <c r="AT623" s="682"/>
      <c r="AU623" s="682"/>
      <c r="AV623" s="682"/>
      <c r="AW623" s="682"/>
      <c r="AX623" s="682"/>
      <c r="AY623" s="682"/>
      <c r="AZ623" s="682"/>
      <c r="BA623" s="682"/>
      <c r="BB623" s="682"/>
      <c r="BC623" s="682"/>
      <c r="BD623" s="682"/>
      <c r="BE623" s="682"/>
      <c r="BF623" s="682"/>
      <c r="BG623" s="682"/>
      <c r="BH623" s="682"/>
      <c r="BI623" s="682"/>
      <c r="BJ623" s="682"/>
      <c r="BK623" s="682"/>
      <c r="BL623" s="682"/>
      <c r="BM623" s="682"/>
      <c r="BN623" s="682"/>
      <c r="BO623" s="682"/>
      <c r="BP623" s="682"/>
      <c r="BQ623" s="682"/>
      <c r="BR623" s="682"/>
      <c r="BS623" s="682"/>
      <c r="BT623" s="682"/>
      <c r="BU623" s="682"/>
      <c r="BV623" s="682"/>
      <c r="BW623" s="682"/>
      <c r="BX623" s="682"/>
      <c r="BY623" s="682"/>
      <c r="BZ623" s="682"/>
      <c r="CA623" s="682"/>
      <c r="CB623" s="682"/>
      <c r="CC623" s="682"/>
      <c r="CD623" s="682"/>
      <c r="CE623" s="682"/>
      <c r="CF623" s="682"/>
      <c r="CG623" s="682"/>
      <c r="CH623" s="682"/>
      <c r="CI623" s="682"/>
      <c r="CJ623" s="682"/>
      <c r="CK623" s="682"/>
      <c r="CL623" s="682"/>
      <c r="CM623" s="682"/>
      <c r="CN623" s="682"/>
      <c r="CO623" s="682"/>
      <c r="CP623" s="682"/>
      <c r="CQ623" s="682"/>
      <c r="CR623" s="682"/>
      <c r="CS623" s="682"/>
      <c r="CT623" s="682"/>
      <c r="CU623" s="682"/>
      <c r="CV623" s="682"/>
      <c r="CW623" s="682"/>
      <c r="CX623" s="682"/>
      <c r="CY623" s="682"/>
      <c r="CZ623" s="682"/>
      <c r="DA623" s="682"/>
      <c r="DB623" s="682"/>
      <c r="DC623" s="682"/>
      <c r="DD623" s="682"/>
      <c r="DE623" s="682"/>
      <c r="DF623" s="682"/>
      <c r="DG623" s="682"/>
      <c r="DH623" s="682"/>
      <c r="DI623" s="682"/>
      <c r="DJ623" s="682"/>
      <c r="DK623" s="682"/>
      <c r="DL623" s="682"/>
      <c r="DM623" s="682"/>
      <c r="DN623" s="682"/>
      <c r="DO623" s="682"/>
      <c r="DP623" s="682"/>
      <c r="DQ623" s="682"/>
      <c r="DR623" s="682"/>
      <c r="DS623" s="682"/>
      <c r="DT623" s="682"/>
      <c r="DU623" s="682"/>
      <c r="DV623" s="682"/>
      <c r="DW623" s="682"/>
      <c r="DX623" s="682"/>
      <c r="DY623" s="682"/>
      <c r="DZ623" s="682"/>
      <c r="EA623" s="682"/>
      <c r="EB623" s="682"/>
      <c r="EC623" s="682"/>
      <c r="ED623" s="682"/>
      <c r="EE623" s="682"/>
      <c r="EF623" s="682"/>
      <c r="EG623" s="682"/>
      <c r="EH623" s="682"/>
      <c r="EI623" s="682"/>
      <c r="EJ623" s="682"/>
      <c r="EK623" s="682"/>
      <c r="EL623" s="682"/>
      <c r="EM623" s="682"/>
      <c r="EN623" s="682"/>
      <c r="EO623" s="682"/>
      <c r="EP623" s="682"/>
      <c r="EQ623" s="682"/>
      <c r="ER623" s="682"/>
      <c r="ES623" s="682"/>
      <c r="ET623" s="682"/>
      <c r="EU623" s="682"/>
      <c r="EV623" s="682"/>
      <c r="EW623" s="682"/>
      <c r="EX623" s="682"/>
      <c r="EY623" s="682"/>
      <c r="EZ623" s="682"/>
      <c r="FA623" s="682"/>
      <c r="FB623" s="682"/>
      <c r="FC623" s="682"/>
      <c r="FD623" s="682"/>
      <c r="FE623" s="682"/>
      <c r="FF623" s="682"/>
      <c r="FG623" s="682"/>
      <c r="FH623" s="682"/>
      <c r="FI623" s="682"/>
      <c r="FJ623" s="682"/>
      <c r="FK623" s="682"/>
      <c r="FL623" s="682"/>
      <c r="FM623" s="682"/>
      <c r="FN623" s="682"/>
      <c r="FO623" s="682"/>
      <c r="FP623" s="682"/>
      <c r="FQ623" s="682"/>
      <c r="FR623" s="682"/>
      <c r="FS623" s="682"/>
      <c r="FT623" s="682"/>
      <c r="FU623" s="682"/>
      <c r="FV623" s="682"/>
      <c r="FW623" s="682"/>
      <c r="FX623" s="682"/>
      <c r="FY623" s="682"/>
      <c r="FZ623" s="682"/>
      <c r="GA623" s="682"/>
      <c r="GB623" s="682"/>
      <c r="GC623" s="682"/>
      <c r="GD623" s="682"/>
      <c r="GE623" s="682"/>
      <c r="GF623" s="682"/>
      <c r="GG623" s="682"/>
      <c r="GH623" s="682"/>
      <c r="GI623" s="682"/>
      <c r="GJ623" s="682"/>
      <c r="GK623" s="682"/>
      <c r="GL623" s="682"/>
      <c r="GM623" s="682"/>
      <c r="GN623" s="682"/>
      <c r="GO623" s="682"/>
      <c r="GP623" s="682"/>
      <c r="GQ623" s="682"/>
      <c r="GR623" s="682"/>
      <c r="GS623" s="682"/>
      <c r="GT623" s="682"/>
      <c r="GU623" s="682"/>
      <c r="GV623" s="682"/>
      <c r="GW623" s="682"/>
      <c r="GX623" s="682"/>
      <c r="GY623" s="682"/>
      <c r="GZ623" s="682"/>
      <c r="HA623" s="682"/>
      <c r="HB623" s="682"/>
      <c r="HC623" s="682"/>
      <c r="HD623" s="682"/>
      <c r="HE623" s="682"/>
      <c r="HF623" s="682"/>
      <c r="HG623" s="682"/>
      <c r="HH623" s="682"/>
      <c r="HI623" s="682"/>
      <c r="HJ623" s="682"/>
      <c r="HK623" s="682"/>
      <c r="HL623" s="682"/>
      <c r="HM623" s="682"/>
      <c r="HN623" s="682"/>
      <c r="HO623" s="682"/>
      <c r="HP623" s="682"/>
      <c r="HQ623" s="682"/>
      <c r="HR623" s="682"/>
      <c r="HS623" s="682"/>
      <c r="HT623" s="682"/>
      <c r="HU623" s="682"/>
      <c r="HV623" s="682"/>
      <c r="HW623" s="682"/>
      <c r="HX623" s="682"/>
      <c r="HY623" s="682"/>
      <c r="HZ623" s="682"/>
      <c r="IA623" s="682"/>
      <c r="IB623" s="682"/>
      <c r="IC623" s="682"/>
      <c r="ID623" s="682"/>
      <c r="IE623" s="682"/>
      <c r="IF623" s="682"/>
      <c r="IG623" s="682"/>
      <c r="IH623" s="682"/>
      <c r="II623" s="682"/>
      <c r="IJ623" s="682"/>
      <c r="IK623" s="682"/>
      <c r="IL623" s="682"/>
      <c r="IM623" s="682"/>
      <c r="IN623" s="682"/>
      <c r="IO623" s="682"/>
      <c r="IP623" s="682"/>
      <c r="IQ623" s="682"/>
      <c r="IR623" s="682"/>
      <c r="IS623" s="682"/>
      <c r="IT623" s="682"/>
      <c r="IU623" s="682"/>
      <c r="IV623" s="682"/>
      <c r="IW623" s="682"/>
    </row>
    <row r="624" spans="1:257" s="582" customFormat="1" ht="70.5" customHeight="1">
      <c r="A624" s="812"/>
      <c r="B624" s="696" t="s">
        <v>1527</v>
      </c>
      <c r="C624" s="713"/>
      <c r="D624" s="713"/>
      <c r="E624" s="725"/>
      <c r="F624" s="725"/>
      <c r="G624" s="669"/>
      <c r="H624" s="669"/>
      <c r="I624" s="669"/>
      <c r="J624" s="725"/>
      <c r="K624" s="818">
        <v>100000000</v>
      </c>
      <c r="L624" s="1325">
        <v>100000000</v>
      </c>
      <c r="M624" s="669"/>
      <c r="N624" s="868"/>
      <c r="O624" s="868"/>
      <c r="P624" s="837"/>
      <c r="Q624" s="837"/>
      <c r="R624" s="871"/>
      <c r="S624" s="871"/>
      <c r="T624" s="824"/>
      <c r="U624" s="580"/>
      <c r="V624" s="727"/>
      <c r="W624" s="727"/>
      <c r="X624" s="728"/>
      <c r="Y624" s="682"/>
      <c r="Z624" s="682"/>
      <c r="AA624" s="682"/>
      <c r="AB624" s="682"/>
      <c r="AC624" s="682"/>
      <c r="AD624" s="682"/>
      <c r="AE624" s="682"/>
      <c r="AF624" s="682"/>
      <c r="AG624" s="682"/>
      <c r="AH624" s="682"/>
      <c r="AI624" s="682"/>
      <c r="AJ624" s="682"/>
      <c r="AK624" s="682"/>
      <c r="AL624" s="682"/>
      <c r="AM624" s="682"/>
      <c r="AN624" s="682"/>
      <c r="AO624" s="682"/>
      <c r="AP624" s="682"/>
      <c r="AQ624" s="682"/>
      <c r="AR624" s="682"/>
      <c r="AS624" s="682"/>
      <c r="AT624" s="682"/>
      <c r="AU624" s="682"/>
      <c r="AV624" s="682"/>
      <c r="AW624" s="682"/>
      <c r="AX624" s="682"/>
      <c r="AY624" s="682"/>
      <c r="AZ624" s="682"/>
      <c r="BA624" s="682"/>
      <c r="BB624" s="682"/>
      <c r="BC624" s="682"/>
      <c r="BD624" s="682"/>
      <c r="BE624" s="682"/>
      <c r="BF624" s="682"/>
      <c r="BG624" s="682"/>
      <c r="BH624" s="682"/>
      <c r="BI624" s="682"/>
      <c r="BJ624" s="682"/>
      <c r="BK624" s="682"/>
      <c r="BL624" s="682"/>
      <c r="BM624" s="682"/>
      <c r="BN624" s="682"/>
      <c r="BO624" s="682"/>
      <c r="BP624" s="682"/>
      <c r="BQ624" s="682"/>
      <c r="BR624" s="682"/>
      <c r="BS624" s="682"/>
      <c r="BT624" s="682"/>
      <c r="BU624" s="682"/>
      <c r="BV624" s="682"/>
      <c r="BW624" s="682"/>
      <c r="BX624" s="682"/>
      <c r="BY624" s="682"/>
      <c r="BZ624" s="682"/>
      <c r="CA624" s="682"/>
      <c r="CB624" s="682"/>
      <c r="CC624" s="682"/>
      <c r="CD624" s="682"/>
      <c r="CE624" s="682"/>
      <c r="CF624" s="682"/>
      <c r="CG624" s="682"/>
      <c r="CH624" s="682"/>
      <c r="CI624" s="682"/>
      <c r="CJ624" s="682"/>
      <c r="CK624" s="682"/>
      <c r="CL624" s="682"/>
      <c r="CM624" s="682"/>
      <c r="CN624" s="682"/>
      <c r="CO624" s="682"/>
      <c r="CP624" s="682"/>
      <c r="CQ624" s="682"/>
      <c r="CR624" s="682"/>
      <c r="CS624" s="682"/>
      <c r="CT624" s="682"/>
      <c r="CU624" s="682"/>
      <c r="CV624" s="682"/>
      <c r="CW624" s="682"/>
      <c r="CX624" s="682"/>
      <c r="CY624" s="682"/>
      <c r="CZ624" s="682"/>
      <c r="DA624" s="682"/>
      <c r="DB624" s="682"/>
      <c r="DC624" s="682"/>
      <c r="DD624" s="682"/>
      <c r="DE624" s="682"/>
      <c r="DF624" s="682"/>
      <c r="DG624" s="682"/>
      <c r="DH624" s="682"/>
      <c r="DI624" s="682"/>
      <c r="DJ624" s="682"/>
      <c r="DK624" s="682"/>
      <c r="DL624" s="682"/>
      <c r="DM624" s="682"/>
      <c r="DN624" s="682"/>
      <c r="DO624" s="682"/>
      <c r="DP624" s="682"/>
      <c r="DQ624" s="682"/>
      <c r="DR624" s="682"/>
      <c r="DS624" s="682"/>
      <c r="DT624" s="682"/>
      <c r="DU624" s="682"/>
      <c r="DV624" s="682"/>
      <c r="DW624" s="682"/>
      <c r="DX624" s="682"/>
      <c r="DY624" s="682"/>
      <c r="DZ624" s="682"/>
      <c r="EA624" s="682"/>
      <c r="EB624" s="682"/>
      <c r="EC624" s="682"/>
      <c r="ED624" s="682"/>
      <c r="EE624" s="682"/>
      <c r="EF624" s="682"/>
      <c r="EG624" s="682"/>
      <c r="EH624" s="682"/>
      <c r="EI624" s="682"/>
      <c r="EJ624" s="682"/>
      <c r="EK624" s="682"/>
      <c r="EL624" s="682"/>
      <c r="EM624" s="682"/>
      <c r="EN624" s="682"/>
      <c r="EO624" s="682"/>
      <c r="EP624" s="682"/>
      <c r="EQ624" s="682"/>
      <c r="ER624" s="682"/>
      <c r="ES624" s="682"/>
      <c r="ET624" s="682"/>
      <c r="EU624" s="682"/>
      <c r="EV624" s="682"/>
      <c r="EW624" s="682"/>
      <c r="EX624" s="682"/>
      <c r="EY624" s="682"/>
      <c r="EZ624" s="682"/>
      <c r="FA624" s="682"/>
      <c r="FB624" s="682"/>
      <c r="FC624" s="682"/>
      <c r="FD624" s="682"/>
      <c r="FE624" s="682"/>
      <c r="FF624" s="682"/>
      <c r="FG624" s="682"/>
      <c r="FH624" s="682"/>
      <c r="FI624" s="682"/>
      <c r="FJ624" s="682"/>
      <c r="FK624" s="682"/>
      <c r="FL624" s="682"/>
      <c r="FM624" s="682"/>
      <c r="FN624" s="682"/>
      <c r="FO624" s="682"/>
      <c r="FP624" s="682"/>
      <c r="FQ624" s="682"/>
      <c r="FR624" s="682"/>
      <c r="FS624" s="682"/>
      <c r="FT624" s="682"/>
      <c r="FU624" s="682"/>
      <c r="FV624" s="682"/>
      <c r="FW624" s="682"/>
      <c r="FX624" s="682"/>
      <c r="FY624" s="682"/>
      <c r="FZ624" s="682"/>
      <c r="GA624" s="682"/>
      <c r="GB624" s="682"/>
      <c r="GC624" s="682"/>
      <c r="GD624" s="682"/>
      <c r="GE624" s="682"/>
      <c r="GF624" s="682"/>
      <c r="GG624" s="682"/>
      <c r="GH624" s="682"/>
      <c r="GI624" s="682"/>
      <c r="GJ624" s="682"/>
      <c r="GK624" s="682"/>
      <c r="GL624" s="682"/>
      <c r="GM624" s="682"/>
      <c r="GN624" s="682"/>
      <c r="GO624" s="682"/>
      <c r="GP624" s="682"/>
      <c r="GQ624" s="682"/>
      <c r="GR624" s="682"/>
      <c r="GS624" s="682"/>
      <c r="GT624" s="682"/>
      <c r="GU624" s="682"/>
      <c r="GV624" s="682"/>
      <c r="GW624" s="682"/>
      <c r="GX624" s="682"/>
      <c r="GY624" s="682"/>
      <c r="GZ624" s="682"/>
      <c r="HA624" s="682"/>
      <c r="HB624" s="682"/>
      <c r="HC624" s="682"/>
      <c r="HD624" s="682"/>
      <c r="HE624" s="682"/>
      <c r="HF624" s="682"/>
      <c r="HG624" s="682"/>
      <c r="HH624" s="682"/>
      <c r="HI624" s="682"/>
      <c r="HJ624" s="682"/>
      <c r="HK624" s="682"/>
      <c r="HL624" s="682"/>
      <c r="HM624" s="682"/>
      <c r="HN624" s="682"/>
      <c r="HO624" s="682"/>
      <c r="HP624" s="682"/>
      <c r="HQ624" s="682"/>
      <c r="HR624" s="682"/>
      <c r="HS624" s="682"/>
      <c r="HT624" s="682"/>
      <c r="HU624" s="682"/>
      <c r="HV624" s="682"/>
      <c r="HW624" s="682"/>
      <c r="HX624" s="682"/>
      <c r="HY624" s="682"/>
      <c r="HZ624" s="682"/>
      <c r="IA624" s="682"/>
      <c r="IB624" s="682"/>
      <c r="IC624" s="682"/>
      <c r="ID624" s="682"/>
      <c r="IE624" s="682"/>
      <c r="IF624" s="682"/>
      <c r="IG624" s="682"/>
      <c r="IH624" s="682"/>
      <c r="II624" s="682"/>
      <c r="IJ624" s="682"/>
      <c r="IK624" s="682"/>
      <c r="IL624" s="682"/>
      <c r="IM624" s="682"/>
      <c r="IN624" s="682"/>
      <c r="IO624" s="682"/>
      <c r="IP624" s="682"/>
      <c r="IQ624" s="682"/>
      <c r="IR624" s="682"/>
      <c r="IS624" s="682"/>
      <c r="IT624" s="682"/>
      <c r="IU624" s="682"/>
      <c r="IV624" s="682"/>
      <c r="IW624" s="682"/>
    </row>
    <row r="625" spans="1:257" s="582" customFormat="1" ht="30" customHeight="1">
      <c r="A625" s="812"/>
      <c r="B625" s="696" t="s">
        <v>1082</v>
      </c>
      <c r="C625" s="713"/>
      <c r="D625" s="713"/>
      <c r="E625" s="725"/>
      <c r="F625" s="725"/>
      <c r="G625" s="669"/>
      <c r="H625" s="669"/>
      <c r="I625" s="669"/>
      <c r="J625" s="725"/>
      <c r="K625" s="818">
        <v>110000000</v>
      </c>
      <c r="L625" s="1325">
        <v>0</v>
      </c>
      <c r="M625" s="669"/>
      <c r="N625" s="868"/>
      <c r="O625" s="868"/>
      <c r="P625" s="837"/>
      <c r="Q625" s="837"/>
      <c r="R625" s="871"/>
      <c r="S625" s="871"/>
      <c r="T625" s="824"/>
      <c r="U625" s="580"/>
      <c r="V625" s="727"/>
      <c r="W625" s="727"/>
      <c r="X625" s="728"/>
      <c r="Y625" s="682"/>
      <c r="Z625" s="682"/>
      <c r="AA625" s="682"/>
      <c r="AB625" s="682"/>
      <c r="AC625" s="682"/>
      <c r="AD625" s="682"/>
      <c r="AE625" s="682"/>
      <c r="AF625" s="682"/>
      <c r="AG625" s="682"/>
      <c r="AH625" s="682"/>
      <c r="AI625" s="682"/>
      <c r="AJ625" s="682"/>
      <c r="AK625" s="682"/>
      <c r="AL625" s="682"/>
      <c r="AM625" s="682"/>
      <c r="AN625" s="682"/>
      <c r="AO625" s="682"/>
      <c r="AP625" s="682"/>
      <c r="AQ625" s="682"/>
      <c r="AR625" s="682"/>
      <c r="AS625" s="682"/>
      <c r="AT625" s="682"/>
      <c r="AU625" s="682"/>
      <c r="AV625" s="682"/>
      <c r="AW625" s="682"/>
      <c r="AX625" s="682"/>
      <c r="AY625" s="682"/>
      <c r="AZ625" s="682"/>
      <c r="BA625" s="682"/>
      <c r="BB625" s="682"/>
      <c r="BC625" s="682"/>
      <c r="BD625" s="682"/>
      <c r="BE625" s="682"/>
      <c r="BF625" s="682"/>
      <c r="BG625" s="682"/>
      <c r="BH625" s="682"/>
      <c r="BI625" s="682"/>
      <c r="BJ625" s="682"/>
      <c r="BK625" s="682"/>
      <c r="BL625" s="682"/>
      <c r="BM625" s="682"/>
      <c r="BN625" s="682"/>
      <c r="BO625" s="682"/>
      <c r="BP625" s="682"/>
      <c r="BQ625" s="682"/>
      <c r="BR625" s="682"/>
      <c r="BS625" s="682"/>
      <c r="BT625" s="682"/>
      <c r="BU625" s="682"/>
      <c r="BV625" s="682"/>
      <c r="BW625" s="682"/>
      <c r="BX625" s="682"/>
      <c r="BY625" s="682"/>
      <c r="BZ625" s="682"/>
      <c r="CA625" s="682"/>
      <c r="CB625" s="682"/>
      <c r="CC625" s="682"/>
      <c r="CD625" s="682"/>
      <c r="CE625" s="682"/>
      <c r="CF625" s="682"/>
      <c r="CG625" s="682"/>
      <c r="CH625" s="682"/>
      <c r="CI625" s="682"/>
      <c r="CJ625" s="682"/>
      <c r="CK625" s="682"/>
      <c r="CL625" s="682"/>
      <c r="CM625" s="682"/>
      <c r="CN625" s="682"/>
      <c r="CO625" s="682"/>
      <c r="CP625" s="682"/>
      <c r="CQ625" s="682"/>
      <c r="CR625" s="682"/>
      <c r="CS625" s="682"/>
      <c r="CT625" s="682"/>
      <c r="CU625" s="682"/>
      <c r="CV625" s="682"/>
      <c r="CW625" s="682"/>
      <c r="CX625" s="682"/>
      <c r="CY625" s="682"/>
      <c r="CZ625" s="682"/>
      <c r="DA625" s="682"/>
      <c r="DB625" s="682"/>
      <c r="DC625" s="682"/>
      <c r="DD625" s="682"/>
      <c r="DE625" s="682"/>
      <c r="DF625" s="682"/>
      <c r="DG625" s="682"/>
      <c r="DH625" s="682"/>
      <c r="DI625" s="682"/>
      <c r="DJ625" s="682"/>
      <c r="DK625" s="682"/>
      <c r="DL625" s="682"/>
      <c r="DM625" s="682"/>
      <c r="DN625" s="682"/>
      <c r="DO625" s="682"/>
      <c r="DP625" s="682"/>
      <c r="DQ625" s="682"/>
      <c r="DR625" s="682"/>
      <c r="DS625" s="682"/>
      <c r="DT625" s="682"/>
      <c r="DU625" s="682"/>
      <c r="DV625" s="682"/>
      <c r="DW625" s="682"/>
      <c r="DX625" s="682"/>
      <c r="DY625" s="682"/>
      <c r="DZ625" s="682"/>
      <c r="EA625" s="682"/>
      <c r="EB625" s="682"/>
      <c r="EC625" s="682"/>
      <c r="ED625" s="682"/>
      <c r="EE625" s="682"/>
      <c r="EF625" s="682"/>
      <c r="EG625" s="682"/>
      <c r="EH625" s="682"/>
      <c r="EI625" s="682"/>
      <c r="EJ625" s="682"/>
      <c r="EK625" s="682"/>
      <c r="EL625" s="682"/>
      <c r="EM625" s="682"/>
      <c r="EN625" s="682"/>
      <c r="EO625" s="682"/>
      <c r="EP625" s="682"/>
      <c r="EQ625" s="682"/>
      <c r="ER625" s="682"/>
      <c r="ES625" s="682"/>
      <c r="ET625" s="682"/>
      <c r="EU625" s="682"/>
      <c r="EV625" s="682"/>
      <c r="EW625" s="682"/>
      <c r="EX625" s="682"/>
      <c r="EY625" s="682"/>
      <c r="EZ625" s="682"/>
      <c r="FA625" s="682"/>
      <c r="FB625" s="682"/>
      <c r="FC625" s="682"/>
      <c r="FD625" s="682"/>
      <c r="FE625" s="682"/>
      <c r="FF625" s="682"/>
      <c r="FG625" s="682"/>
      <c r="FH625" s="682"/>
      <c r="FI625" s="682"/>
      <c r="FJ625" s="682"/>
      <c r="FK625" s="682"/>
      <c r="FL625" s="682"/>
      <c r="FM625" s="682"/>
      <c r="FN625" s="682"/>
      <c r="FO625" s="682"/>
      <c r="FP625" s="682"/>
      <c r="FQ625" s="682"/>
      <c r="FR625" s="682"/>
      <c r="FS625" s="682"/>
      <c r="FT625" s="682"/>
      <c r="FU625" s="682"/>
      <c r="FV625" s="682"/>
      <c r="FW625" s="682"/>
      <c r="FX625" s="682"/>
      <c r="FY625" s="682"/>
      <c r="FZ625" s="682"/>
      <c r="GA625" s="682"/>
      <c r="GB625" s="682"/>
      <c r="GC625" s="682"/>
      <c r="GD625" s="682"/>
      <c r="GE625" s="682"/>
      <c r="GF625" s="682"/>
      <c r="GG625" s="682"/>
      <c r="GH625" s="682"/>
      <c r="GI625" s="682"/>
      <c r="GJ625" s="682"/>
      <c r="GK625" s="682"/>
      <c r="GL625" s="682"/>
      <c r="GM625" s="682"/>
      <c r="GN625" s="682"/>
      <c r="GO625" s="682"/>
      <c r="GP625" s="682"/>
      <c r="GQ625" s="682"/>
      <c r="GR625" s="682"/>
      <c r="GS625" s="682"/>
      <c r="GT625" s="682"/>
      <c r="GU625" s="682"/>
      <c r="GV625" s="682"/>
      <c r="GW625" s="682"/>
      <c r="GX625" s="682"/>
      <c r="GY625" s="682"/>
      <c r="GZ625" s="682"/>
      <c r="HA625" s="682"/>
      <c r="HB625" s="682"/>
      <c r="HC625" s="682"/>
      <c r="HD625" s="682"/>
      <c r="HE625" s="682"/>
      <c r="HF625" s="682"/>
      <c r="HG625" s="682"/>
      <c r="HH625" s="682"/>
      <c r="HI625" s="682"/>
      <c r="HJ625" s="682"/>
      <c r="HK625" s="682"/>
      <c r="HL625" s="682"/>
      <c r="HM625" s="682"/>
      <c r="HN625" s="682"/>
      <c r="HO625" s="682"/>
      <c r="HP625" s="682"/>
      <c r="HQ625" s="682"/>
      <c r="HR625" s="682"/>
      <c r="HS625" s="682"/>
      <c r="HT625" s="682"/>
      <c r="HU625" s="682"/>
      <c r="HV625" s="682"/>
      <c r="HW625" s="682"/>
      <c r="HX625" s="682"/>
      <c r="HY625" s="682"/>
      <c r="HZ625" s="682"/>
      <c r="IA625" s="682"/>
      <c r="IB625" s="682"/>
      <c r="IC625" s="682"/>
      <c r="ID625" s="682"/>
      <c r="IE625" s="682"/>
      <c r="IF625" s="682"/>
      <c r="IG625" s="682"/>
      <c r="IH625" s="682"/>
      <c r="II625" s="682"/>
      <c r="IJ625" s="682"/>
      <c r="IK625" s="682"/>
      <c r="IL625" s="682"/>
      <c r="IM625" s="682"/>
      <c r="IN625" s="682"/>
      <c r="IO625" s="682"/>
      <c r="IP625" s="682"/>
      <c r="IQ625" s="682"/>
      <c r="IR625" s="682"/>
      <c r="IS625" s="682"/>
      <c r="IT625" s="682"/>
      <c r="IU625" s="682"/>
      <c r="IV625" s="682"/>
      <c r="IW625" s="682"/>
    </row>
    <row r="626" spans="1:257" s="582" customFormat="1" ht="31.5">
      <c r="A626" s="812" t="s">
        <v>91</v>
      </c>
      <c r="B626" s="696" t="s">
        <v>1083</v>
      </c>
      <c r="C626" s="713"/>
      <c r="D626" s="713"/>
      <c r="E626" s="725"/>
      <c r="F626" s="725">
        <v>30000000</v>
      </c>
      <c r="G626" s="725"/>
      <c r="H626" s="725"/>
      <c r="I626" s="725"/>
      <c r="J626" s="725"/>
      <c r="K626" s="725"/>
      <c r="L626" s="1311"/>
      <c r="M626" s="669"/>
      <c r="N626" s="868"/>
      <c r="O626" s="868"/>
      <c r="P626" s="868"/>
      <c r="Q626" s="868"/>
      <c r="R626" s="871"/>
      <c r="S626" s="871"/>
      <c r="T626" s="824"/>
      <c r="U626" s="580"/>
      <c r="V626" s="727"/>
      <c r="W626" s="727"/>
      <c r="X626" s="728"/>
      <c r="Y626" s="682"/>
      <c r="Z626" s="682"/>
      <c r="AA626" s="682"/>
      <c r="AB626" s="682"/>
      <c r="AC626" s="682"/>
      <c r="AD626" s="682"/>
      <c r="AE626" s="682"/>
      <c r="AF626" s="682"/>
      <c r="AG626" s="682"/>
      <c r="AH626" s="682"/>
      <c r="AI626" s="682"/>
      <c r="AJ626" s="682"/>
      <c r="AK626" s="682"/>
      <c r="AL626" s="682"/>
      <c r="AM626" s="682"/>
      <c r="AN626" s="682"/>
      <c r="AO626" s="682"/>
      <c r="AP626" s="682"/>
      <c r="AQ626" s="682"/>
      <c r="AR626" s="682"/>
      <c r="AS626" s="682"/>
      <c r="AT626" s="682"/>
      <c r="AU626" s="682"/>
      <c r="AV626" s="682"/>
      <c r="AW626" s="682"/>
      <c r="AX626" s="682"/>
      <c r="AY626" s="682"/>
      <c r="AZ626" s="682"/>
      <c r="BA626" s="682"/>
      <c r="BB626" s="682"/>
      <c r="BC626" s="682"/>
      <c r="BD626" s="682"/>
      <c r="BE626" s="682"/>
      <c r="BF626" s="682"/>
      <c r="BG626" s="682"/>
      <c r="BH626" s="682"/>
      <c r="BI626" s="682"/>
      <c r="BJ626" s="682"/>
      <c r="BK626" s="682"/>
      <c r="BL626" s="682"/>
      <c r="BM626" s="682"/>
      <c r="BN626" s="682"/>
      <c r="BO626" s="682"/>
      <c r="BP626" s="682"/>
      <c r="BQ626" s="682"/>
      <c r="BR626" s="682"/>
      <c r="BS626" s="682"/>
      <c r="BT626" s="682"/>
      <c r="BU626" s="682"/>
      <c r="BV626" s="682"/>
      <c r="BW626" s="682"/>
      <c r="BX626" s="682"/>
      <c r="BY626" s="682"/>
      <c r="BZ626" s="682"/>
      <c r="CA626" s="682"/>
      <c r="CB626" s="682"/>
      <c r="CC626" s="682"/>
      <c r="CD626" s="682"/>
      <c r="CE626" s="682"/>
      <c r="CF626" s="682"/>
      <c r="CG626" s="682"/>
      <c r="CH626" s="682"/>
      <c r="CI626" s="682"/>
      <c r="CJ626" s="682"/>
      <c r="CK626" s="682"/>
      <c r="CL626" s="682"/>
      <c r="CM626" s="682"/>
      <c r="CN626" s="682"/>
      <c r="CO626" s="682"/>
      <c r="CP626" s="682"/>
      <c r="CQ626" s="682"/>
      <c r="CR626" s="682"/>
      <c r="CS626" s="682"/>
      <c r="CT626" s="682"/>
      <c r="CU626" s="682"/>
      <c r="CV626" s="682"/>
      <c r="CW626" s="682"/>
      <c r="CX626" s="682"/>
      <c r="CY626" s="682"/>
      <c r="CZ626" s="682"/>
      <c r="DA626" s="682"/>
      <c r="DB626" s="682"/>
      <c r="DC626" s="682"/>
      <c r="DD626" s="682"/>
      <c r="DE626" s="682"/>
      <c r="DF626" s="682"/>
      <c r="DG626" s="682"/>
      <c r="DH626" s="682"/>
      <c r="DI626" s="682"/>
      <c r="DJ626" s="682"/>
      <c r="DK626" s="682"/>
      <c r="DL626" s="682"/>
      <c r="DM626" s="682"/>
      <c r="DN626" s="682"/>
      <c r="DO626" s="682"/>
      <c r="DP626" s="682"/>
      <c r="DQ626" s="682"/>
      <c r="DR626" s="682"/>
      <c r="DS626" s="682"/>
      <c r="DT626" s="682"/>
      <c r="DU626" s="682"/>
      <c r="DV626" s="682"/>
      <c r="DW626" s="682"/>
      <c r="DX626" s="682"/>
      <c r="DY626" s="682"/>
      <c r="DZ626" s="682"/>
      <c r="EA626" s="682"/>
      <c r="EB626" s="682"/>
      <c r="EC626" s="682"/>
      <c r="ED626" s="682"/>
      <c r="EE626" s="682"/>
      <c r="EF626" s="682"/>
      <c r="EG626" s="682"/>
      <c r="EH626" s="682"/>
      <c r="EI626" s="682"/>
      <c r="EJ626" s="682"/>
      <c r="EK626" s="682"/>
      <c r="EL626" s="682"/>
      <c r="EM626" s="682"/>
      <c r="EN626" s="682"/>
      <c r="EO626" s="682"/>
      <c r="EP626" s="682"/>
      <c r="EQ626" s="682"/>
      <c r="ER626" s="682"/>
      <c r="ES626" s="682"/>
      <c r="ET626" s="682"/>
      <c r="EU626" s="682"/>
      <c r="EV626" s="682"/>
      <c r="EW626" s="682"/>
      <c r="EX626" s="682"/>
      <c r="EY626" s="682"/>
      <c r="EZ626" s="682"/>
      <c r="FA626" s="682"/>
      <c r="FB626" s="682"/>
      <c r="FC626" s="682"/>
      <c r="FD626" s="682"/>
      <c r="FE626" s="682"/>
      <c r="FF626" s="682"/>
      <c r="FG626" s="682"/>
      <c r="FH626" s="682"/>
      <c r="FI626" s="682"/>
      <c r="FJ626" s="682"/>
      <c r="FK626" s="682"/>
      <c r="FL626" s="682"/>
      <c r="FM626" s="682"/>
      <c r="FN626" s="682"/>
      <c r="FO626" s="682"/>
      <c r="FP626" s="682"/>
      <c r="FQ626" s="682"/>
      <c r="FR626" s="682"/>
      <c r="FS626" s="682"/>
      <c r="FT626" s="682"/>
      <c r="FU626" s="682"/>
      <c r="FV626" s="682"/>
      <c r="FW626" s="682"/>
      <c r="FX626" s="682"/>
      <c r="FY626" s="682"/>
      <c r="FZ626" s="682"/>
      <c r="GA626" s="682"/>
      <c r="GB626" s="682"/>
      <c r="GC626" s="682"/>
      <c r="GD626" s="682"/>
      <c r="GE626" s="682"/>
      <c r="GF626" s="682"/>
      <c r="GG626" s="682"/>
      <c r="GH626" s="682"/>
      <c r="GI626" s="682"/>
      <c r="GJ626" s="682"/>
      <c r="GK626" s="682"/>
      <c r="GL626" s="682"/>
      <c r="GM626" s="682"/>
      <c r="GN626" s="682"/>
      <c r="GO626" s="682"/>
      <c r="GP626" s="682"/>
      <c r="GQ626" s="682"/>
      <c r="GR626" s="682"/>
      <c r="GS626" s="682"/>
      <c r="GT626" s="682"/>
      <c r="GU626" s="682"/>
      <c r="GV626" s="682"/>
      <c r="GW626" s="682"/>
      <c r="GX626" s="682"/>
      <c r="GY626" s="682"/>
      <c r="GZ626" s="682"/>
      <c r="HA626" s="682"/>
      <c r="HB626" s="682"/>
      <c r="HC626" s="682"/>
      <c r="HD626" s="682"/>
      <c r="HE626" s="682"/>
      <c r="HF626" s="682"/>
      <c r="HG626" s="682"/>
      <c r="HH626" s="682"/>
      <c r="HI626" s="682"/>
      <c r="HJ626" s="682"/>
      <c r="HK626" s="682"/>
      <c r="HL626" s="682"/>
      <c r="HM626" s="682"/>
      <c r="HN626" s="682"/>
      <c r="HO626" s="682"/>
      <c r="HP626" s="682"/>
      <c r="HQ626" s="682"/>
      <c r="HR626" s="682"/>
      <c r="HS626" s="682"/>
      <c r="HT626" s="682"/>
      <c r="HU626" s="682"/>
      <c r="HV626" s="682"/>
      <c r="HW626" s="682"/>
      <c r="HX626" s="682"/>
      <c r="HY626" s="682"/>
      <c r="HZ626" s="682"/>
      <c r="IA626" s="682"/>
      <c r="IB626" s="682"/>
      <c r="IC626" s="682"/>
      <c r="ID626" s="682"/>
      <c r="IE626" s="682"/>
      <c r="IF626" s="682"/>
      <c r="IG626" s="682"/>
      <c r="IH626" s="682"/>
      <c r="II626" s="682"/>
      <c r="IJ626" s="682"/>
      <c r="IK626" s="682"/>
      <c r="IL626" s="682"/>
      <c r="IM626" s="682"/>
      <c r="IN626" s="682"/>
      <c r="IO626" s="682"/>
      <c r="IP626" s="682"/>
      <c r="IQ626" s="682"/>
      <c r="IR626" s="682"/>
      <c r="IS626" s="682"/>
      <c r="IT626" s="682"/>
      <c r="IU626" s="682"/>
      <c r="IV626" s="682"/>
      <c r="IW626" s="682"/>
    </row>
    <row r="627" spans="1:257" s="682" customFormat="1">
      <c r="A627" s="699" t="s">
        <v>261</v>
      </c>
      <c r="B627" s="808" t="s">
        <v>262</v>
      </c>
      <c r="C627" s="699"/>
      <c r="D627" s="699"/>
      <c r="E627" s="700"/>
      <c r="F627" s="810">
        <f t="shared" ref="F627:L627" si="75">F628</f>
        <v>153000000</v>
      </c>
      <c r="G627" s="810" t="e">
        <f t="shared" si="75"/>
        <v>#VALUE!</v>
      </c>
      <c r="H627" s="810">
        <f t="shared" si="75"/>
        <v>0</v>
      </c>
      <c r="I627" s="810">
        <f t="shared" si="75"/>
        <v>0</v>
      </c>
      <c r="J627" s="810">
        <f t="shared" si="75"/>
        <v>185000000</v>
      </c>
      <c r="K627" s="810">
        <f t="shared" si="75"/>
        <v>166000000</v>
      </c>
      <c r="L627" s="1313">
        <f t="shared" si="75"/>
        <v>214000000</v>
      </c>
      <c r="M627" s="707"/>
      <c r="N627" s="934"/>
      <c r="O627" s="934"/>
      <c r="P627" s="820"/>
      <c r="Q627" s="820"/>
      <c r="R627" s="871"/>
      <c r="S627" s="871"/>
      <c r="T627" s="824"/>
      <c r="U627" s="726"/>
      <c r="V627" s="722"/>
      <c r="W627" s="581"/>
      <c r="X627" s="578"/>
      <c r="Y627" s="582"/>
      <c r="Z627" s="582"/>
      <c r="AA627" s="582"/>
      <c r="AB627" s="582"/>
      <c r="AC627" s="582"/>
      <c r="AD627" s="582"/>
      <c r="AE627" s="582"/>
      <c r="AF627" s="582"/>
      <c r="AG627" s="582"/>
      <c r="AH627" s="582"/>
      <c r="AI627" s="582"/>
      <c r="AJ627" s="582"/>
      <c r="AK627" s="582"/>
      <c r="AL627" s="582"/>
      <c r="AM627" s="582"/>
      <c r="AN627" s="582"/>
      <c r="AO627" s="582"/>
      <c r="AP627" s="582"/>
      <c r="AQ627" s="582"/>
      <c r="AR627" s="582"/>
      <c r="AS627" s="582"/>
      <c r="AT627" s="582"/>
      <c r="AU627" s="582"/>
      <c r="AV627" s="582"/>
      <c r="AW627" s="582"/>
      <c r="AX627" s="582"/>
      <c r="AY627" s="582"/>
      <c r="AZ627" s="582"/>
      <c r="BA627" s="582"/>
      <c r="BB627" s="582"/>
      <c r="BC627" s="582"/>
      <c r="BD627" s="582"/>
      <c r="BE627" s="582"/>
      <c r="BF627" s="582"/>
      <c r="BG627" s="582"/>
      <c r="BH627" s="582"/>
      <c r="BI627" s="582"/>
      <c r="BJ627" s="582"/>
      <c r="BK627" s="582"/>
      <c r="BL627" s="582"/>
      <c r="BM627" s="582"/>
      <c r="BN627" s="582"/>
      <c r="BO627" s="582"/>
      <c r="BP627" s="582"/>
      <c r="BQ627" s="582"/>
      <c r="BR627" s="582"/>
      <c r="BS627" s="582"/>
      <c r="BT627" s="582"/>
      <c r="BU627" s="582"/>
      <c r="BV627" s="582"/>
      <c r="BW627" s="582"/>
      <c r="BX627" s="582"/>
      <c r="BY627" s="582"/>
      <c r="BZ627" s="582"/>
      <c r="CA627" s="582"/>
      <c r="CB627" s="582"/>
      <c r="CC627" s="582"/>
      <c r="CD627" s="582"/>
      <c r="CE627" s="582"/>
      <c r="CF627" s="582"/>
      <c r="CG627" s="582"/>
      <c r="CH627" s="582"/>
      <c r="CI627" s="582"/>
      <c r="CJ627" s="582"/>
      <c r="CK627" s="582"/>
      <c r="CL627" s="582"/>
      <c r="CM627" s="582"/>
      <c r="CN627" s="582"/>
      <c r="CO627" s="582"/>
      <c r="CP627" s="582"/>
      <c r="CQ627" s="582"/>
      <c r="CR627" s="582"/>
      <c r="CS627" s="582"/>
      <c r="CT627" s="582"/>
      <c r="CU627" s="582"/>
      <c r="CV627" s="582"/>
      <c r="CW627" s="582"/>
      <c r="CX627" s="582"/>
      <c r="CY627" s="582"/>
      <c r="CZ627" s="582"/>
      <c r="DA627" s="582"/>
      <c r="DB627" s="582"/>
      <c r="DC627" s="582"/>
      <c r="DD627" s="582"/>
      <c r="DE627" s="582"/>
      <c r="DF627" s="582"/>
      <c r="DG627" s="582"/>
      <c r="DH627" s="582"/>
      <c r="DI627" s="582"/>
      <c r="DJ627" s="582"/>
      <c r="DK627" s="582"/>
      <c r="DL627" s="582"/>
      <c r="DM627" s="582"/>
      <c r="DN627" s="582"/>
      <c r="DO627" s="582"/>
      <c r="DP627" s="582"/>
      <c r="DQ627" s="582"/>
      <c r="DR627" s="582"/>
      <c r="DS627" s="582"/>
      <c r="DT627" s="582"/>
      <c r="DU627" s="582"/>
      <c r="DV627" s="582"/>
      <c r="DW627" s="582"/>
      <c r="DX627" s="582"/>
      <c r="DY627" s="582"/>
      <c r="DZ627" s="582"/>
      <c r="EA627" s="582"/>
      <c r="EB627" s="582"/>
      <c r="EC627" s="582"/>
      <c r="ED627" s="582"/>
      <c r="EE627" s="582"/>
      <c r="EF627" s="582"/>
      <c r="EG627" s="582"/>
      <c r="EH627" s="582"/>
      <c r="EI627" s="582"/>
      <c r="EJ627" s="582"/>
      <c r="EK627" s="582"/>
      <c r="EL627" s="582"/>
      <c r="EM627" s="582"/>
      <c r="EN627" s="582"/>
      <c r="EO627" s="582"/>
      <c r="EP627" s="582"/>
      <c r="EQ627" s="582"/>
      <c r="ER627" s="582"/>
      <c r="ES627" s="582"/>
      <c r="ET627" s="582"/>
      <c r="EU627" s="582"/>
      <c r="EV627" s="582"/>
      <c r="EW627" s="582"/>
      <c r="EX627" s="582"/>
      <c r="EY627" s="582"/>
      <c r="EZ627" s="582"/>
      <c r="FA627" s="582"/>
      <c r="FB627" s="582"/>
      <c r="FC627" s="582"/>
      <c r="FD627" s="582"/>
      <c r="FE627" s="582"/>
      <c r="FF627" s="582"/>
      <c r="FG627" s="582"/>
      <c r="FH627" s="582"/>
      <c r="FI627" s="582"/>
      <c r="FJ627" s="582"/>
      <c r="FK627" s="582"/>
      <c r="FL627" s="582"/>
      <c r="FM627" s="582"/>
      <c r="FN627" s="582"/>
      <c r="FO627" s="582"/>
      <c r="FP627" s="582"/>
      <c r="FQ627" s="582"/>
      <c r="FR627" s="582"/>
      <c r="FS627" s="582"/>
      <c r="FT627" s="582"/>
      <c r="FU627" s="582"/>
      <c r="FV627" s="582"/>
      <c r="FW627" s="582"/>
      <c r="FX627" s="582"/>
      <c r="FY627" s="582"/>
      <c r="FZ627" s="582"/>
      <c r="GA627" s="582"/>
      <c r="GB627" s="582"/>
      <c r="GC627" s="582"/>
      <c r="GD627" s="582"/>
      <c r="GE627" s="582"/>
      <c r="GF627" s="582"/>
      <c r="GG627" s="582"/>
      <c r="GH627" s="582"/>
      <c r="GI627" s="582"/>
      <c r="GJ627" s="582"/>
      <c r="GK627" s="582"/>
      <c r="GL627" s="582"/>
      <c r="GM627" s="582"/>
      <c r="GN627" s="582"/>
      <c r="GO627" s="582"/>
      <c r="GP627" s="582"/>
      <c r="GQ627" s="582"/>
      <c r="GR627" s="582"/>
      <c r="GS627" s="582"/>
      <c r="GT627" s="582"/>
      <c r="GU627" s="582"/>
      <c r="GV627" s="582"/>
      <c r="GW627" s="582"/>
      <c r="GX627" s="582"/>
      <c r="GY627" s="582"/>
      <c r="GZ627" s="582"/>
      <c r="HA627" s="582"/>
      <c r="HB627" s="582"/>
      <c r="HC627" s="582"/>
      <c r="HD627" s="582"/>
      <c r="HE627" s="582"/>
      <c r="HF627" s="582"/>
      <c r="HG627" s="582"/>
      <c r="HH627" s="582"/>
      <c r="HI627" s="582"/>
      <c r="HJ627" s="582"/>
      <c r="HK627" s="582"/>
      <c r="HL627" s="582"/>
      <c r="HM627" s="582"/>
      <c r="HN627" s="582"/>
      <c r="HO627" s="582"/>
      <c r="HP627" s="582"/>
      <c r="HQ627" s="582"/>
      <c r="HR627" s="582"/>
      <c r="HS627" s="582"/>
      <c r="HT627" s="582"/>
      <c r="HU627" s="582"/>
      <c r="HV627" s="582"/>
      <c r="HW627" s="582"/>
      <c r="HX627" s="582"/>
      <c r="HY627" s="582"/>
      <c r="HZ627" s="582"/>
      <c r="IA627" s="582"/>
      <c r="IB627" s="582"/>
      <c r="IC627" s="582"/>
      <c r="ID627" s="582"/>
      <c r="IE627" s="582"/>
      <c r="IF627" s="582"/>
      <c r="IG627" s="582"/>
      <c r="IH627" s="582"/>
      <c r="II627" s="582"/>
      <c r="IJ627" s="582"/>
      <c r="IK627" s="582"/>
      <c r="IL627" s="582"/>
      <c r="IM627" s="582"/>
      <c r="IN627" s="582"/>
      <c r="IO627" s="582"/>
      <c r="IP627" s="582"/>
      <c r="IQ627" s="582"/>
      <c r="IR627" s="582"/>
      <c r="IS627" s="582"/>
      <c r="IT627" s="582"/>
      <c r="IU627" s="582"/>
      <c r="IV627" s="582"/>
      <c r="IW627" s="582"/>
    </row>
    <row r="628" spans="1:257" s="582" customFormat="1">
      <c r="A628" s="713"/>
      <c r="B628" s="668" t="s">
        <v>263</v>
      </c>
      <c r="C628" s="713"/>
      <c r="D628" s="713"/>
      <c r="E628" s="725"/>
      <c r="F628" s="669">
        <f t="shared" ref="F628:J628" si="76">(F605+F608+F610+F612+F620+F614+F615+F616+F626+F618+F617)*10%</f>
        <v>153000000</v>
      </c>
      <c r="G628" s="669" t="e">
        <f t="shared" si="76"/>
        <v>#VALUE!</v>
      </c>
      <c r="H628" s="669">
        <f t="shared" si="76"/>
        <v>0</v>
      </c>
      <c r="I628" s="669">
        <f t="shared" si="76"/>
        <v>0</v>
      </c>
      <c r="J628" s="669">
        <f t="shared" si="76"/>
        <v>185000000</v>
      </c>
      <c r="K628" s="669">
        <f>(K605+K608+K610+K611+K612+K614+K615+K616+K617+K618+K619+K620+K621+K626)*10%</f>
        <v>166000000</v>
      </c>
      <c r="L628" s="1306">
        <f>(L605+L607-L609-L613-L617)*10%</f>
        <v>214000000</v>
      </c>
      <c r="M628" s="707"/>
      <c r="N628" s="837"/>
      <c r="O628" s="837"/>
      <c r="P628" s="868"/>
      <c r="Q628" s="868"/>
      <c r="R628" s="871"/>
      <c r="S628" s="866"/>
      <c r="T628" s="839"/>
      <c r="U628" s="726"/>
      <c r="V628" s="581"/>
      <c r="W628" s="727"/>
      <c r="X628" s="728"/>
      <c r="Y628" s="682"/>
      <c r="Z628" s="682"/>
      <c r="AA628" s="682"/>
      <c r="AB628" s="682"/>
      <c r="AC628" s="682"/>
      <c r="AD628" s="682"/>
      <c r="AE628" s="682"/>
      <c r="AF628" s="682"/>
      <c r="AG628" s="682"/>
      <c r="AH628" s="682"/>
      <c r="AI628" s="682"/>
      <c r="AJ628" s="682"/>
      <c r="AK628" s="682"/>
      <c r="AL628" s="682"/>
      <c r="AM628" s="682"/>
      <c r="AN628" s="682"/>
      <c r="AO628" s="682"/>
      <c r="AP628" s="682"/>
      <c r="AQ628" s="682"/>
      <c r="AR628" s="682"/>
      <c r="AS628" s="682"/>
      <c r="AT628" s="682"/>
      <c r="AU628" s="682"/>
      <c r="AV628" s="682"/>
      <c r="AW628" s="682"/>
      <c r="AX628" s="682"/>
      <c r="AY628" s="682"/>
      <c r="AZ628" s="682"/>
      <c r="BA628" s="682"/>
      <c r="BB628" s="682"/>
      <c r="BC628" s="682"/>
      <c r="BD628" s="682"/>
      <c r="BE628" s="682"/>
      <c r="BF628" s="682"/>
      <c r="BG628" s="682"/>
      <c r="BH628" s="682"/>
      <c r="BI628" s="682"/>
      <c r="BJ628" s="682"/>
      <c r="BK628" s="682"/>
      <c r="BL628" s="682"/>
      <c r="BM628" s="682"/>
      <c r="BN628" s="682"/>
      <c r="BO628" s="682"/>
      <c r="BP628" s="682"/>
      <c r="BQ628" s="682"/>
      <c r="BR628" s="682"/>
      <c r="BS628" s="682"/>
      <c r="BT628" s="682"/>
      <c r="BU628" s="682"/>
      <c r="BV628" s="682"/>
      <c r="BW628" s="682"/>
      <c r="BX628" s="682"/>
      <c r="BY628" s="682"/>
      <c r="BZ628" s="682"/>
      <c r="CA628" s="682"/>
      <c r="CB628" s="682"/>
      <c r="CC628" s="682"/>
      <c r="CD628" s="682"/>
      <c r="CE628" s="682"/>
      <c r="CF628" s="682"/>
      <c r="CG628" s="682"/>
      <c r="CH628" s="682"/>
      <c r="CI628" s="682"/>
      <c r="CJ628" s="682"/>
      <c r="CK628" s="682"/>
      <c r="CL628" s="682"/>
      <c r="CM628" s="682"/>
      <c r="CN628" s="682"/>
      <c r="CO628" s="682"/>
      <c r="CP628" s="682"/>
      <c r="CQ628" s="682"/>
      <c r="CR628" s="682"/>
      <c r="CS628" s="682"/>
      <c r="CT628" s="682"/>
      <c r="CU628" s="682"/>
      <c r="CV628" s="682"/>
      <c r="CW628" s="682"/>
      <c r="CX628" s="682"/>
      <c r="CY628" s="682"/>
      <c r="CZ628" s="682"/>
      <c r="DA628" s="682"/>
      <c r="DB628" s="682"/>
      <c r="DC628" s="682"/>
      <c r="DD628" s="682"/>
      <c r="DE628" s="682"/>
      <c r="DF628" s="682"/>
      <c r="DG628" s="682"/>
      <c r="DH628" s="682"/>
      <c r="DI628" s="682"/>
      <c r="DJ628" s="682"/>
      <c r="DK628" s="682"/>
      <c r="DL628" s="682"/>
      <c r="DM628" s="682"/>
      <c r="DN628" s="682"/>
      <c r="DO628" s="682"/>
      <c r="DP628" s="682"/>
      <c r="DQ628" s="682"/>
      <c r="DR628" s="682"/>
      <c r="DS628" s="682"/>
      <c r="DT628" s="682"/>
      <c r="DU628" s="682"/>
      <c r="DV628" s="682"/>
      <c r="DW628" s="682"/>
      <c r="DX628" s="682"/>
      <c r="DY628" s="682"/>
      <c r="DZ628" s="682"/>
      <c r="EA628" s="682"/>
      <c r="EB628" s="682"/>
      <c r="EC628" s="682"/>
      <c r="ED628" s="682"/>
      <c r="EE628" s="682"/>
      <c r="EF628" s="682"/>
      <c r="EG628" s="682"/>
      <c r="EH628" s="682"/>
      <c r="EI628" s="682"/>
      <c r="EJ628" s="682"/>
      <c r="EK628" s="682"/>
      <c r="EL628" s="682"/>
      <c r="EM628" s="682"/>
      <c r="EN628" s="682"/>
      <c r="EO628" s="682"/>
      <c r="EP628" s="682"/>
      <c r="EQ628" s="682"/>
      <c r="ER628" s="682"/>
      <c r="ES628" s="682"/>
      <c r="ET628" s="682"/>
      <c r="EU628" s="682"/>
      <c r="EV628" s="682"/>
      <c r="EW628" s="682"/>
      <c r="EX628" s="682"/>
      <c r="EY628" s="682"/>
      <c r="EZ628" s="682"/>
      <c r="FA628" s="682"/>
      <c r="FB628" s="682"/>
      <c r="FC628" s="682"/>
      <c r="FD628" s="682"/>
      <c r="FE628" s="682"/>
      <c r="FF628" s="682"/>
      <c r="FG628" s="682"/>
      <c r="FH628" s="682"/>
      <c r="FI628" s="682"/>
      <c r="FJ628" s="682"/>
      <c r="FK628" s="682"/>
      <c r="FL628" s="682"/>
      <c r="FM628" s="682"/>
      <c r="FN628" s="682"/>
      <c r="FO628" s="682"/>
      <c r="FP628" s="682"/>
      <c r="FQ628" s="682"/>
      <c r="FR628" s="682"/>
      <c r="FS628" s="682"/>
      <c r="FT628" s="682"/>
      <c r="FU628" s="682"/>
      <c r="FV628" s="682"/>
      <c r="FW628" s="682"/>
      <c r="FX628" s="682"/>
      <c r="FY628" s="682"/>
      <c r="FZ628" s="682"/>
      <c r="GA628" s="682"/>
      <c r="GB628" s="682"/>
      <c r="GC628" s="682"/>
      <c r="GD628" s="682"/>
      <c r="GE628" s="682"/>
      <c r="GF628" s="682"/>
      <c r="GG628" s="682"/>
      <c r="GH628" s="682"/>
      <c r="GI628" s="682"/>
      <c r="GJ628" s="682"/>
      <c r="GK628" s="682"/>
      <c r="GL628" s="682"/>
      <c r="GM628" s="682"/>
      <c r="GN628" s="682"/>
      <c r="GO628" s="682"/>
      <c r="GP628" s="682"/>
      <c r="GQ628" s="682"/>
      <c r="GR628" s="682"/>
      <c r="GS628" s="682"/>
      <c r="GT628" s="682"/>
      <c r="GU628" s="682"/>
      <c r="GV628" s="682"/>
      <c r="GW628" s="682"/>
      <c r="GX628" s="682"/>
      <c r="GY628" s="682"/>
      <c r="GZ628" s="682"/>
      <c r="HA628" s="682"/>
      <c r="HB628" s="682"/>
      <c r="HC628" s="682"/>
      <c r="HD628" s="682"/>
      <c r="HE628" s="682"/>
      <c r="HF628" s="682"/>
      <c r="HG628" s="682"/>
      <c r="HH628" s="682"/>
      <c r="HI628" s="682"/>
      <c r="HJ628" s="682"/>
      <c r="HK628" s="682"/>
      <c r="HL628" s="682"/>
      <c r="HM628" s="682"/>
      <c r="HN628" s="682"/>
      <c r="HO628" s="682"/>
      <c r="HP628" s="682"/>
      <c r="HQ628" s="682"/>
      <c r="HR628" s="682"/>
      <c r="HS628" s="682"/>
      <c r="HT628" s="682"/>
      <c r="HU628" s="682"/>
      <c r="HV628" s="682"/>
      <c r="HW628" s="682"/>
      <c r="HX628" s="682"/>
      <c r="HY628" s="682"/>
      <c r="HZ628" s="682"/>
      <c r="IA628" s="682"/>
      <c r="IB628" s="682"/>
      <c r="IC628" s="682"/>
      <c r="ID628" s="682"/>
      <c r="IE628" s="682"/>
      <c r="IF628" s="682"/>
      <c r="IG628" s="682"/>
      <c r="IH628" s="682"/>
      <c r="II628" s="682"/>
      <c r="IJ628" s="682"/>
      <c r="IK628" s="682"/>
      <c r="IL628" s="682"/>
      <c r="IM628" s="682"/>
      <c r="IN628" s="682"/>
      <c r="IO628" s="682"/>
      <c r="IP628" s="682"/>
      <c r="IQ628" s="682"/>
      <c r="IR628" s="682"/>
      <c r="IS628" s="682"/>
      <c r="IT628" s="682"/>
      <c r="IU628" s="682"/>
      <c r="IV628" s="682"/>
      <c r="IW628" s="682"/>
    </row>
    <row r="629" spans="1:257" s="1094" customFormat="1">
      <c r="A629" s="1103">
        <v>5</v>
      </c>
      <c r="B629" s="1104" t="s">
        <v>397</v>
      </c>
      <c r="C629" s="1103"/>
      <c r="D629" s="1103"/>
      <c r="E629" s="1105"/>
      <c r="F629" s="1105">
        <f>F630+F637</f>
        <v>1844000000</v>
      </c>
      <c r="G629" s="1106">
        <v>16</v>
      </c>
      <c r="H629" s="1106"/>
      <c r="I629" s="1106"/>
      <c r="J629" s="1105">
        <f>J630+J637</f>
        <v>2494000000</v>
      </c>
      <c r="K629" s="1105">
        <f>K630+K637</f>
        <v>3509000000</v>
      </c>
      <c r="L629" s="1321">
        <f>L630+L637</f>
        <v>4217200000</v>
      </c>
      <c r="M629" s="1105"/>
      <c r="N629" s="1107"/>
      <c r="O629" s="1107"/>
      <c r="P629" s="1108"/>
      <c r="Q629" s="1108"/>
      <c r="R629" s="843"/>
      <c r="S629" s="894"/>
      <c r="T629" s="845"/>
      <c r="U629" s="799"/>
      <c r="V629" s="895"/>
      <c r="W629" s="800"/>
      <c r="X629" s="975"/>
      <c r="Y629" s="976"/>
      <c r="Z629" s="976"/>
      <c r="AA629" s="976"/>
      <c r="AB629" s="976"/>
      <c r="AC629" s="976"/>
      <c r="AD629" s="976"/>
      <c r="AE629" s="976"/>
      <c r="AF629" s="976"/>
      <c r="AG629" s="976"/>
      <c r="AH629" s="976"/>
      <c r="AI629" s="976"/>
      <c r="AJ629" s="976"/>
      <c r="AK629" s="976"/>
      <c r="AL629" s="976"/>
      <c r="AM629" s="976"/>
      <c r="AN629" s="976"/>
      <c r="AO629" s="976"/>
      <c r="AP629" s="976"/>
      <c r="AQ629" s="976"/>
      <c r="AR629" s="976"/>
      <c r="AS629" s="976"/>
      <c r="AT629" s="976"/>
      <c r="AU629" s="976"/>
      <c r="AV629" s="976"/>
      <c r="AW629" s="976"/>
      <c r="AX629" s="976"/>
      <c r="AY629" s="976"/>
      <c r="AZ629" s="976"/>
      <c r="BA629" s="976"/>
      <c r="BB629" s="976"/>
      <c r="BC629" s="976"/>
      <c r="BD629" s="976"/>
      <c r="BE629" s="976"/>
      <c r="BF629" s="976"/>
      <c r="BG629" s="976"/>
      <c r="BH629" s="976"/>
      <c r="BI629" s="976"/>
      <c r="BJ629" s="976"/>
      <c r="BK629" s="976"/>
      <c r="BL629" s="976"/>
      <c r="BM629" s="976"/>
      <c r="BN629" s="976"/>
      <c r="BO629" s="976"/>
      <c r="BP629" s="976"/>
      <c r="BQ629" s="976"/>
      <c r="BR629" s="976"/>
      <c r="BS629" s="976"/>
      <c r="BT629" s="976"/>
      <c r="BU629" s="976"/>
      <c r="BV629" s="976"/>
      <c r="BW629" s="976"/>
      <c r="BX629" s="976"/>
      <c r="BY629" s="976"/>
      <c r="BZ629" s="976"/>
      <c r="CA629" s="976"/>
      <c r="CB629" s="976"/>
      <c r="CC629" s="976"/>
      <c r="CD629" s="976"/>
      <c r="CE629" s="976"/>
      <c r="CF629" s="976"/>
      <c r="CG629" s="976"/>
      <c r="CH629" s="976"/>
      <c r="CI629" s="976"/>
      <c r="CJ629" s="976"/>
      <c r="CK629" s="976"/>
      <c r="CL629" s="976"/>
      <c r="CM629" s="976"/>
      <c r="CN629" s="976"/>
      <c r="CO629" s="976"/>
      <c r="CP629" s="976"/>
      <c r="CQ629" s="976"/>
      <c r="CR629" s="976"/>
      <c r="CS629" s="976"/>
      <c r="CT629" s="976"/>
      <c r="CU629" s="976"/>
      <c r="CV629" s="976"/>
      <c r="CW629" s="976"/>
      <c r="CX629" s="976"/>
      <c r="CY629" s="976"/>
      <c r="CZ629" s="976"/>
      <c r="DA629" s="976"/>
      <c r="DB629" s="976"/>
      <c r="DC629" s="976"/>
      <c r="DD629" s="976"/>
      <c r="DE629" s="976"/>
      <c r="DF629" s="976"/>
      <c r="DG629" s="976"/>
      <c r="DH629" s="976"/>
      <c r="DI629" s="976"/>
      <c r="DJ629" s="976"/>
      <c r="DK629" s="976"/>
      <c r="DL629" s="976"/>
      <c r="DM629" s="976"/>
      <c r="DN629" s="976"/>
      <c r="DO629" s="976"/>
      <c r="DP629" s="976"/>
      <c r="DQ629" s="976"/>
      <c r="DR629" s="976"/>
      <c r="DS629" s="976"/>
      <c r="DT629" s="976"/>
      <c r="DU629" s="976"/>
      <c r="DV629" s="976"/>
      <c r="DW629" s="976"/>
      <c r="DX629" s="976"/>
      <c r="DY629" s="976"/>
      <c r="DZ629" s="976"/>
      <c r="EA629" s="976"/>
      <c r="EB629" s="976"/>
      <c r="EC629" s="976"/>
      <c r="ED629" s="976"/>
      <c r="EE629" s="976"/>
      <c r="EF629" s="976"/>
      <c r="EG629" s="976"/>
      <c r="EH629" s="976"/>
      <c r="EI629" s="976"/>
      <c r="EJ629" s="976"/>
      <c r="EK629" s="976"/>
      <c r="EL629" s="976"/>
      <c r="EM629" s="976"/>
      <c r="EN629" s="976"/>
      <c r="EO629" s="976"/>
      <c r="EP629" s="976"/>
      <c r="EQ629" s="976"/>
      <c r="ER629" s="976"/>
      <c r="ES629" s="976"/>
      <c r="ET629" s="976"/>
      <c r="EU629" s="976"/>
      <c r="EV629" s="976"/>
      <c r="EW629" s="976"/>
      <c r="EX629" s="976"/>
      <c r="EY629" s="976"/>
      <c r="EZ629" s="976"/>
      <c r="FA629" s="976"/>
      <c r="FB629" s="976"/>
      <c r="FC629" s="976"/>
      <c r="FD629" s="976"/>
      <c r="FE629" s="976"/>
      <c r="FF629" s="976"/>
      <c r="FG629" s="976"/>
      <c r="FH629" s="976"/>
      <c r="FI629" s="976"/>
      <c r="FJ629" s="976"/>
      <c r="FK629" s="976"/>
      <c r="FL629" s="976"/>
      <c r="FM629" s="976"/>
      <c r="FN629" s="976"/>
      <c r="FO629" s="976"/>
      <c r="FP629" s="976"/>
      <c r="FQ629" s="976"/>
      <c r="FR629" s="976"/>
      <c r="FS629" s="976"/>
      <c r="FT629" s="976"/>
      <c r="FU629" s="976"/>
      <c r="FV629" s="976"/>
      <c r="FW629" s="976"/>
      <c r="FX629" s="976"/>
      <c r="FY629" s="976"/>
      <c r="FZ629" s="976"/>
      <c r="GA629" s="976"/>
      <c r="GB629" s="976"/>
      <c r="GC629" s="976"/>
      <c r="GD629" s="976"/>
      <c r="GE629" s="976"/>
      <c r="GF629" s="976"/>
      <c r="GG629" s="976"/>
      <c r="GH629" s="976"/>
      <c r="GI629" s="976"/>
      <c r="GJ629" s="976"/>
      <c r="GK629" s="976"/>
      <c r="GL629" s="976"/>
      <c r="GM629" s="976"/>
      <c r="GN629" s="976"/>
      <c r="GO629" s="976"/>
      <c r="GP629" s="976"/>
      <c r="GQ629" s="976"/>
      <c r="GR629" s="976"/>
      <c r="GS629" s="976"/>
      <c r="GT629" s="976"/>
      <c r="GU629" s="976"/>
      <c r="GV629" s="976"/>
      <c r="GW629" s="976"/>
      <c r="GX629" s="976"/>
      <c r="GY629" s="976"/>
      <c r="GZ629" s="976"/>
      <c r="HA629" s="976"/>
      <c r="HB629" s="976"/>
      <c r="HC629" s="976"/>
      <c r="HD629" s="976"/>
      <c r="HE629" s="976"/>
      <c r="HF629" s="976"/>
      <c r="HG629" s="976"/>
      <c r="HH629" s="976"/>
      <c r="HI629" s="976"/>
      <c r="HJ629" s="976"/>
      <c r="HK629" s="976"/>
      <c r="HL629" s="976"/>
      <c r="HM629" s="976"/>
      <c r="HN629" s="976"/>
      <c r="HO629" s="976"/>
      <c r="HP629" s="976"/>
      <c r="HQ629" s="976"/>
      <c r="HR629" s="976"/>
      <c r="HS629" s="976"/>
      <c r="HT629" s="976"/>
      <c r="HU629" s="976"/>
      <c r="HV629" s="976"/>
      <c r="HW629" s="976"/>
      <c r="HX629" s="976"/>
      <c r="HY629" s="976"/>
      <c r="HZ629" s="976"/>
      <c r="IA629" s="976"/>
      <c r="IB629" s="976"/>
      <c r="IC629" s="976"/>
      <c r="ID629" s="976"/>
      <c r="IE629" s="976"/>
      <c r="IF629" s="976"/>
      <c r="IG629" s="976"/>
      <c r="IH629" s="976"/>
      <c r="II629" s="976"/>
      <c r="IJ629" s="976"/>
      <c r="IK629" s="976"/>
      <c r="IL629" s="976"/>
      <c r="IM629" s="976"/>
      <c r="IN629" s="976"/>
      <c r="IO629" s="976"/>
      <c r="IP629" s="976"/>
      <c r="IQ629" s="976"/>
      <c r="IR629" s="976"/>
      <c r="IS629" s="976"/>
      <c r="IT629" s="976"/>
      <c r="IU629" s="976"/>
      <c r="IV629" s="976"/>
      <c r="IW629" s="976"/>
    </row>
    <row r="630" spans="1:257" s="621" customFormat="1">
      <c r="A630" s="589" t="s">
        <v>222</v>
      </c>
      <c r="B630" s="804" t="s">
        <v>252</v>
      </c>
      <c r="C630" s="589"/>
      <c r="D630" s="589"/>
      <c r="E630" s="704"/>
      <c r="F630" s="805">
        <f>F631</f>
        <v>1589000000</v>
      </c>
      <c r="G630" s="704"/>
      <c r="H630" s="704"/>
      <c r="I630" s="704"/>
      <c r="J630" s="805">
        <f>J631</f>
        <v>1730000000</v>
      </c>
      <c r="K630" s="805">
        <f>K633+K635+K636</f>
        <v>2336000000</v>
      </c>
      <c r="L630" s="1312">
        <f>L633+L635+L636</f>
        <v>2344200000</v>
      </c>
      <c r="M630" s="603"/>
      <c r="N630" s="835"/>
      <c r="O630" s="835"/>
      <c r="P630" s="829"/>
      <c r="Q630" s="829"/>
      <c r="R630" s="891"/>
      <c r="S630" s="891"/>
      <c r="T630" s="832"/>
      <c r="U630" s="577"/>
      <c r="V630" s="722"/>
      <c r="W630" s="722"/>
      <c r="X630" s="723"/>
      <c r="Y630" s="724"/>
      <c r="Z630" s="724"/>
      <c r="AA630" s="724"/>
      <c r="AB630" s="724"/>
      <c r="AC630" s="724"/>
      <c r="AD630" s="724"/>
      <c r="AE630" s="724"/>
      <c r="AF630" s="724"/>
      <c r="AG630" s="724"/>
      <c r="AH630" s="724"/>
      <c r="AI630" s="724"/>
      <c r="AJ630" s="724"/>
      <c r="AK630" s="724"/>
      <c r="AL630" s="724"/>
      <c r="AM630" s="724"/>
      <c r="AN630" s="724"/>
      <c r="AO630" s="724"/>
      <c r="AP630" s="724"/>
      <c r="AQ630" s="724"/>
      <c r="AR630" s="724"/>
      <c r="AS630" s="724"/>
      <c r="AT630" s="724"/>
      <c r="AU630" s="724"/>
      <c r="AV630" s="724"/>
      <c r="AW630" s="724"/>
      <c r="AX630" s="724"/>
      <c r="AY630" s="724"/>
      <c r="AZ630" s="724"/>
      <c r="BA630" s="724"/>
      <c r="BB630" s="724"/>
      <c r="BC630" s="724"/>
      <c r="BD630" s="724"/>
      <c r="BE630" s="724"/>
      <c r="BF630" s="724"/>
      <c r="BG630" s="724"/>
      <c r="BH630" s="724"/>
      <c r="BI630" s="724"/>
      <c r="BJ630" s="724"/>
      <c r="BK630" s="724"/>
      <c r="BL630" s="724"/>
      <c r="BM630" s="724"/>
      <c r="BN630" s="724"/>
      <c r="BO630" s="724"/>
      <c r="BP630" s="724"/>
      <c r="BQ630" s="724"/>
      <c r="BR630" s="724"/>
      <c r="BS630" s="724"/>
      <c r="BT630" s="724"/>
      <c r="BU630" s="724"/>
      <c r="BV630" s="724"/>
      <c r="BW630" s="724"/>
      <c r="BX630" s="724"/>
      <c r="BY630" s="724"/>
      <c r="BZ630" s="724"/>
      <c r="CA630" s="724"/>
      <c r="CB630" s="724"/>
      <c r="CC630" s="724"/>
      <c r="CD630" s="724"/>
      <c r="CE630" s="724"/>
      <c r="CF630" s="724"/>
      <c r="CG630" s="724"/>
      <c r="CH630" s="724"/>
      <c r="CI630" s="724"/>
      <c r="CJ630" s="724"/>
      <c r="CK630" s="724"/>
      <c r="CL630" s="724"/>
      <c r="CM630" s="724"/>
      <c r="CN630" s="724"/>
      <c r="CO630" s="724"/>
      <c r="CP630" s="724"/>
      <c r="CQ630" s="724"/>
      <c r="CR630" s="724"/>
      <c r="CS630" s="724"/>
      <c r="CT630" s="724"/>
      <c r="CU630" s="724"/>
      <c r="CV630" s="724"/>
      <c r="CW630" s="724"/>
      <c r="CX630" s="724"/>
      <c r="CY630" s="724"/>
      <c r="CZ630" s="724"/>
      <c r="DA630" s="724"/>
      <c r="DB630" s="724"/>
      <c r="DC630" s="724"/>
      <c r="DD630" s="724"/>
      <c r="DE630" s="724"/>
      <c r="DF630" s="724"/>
      <c r="DG630" s="724"/>
      <c r="DH630" s="724"/>
      <c r="DI630" s="724"/>
      <c r="DJ630" s="724"/>
      <c r="DK630" s="724"/>
      <c r="DL630" s="724"/>
      <c r="DM630" s="724"/>
      <c r="DN630" s="724"/>
      <c r="DO630" s="724"/>
      <c r="DP630" s="724"/>
      <c r="DQ630" s="724"/>
      <c r="DR630" s="724"/>
      <c r="DS630" s="724"/>
      <c r="DT630" s="724"/>
      <c r="DU630" s="724"/>
      <c r="DV630" s="724"/>
      <c r="DW630" s="724"/>
      <c r="DX630" s="724"/>
      <c r="DY630" s="724"/>
      <c r="DZ630" s="724"/>
      <c r="EA630" s="724"/>
      <c r="EB630" s="724"/>
      <c r="EC630" s="724"/>
      <c r="ED630" s="724"/>
      <c r="EE630" s="724"/>
      <c r="EF630" s="724"/>
      <c r="EG630" s="724"/>
      <c r="EH630" s="724"/>
      <c r="EI630" s="724"/>
      <c r="EJ630" s="724"/>
      <c r="EK630" s="724"/>
      <c r="EL630" s="724"/>
      <c r="EM630" s="724"/>
      <c r="EN630" s="724"/>
      <c r="EO630" s="724"/>
      <c r="EP630" s="724"/>
      <c r="EQ630" s="724"/>
      <c r="ER630" s="724"/>
      <c r="ES630" s="724"/>
      <c r="ET630" s="724"/>
      <c r="EU630" s="724"/>
      <c r="EV630" s="724"/>
      <c r="EW630" s="724"/>
      <c r="EX630" s="724"/>
      <c r="EY630" s="724"/>
      <c r="EZ630" s="724"/>
      <c r="FA630" s="724"/>
      <c r="FB630" s="724"/>
      <c r="FC630" s="724"/>
      <c r="FD630" s="724"/>
      <c r="FE630" s="724"/>
      <c r="FF630" s="724"/>
      <c r="FG630" s="724"/>
      <c r="FH630" s="724"/>
      <c r="FI630" s="724"/>
      <c r="FJ630" s="724"/>
      <c r="FK630" s="724"/>
      <c r="FL630" s="724"/>
      <c r="FM630" s="724"/>
      <c r="FN630" s="724"/>
      <c r="FO630" s="724"/>
      <c r="FP630" s="724"/>
      <c r="FQ630" s="724"/>
      <c r="FR630" s="724"/>
      <c r="FS630" s="724"/>
      <c r="FT630" s="724"/>
      <c r="FU630" s="724"/>
      <c r="FV630" s="724"/>
      <c r="FW630" s="724"/>
      <c r="FX630" s="724"/>
      <c r="FY630" s="724"/>
      <c r="FZ630" s="724"/>
      <c r="GA630" s="724"/>
      <c r="GB630" s="724"/>
      <c r="GC630" s="724"/>
      <c r="GD630" s="724"/>
      <c r="GE630" s="724"/>
      <c r="GF630" s="724"/>
      <c r="GG630" s="724"/>
      <c r="GH630" s="724"/>
      <c r="GI630" s="724"/>
      <c r="GJ630" s="724"/>
      <c r="GK630" s="724"/>
      <c r="GL630" s="724"/>
      <c r="GM630" s="724"/>
      <c r="GN630" s="724"/>
      <c r="GO630" s="724"/>
      <c r="GP630" s="724"/>
      <c r="GQ630" s="724"/>
      <c r="GR630" s="724"/>
      <c r="GS630" s="724"/>
      <c r="GT630" s="724"/>
      <c r="GU630" s="724"/>
      <c r="GV630" s="724"/>
      <c r="GW630" s="724"/>
      <c r="GX630" s="724"/>
      <c r="GY630" s="724"/>
      <c r="GZ630" s="724"/>
      <c r="HA630" s="724"/>
      <c r="HB630" s="724"/>
      <c r="HC630" s="724"/>
      <c r="HD630" s="724"/>
      <c r="HE630" s="724"/>
      <c r="HF630" s="724"/>
      <c r="HG630" s="724"/>
      <c r="HH630" s="724"/>
      <c r="HI630" s="724"/>
      <c r="HJ630" s="724"/>
      <c r="HK630" s="724"/>
      <c r="HL630" s="724"/>
      <c r="HM630" s="724"/>
      <c r="HN630" s="724"/>
      <c r="HO630" s="724"/>
      <c r="HP630" s="724"/>
      <c r="HQ630" s="724"/>
      <c r="HR630" s="724"/>
      <c r="HS630" s="724"/>
      <c r="HT630" s="724"/>
      <c r="HU630" s="724"/>
      <c r="HV630" s="724"/>
      <c r="HW630" s="724"/>
      <c r="HX630" s="724"/>
      <c r="HY630" s="724"/>
      <c r="HZ630" s="724"/>
      <c r="IA630" s="724"/>
      <c r="IB630" s="724"/>
      <c r="IC630" s="724"/>
      <c r="ID630" s="724"/>
      <c r="IE630" s="724"/>
      <c r="IF630" s="724"/>
      <c r="IG630" s="724"/>
      <c r="IH630" s="724"/>
      <c r="II630" s="724"/>
      <c r="IJ630" s="724"/>
      <c r="IK630" s="724"/>
      <c r="IL630" s="724"/>
      <c r="IM630" s="724"/>
      <c r="IN630" s="724"/>
      <c r="IO630" s="724"/>
      <c r="IP630" s="724"/>
      <c r="IQ630" s="724"/>
      <c r="IR630" s="724"/>
      <c r="IS630" s="724"/>
      <c r="IT630" s="724"/>
      <c r="IU630" s="724"/>
      <c r="IV630" s="724"/>
      <c r="IW630" s="724"/>
    </row>
    <row r="631" spans="1:257" s="621" customFormat="1">
      <c r="A631" s="699" t="s">
        <v>192</v>
      </c>
      <c r="B631" s="808" t="s">
        <v>292</v>
      </c>
      <c r="C631" s="699"/>
      <c r="D631" s="699"/>
      <c r="E631" s="700"/>
      <c r="F631" s="725">
        <f t="shared" ref="F631:J631" si="77">F632+F636</f>
        <v>1589000000</v>
      </c>
      <c r="G631" s="725">
        <f t="shared" si="77"/>
        <v>0</v>
      </c>
      <c r="H631" s="725">
        <f t="shared" si="77"/>
        <v>0</v>
      </c>
      <c r="I631" s="725">
        <f t="shared" si="77"/>
        <v>0</v>
      </c>
      <c r="J631" s="725">
        <f t="shared" si="77"/>
        <v>1730000000</v>
      </c>
      <c r="K631" s="725"/>
      <c r="L631" s="1311"/>
      <c r="M631" s="669"/>
      <c r="N631" s="868"/>
      <c r="O631" s="868"/>
      <c r="P631" s="820"/>
      <c r="Q631" s="820"/>
      <c r="R631" s="871"/>
      <c r="S631" s="866"/>
      <c r="T631" s="839"/>
      <c r="U631" s="726"/>
      <c r="V631" s="1095"/>
      <c r="W631" s="722"/>
      <c r="X631" s="723"/>
      <c r="Y631" s="724"/>
      <c r="Z631" s="724"/>
      <c r="AA631" s="724"/>
      <c r="AB631" s="724"/>
      <c r="AC631" s="724"/>
      <c r="AD631" s="724"/>
      <c r="AE631" s="724"/>
      <c r="AF631" s="724"/>
      <c r="AG631" s="724"/>
      <c r="AH631" s="724"/>
      <c r="AI631" s="724"/>
      <c r="AJ631" s="724"/>
      <c r="AK631" s="724"/>
      <c r="AL631" s="724"/>
      <c r="AM631" s="724"/>
      <c r="AN631" s="724"/>
      <c r="AO631" s="724"/>
      <c r="AP631" s="724"/>
      <c r="AQ631" s="724"/>
      <c r="AR631" s="724"/>
      <c r="AS631" s="724"/>
      <c r="AT631" s="724"/>
      <c r="AU631" s="724"/>
      <c r="AV631" s="724"/>
      <c r="AW631" s="724"/>
      <c r="AX631" s="724"/>
      <c r="AY631" s="724"/>
      <c r="AZ631" s="724"/>
      <c r="BA631" s="724"/>
      <c r="BB631" s="724"/>
      <c r="BC631" s="724"/>
      <c r="BD631" s="724"/>
      <c r="BE631" s="724"/>
      <c r="BF631" s="724"/>
      <c r="BG631" s="724"/>
      <c r="BH631" s="724"/>
      <c r="BI631" s="724"/>
      <c r="BJ631" s="724"/>
      <c r="BK631" s="724"/>
      <c r="BL631" s="724"/>
      <c r="BM631" s="724"/>
      <c r="BN631" s="724"/>
      <c r="BO631" s="724"/>
      <c r="BP631" s="724"/>
      <c r="BQ631" s="724"/>
      <c r="BR631" s="724"/>
      <c r="BS631" s="724"/>
      <c r="BT631" s="724"/>
      <c r="BU631" s="724"/>
      <c r="BV631" s="724"/>
      <c r="BW631" s="724"/>
      <c r="BX631" s="724"/>
      <c r="BY631" s="724"/>
      <c r="BZ631" s="724"/>
      <c r="CA631" s="724"/>
      <c r="CB631" s="724"/>
      <c r="CC631" s="724"/>
      <c r="CD631" s="724"/>
      <c r="CE631" s="724"/>
      <c r="CF631" s="724"/>
      <c r="CG631" s="724"/>
      <c r="CH631" s="724"/>
      <c r="CI631" s="724"/>
      <c r="CJ631" s="724"/>
      <c r="CK631" s="724"/>
      <c r="CL631" s="724"/>
      <c r="CM631" s="724"/>
      <c r="CN631" s="724"/>
      <c r="CO631" s="724"/>
      <c r="CP631" s="724"/>
      <c r="CQ631" s="724"/>
      <c r="CR631" s="724"/>
      <c r="CS631" s="724"/>
      <c r="CT631" s="724"/>
      <c r="CU631" s="724"/>
      <c r="CV631" s="724"/>
      <c r="CW631" s="724"/>
      <c r="CX631" s="724"/>
      <c r="CY631" s="724"/>
      <c r="CZ631" s="724"/>
      <c r="DA631" s="724"/>
      <c r="DB631" s="724"/>
      <c r="DC631" s="724"/>
      <c r="DD631" s="724"/>
      <c r="DE631" s="724"/>
      <c r="DF631" s="724"/>
      <c r="DG631" s="724"/>
      <c r="DH631" s="724"/>
      <c r="DI631" s="724"/>
      <c r="DJ631" s="724"/>
      <c r="DK631" s="724"/>
      <c r="DL631" s="724"/>
      <c r="DM631" s="724"/>
      <c r="DN631" s="724"/>
      <c r="DO631" s="724"/>
      <c r="DP631" s="724"/>
      <c r="DQ631" s="724"/>
      <c r="DR631" s="724"/>
      <c r="DS631" s="724"/>
      <c r="DT631" s="724"/>
      <c r="DU631" s="724"/>
      <c r="DV631" s="724"/>
      <c r="DW631" s="724"/>
      <c r="DX631" s="724"/>
      <c r="DY631" s="724"/>
      <c r="DZ631" s="724"/>
      <c r="EA631" s="724"/>
      <c r="EB631" s="724"/>
      <c r="EC631" s="724"/>
      <c r="ED631" s="724"/>
      <c r="EE631" s="724"/>
      <c r="EF631" s="724"/>
      <c r="EG631" s="724"/>
      <c r="EH631" s="724"/>
      <c r="EI631" s="724"/>
      <c r="EJ631" s="724"/>
      <c r="EK631" s="724"/>
      <c r="EL631" s="724"/>
      <c r="EM631" s="724"/>
      <c r="EN631" s="724"/>
      <c r="EO631" s="724"/>
      <c r="EP631" s="724"/>
      <c r="EQ631" s="724"/>
      <c r="ER631" s="724"/>
      <c r="ES631" s="724"/>
      <c r="ET631" s="724"/>
      <c r="EU631" s="724"/>
      <c r="EV631" s="724"/>
      <c r="EW631" s="724"/>
      <c r="EX631" s="724"/>
      <c r="EY631" s="724"/>
      <c r="EZ631" s="724"/>
      <c r="FA631" s="724"/>
      <c r="FB631" s="724"/>
      <c r="FC631" s="724"/>
      <c r="FD631" s="724"/>
      <c r="FE631" s="724"/>
      <c r="FF631" s="724"/>
      <c r="FG631" s="724"/>
      <c r="FH631" s="724"/>
      <c r="FI631" s="724"/>
      <c r="FJ631" s="724"/>
      <c r="FK631" s="724"/>
      <c r="FL631" s="724"/>
      <c r="FM631" s="724"/>
      <c r="FN631" s="724"/>
      <c r="FO631" s="724"/>
      <c r="FP631" s="724"/>
      <c r="FQ631" s="724"/>
      <c r="FR631" s="724"/>
      <c r="FS631" s="724"/>
      <c r="FT631" s="724"/>
      <c r="FU631" s="724"/>
      <c r="FV631" s="724"/>
      <c r="FW631" s="724"/>
      <c r="FX631" s="724"/>
      <c r="FY631" s="724"/>
      <c r="FZ631" s="724"/>
      <c r="GA631" s="724"/>
      <c r="GB631" s="724"/>
      <c r="GC631" s="724"/>
      <c r="GD631" s="724"/>
      <c r="GE631" s="724"/>
      <c r="GF631" s="724"/>
      <c r="GG631" s="724"/>
      <c r="GH631" s="724"/>
      <c r="GI631" s="724"/>
      <c r="GJ631" s="724"/>
      <c r="GK631" s="724"/>
      <c r="GL631" s="724"/>
      <c r="GM631" s="724"/>
      <c r="GN631" s="724"/>
      <c r="GO631" s="724"/>
      <c r="GP631" s="724"/>
      <c r="GQ631" s="724"/>
      <c r="GR631" s="724"/>
      <c r="GS631" s="724"/>
      <c r="GT631" s="724"/>
      <c r="GU631" s="724"/>
      <c r="GV631" s="724"/>
      <c r="GW631" s="724"/>
      <c r="GX631" s="724"/>
      <c r="GY631" s="724"/>
      <c r="GZ631" s="724"/>
      <c r="HA631" s="724"/>
      <c r="HB631" s="724"/>
      <c r="HC631" s="724"/>
      <c r="HD631" s="724"/>
      <c r="HE631" s="724"/>
      <c r="HF631" s="724"/>
      <c r="HG631" s="724"/>
      <c r="HH631" s="724"/>
      <c r="HI631" s="724"/>
      <c r="HJ631" s="724"/>
      <c r="HK631" s="724"/>
      <c r="HL631" s="724"/>
      <c r="HM631" s="724"/>
      <c r="HN631" s="724"/>
      <c r="HO631" s="724"/>
      <c r="HP631" s="724"/>
      <c r="HQ631" s="724"/>
      <c r="HR631" s="724"/>
      <c r="HS631" s="724"/>
      <c r="HT631" s="724"/>
      <c r="HU631" s="724"/>
      <c r="HV631" s="724"/>
      <c r="HW631" s="724"/>
      <c r="HX631" s="724"/>
      <c r="HY631" s="724"/>
      <c r="HZ631" s="724"/>
      <c r="IA631" s="724"/>
      <c r="IB631" s="724"/>
      <c r="IC631" s="724"/>
      <c r="ID631" s="724"/>
      <c r="IE631" s="724"/>
      <c r="IF631" s="724"/>
      <c r="IG631" s="724"/>
      <c r="IH631" s="724"/>
      <c r="II631" s="724"/>
      <c r="IJ631" s="724"/>
      <c r="IK631" s="724"/>
      <c r="IL631" s="724"/>
      <c r="IM631" s="724"/>
      <c r="IN631" s="724"/>
      <c r="IO631" s="724"/>
      <c r="IP631" s="724"/>
      <c r="IQ631" s="724"/>
      <c r="IR631" s="724"/>
      <c r="IS631" s="724"/>
      <c r="IT631" s="724"/>
      <c r="IU631" s="724"/>
      <c r="IV631" s="724"/>
      <c r="IW631" s="724"/>
    </row>
    <row r="632" spans="1:257" s="621" customFormat="1">
      <c r="A632" s="812" t="s">
        <v>248</v>
      </c>
      <c r="B632" s="813" t="s">
        <v>1042</v>
      </c>
      <c r="C632" s="713">
        <v>16</v>
      </c>
      <c r="D632" s="713"/>
      <c r="E632" s="725"/>
      <c r="F632" s="725">
        <v>1157000000</v>
      </c>
      <c r="G632" s="725"/>
      <c r="H632" s="725"/>
      <c r="I632" s="725"/>
      <c r="J632" s="725">
        <v>1346000000</v>
      </c>
      <c r="K632" s="725">
        <f>K633+K634</f>
        <v>2083000000</v>
      </c>
      <c r="L632" s="1311">
        <f>L633+L634</f>
        <v>2184000000</v>
      </c>
      <c r="M632" s="669"/>
      <c r="N632" s="868"/>
      <c r="O632" s="868"/>
      <c r="P632" s="868"/>
      <c r="Q632" s="868"/>
      <c r="R632" s="866"/>
      <c r="S632" s="871"/>
      <c r="T632" s="824"/>
      <c r="U632" s="726"/>
      <c r="V632" s="722"/>
      <c r="W632" s="722"/>
      <c r="X632" s="723"/>
      <c r="Y632" s="724"/>
      <c r="Z632" s="724"/>
      <c r="AA632" s="724"/>
      <c r="AB632" s="724"/>
      <c r="AC632" s="724"/>
      <c r="AD632" s="724"/>
      <c r="AE632" s="724"/>
      <c r="AF632" s="724"/>
      <c r="AG632" s="724"/>
      <c r="AH632" s="724"/>
      <c r="AI632" s="724"/>
      <c r="AJ632" s="724"/>
      <c r="AK632" s="724"/>
      <c r="AL632" s="724"/>
      <c r="AM632" s="724"/>
      <c r="AN632" s="724"/>
      <c r="AO632" s="724"/>
      <c r="AP632" s="724"/>
      <c r="AQ632" s="724"/>
      <c r="AR632" s="724"/>
      <c r="AS632" s="724"/>
      <c r="AT632" s="724"/>
      <c r="AU632" s="724"/>
      <c r="AV632" s="724"/>
      <c r="AW632" s="724"/>
      <c r="AX632" s="724"/>
      <c r="AY632" s="724"/>
      <c r="AZ632" s="724"/>
      <c r="BA632" s="724"/>
      <c r="BB632" s="724"/>
      <c r="BC632" s="724"/>
      <c r="BD632" s="724"/>
      <c r="BE632" s="724"/>
      <c r="BF632" s="724"/>
      <c r="BG632" s="724"/>
      <c r="BH632" s="724"/>
      <c r="BI632" s="724"/>
      <c r="BJ632" s="724"/>
      <c r="BK632" s="724"/>
      <c r="BL632" s="724"/>
      <c r="BM632" s="724"/>
      <c r="BN632" s="724"/>
      <c r="BO632" s="724"/>
      <c r="BP632" s="724"/>
      <c r="BQ632" s="724"/>
      <c r="BR632" s="724"/>
      <c r="BS632" s="724"/>
      <c r="BT632" s="724"/>
      <c r="BU632" s="724"/>
      <c r="BV632" s="724"/>
      <c r="BW632" s="724"/>
      <c r="BX632" s="724"/>
      <c r="BY632" s="724"/>
      <c r="BZ632" s="724"/>
      <c r="CA632" s="724"/>
      <c r="CB632" s="724"/>
      <c r="CC632" s="724"/>
      <c r="CD632" s="724"/>
      <c r="CE632" s="724"/>
      <c r="CF632" s="724"/>
      <c r="CG632" s="724"/>
      <c r="CH632" s="724"/>
      <c r="CI632" s="724"/>
      <c r="CJ632" s="724"/>
      <c r="CK632" s="724"/>
      <c r="CL632" s="724"/>
      <c r="CM632" s="724"/>
      <c r="CN632" s="724"/>
      <c r="CO632" s="724"/>
      <c r="CP632" s="724"/>
      <c r="CQ632" s="724"/>
      <c r="CR632" s="724"/>
      <c r="CS632" s="724"/>
      <c r="CT632" s="724"/>
      <c r="CU632" s="724"/>
      <c r="CV632" s="724"/>
      <c r="CW632" s="724"/>
      <c r="CX632" s="724"/>
      <c r="CY632" s="724"/>
      <c r="CZ632" s="724"/>
      <c r="DA632" s="724"/>
      <c r="DB632" s="724"/>
      <c r="DC632" s="724"/>
      <c r="DD632" s="724"/>
      <c r="DE632" s="724"/>
      <c r="DF632" s="724"/>
      <c r="DG632" s="724"/>
      <c r="DH632" s="724"/>
      <c r="DI632" s="724"/>
      <c r="DJ632" s="724"/>
      <c r="DK632" s="724"/>
      <c r="DL632" s="724"/>
      <c r="DM632" s="724"/>
      <c r="DN632" s="724"/>
      <c r="DO632" s="724"/>
      <c r="DP632" s="724"/>
      <c r="DQ632" s="724"/>
      <c r="DR632" s="724"/>
      <c r="DS632" s="724"/>
      <c r="DT632" s="724"/>
      <c r="DU632" s="724"/>
      <c r="DV632" s="724"/>
      <c r="DW632" s="724"/>
      <c r="DX632" s="724"/>
      <c r="DY632" s="724"/>
      <c r="DZ632" s="724"/>
      <c r="EA632" s="724"/>
      <c r="EB632" s="724"/>
      <c r="EC632" s="724"/>
      <c r="ED632" s="724"/>
      <c r="EE632" s="724"/>
      <c r="EF632" s="724"/>
      <c r="EG632" s="724"/>
      <c r="EH632" s="724"/>
      <c r="EI632" s="724"/>
      <c r="EJ632" s="724"/>
      <c r="EK632" s="724"/>
      <c r="EL632" s="724"/>
      <c r="EM632" s="724"/>
      <c r="EN632" s="724"/>
      <c r="EO632" s="724"/>
      <c r="EP632" s="724"/>
      <c r="EQ632" s="724"/>
      <c r="ER632" s="724"/>
      <c r="ES632" s="724"/>
      <c r="ET632" s="724"/>
      <c r="EU632" s="724"/>
      <c r="EV632" s="724"/>
      <c r="EW632" s="724"/>
      <c r="EX632" s="724"/>
      <c r="EY632" s="724"/>
      <c r="EZ632" s="724"/>
      <c r="FA632" s="724"/>
      <c r="FB632" s="724"/>
      <c r="FC632" s="724"/>
      <c r="FD632" s="724"/>
      <c r="FE632" s="724"/>
      <c r="FF632" s="724"/>
      <c r="FG632" s="724"/>
      <c r="FH632" s="724"/>
      <c r="FI632" s="724"/>
      <c r="FJ632" s="724"/>
      <c r="FK632" s="724"/>
      <c r="FL632" s="724"/>
      <c r="FM632" s="724"/>
      <c r="FN632" s="724"/>
      <c r="FO632" s="724"/>
      <c r="FP632" s="724"/>
      <c r="FQ632" s="724"/>
      <c r="FR632" s="724"/>
      <c r="FS632" s="724"/>
      <c r="FT632" s="724"/>
      <c r="FU632" s="724"/>
      <c r="FV632" s="724"/>
      <c r="FW632" s="724"/>
      <c r="FX632" s="724"/>
      <c r="FY632" s="724"/>
      <c r="FZ632" s="724"/>
      <c r="GA632" s="724"/>
      <c r="GB632" s="724"/>
      <c r="GC632" s="724"/>
      <c r="GD632" s="724"/>
      <c r="GE632" s="724"/>
      <c r="GF632" s="724"/>
      <c r="GG632" s="724"/>
      <c r="GH632" s="724"/>
      <c r="GI632" s="724"/>
      <c r="GJ632" s="724"/>
      <c r="GK632" s="724"/>
      <c r="GL632" s="724"/>
      <c r="GM632" s="724"/>
      <c r="GN632" s="724"/>
      <c r="GO632" s="724"/>
      <c r="GP632" s="724"/>
      <c r="GQ632" s="724"/>
      <c r="GR632" s="724"/>
      <c r="GS632" s="724"/>
      <c r="GT632" s="724"/>
      <c r="GU632" s="724"/>
      <c r="GV632" s="724"/>
      <c r="GW632" s="724"/>
      <c r="GX632" s="724"/>
      <c r="GY632" s="724"/>
      <c r="GZ632" s="724"/>
      <c r="HA632" s="724"/>
      <c r="HB632" s="724"/>
      <c r="HC632" s="724"/>
      <c r="HD632" s="724"/>
      <c r="HE632" s="724"/>
      <c r="HF632" s="724"/>
      <c r="HG632" s="724"/>
      <c r="HH632" s="724"/>
      <c r="HI632" s="724"/>
      <c r="HJ632" s="724"/>
      <c r="HK632" s="724"/>
      <c r="HL632" s="724"/>
      <c r="HM632" s="724"/>
      <c r="HN632" s="724"/>
      <c r="HO632" s="724"/>
      <c r="HP632" s="724"/>
      <c r="HQ632" s="724"/>
      <c r="HR632" s="724"/>
      <c r="HS632" s="724"/>
      <c r="HT632" s="724"/>
      <c r="HU632" s="724"/>
      <c r="HV632" s="724"/>
      <c r="HW632" s="724"/>
      <c r="HX632" s="724"/>
      <c r="HY632" s="724"/>
      <c r="HZ632" s="724"/>
      <c r="IA632" s="724"/>
      <c r="IB632" s="724"/>
      <c r="IC632" s="724"/>
      <c r="ID632" s="724"/>
      <c r="IE632" s="724"/>
      <c r="IF632" s="724"/>
      <c r="IG632" s="724"/>
      <c r="IH632" s="724"/>
      <c r="II632" s="724"/>
      <c r="IJ632" s="724"/>
      <c r="IK632" s="724"/>
      <c r="IL632" s="724"/>
      <c r="IM632" s="724"/>
      <c r="IN632" s="724"/>
      <c r="IO632" s="724"/>
      <c r="IP632" s="724"/>
      <c r="IQ632" s="724"/>
      <c r="IR632" s="724"/>
      <c r="IS632" s="724"/>
      <c r="IT632" s="724"/>
      <c r="IU632" s="724"/>
      <c r="IV632" s="724"/>
      <c r="IW632" s="724"/>
    </row>
    <row r="633" spans="1:257" s="621" customFormat="1">
      <c r="A633" s="1109"/>
      <c r="B633" s="684" t="s">
        <v>918</v>
      </c>
      <c r="C633" s="1109"/>
      <c r="D633" s="1109"/>
      <c r="E633" s="1109"/>
      <c r="F633" s="1109"/>
      <c r="G633" s="1109"/>
      <c r="H633" s="1109"/>
      <c r="I633" s="1109"/>
      <c r="J633" s="1109"/>
      <c r="K633" s="725">
        <v>1666000000</v>
      </c>
      <c r="L633" s="1311">
        <f>116000000*12</f>
        <v>1392000000</v>
      </c>
      <c r="M633" s="1110" t="s">
        <v>1443</v>
      </c>
      <c r="N633" s="1111"/>
      <c r="O633" s="1111"/>
      <c r="P633" s="1111"/>
      <c r="Q633" s="1111"/>
      <c r="R633" s="1111"/>
      <c r="S633" s="1111"/>
      <c r="T633" s="1111"/>
      <c r="U633" s="1111"/>
      <c r="V633" s="1111"/>
      <c r="W633" s="1111"/>
      <c r="X633" s="1111"/>
      <c r="Y633" s="1111"/>
      <c r="Z633" s="1111"/>
      <c r="AA633" s="1111"/>
      <c r="AB633" s="1111"/>
      <c r="AC633" s="1111"/>
      <c r="AD633" s="1111"/>
      <c r="AE633" s="1111"/>
      <c r="AF633" s="1111"/>
      <c r="AG633" s="1111"/>
      <c r="AH633" s="1111"/>
      <c r="AI633" s="1111"/>
      <c r="AJ633" s="1111"/>
      <c r="AK633" s="1111"/>
      <c r="AL633" s="1111"/>
      <c r="AM633" s="1111"/>
      <c r="AN633" s="1111"/>
      <c r="AO633" s="1111"/>
      <c r="AP633" s="1111"/>
      <c r="AQ633" s="1111"/>
      <c r="AR633" s="1111"/>
      <c r="AS633" s="1111"/>
      <c r="AT633" s="1111"/>
      <c r="AU633" s="1111"/>
      <c r="AV633" s="1111"/>
      <c r="AW633" s="1111"/>
      <c r="AX633" s="1111"/>
      <c r="AY633" s="1111"/>
      <c r="AZ633" s="1111"/>
      <c r="BA633" s="1111"/>
      <c r="BB633" s="1111"/>
      <c r="BC633" s="1111"/>
      <c r="BD633" s="1111"/>
      <c r="BE633" s="1111"/>
      <c r="BF633" s="1111"/>
      <c r="BG633" s="1111"/>
      <c r="BH633" s="1111"/>
      <c r="BI633" s="1111"/>
      <c r="BJ633" s="1111"/>
      <c r="BK633" s="1111"/>
      <c r="BL633" s="1111"/>
      <c r="BM633" s="1111"/>
      <c r="BN633" s="1111"/>
      <c r="BO633" s="1111"/>
      <c r="BP633" s="1111"/>
      <c r="BQ633" s="1111"/>
      <c r="BR633" s="1111"/>
      <c r="BS633" s="1111"/>
      <c r="BT633" s="1111"/>
      <c r="BU633" s="1111"/>
      <c r="BV633" s="1111"/>
      <c r="BW633" s="1111"/>
      <c r="BX633" s="1111"/>
      <c r="BY633" s="1111"/>
      <c r="BZ633" s="1111"/>
      <c r="CA633" s="1111"/>
      <c r="CB633" s="1111"/>
      <c r="CC633" s="1111"/>
      <c r="CD633" s="1111"/>
      <c r="CE633" s="1111"/>
      <c r="CF633" s="1111"/>
      <c r="CG633" s="1111"/>
      <c r="CH633" s="1111"/>
      <c r="CI633" s="1111"/>
      <c r="CJ633" s="1111"/>
      <c r="CK633" s="1111"/>
      <c r="CL633" s="1111"/>
      <c r="CM633" s="1111"/>
      <c r="CN633" s="1111"/>
      <c r="CO633" s="1111"/>
      <c r="CP633" s="1111"/>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1"/>
      <c r="DX633" s="1111"/>
      <c r="DY633" s="1111"/>
      <c r="DZ633" s="1111"/>
      <c r="EA633" s="1111"/>
      <c r="EB633" s="1111"/>
      <c r="EC633" s="1111"/>
      <c r="ED633" s="1111"/>
      <c r="EE633" s="1111"/>
      <c r="EF633" s="1111"/>
      <c r="EG633" s="1111"/>
      <c r="EH633" s="1111"/>
      <c r="EI633" s="1111"/>
      <c r="EJ633" s="1111"/>
      <c r="EK633" s="1111"/>
      <c r="EL633" s="1111"/>
      <c r="EM633" s="1111"/>
      <c r="EN633" s="1111"/>
      <c r="EO633" s="1111"/>
      <c r="EP633" s="1111"/>
      <c r="EQ633" s="1111"/>
      <c r="ER633" s="1111"/>
      <c r="ES633" s="1111"/>
      <c r="ET633" s="1111"/>
      <c r="EU633" s="1111"/>
      <c r="EV633" s="1111"/>
      <c r="EW633" s="1111"/>
      <c r="EX633" s="1111"/>
      <c r="EY633" s="1111"/>
      <c r="EZ633" s="1111"/>
      <c r="FA633" s="1111"/>
      <c r="FB633" s="1111"/>
      <c r="FC633" s="1111"/>
      <c r="FD633" s="1111"/>
      <c r="FE633" s="1111"/>
      <c r="FF633" s="1111"/>
      <c r="FG633" s="1111"/>
      <c r="FH633" s="1111"/>
      <c r="FI633" s="1111"/>
      <c r="FJ633" s="1111"/>
      <c r="FK633" s="1111"/>
      <c r="FL633" s="1111"/>
      <c r="FM633" s="1111"/>
      <c r="FN633" s="1111"/>
      <c r="FO633" s="1111"/>
      <c r="FP633" s="1111"/>
      <c r="FQ633" s="1111"/>
      <c r="FR633" s="1111"/>
      <c r="FS633" s="1111"/>
      <c r="FT633" s="1111"/>
      <c r="FU633" s="1111"/>
      <c r="FV633" s="1111"/>
      <c r="FW633" s="1111"/>
      <c r="FX633" s="1111"/>
      <c r="FY633" s="1111"/>
      <c r="FZ633" s="1111"/>
      <c r="GA633" s="1111"/>
      <c r="GB633" s="1111"/>
      <c r="GC633" s="1111"/>
      <c r="GD633" s="1111"/>
      <c r="GE633" s="1111"/>
      <c r="GF633" s="1111"/>
      <c r="GG633" s="1111"/>
      <c r="GH633" s="1111"/>
      <c r="GI633" s="1111"/>
      <c r="GJ633" s="1111"/>
      <c r="GK633" s="1111"/>
      <c r="GL633" s="1111"/>
      <c r="GM633" s="1111"/>
      <c r="GN633" s="1111"/>
      <c r="GO633" s="1111"/>
      <c r="GP633" s="1111"/>
      <c r="GQ633" s="1111"/>
      <c r="GR633" s="1111"/>
      <c r="GS633" s="1111"/>
      <c r="GT633" s="1111"/>
      <c r="GU633" s="1111"/>
      <c r="GV633" s="1111"/>
      <c r="GW633" s="1111"/>
      <c r="GX633" s="1111"/>
      <c r="GY633" s="1111"/>
      <c r="GZ633" s="1111"/>
      <c r="HA633" s="1111"/>
      <c r="HB633" s="1111"/>
      <c r="HC633" s="1111"/>
      <c r="HD633" s="1111"/>
      <c r="HE633" s="1111"/>
      <c r="HF633" s="1111"/>
      <c r="HG633" s="1111"/>
      <c r="HH633" s="1111"/>
      <c r="HI633" s="1111"/>
      <c r="HJ633" s="1111"/>
      <c r="HK633" s="1111"/>
      <c r="HL633" s="1111"/>
      <c r="HM633" s="1111"/>
      <c r="HN633" s="1111"/>
      <c r="HO633" s="1111"/>
      <c r="HP633" s="1111"/>
      <c r="HQ633" s="1111"/>
      <c r="HR633" s="1111"/>
      <c r="HS633" s="1111"/>
      <c r="HT633" s="1111"/>
      <c r="HU633" s="1111"/>
      <c r="HV633" s="1111"/>
      <c r="HW633" s="1111"/>
      <c r="HX633" s="1111"/>
      <c r="HY633" s="1111"/>
      <c r="HZ633" s="1111"/>
      <c r="IA633" s="1111"/>
      <c r="IB633" s="1111"/>
      <c r="IC633" s="1111"/>
      <c r="ID633" s="1111"/>
      <c r="IE633" s="1111"/>
      <c r="IF633" s="1111"/>
      <c r="IG633" s="1111"/>
      <c r="IH633" s="1111"/>
      <c r="II633" s="1111"/>
      <c r="IJ633" s="1111"/>
      <c r="IK633" s="1111"/>
      <c r="IL633" s="1111"/>
      <c r="IM633" s="1111"/>
      <c r="IN633" s="1111"/>
      <c r="IO633" s="1111"/>
      <c r="IP633" s="1111"/>
      <c r="IQ633" s="1111"/>
      <c r="IR633" s="1111"/>
      <c r="IS633" s="1111"/>
      <c r="IT633" s="1111"/>
      <c r="IU633" s="1111"/>
      <c r="IV633" s="1111"/>
      <c r="IW633" s="1111"/>
    </row>
    <row r="634" spans="1:257" s="621" customFormat="1">
      <c r="A634" s="1109"/>
      <c r="B634" s="684" t="s">
        <v>1369</v>
      </c>
      <c r="C634" s="1109"/>
      <c r="D634" s="1109"/>
      <c r="E634" s="1109"/>
      <c r="F634" s="1109"/>
      <c r="G634" s="1109"/>
      <c r="H634" s="1109"/>
      <c r="I634" s="1109"/>
      <c r="J634" s="1109"/>
      <c r="K634" s="725">
        <v>417000000</v>
      </c>
      <c r="L634" s="1311">
        <f>(182000000-116000000)*12</f>
        <v>792000000</v>
      </c>
      <c r="M634" s="1109"/>
      <c r="N634" s="1111"/>
      <c r="O634" s="1111"/>
      <c r="P634" s="1111"/>
      <c r="Q634" s="1111"/>
      <c r="R634" s="1111"/>
      <c r="S634" s="1111"/>
      <c r="T634" s="1111"/>
      <c r="U634" s="1111"/>
      <c r="V634" s="1111"/>
      <c r="W634" s="1111"/>
      <c r="X634" s="1111"/>
      <c r="Y634" s="1111"/>
      <c r="Z634" s="1111"/>
      <c r="AA634" s="1111"/>
      <c r="AB634" s="1111"/>
      <c r="AC634" s="1111"/>
      <c r="AD634" s="1111"/>
      <c r="AE634" s="1111"/>
      <c r="AF634" s="1111"/>
      <c r="AG634" s="1111"/>
      <c r="AH634" s="1111"/>
      <c r="AI634" s="1111"/>
      <c r="AJ634" s="1111"/>
      <c r="AK634" s="1111"/>
      <c r="AL634" s="1111"/>
      <c r="AM634" s="1111"/>
      <c r="AN634" s="1111"/>
      <c r="AO634" s="1111"/>
      <c r="AP634" s="1111"/>
      <c r="AQ634" s="1111"/>
      <c r="AR634" s="1111"/>
      <c r="AS634" s="1111"/>
      <c r="AT634" s="1111"/>
      <c r="AU634" s="1111"/>
      <c r="AV634" s="1111"/>
      <c r="AW634" s="1111"/>
      <c r="AX634" s="1111"/>
      <c r="AY634" s="1111"/>
      <c r="AZ634" s="1111"/>
      <c r="BA634" s="1111"/>
      <c r="BB634" s="1111"/>
      <c r="BC634" s="1111"/>
      <c r="BD634" s="1111"/>
      <c r="BE634" s="1111"/>
      <c r="BF634" s="1111"/>
      <c r="BG634" s="1111"/>
      <c r="BH634" s="1111"/>
      <c r="BI634" s="1111"/>
      <c r="BJ634" s="1111"/>
      <c r="BK634" s="1111"/>
      <c r="BL634" s="1111"/>
      <c r="BM634" s="1111"/>
      <c r="BN634" s="1111"/>
      <c r="BO634" s="1111"/>
      <c r="BP634" s="1111"/>
      <c r="BQ634" s="1111"/>
      <c r="BR634" s="1111"/>
      <c r="BS634" s="1111"/>
      <c r="BT634" s="1111"/>
      <c r="BU634" s="1111"/>
      <c r="BV634" s="1111"/>
      <c r="BW634" s="1111"/>
      <c r="BX634" s="1111"/>
      <c r="BY634" s="1111"/>
      <c r="BZ634" s="1111"/>
      <c r="CA634" s="1111"/>
      <c r="CB634" s="1111"/>
      <c r="CC634" s="1111"/>
      <c r="CD634" s="1111"/>
      <c r="CE634" s="1111"/>
      <c r="CF634" s="1111"/>
      <c r="CG634" s="1111"/>
      <c r="CH634" s="1111"/>
      <c r="CI634" s="1111"/>
      <c r="CJ634" s="1111"/>
      <c r="CK634" s="1111"/>
      <c r="CL634" s="1111"/>
      <c r="CM634" s="1111"/>
      <c r="CN634" s="1111"/>
      <c r="CO634" s="1111"/>
      <c r="CP634" s="1111"/>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1"/>
      <c r="DX634" s="1111"/>
      <c r="DY634" s="1111"/>
      <c r="DZ634" s="1111"/>
      <c r="EA634" s="1111"/>
      <c r="EB634" s="1111"/>
      <c r="EC634" s="1111"/>
      <c r="ED634" s="1111"/>
      <c r="EE634" s="1111"/>
      <c r="EF634" s="1111"/>
      <c r="EG634" s="1111"/>
      <c r="EH634" s="1111"/>
      <c r="EI634" s="1111"/>
      <c r="EJ634" s="1111"/>
      <c r="EK634" s="1111"/>
      <c r="EL634" s="1111"/>
      <c r="EM634" s="1111"/>
      <c r="EN634" s="1111"/>
      <c r="EO634" s="1111"/>
      <c r="EP634" s="1111"/>
      <c r="EQ634" s="1111"/>
      <c r="ER634" s="1111"/>
      <c r="ES634" s="1111"/>
      <c r="ET634" s="1111"/>
      <c r="EU634" s="1111"/>
      <c r="EV634" s="1111"/>
      <c r="EW634" s="1111"/>
      <c r="EX634" s="1111"/>
      <c r="EY634" s="1111"/>
      <c r="EZ634" s="1111"/>
      <c r="FA634" s="1111"/>
      <c r="FB634" s="1111"/>
      <c r="FC634" s="1111"/>
      <c r="FD634" s="1111"/>
      <c r="FE634" s="1111"/>
      <c r="FF634" s="1111"/>
      <c r="FG634" s="1111"/>
      <c r="FH634" s="1111"/>
      <c r="FI634" s="1111"/>
      <c r="FJ634" s="1111"/>
      <c r="FK634" s="1111"/>
      <c r="FL634" s="1111"/>
      <c r="FM634" s="1111"/>
      <c r="FN634" s="1111"/>
      <c r="FO634" s="1111"/>
      <c r="FP634" s="1111"/>
      <c r="FQ634" s="1111"/>
      <c r="FR634" s="1111"/>
      <c r="FS634" s="1111"/>
      <c r="FT634" s="1111"/>
      <c r="FU634" s="1111"/>
      <c r="FV634" s="1111"/>
      <c r="FW634" s="1111"/>
      <c r="FX634" s="1111"/>
      <c r="FY634" s="1111"/>
      <c r="FZ634" s="1111"/>
      <c r="GA634" s="1111"/>
      <c r="GB634" s="1111"/>
      <c r="GC634" s="1111"/>
      <c r="GD634" s="1111"/>
      <c r="GE634" s="1111"/>
      <c r="GF634" s="1111"/>
      <c r="GG634" s="1111"/>
      <c r="GH634" s="1111"/>
      <c r="GI634" s="1111"/>
      <c r="GJ634" s="1111"/>
      <c r="GK634" s="1111"/>
      <c r="GL634" s="1111"/>
      <c r="GM634" s="1111"/>
      <c r="GN634" s="1111"/>
      <c r="GO634" s="1111"/>
      <c r="GP634" s="1111"/>
      <c r="GQ634" s="1111"/>
      <c r="GR634" s="1111"/>
      <c r="GS634" s="1111"/>
      <c r="GT634" s="1111"/>
      <c r="GU634" s="1111"/>
      <c r="GV634" s="1111"/>
      <c r="GW634" s="1111"/>
      <c r="GX634" s="1111"/>
      <c r="GY634" s="1111"/>
      <c r="GZ634" s="1111"/>
      <c r="HA634" s="1111"/>
      <c r="HB634" s="1111"/>
      <c r="HC634" s="1111"/>
      <c r="HD634" s="1111"/>
      <c r="HE634" s="1111"/>
      <c r="HF634" s="1111"/>
      <c r="HG634" s="1111"/>
      <c r="HH634" s="1111"/>
      <c r="HI634" s="1111"/>
      <c r="HJ634" s="1111"/>
      <c r="HK634" s="1111"/>
      <c r="HL634" s="1111"/>
      <c r="HM634" s="1111"/>
      <c r="HN634" s="1111"/>
      <c r="HO634" s="1111"/>
      <c r="HP634" s="1111"/>
      <c r="HQ634" s="1111"/>
      <c r="HR634" s="1111"/>
      <c r="HS634" s="1111"/>
      <c r="HT634" s="1111"/>
      <c r="HU634" s="1111"/>
      <c r="HV634" s="1111"/>
      <c r="HW634" s="1111"/>
      <c r="HX634" s="1111"/>
      <c r="HY634" s="1111"/>
      <c r="HZ634" s="1111"/>
      <c r="IA634" s="1111"/>
      <c r="IB634" s="1111"/>
      <c r="IC634" s="1111"/>
      <c r="ID634" s="1111"/>
      <c r="IE634" s="1111"/>
      <c r="IF634" s="1111"/>
      <c r="IG634" s="1111"/>
      <c r="IH634" s="1111"/>
      <c r="II634" s="1111"/>
      <c r="IJ634" s="1111"/>
      <c r="IK634" s="1111"/>
      <c r="IL634" s="1111"/>
      <c r="IM634" s="1111"/>
      <c r="IN634" s="1111"/>
      <c r="IO634" s="1111"/>
      <c r="IP634" s="1111"/>
      <c r="IQ634" s="1111"/>
      <c r="IR634" s="1111"/>
      <c r="IS634" s="1111"/>
      <c r="IT634" s="1111"/>
      <c r="IU634" s="1111"/>
      <c r="IV634" s="1111"/>
      <c r="IW634" s="1111"/>
    </row>
    <row r="635" spans="1:257" s="621" customFormat="1">
      <c r="A635" s="1109"/>
      <c r="B635" s="684" t="s">
        <v>1357</v>
      </c>
      <c r="C635" s="1109"/>
      <c r="D635" s="1109"/>
      <c r="E635" s="1109"/>
      <c r="F635" s="1109"/>
      <c r="G635" s="1109"/>
      <c r="H635" s="1109"/>
      <c r="I635" s="1109"/>
      <c r="J635" s="1109"/>
      <c r="K635" s="725">
        <f>ROUND(K634-K653,-6)</f>
        <v>265000000</v>
      </c>
      <c r="L635" s="1311">
        <f>L634-L654</f>
        <v>574200000</v>
      </c>
      <c r="M635" s="1109"/>
      <c r="N635" s="1111"/>
      <c r="O635" s="1111"/>
      <c r="P635" s="1111"/>
      <c r="Q635" s="1111"/>
      <c r="R635" s="1111"/>
      <c r="S635" s="1111"/>
      <c r="T635" s="1111"/>
      <c r="U635" s="1111"/>
      <c r="V635" s="1111"/>
      <c r="W635" s="1111"/>
      <c r="X635" s="1111"/>
      <c r="Y635" s="1111"/>
      <c r="Z635" s="1111"/>
      <c r="AA635" s="1111"/>
      <c r="AB635" s="1111"/>
      <c r="AC635" s="1111"/>
      <c r="AD635" s="1111"/>
      <c r="AE635" s="1111"/>
      <c r="AF635" s="1111"/>
      <c r="AG635" s="1111"/>
      <c r="AH635" s="1111"/>
      <c r="AI635" s="1111"/>
      <c r="AJ635" s="1111"/>
      <c r="AK635" s="1111"/>
      <c r="AL635" s="1111"/>
      <c r="AM635" s="1111"/>
      <c r="AN635" s="1111"/>
      <c r="AO635" s="1111"/>
      <c r="AP635" s="1111"/>
      <c r="AQ635" s="1111"/>
      <c r="AR635" s="1111"/>
      <c r="AS635" s="1111"/>
      <c r="AT635" s="1111"/>
      <c r="AU635" s="1111"/>
      <c r="AV635" s="1111"/>
      <c r="AW635" s="1111"/>
      <c r="AX635" s="1111"/>
      <c r="AY635" s="1111"/>
      <c r="AZ635" s="1111"/>
      <c r="BA635" s="1111"/>
      <c r="BB635" s="1111"/>
      <c r="BC635" s="1111"/>
      <c r="BD635" s="1111"/>
      <c r="BE635" s="1111"/>
      <c r="BF635" s="1111"/>
      <c r="BG635" s="1111"/>
      <c r="BH635" s="1111"/>
      <c r="BI635" s="1111"/>
      <c r="BJ635" s="1111"/>
      <c r="BK635" s="1111"/>
      <c r="BL635" s="1111"/>
      <c r="BM635" s="1111"/>
      <c r="BN635" s="1111"/>
      <c r="BO635" s="1111"/>
      <c r="BP635" s="1111"/>
      <c r="BQ635" s="1111"/>
      <c r="BR635" s="1111"/>
      <c r="BS635" s="1111"/>
      <c r="BT635" s="1111"/>
      <c r="BU635" s="1111"/>
      <c r="BV635" s="1111"/>
      <c r="BW635" s="1111"/>
      <c r="BX635" s="1111"/>
      <c r="BY635" s="1111"/>
      <c r="BZ635" s="1111"/>
      <c r="CA635" s="1111"/>
      <c r="CB635" s="1111"/>
      <c r="CC635" s="1111"/>
      <c r="CD635" s="1111"/>
      <c r="CE635" s="1111"/>
      <c r="CF635" s="1111"/>
      <c r="CG635" s="1111"/>
      <c r="CH635" s="1111"/>
      <c r="CI635" s="1111"/>
      <c r="CJ635" s="1111"/>
      <c r="CK635" s="1111"/>
      <c r="CL635" s="1111"/>
      <c r="CM635" s="1111"/>
      <c r="CN635" s="1111"/>
      <c r="CO635" s="1111"/>
      <c r="CP635" s="1111"/>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1"/>
      <c r="DX635" s="1111"/>
      <c r="DY635" s="1111"/>
      <c r="DZ635" s="1111"/>
      <c r="EA635" s="1111"/>
      <c r="EB635" s="1111"/>
      <c r="EC635" s="1111"/>
      <c r="ED635" s="1111"/>
      <c r="EE635" s="1111"/>
      <c r="EF635" s="1111"/>
      <c r="EG635" s="1111"/>
      <c r="EH635" s="1111"/>
      <c r="EI635" s="1111"/>
      <c r="EJ635" s="1111"/>
      <c r="EK635" s="1111"/>
      <c r="EL635" s="1111"/>
      <c r="EM635" s="1111"/>
      <c r="EN635" s="1111"/>
      <c r="EO635" s="1111"/>
      <c r="EP635" s="1111"/>
      <c r="EQ635" s="1111"/>
      <c r="ER635" s="1111"/>
      <c r="ES635" s="1111"/>
      <c r="ET635" s="1111"/>
      <c r="EU635" s="1111"/>
      <c r="EV635" s="1111"/>
      <c r="EW635" s="1111"/>
      <c r="EX635" s="1111"/>
      <c r="EY635" s="1111"/>
      <c r="EZ635" s="1111"/>
      <c r="FA635" s="1111"/>
      <c r="FB635" s="1111"/>
      <c r="FC635" s="1111"/>
      <c r="FD635" s="1111"/>
      <c r="FE635" s="1111"/>
      <c r="FF635" s="1111"/>
      <c r="FG635" s="1111"/>
      <c r="FH635" s="1111"/>
      <c r="FI635" s="1111"/>
      <c r="FJ635" s="1111"/>
      <c r="FK635" s="1111"/>
      <c r="FL635" s="1111"/>
      <c r="FM635" s="1111"/>
      <c r="FN635" s="1111"/>
      <c r="FO635" s="1111"/>
      <c r="FP635" s="1111"/>
      <c r="FQ635" s="1111"/>
      <c r="FR635" s="1111"/>
      <c r="FS635" s="1111"/>
      <c r="FT635" s="1111"/>
      <c r="FU635" s="1111"/>
      <c r="FV635" s="1111"/>
      <c r="FW635" s="1111"/>
      <c r="FX635" s="1111"/>
      <c r="FY635" s="1111"/>
      <c r="FZ635" s="1111"/>
      <c r="GA635" s="1111"/>
      <c r="GB635" s="1111"/>
      <c r="GC635" s="1111"/>
      <c r="GD635" s="1111"/>
      <c r="GE635" s="1111"/>
      <c r="GF635" s="1111"/>
      <c r="GG635" s="1111"/>
      <c r="GH635" s="1111"/>
      <c r="GI635" s="1111"/>
      <c r="GJ635" s="1111"/>
      <c r="GK635" s="1111"/>
      <c r="GL635" s="1111"/>
      <c r="GM635" s="1111"/>
      <c r="GN635" s="1111"/>
      <c r="GO635" s="1111"/>
      <c r="GP635" s="1111"/>
      <c r="GQ635" s="1111"/>
      <c r="GR635" s="1111"/>
      <c r="GS635" s="1111"/>
      <c r="GT635" s="1111"/>
      <c r="GU635" s="1111"/>
      <c r="GV635" s="1111"/>
      <c r="GW635" s="1111"/>
      <c r="GX635" s="1111"/>
      <c r="GY635" s="1111"/>
      <c r="GZ635" s="1111"/>
      <c r="HA635" s="1111"/>
      <c r="HB635" s="1111"/>
      <c r="HC635" s="1111"/>
      <c r="HD635" s="1111"/>
      <c r="HE635" s="1111"/>
      <c r="HF635" s="1111"/>
      <c r="HG635" s="1111"/>
      <c r="HH635" s="1111"/>
      <c r="HI635" s="1111"/>
      <c r="HJ635" s="1111"/>
      <c r="HK635" s="1111"/>
      <c r="HL635" s="1111"/>
      <c r="HM635" s="1111"/>
      <c r="HN635" s="1111"/>
      <c r="HO635" s="1111"/>
      <c r="HP635" s="1111"/>
      <c r="HQ635" s="1111"/>
      <c r="HR635" s="1111"/>
      <c r="HS635" s="1111"/>
      <c r="HT635" s="1111"/>
      <c r="HU635" s="1111"/>
      <c r="HV635" s="1111"/>
      <c r="HW635" s="1111"/>
      <c r="HX635" s="1111"/>
      <c r="HY635" s="1111"/>
      <c r="HZ635" s="1111"/>
      <c r="IA635" s="1111"/>
      <c r="IB635" s="1111"/>
      <c r="IC635" s="1111"/>
      <c r="ID635" s="1111"/>
      <c r="IE635" s="1111"/>
      <c r="IF635" s="1111"/>
      <c r="IG635" s="1111"/>
      <c r="IH635" s="1111"/>
      <c r="II635" s="1111"/>
      <c r="IJ635" s="1111"/>
      <c r="IK635" s="1111"/>
      <c r="IL635" s="1111"/>
      <c r="IM635" s="1111"/>
      <c r="IN635" s="1111"/>
      <c r="IO635" s="1111"/>
      <c r="IP635" s="1111"/>
      <c r="IQ635" s="1111"/>
      <c r="IR635" s="1111"/>
      <c r="IS635" s="1111"/>
      <c r="IT635" s="1111"/>
      <c r="IU635" s="1111"/>
      <c r="IV635" s="1111"/>
      <c r="IW635" s="1111"/>
    </row>
    <row r="636" spans="1:257" s="621" customFormat="1" ht="20.25" customHeight="1">
      <c r="A636" s="812" t="s">
        <v>248</v>
      </c>
      <c r="B636" s="813" t="s">
        <v>256</v>
      </c>
      <c r="C636" s="713"/>
      <c r="D636" s="713"/>
      <c r="E636" s="725">
        <v>27000000</v>
      </c>
      <c r="F636" s="725">
        <f>C632*E636</f>
        <v>432000000</v>
      </c>
      <c r="G636" s="725"/>
      <c r="H636" s="725"/>
      <c r="I636" s="725"/>
      <c r="J636" s="725">
        <v>384000000</v>
      </c>
      <c r="K636" s="725">
        <f>15*27000000</f>
        <v>405000000</v>
      </c>
      <c r="L636" s="1311">
        <f>14*27000000</f>
        <v>378000000</v>
      </c>
      <c r="M636" s="669" t="s">
        <v>1413</v>
      </c>
      <c r="N636" s="868"/>
      <c r="O636" s="868"/>
      <c r="P636" s="868"/>
      <c r="Q636" s="868"/>
      <c r="R636" s="871"/>
      <c r="S636" s="871"/>
      <c r="T636" s="824"/>
      <c r="U636" s="580"/>
      <c r="V636" s="722"/>
      <c r="W636" s="722"/>
      <c r="X636" s="723"/>
      <c r="Y636" s="724"/>
      <c r="Z636" s="724"/>
      <c r="AA636" s="724"/>
      <c r="AB636" s="724"/>
      <c r="AC636" s="724"/>
      <c r="AD636" s="724"/>
      <c r="AE636" s="724"/>
      <c r="AF636" s="724"/>
      <c r="AG636" s="724"/>
      <c r="AH636" s="724"/>
      <c r="AI636" s="724"/>
      <c r="AJ636" s="724"/>
      <c r="AK636" s="724"/>
      <c r="AL636" s="724"/>
      <c r="AM636" s="724"/>
      <c r="AN636" s="724"/>
      <c r="AO636" s="724"/>
      <c r="AP636" s="724"/>
      <c r="AQ636" s="724"/>
      <c r="AR636" s="724"/>
      <c r="AS636" s="724"/>
      <c r="AT636" s="724"/>
      <c r="AU636" s="724"/>
      <c r="AV636" s="724"/>
      <c r="AW636" s="724"/>
      <c r="AX636" s="724"/>
      <c r="AY636" s="724"/>
      <c r="AZ636" s="724"/>
      <c r="BA636" s="724"/>
      <c r="BB636" s="724"/>
      <c r="BC636" s="724"/>
      <c r="BD636" s="724"/>
      <c r="BE636" s="724"/>
      <c r="BF636" s="724"/>
      <c r="BG636" s="724"/>
      <c r="BH636" s="724"/>
      <c r="BI636" s="724"/>
      <c r="BJ636" s="724"/>
      <c r="BK636" s="724"/>
      <c r="BL636" s="724"/>
      <c r="BM636" s="724"/>
      <c r="BN636" s="724"/>
      <c r="BO636" s="724"/>
      <c r="BP636" s="724"/>
      <c r="BQ636" s="724"/>
      <c r="BR636" s="724"/>
      <c r="BS636" s="724"/>
      <c r="BT636" s="724"/>
      <c r="BU636" s="724"/>
      <c r="BV636" s="724"/>
      <c r="BW636" s="724"/>
      <c r="BX636" s="724"/>
      <c r="BY636" s="724"/>
      <c r="BZ636" s="724"/>
      <c r="CA636" s="724"/>
      <c r="CB636" s="724"/>
      <c r="CC636" s="724"/>
      <c r="CD636" s="724"/>
      <c r="CE636" s="724"/>
      <c r="CF636" s="724"/>
      <c r="CG636" s="724"/>
      <c r="CH636" s="724"/>
      <c r="CI636" s="724"/>
      <c r="CJ636" s="724"/>
      <c r="CK636" s="724"/>
      <c r="CL636" s="724"/>
      <c r="CM636" s="724"/>
      <c r="CN636" s="724"/>
      <c r="CO636" s="724"/>
      <c r="CP636" s="724"/>
      <c r="CQ636" s="724"/>
      <c r="CR636" s="724"/>
      <c r="CS636" s="724"/>
      <c r="CT636" s="724"/>
      <c r="CU636" s="724"/>
      <c r="CV636" s="724"/>
      <c r="CW636" s="724"/>
      <c r="CX636" s="724"/>
      <c r="CY636" s="724"/>
      <c r="CZ636" s="724"/>
      <c r="DA636" s="724"/>
      <c r="DB636" s="724"/>
      <c r="DC636" s="724"/>
      <c r="DD636" s="724"/>
      <c r="DE636" s="724"/>
      <c r="DF636" s="724"/>
      <c r="DG636" s="724"/>
      <c r="DH636" s="724"/>
      <c r="DI636" s="724"/>
      <c r="DJ636" s="724"/>
      <c r="DK636" s="724"/>
      <c r="DL636" s="724"/>
      <c r="DM636" s="724"/>
      <c r="DN636" s="724"/>
      <c r="DO636" s="724"/>
      <c r="DP636" s="724"/>
      <c r="DQ636" s="724"/>
      <c r="DR636" s="724"/>
      <c r="DS636" s="724"/>
      <c r="DT636" s="724"/>
      <c r="DU636" s="724"/>
      <c r="DV636" s="724"/>
      <c r="DW636" s="724"/>
      <c r="DX636" s="724"/>
      <c r="DY636" s="724"/>
      <c r="DZ636" s="724"/>
      <c r="EA636" s="724"/>
      <c r="EB636" s="724"/>
      <c r="EC636" s="724"/>
      <c r="ED636" s="724"/>
      <c r="EE636" s="724"/>
      <c r="EF636" s="724"/>
      <c r="EG636" s="724"/>
      <c r="EH636" s="724"/>
      <c r="EI636" s="724"/>
      <c r="EJ636" s="724"/>
      <c r="EK636" s="724"/>
      <c r="EL636" s="724"/>
      <c r="EM636" s="724"/>
      <c r="EN636" s="724"/>
      <c r="EO636" s="724"/>
      <c r="EP636" s="724"/>
      <c r="EQ636" s="724"/>
      <c r="ER636" s="724"/>
      <c r="ES636" s="724"/>
      <c r="ET636" s="724"/>
      <c r="EU636" s="724"/>
      <c r="EV636" s="724"/>
      <c r="EW636" s="724"/>
      <c r="EX636" s="724"/>
      <c r="EY636" s="724"/>
      <c r="EZ636" s="724"/>
      <c r="FA636" s="724"/>
      <c r="FB636" s="724"/>
      <c r="FC636" s="724"/>
      <c r="FD636" s="724"/>
      <c r="FE636" s="724"/>
      <c r="FF636" s="724"/>
      <c r="FG636" s="724"/>
      <c r="FH636" s="724"/>
      <c r="FI636" s="724"/>
      <c r="FJ636" s="724"/>
      <c r="FK636" s="724"/>
      <c r="FL636" s="724"/>
      <c r="FM636" s="724"/>
      <c r="FN636" s="724"/>
      <c r="FO636" s="724"/>
      <c r="FP636" s="724"/>
      <c r="FQ636" s="724"/>
      <c r="FR636" s="724"/>
      <c r="FS636" s="724"/>
      <c r="FT636" s="724"/>
      <c r="FU636" s="724"/>
      <c r="FV636" s="724"/>
      <c r="FW636" s="724"/>
      <c r="FX636" s="724"/>
      <c r="FY636" s="724"/>
      <c r="FZ636" s="724"/>
      <c r="GA636" s="724"/>
      <c r="GB636" s="724"/>
      <c r="GC636" s="724"/>
      <c r="GD636" s="724"/>
      <c r="GE636" s="724"/>
      <c r="GF636" s="724"/>
      <c r="GG636" s="724"/>
      <c r="GH636" s="724"/>
      <c r="GI636" s="724"/>
      <c r="GJ636" s="724"/>
      <c r="GK636" s="724"/>
      <c r="GL636" s="724"/>
      <c r="GM636" s="724"/>
      <c r="GN636" s="724"/>
      <c r="GO636" s="724"/>
      <c r="GP636" s="724"/>
      <c r="GQ636" s="724"/>
      <c r="GR636" s="724"/>
      <c r="GS636" s="724"/>
      <c r="GT636" s="724"/>
      <c r="GU636" s="724"/>
      <c r="GV636" s="724"/>
      <c r="GW636" s="724"/>
      <c r="GX636" s="724"/>
      <c r="GY636" s="724"/>
      <c r="GZ636" s="724"/>
      <c r="HA636" s="724"/>
      <c r="HB636" s="724"/>
      <c r="HC636" s="724"/>
      <c r="HD636" s="724"/>
      <c r="HE636" s="724"/>
      <c r="HF636" s="724"/>
      <c r="HG636" s="724"/>
      <c r="HH636" s="724"/>
      <c r="HI636" s="724"/>
      <c r="HJ636" s="724"/>
      <c r="HK636" s="724"/>
      <c r="HL636" s="724"/>
      <c r="HM636" s="724"/>
      <c r="HN636" s="724"/>
      <c r="HO636" s="724"/>
      <c r="HP636" s="724"/>
      <c r="HQ636" s="724"/>
      <c r="HR636" s="724"/>
      <c r="HS636" s="724"/>
      <c r="HT636" s="724"/>
      <c r="HU636" s="724"/>
      <c r="HV636" s="724"/>
      <c r="HW636" s="724"/>
      <c r="HX636" s="724"/>
      <c r="HY636" s="724"/>
      <c r="HZ636" s="724"/>
      <c r="IA636" s="724"/>
      <c r="IB636" s="724"/>
      <c r="IC636" s="724"/>
      <c r="ID636" s="724"/>
      <c r="IE636" s="724"/>
      <c r="IF636" s="724"/>
      <c r="IG636" s="724"/>
      <c r="IH636" s="724"/>
      <c r="II636" s="724"/>
      <c r="IJ636" s="724"/>
      <c r="IK636" s="724"/>
      <c r="IL636" s="724"/>
      <c r="IM636" s="724"/>
      <c r="IN636" s="724"/>
      <c r="IO636" s="724"/>
      <c r="IP636" s="724"/>
      <c r="IQ636" s="724"/>
      <c r="IR636" s="724"/>
      <c r="IS636" s="724"/>
      <c r="IT636" s="724"/>
      <c r="IU636" s="724"/>
      <c r="IV636" s="724"/>
      <c r="IW636" s="724"/>
    </row>
    <row r="637" spans="1:257" s="682" customFormat="1">
      <c r="A637" s="589" t="s">
        <v>225</v>
      </c>
      <c r="B637" s="804" t="s">
        <v>257</v>
      </c>
      <c r="C637" s="589"/>
      <c r="D637" s="589"/>
      <c r="E637" s="704"/>
      <c r="F637" s="805">
        <f t="shared" ref="F637:J637" si="78">SUM(F638:F652)</f>
        <v>255000000</v>
      </c>
      <c r="G637" s="805">
        <f t="shared" si="78"/>
        <v>0</v>
      </c>
      <c r="H637" s="805">
        <f t="shared" si="78"/>
        <v>0</v>
      </c>
      <c r="I637" s="805">
        <f t="shared" si="78"/>
        <v>0</v>
      </c>
      <c r="J637" s="805">
        <f t="shared" si="78"/>
        <v>764000000</v>
      </c>
      <c r="K637" s="805">
        <f>SUM(K638:K652)</f>
        <v>1173000000</v>
      </c>
      <c r="L637" s="1312">
        <f>SUM(L638:L652)</f>
        <v>1873000000</v>
      </c>
      <c r="M637" s="603"/>
      <c r="N637" s="835"/>
      <c r="O637" s="835"/>
      <c r="P637" s="829"/>
      <c r="Q637" s="829"/>
      <c r="R637" s="871"/>
      <c r="S637" s="900"/>
      <c r="T637" s="822"/>
      <c r="U637" s="577"/>
      <c r="V637" s="722"/>
      <c r="W637" s="680"/>
      <c r="X637" s="677"/>
      <c r="Y637" s="681"/>
      <c r="Z637" s="681"/>
      <c r="AA637" s="681"/>
      <c r="AB637" s="681"/>
      <c r="AC637" s="681"/>
      <c r="AD637" s="681"/>
      <c r="AE637" s="681"/>
      <c r="AF637" s="681"/>
      <c r="AG637" s="681"/>
      <c r="AH637" s="681"/>
      <c r="AI637" s="681"/>
      <c r="AJ637" s="681"/>
      <c r="AK637" s="681"/>
      <c r="AL637" s="681"/>
      <c r="AM637" s="681"/>
      <c r="AN637" s="681"/>
      <c r="AO637" s="681"/>
      <c r="AP637" s="681"/>
      <c r="AQ637" s="681"/>
      <c r="AR637" s="681"/>
      <c r="AS637" s="681"/>
      <c r="AT637" s="681"/>
      <c r="AU637" s="681"/>
      <c r="AV637" s="681"/>
      <c r="AW637" s="681"/>
      <c r="AX637" s="681"/>
      <c r="AY637" s="681"/>
      <c r="AZ637" s="681"/>
      <c r="BA637" s="681"/>
      <c r="BB637" s="681"/>
      <c r="BC637" s="681"/>
      <c r="BD637" s="681"/>
      <c r="BE637" s="681"/>
      <c r="BF637" s="681"/>
      <c r="BG637" s="681"/>
      <c r="BH637" s="681"/>
      <c r="BI637" s="681"/>
      <c r="BJ637" s="681"/>
      <c r="BK637" s="681"/>
      <c r="BL637" s="681"/>
      <c r="BM637" s="681"/>
      <c r="BN637" s="681"/>
      <c r="BO637" s="681"/>
      <c r="BP637" s="681"/>
      <c r="BQ637" s="681"/>
      <c r="BR637" s="681"/>
      <c r="BS637" s="681"/>
      <c r="BT637" s="681"/>
      <c r="BU637" s="681"/>
      <c r="BV637" s="681"/>
      <c r="BW637" s="681"/>
      <c r="BX637" s="681"/>
      <c r="BY637" s="681"/>
      <c r="BZ637" s="681"/>
      <c r="CA637" s="681"/>
      <c r="CB637" s="681"/>
      <c r="CC637" s="681"/>
      <c r="CD637" s="681"/>
      <c r="CE637" s="681"/>
      <c r="CF637" s="681"/>
      <c r="CG637" s="681"/>
      <c r="CH637" s="681"/>
      <c r="CI637" s="681"/>
      <c r="CJ637" s="681"/>
      <c r="CK637" s="681"/>
      <c r="CL637" s="681"/>
      <c r="CM637" s="681"/>
      <c r="CN637" s="681"/>
      <c r="CO637" s="681"/>
      <c r="CP637" s="681"/>
      <c r="CQ637" s="681"/>
      <c r="CR637" s="681"/>
      <c r="CS637" s="681"/>
      <c r="CT637" s="681"/>
      <c r="CU637" s="681"/>
      <c r="CV637" s="681"/>
      <c r="CW637" s="681"/>
      <c r="CX637" s="681"/>
      <c r="CY637" s="681"/>
      <c r="CZ637" s="681"/>
      <c r="DA637" s="681"/>
      <c r="DB637" s="681"/>
      <c r="DC637" s="681"/>
      <c r="DD637" s="681"/>
      <c r="DE637" s="681"/>
      <c r="DF637" s="681"/>
      <c r="DG637" s="681"/>
      <c r="DH637" s="681"/>
      <c r="DI637" s="681"/>
      <c r="DJ637" s="681"/>
      <c r="DK637" s="681"/>
      <c r="DL637" s="681"/>
      <c r="DM637" s="681"/>
      <c r="DN637" s="681"/>
      <c r="DO637" s="681"/>
      <c r="DP637" s="681"/>
      <c r="DQ637" s="681"/>
      <c r="DR637" s="681"/>
      <c r="DS637" s="681"/>
      <c r="DT637" s="681"/>
      <c r="DU637" s="681"/>
      <c r="DV637" s="681"/>
      <c r="DW637" s="681"/>
      <c r="DX637" s="681"/>
      <c r="DY637" s="681"/>
      <c r="DZ637" s="681"/>
      <c r="EA637" s="681"/>
      <c r="EB637" s="681"/>
      <c r="EC637" s="681"/>
      <c r="ED637" s="681"/>
      <c r="EE637" s="681"/>
      <c r="EF637" s="681"/>
      <c r="EG637" s="681"/>
      <c r="EH637" s="681"/>
      <c r="EI637" s="681"/>
      <c r="EJ637" s="681"/>
      <c r="EK637" s="681"/>
      <c r="EL637" s="681"/>
      <c r="EM637" s="681"/>
      <c r="EN637" s="681"/>
      <c r="EO637" s="681"/>
      <c r="EP637" s="681"/>
      <c r="EQ637" s="681"/>
      <c r="ER637" s="681"/>
      <c r="ES637" s="681"/>
      <c r="ET637" s="681"/>
      <c r="EU637" s="681"/>
      <c r="EV637" s="681"/>
      <c r="EW637" s="681"/>
      <c r="EX637" s="681"/>
      <c r="EY637" s="681"/>
      <c r="EZ637" s="681"/>
      <c r="FA637" s="681"/>
      <c r="FB637" s="681"/>
      <c r="FC637" s="681"/>
      <c r="FD637" s="681"/>
      <c r="FE637" s="681"/>
      <c r="FF637" s="681"/>
      <c r="FG637" s="681"/>
      <c r="FH637" s="681"/>
      <c r="FI637" s="681"/>
      <c r="FJ637" s="681"/>
      <c r="FK637" s="681"/>
      <c r="FL637" s="681"/>
      <c r="FM637" s="681"/>
      <c r="FN637" s="681"/>
      <c r="FO637" s="681"/>
      <c r="FP637" s="681"/>
      <c r="FQ637" s="681"/>
      <c r="FR637" s="681"/>
      <c r="FS637" s="681"/>
      <c r="FT637" s="681"/>
      <c r="FU637" s="681"/>
      <c r="FV637" s="681"/>
      <c r="FW637" s="681"/>
      <c r="FX637" s="681"/>
      <c r="FY637" s="681"/>
      <c r="FZ637" s="681"/>
      <c r="GA637" s="681"/>
      <c r="GB637" s="681"/>
      <c r="GC637" s="681"/>
      <c r="GD637" s="681"/>
      <c r="GE637" s="681"/>
      <c r="GF637" s="681"/>
      <c r="GG637" s="681"/>
      <c r="GH637" s="681"/>
      <c r="GI637" s="681"/>
      <c r="GJ637" s="681"/>
      <c r="GK637" s="681"/>
      <c r="GL637" s="681"/>
      <c r="GM637" s="681"/>
      <c r="GN637" s="681"/>
      <c r="GO637" s="681"/>
      <c r="GP637" s="681"/>
      <c r="GQ637" s="681"/>
      <c r="GR637" s="681"/>
      <c r="GS637" s="681"/>
      <c r="GT637" s="681"/>
      <c r="GU637" s="681"/>
      <c r="GV637" s="681"/>
      <c r="GW637" s="681"/>
      <c r="GX637" s="681"/>
      <c r="GY637" s="681"/>
      <c r="GZ637" s="681"/>
      <c r="HA637" s="681"/>
      <c r="HB637" s="681"/>
      <c r="HC637" s="681"/>
      <c r="HD637" s="681"/>
      <c r="HE637" s="681"/>
      <c r="HF637" s="681"/>
      <c r="HG637" s="681"/>
      <c r="HH637" s="681"/>
      <c r="HI637" s="681"/>
      <c r="HJ637" s="681"/>
      <c r="HK637" s="681"/>
      <c r="HL637" s="681"/>
      <c r="HM637" s="681"/>
      <c r="HN637" s="681"/>
      <c r="HO637" s="681"/>
      <c r="HP637" s="681"/>
      <c r="HQ637" s="681"/>
      <c r="HR637" s="681"/>
      <c r="HS637" s="681"/>
      <c r="HT637" s="681"/>
      <c r="HU637" s="681"/>
      <c r="HV637" s="681"/>
      <c r="HW637" s="681"/>
      <c r="HX637" s="681"/>
      <c r="HY637" s="681"/>
      <c r="HZ637" s="681"/>
      <c r="IA637" s="681"/>
      <c r="IB637" s="681"/>
      <c r="IC637" s="681"/>
      <c r="ID637" s="681"/>
      <c r="IE637" s="681"/>
      <c r="IF637" s="681"/>
      <c r="IG637" s="681"/>
      <c r="IH637" s="681"/>
      <c r="II637" s="681"/>
      <c r="IJ637" s="681"/>
      <c r="IK637" s="681"/>
      <c r="IL637" s="681"/>
      <c r="IM637" s="681"/>
      <c r="IN637" s="681"/>
      <c r="IO637" s="681"/>
      <c r="IP637" s="681"/>
      <c r="IQ637" s="681"/>
      <c r="IR637" s="681"/>
      <c r="IS637" s="681"/>
      <c r="IT637" s="681"/>
      <c r="IU637" s="681"/>
      <c r="IV637" s="681"/>
      <c r="IW637" s="681"/>
    </row>
    <row r="638" spans="1:257" s="682" customFormat="1">
      <c r="A638" s="713" t="s">
        <v>258</v>
      </c>
      <c r="B638" s="696" t="s">
        <v>399</v>
      </c>
      <c r="C638" s="713"/>
      <c r="D638" s="713"/>
      <c r="E638" s="725"/>
      <c r="F638" s="700">
        <v>30000000</v>
      </c>
      <c r="G638" s="725"/>
      <c r="H638" s="725"/>
      <c r="I638" s="725"/>
      <c r="J638" s="700">
        <v>48000000</v>
      </c>
      <c r="K638" s="700">
        <v>36000000</v>
      </c>
      <c r="L638" s="1315">
        <v>36000000</v>
      </c>
      <c r="M638" s="651"/>
      <c r="N638" s="820"/>
      <c r="O638" s="820"/>
      <c r="P638" s="868"/>
      <c r="Q638" s="868"/>
      <c r="R638" s="837"/>
      <c r="S638" s="900"/>
      <c r="T638" s="822"/>
      <c r="U638" s="577"/>
      <c r="V638" s="680"/>
      <c r="W638" s="680"/>
      <c r="X638" s="677"/>
      <c r="Y638" s="681"/>
      <c r="Z638" s="681"/>
      <c r="AA638" s="681"/>
      <c r="AB638" s="681"/>
      <c r="AC638" s="681"/>
      <c r="AD638" s="681"/>
      <c r="AE638" s="681"/>
      <c r="AF638" s="681"/>
      <c r="AG638" s="681"/>
      <c r="AH638" s="681"/>
      <c r="AI638" s="681"/>
      <c r="AJ638" s="681"/>
      <c r="AK638" s="681"/>
      <c r="AL638" s="681"/>
      <c r="AM638" s="681"/>
      <c r="AN638" s="681"/>
      <c r="AO638" s="681"/>
      <c r="AP638" s="681"/>
      <c r="AQ638" s="681"/>
      <c r="AR638" s="681"/>
      <c r="AS638" s="681"/>
      <c r="AT638" s="681"/>
      <c r="AU638" s="681"/>
      <c r="AV638" s="681"/>
      <c r="AW638" s="681"/>
      <c r="AX638" s="681"/>
      <c r="AY638" s="681"/>
      <c r="AZ638" s="681"/>
      <c r="BA638" s="681"/>
      <c r="BB638" s="681"/>
      <c r="BC638" s="681"/>
      <c r="BD638" s="681"/>
      <c r="BE638" s="681"/>
      <c r="BF638" s="681"/>
      <c r="BG638" s="681"/>
      <c r="BH638" s="681"/>
      <c r="BI638" s="681"/>
      <c r="BJ638" s="681"/>
      <c r="BK638" s="681"/>
      <c r="BL638" s="681"/>
      <c r="BM638" s="681"/>
      <c r="BN638" s="681"/>
      <c r="BO638" s="681"/>
      <c r="BP638" s="681"/>
      <c r="BQ638" s="681"/>
      <c r="BR638" s="681"/>
      <c r="BS638" s="681"/>
      <c r="BT638" s="681"/>
      <c r="BU638" s="681"/>
      <c r="BV638" s="681"/>
      <c r="BW638" s="681"/>
      <c r="BX638" s="681"/>
      <c r="BY638" s="681"/>
      <c r="BZ638" s="681"/>
      <c r="CA638" s="681"/>
      <c r="CB638" s="681"/>
      <c r="CC638" s="681"/>
      <c r="CD638" s="681"/>
      <c r="CE638" s="681"/>
      <c r="CF638" s="681"/>
      <c r="CG638" s="681"/>
      <c r="CH638" s="681"/>
      <c r="CI638" s="681"/>
      <c r="CJ638" s="681"/>
      <c r="CK638" s="681"/>
      <c r="CL638" s="681"/>
      <c r="CM638" s="681"/>
      <c r="CN638" s="681"/>
      <c r="CO638" s="681"/>
      <c r="CP638" s="681"/>
      <c r="CQ638" s="681"/>
      <c r="CR638" s="681"/>
      <c r="CS638" s="681"/>
      <c r="CT638" s="681"/>
      <c r="CU638" s="681"/>
      <c r="CV638" s="681"/>
      <c r="CW638" s="681"/>
      <c r="CX638" s="681"/>
      <c r="CY638" s="681"/>
      <c r="CZ638" s="681"/>
      <c r="DA638" s="681"/>
      <c r="DB638" s="681"/>
      <c r="DC638" s="681"/>
      <c r="DD638" s="681"/>
      <c r="DE638" s="681"/>
      <c r="DF638" s="681"/>
      <c r="DG638" s="681"/>
      <c r="DH638" s="681"/>
      <c r="DI638" s="681"/>
      <c r="DJ638" s="681"/>
      <c r="DK638" s="681"/>
      <c r="DL638" s="681"/>
      <c r="DM638" s="681"/>
      <c r="DN638" s="681"/>
      <c r="DO638" s="681"/>
      <c r="DP638" s="681"/>
      <c r="DQ638" s="681"/>
      <c r="DR638" s="681"/>
      <c r="DS638" s="681"/>
      <c r="DT638" s="681"/>
      <c r="DU638" s="681"/>
      <c r="DV638" s="681"/>
      <c r="DW638" s="681"/>
      <c r="DX638" s="681"/>
      <c r="DY638" s="681"/>
      <c r="DZ638" s="681"/>
      <c r="EA638" s="681"/>
      <c r="EB638" s="681"/>
      <c r="EC638" s="681"/>
      <c r="ED638" s="681"/>
      <c r="EE638" s="681"/>
      <c r="EF638" s="681"/>
      <c r="EG638" s="681"/>
      <c r="EH638" s="681"/>
      <c r="EI638" s="681"/>
      <c r="EJ638" s="681"/>
      <c r="EK638" s="681"/>
      <c r="EL638" s="681"/>
      <c r="EM638" s="681"/>
      <c r="EN638" s="681"/>
      <c r="EO638" s="681"/>
      <c r="EP638" s="681"/>
      <c r="EQ638" s="681"/>
      <c r="ER638" s="681"/>
      <c r="ES638" s="681"/>
      <c r="ET638" s="681"/>
      <c r="EU638" s="681"/>
      <c r="EV638" s="681"/>
      <c r="EW638" s="681"/>
      <c r="EX638" s="681"/>
      <c r="EY638" s="681"/>
      <c r="EZ638" s="681"/>
      <c r="FA638" s="681"/>
      <c r="FB638" s="681"/>
      <c r="FC638" s="681"/>
      <c r="FD638" s="681"/>
      <c r="FE638" s="681"/>
      <c r="FF638" s="681"/>
      <c r="FG638" s="681"/>
      <c r="FH638" s="681"/>
      <c r="FI638" s="681"/>
      <c r="FJ638" s="681"/>
      <c r="FK638" s="681"/>
      <c r="FL638" s="681"/>
      <c r="FM638" s="681"/>
      <c r="FN638" s="681"/>
      <c r="FO638" s="681"/>
      <c r="FP638" s="681"/>
      <c r="FQ638" s="681"/>
      <c r="FR638" s="681"/>
      <c r="FS638" s="681"/>
      <c r="FT638" s="681"/>
      <c r="FU638" s="681"/>
      <c r="FV638" s="681"/>
      <c r="FW638" s="681"/>
      <c r="FX638" s="681"/>
      <c r="FY638" s="681"/>
      <c r="FZ638" s="681"/>
      <c r="GA638" s="681"/>
      <c r="GB638" s="681"/>
      <c r="GC638" s="681"/>
      <c r="GD638" s="681"/>
      <c r="GE638" s="681"/>
      <c r="GF638" s="681"/>
      <c r="GG638" s="681"/>
      <c r="GH638" s="681"/>
      <c r="GI638" s="681"/>
      <c r="GJ638" s="681"/>
      <c r="GK638" s="681"/>
      <c r="GL638" s="681"/>
      <c r="GM638" s="681"/>
      <c r="GN638" s="681"/>
      <c r="GO638" s="681"/>
      <c r="GP638" s="681"/>
      <c r="GQ638" s="681"/>
      <c r="GR638" s="681"/>
      <c r="GS638" s="681"/>
      <c r="GT638" s="681"/>
      <c r="GU638" s="681"/>
      <c r="GV638" s="681"/>
      <c r="GW638" s="681"/>
      <c r="GX638" s="681"/>
      <c r="GY638" s="681"/>
      <c r="GZ638" s="681"/>
      <c r="HA638" s="681"/>
      <c r="HB638" s="681"/>
      <c r="HC638" s="681"/>
      <c r="HD638" s="681"/>
      <c r="HE638" s="681"/>
      <c r="HF638" s="681"/>
      <c r="HG638" s="681"/>
      <c r="HH638" s="681"/>
      <c r="HI638" s="681"/>
      <c r="HJ638" s="681"/>
      <c r="HK638" s="681"/>
      <c r="HL638" s="681"/>
      <c r="HM638" s="681"/>
      <c r="HN638" s="681"/>
      <c r="HO638" s="681"/>
      <c r="HP638" s="681"/>
      <c r="HQ638" s="681"/>
      <c r="HR638" s="681"/>
      <c r="HS638" s="681"/>
      <c r="HT638" s="681"/>
      <c r="HU638" s="681"/>
      <c r="HV638" s="681"/>
      <c r="HW638" s="681"/>
      <c r="HX638" s="681"/>
      <c r="HY638" s="681"/>
      <c r="HZ638" s="681"/>
      <c r="IA638" s="681"/>
      <c r="IB638" s="681"/>
      <c r="IC638" s="681"/>
      <c r="ID638" s="681"/>
      <c r="IE638" s="681"/>
      <c r="IF638" s="681"/>
      <c r="IG638" s="681"/>
      <c r="IH638" s="681"/>
      <c r="II638" s="681"/>
      <c r="IJ638" s="681"/>
      <c r="IK638" s="681"/>
      <c r="IL638" s="681"/>
      <c r="IM638" s="681"/>
      <c r="IN638" s="681"/>
      <c r="IO638" s="681"/>
      <c r="IP638" s="681"/>
      <c r="IQ638" s="681"/>
      <c r="IR638" s="681"/>
      <c r="IS638" s="681"/>
      <c r="IT638" s="681"/>
      <c r="IU638" s="681"/>
      <c r="IV638" s="681"/>
      <c r="IW638" s="681"/>
    </row>
    <row r="639" spans="1:257" s="682" customFormat="1">
      <c r="A639" s="713" t="s">
        <v>258</v>
      </c>
      <c r="B639" s="711" t="s">
        <v>400</v>
      </c>
      <c r="C639" s="683"/>
      <c r="D639" s="683"/>
      <c r="E639" s="669"/>
      <c r="F639" s="651">
        <v>15000000</v>
      </c>
      <c r="G639" s="669"/>
      <c r="H639" s="669"/>
      <c r="I639" s="669"/>
      <c r="J639" s="651">
        <v>20000000</v>
      </c>
      <c r="K639" s="651">
        <v>25000000</v>
      </c>
      <c r="L639" s="1305">
        <v>18100000</v>
      </c>
      <c r="M639" s="651"/>
      <c r="N639" s="826"/>
      <c r="O639" s="826"/>
      <c r="P639" s="837"/>
      <c r="Q639" s="837"/>
      <c r="R639" s="871"/>
      <c r="S639" s="891"/>
      <c r="T639" s="832"/>
      <c r="U639" s="577"/>
      <c r="V639" s="680"/>
      <c r="W639" s="680"/>
      <c r="X639" s="677"/>
      <c r="Y639" s="681"/>
      <c r="Z639" s="681"/>
      <c r="AA639" s="681"/>
      <c r="AB639" s="681"/>
      <c r="AC639" s="681"/>
      <c r="AD639" s="681"/>
      <c r="AE639" s="681"/>
      <c r="AF639" s="681"/>
      <c r="AG639" s="681"/>
      <c r="AH639" s="681"/>
      <c r="AI639" s="681"/>
      <c r="AJ639" s="681"/>
      <c r="AK639" s="681"/>
      <c r="AL639" s="681"/>
      <c r="AM639" s="681"/>
      <c r="AN639" s="681"/>
      <c r="AO639" s="681"/>
      <c r="AP639" s="681"/>
      <c r="AQ639" s="681"/>
      <c r="AR639" s="681"/>
      <c r="AS639" s="681"/>
      <c r="AT639" s="681"/>
      <c r="AU639" s="681"/>
      <c r="AV639" s="681"/>
      <c r="AW639" s="681"/>
      <c r="AX639" s="681"/>
      <c r="AY639" s="681"/>
      <c r="AZ639" s="681"/>
      <c r="BA639" s="681"/>
      <c r="BB639" s="681"/>
      <c r="BC639" s="681"/>
      <c r="BD639" s="681"/>
      <c r="BE639" s="681"/>
      <c r="BF639" s="681"/>
      <c r="BG639" s="681"/>
      <c r="BH639" s="681"/>
      <c r="BI639" s="681"/>
      <c r="BJ639" s="681"/>
      <c r="BK639" s="681"/>
      <c r="BL639" s="681"/>
      <c r="BM639" s="681"/>
      <c r="BN639" s="681"/>
      <c r="BO639" s="681"/>
      <c r="BP639" s="681"/>
      <c r="BQ639" s="681"/>
      <c r="BR639" s="681"/>
      <c r="BS639" s="681"/>
      <c r="BT639" s="681"/>
      <c r="BU639" s="681"/>
      <c r="BV639" s="681"/>
      <c r="BW639" s="681"/>
      <c r="BX639" s="681"/>
      <c r="BY639" s="681"/>
      <c r="BZ639" s="681"/>
      <c r="CA639" s="681"/>
      <c r="CB639" s="681"/>
      <c r="CC639" s="681"/>
      <c r="CD639" s="681"/>
      <c r="CE639" s="681"/>
      <c r="CF639" s="681"/>
      <c r="CG639" s="681"/>
      <c r="CH639" s="681"/>
      <c r="CI639" s="681"/>
      <c r="CJ639" s="681"/>
      <c r="CK639" s="681"/>
      <c r="CL639" s="681"/>
      <c r="CM639" s="681"/>
      <c r="CN639" s="681"/>
      <c r="CO639" s="681"/>
      <c r="CP639" s="681"/>
      <c r="CQ639" s="681"/>
      <c r="CR639" s="681"/>
      <c r="CS639" s="681"/>
      <c r="CT639" s="681"/>
      <c r="CU639" s="681"/>
      <c r="CV639" s="681"/>
      <c r="CW639" s="681"/>
      <c r="CX639" s="681"/>
      <c r="CY639" s="681"/>
      <c r="CZ639" s="681"/>
      <c r="DA639" s="681"/>
      <c r="DB639" s="681"/>
      <c r="DC639" s="681"/>
      <c r="DD639" s="681"/>
      <c r="DE639" s="681"/>
      <c r="DF639" s="681"/>
      <c r="DG639" s="681"/>
      <c r="DH639" s="681"/>
      <c r="DI639" s="681"/>
      <c r="DJ639" s="681"/>
      <c r="DK639" s="681"/>
      <c r="DL639" s="681"/>
      <c r="DM639" s="681"/>
      <c r="DN639" s="681"/>
      <c r="DO639" s="681"/>
      <c r="DP639" s="681"/>
      <c r="DQ639" s="681"/>
      <c r="DR639" s="681"/>
      <c r="DS639" s="681"/>
      <c r="DT639" s="681"/>
      <c r="DU639" s="681"/>
      <c r="DV639" s="681"/>
      <c r="DW639" s="681"/>
      <c r="DX639" s="681"/>
      <c r="DY639" s="681"/>
      <c r="DZ639" s="681"/>
      <c r="EA639" s="681"/>
      <c r="EB639" s="681"/>
      <c r="EC639" s="681"/>
      <c r="ED639" s="681"/>
      <c r="EE639" s="681"/>
      <c r="EF639" s="681"/>
      <c r="EG639" s="681"/>
      <c r="EH639" s="681"/>
      <c r="EI639" s="681"/>
      <c r="EJ639" s="681"/>
      <c r="EK639" s="681"/>
      <c r="EL639" s="681"/>
      <c r="EM639" s="681"/>
      <c r="EN639" s="681"/>
      <c r="EO639" s="681"/>
      <c r="EP639" s="681"/>
      <c r="EQ639" s="681"/>
      <c r="ER639" s="681"/>
      <c r="ES639" s="681"/>
      <c r="ET639" s="681"/>
      <c r="EU639" s="681"/>
      <c r="EV639" s="681"/>
      <c r="EW639" s="681"/>
      <c r="EX639" s="681"/>
      <c r="EY639" s="681"/>
      <c r="EZ639" s="681"/>
      <c r="FA639" s="681"/>
      <c r="FB639" s="681"/>
      <c r="FC639" s="681"/>
      <c r="FD639" s="681"/>
      <c r="FE639" s="681"/>
      <c r="FF639" s="681"/>
      <c r="FG639" s="681"/>
      <c r="FH639" s="681"/>
      <c r="FI639" s="681"/>
      <c r="FJ639" s="681"/>
      <c r="FK639" s="681"/>
      <c r="FL639" s="681"/>
      <c r="FM639" s="681"/>
      <c r="FN639" s="681"/>
      <c r="FO639" s="681"/>
      <c r="FP639" s="681"/>
      <c r="FQ639" s="681"/>
      <c r="FR639" s="681"/>
      <c r="FS639" s="681"/>
      <c r="FT639" s="681"/>
      <c r="FU639" s="681"/>
      <c r="FV639" s="681"/>
      <c r="FW639" s="681"/>
      <c r="FX639" s="681"/>
      <c r="FY639" s="681"/>
      <c r="FZ639" s="681"/>
      <c r="GA639" s="681"/>
      <c r="GB639" s="681"/>
      <c r="GC639" s="681"/>
      <c r="GD639" s="681"/>
      <c r="GE639" s="681"/>
      <c r="GF639" s="681"/>
      <c r="GG639" s="681"/>
      <c r="GH639" s="681"/>
      <c r="GI639" s="681"/>
      <c r="GJ639" s="681"/>
      <c r="GK639" s="681"/>
      <c r="GL639" s="681"/>
      <c r="GM639" s="681"/>
      <c r="GN639" s="681"/>
      <c r="GO639" s="681"/>
      <c r="GP639" s="681"/>
      <c r="GQ639" s="681"/>
      <c r="GR639" s="681"/>
      <c r="GS639" s="681"/>
      <c r="GT639" s="681"/>
      <c r="GU639" s="681"/>
      <c r="GV639" s="681"/>
      <c r="GW639" s="681"/>
      <c r="GX639" s="681"/>
      <c r="GY639" s="681"/>
      <c r="GZ639" s="681"/>
      <c r="HA639" s="681"/>
      <c r="HB639" s="681"/>
      <c r="HC639" s="681"/>
      <c r="HD639" s="681"/>
      <c r="HE639" s="681"/>
      <c r="HF639" s="681"/>
      <c r="HG639" s="681"/>
      <c r="HH639" s="681"/>
      <c r="HI639" s="681"/>
      <c r="HJ639" s="681"/>
      <c r="HK639" s="681"/>
      <c r="HL639" s="681"/>
      <c r="HM639" s="681"/>
      <c r="HN639" s="681"/>
      <c r="HO639" s="681"/>
      <c r="HP639" s="681"/>
      <c r="HQ639" s="681"/>
      <c r="HR639" s="681"/>
      <c r="HS639" s="681"/>
      <c r="HT639" s="681"/>
      <c r="HU639" s="681"/>
      <c r="HV639" s="681"/>
      <c r="HW639" s="681"/>
      <c r="HX639" s="681"/>
      <c r="HY639" s="681"/>
      <c r="HZ639" s="681"/>
      <c r="IA639" s="681"/>
      <c r="IB639" s="681"/>
      <c r="IC639" s="681"/>
      <c r="ID639" s="681"/>
      <c r="IE639" s="681"/>
      <c r="IF639" s="681"/>
      <c r="IG639" s="681"/>
      <c r="IH639" s="681"/>
      <c r="II639" s="681"/>
      <c r="IJ639" s="681"/>
      <c r="IK639" s="681"/>
      <c r="IL639" s="681"/>
      <c r="IM639" s="681"/>
      <c r="IN639" s="681"/>
      <c r="IO639" s="681"/>
      <c r="IP639" s="681"/>
      <c r="IQ639" s="681"/>
      <c r="IR639" s="681"/>
      <c r="IS639" s="681"/>
      <c r="IT639" s="681"/>
      <c r="IU639" s="681"/>
      <c r="IV639" s="681"/>
      <c r="IW639" s="681"/>
    </row>
    <row r="640" spans="1:257" s="682" customFormat="1">
      <c r="A640" s="812" t="s">
        <v>1411</v>
      </c>
      <c r="B640" s="711" t="s">
        <v>1412</v>
      </c>
      <c r="C640" s="683"/>
      <c r="D640" s="683"/>
      <c r="E640" s="669"/>
      <c r="F640" s="651"/>
      <c r="G640" s="669"/>
      <c r="H640" s="669"/>
      <c r="I640" s="669"/>
      <c r="J640" s="651"/>
      <c r="K640" s="651"/>
      <c r="L640" s="1305">
        <v>18900000</v>
      </c>
      <c r="M640" s="651"/>
      <c r="N640" s="826"/>
      <c r="O640" s="826"/>
      <c r="P640" s="837"/>
      <c r="Q640" s="837"/>
      <c r="R640" s="871"/>
      <c r="S640" s="891"/>
      <c r="T640" s="832"/>
      <c r="U640" s="577"/>
      <c r="V640" s="680"/>
      <c r="W640" s="680"/>
      <c r="X640" s="677"/>
      <c r="Y640" s="681"/>
      <c r="Z640" s="681"/>
      <c r="AA640" s="681"/>
      <c r="AB640" s="681"/>
      <c r="AC640" s="681"/>
      <c r="AD640" s="681"/>
      <c r="AE640" s="681"/>
      <c r="AF640" s="681"/>
      <c r="AG640" s="681"/>
      <c r="AH640" s="681"/>
      <c r="AI640" s="681"/>
      <c r="AJ640" s="681"/>
      <c r="AK640" s="681"/>
      <c r="AL640" s="681"/>
      <c r="AM640" s="681"/>
      <c r="AN640" s="681"/>
      <c r="AO640" s="681"/>
      <c r="AP640" s="681"/>
      <c r="AQ640" s="681"/>
      <c r="AR640" s="681"/>
      <c r="AS640" s="681"/>
      <c r="AT640" s="681"/>
      <c r="AU640" s="681"/>
      <c r="AV640" s="681"/>
      <c r="AW640" s="681"/>
      <c r="AX640" s="681"/>
      <c r="AY640" s="681"/>
      <c r="AZ640" s="681"/>
      <c r="BA640" s="681"/>
      <c r="BB640" s="681"/>
      <c r="BC640" s="681"/>
      <c r="BD640" s="681"/>
      <c r="BE640" s="681"/>
      <c r="BF640" s="681"/>
      <c r="BG640" s="681"/>
      <c r="BH640" s="681"/>
      <c r="BI640" s="681"/>
      <c r="BJ640" s="681"/>
      <c r="BK640" s="681"/>
      <c r="BL640" s="681"/>
      <c r="BM640" s="681"/>
      <c r="BN640" s="681"/>
      <c r="BO640" s="681"/>
      <c r="BP640" s="681"/>
      <c r="BQ640" s="681"/>
      <c r="BR640" s="681"/>
      <c r="BS640" s="681"/>
      <c r="BT640" s="681"/>
      <c r="BU640" s="681"/>
      <c r="BV640" s="681"/>
      <c r="BW640" s="681"/>
      <c r="BX640" s="681"/>
      <c r="BY640" s="681"/>
      <c r="BZ640" s="681"/>
      <c r="CA640" s="681"/>
      <c r="CB640" s="681"/>
      <c r="CC640" s="681"/>
      <c r="CD640" s="681"/>
      <c r="CE640" s="681"/>
      <c r="CF640" s="681"/>
      <c r="CG640" s="681"/>
      <c r="CH640" s="681"/>
      <c r="CI640" s="681"/>
      <c r="CJ640" s="681"/>
      <c r="CK640" s="681"/>
      <c r="CL640" s="681"/>
      <c r="CM640" s="681"/>
      <c r="CN640" s="681"/>
      <c r="CO640" s="681"/>
      <c r="CP640" s="681"/>
      <c r="CQ640" s="681"/>
      <c r="CR640" s="681"/>
      <c r="CS640" s="681"/>
      <c r="CT640" s="681"/>
      <c r="CU640" s="681"/>
      <c r="CV640" s="681"/>
      <c r="CW640" s="681"/>
      <c r="CX640" s="681"/>
      <c r="CY640" s="681"/>
      <c r="CZ640" s="681"/>
      <c r="DA640" s="681"/>
      <c r="DB640" s="681"/>
      <c r="DC640" s="681"/>
      <c r="DD640" s="681"/>
      <c r="DE640" s="681"/>
      <c r="DF640" s="681"/>
      <c r="DG640" s="681"/>
      <c r="DH640" s="681"/>
      <c r="DI640" s="681"/>
      <c r="DJ640" s="681"/>
      <c r="DK640" s="681"/>
      <c r="DL640" s="681"/>
      <c r="DM640" s="681"/>
      <c r="DN640" s="681"/>
      <c r="DO640" s="681"/>
      <c r="DP640" s="681"/>
      <c r="DQ640" s="681"/>
      <c r="DR640" s="681"/>
      <c r="DS640" s="681"/>
      <c r="DT640" s="681"/>
      <c r="DU640" s="681"/>
      <c r="DV640" s="681"/>
      <c r="DW640" s="681"/>
      <c r="DX640" s="681"/>
      <c r="DY640" s="681"/>
      <c r="DZ640" s="681"/>
      <c r="EA640" s="681"/>
      <c r="EB640" s="681"/>
      <c r="EC640" s="681"/>
      <c r="ED640" s="681"/>
      <c r="EE640" s="681"/>
      <c r="EF640" s="681"/>
      <c r="EG640" s="681"/>
      <c r="EH640" s="681"/>
      <c r="EI640" s="681"/>
      <c r="EJ640" s="681"/>
      <c r="EK640" s="681"/>
      <c r="EL640" s="681"/>
      <c r="EM640" s="681"/>
      <c r="EN640" s="681"/>
      <c r="EO640" s="681"/>
      <c r="EP640" s="681"/>
      <c r="EQ640" s="681"/>
      <c r="ER640" s="681"/>
      <c r="ES640" s="681"/>
      <c r="ET640" s="681"/>
      <c r="EU640" s="681"/>
      <c r="EV640" s="681"/>
      <c r="EW640" s="681"/>
      <c r="EX640" s="681"/>
      <c r="EY640" s="681"/>
      <c r="EZ640" s="681"/>
      <c r="FA640" s="681"/>
      <c r="FB640" s="681"/>
      <c r="FC640" s="681"/>
      <c r="FD640" s="681"/>
      <c r="FE640" s="681"/>
      <c r="FF640" s="681"/>
      <c r="FG640" s="681"/>
      <c r="FH640" s="681"/>
      <c r="FI640" s="681"/>
      <c r="FJ640" s="681"/>
      <c r="FK640" s="681"/>
      <c r="FL640" s="681"/>
      <c r="FM640" s="681"/>
      <c r="FN640" s="681"/>
      <c r="FO640" s="681"/>
      <c r="FP640" s="681"/>
      <c r="FQ640" s="681"/>
      <c r="FR640" s="681"/>
      <c r="FS640" s="681"/>
      <c r="FT640" s="681"/>
      <c r="FU640" s="681"/>
      <c r="FV640" s="681"/>
      <c r="FW640" s="681"/>
      <c r="FX640" s="681"/>
      <c r="FY640" s="681"/>
      <c r="FZ640" s="681"/>
      <c r="GA640" s="681"/>
      <c r="GB640" s="681"/>
      <c r="GC640" s="681"/>
      <c r="GD640" s="681"/>
      <c r="GE640" s="681"/>
      <c r="GF640" s="681"/>
      <c r="GG640" s="681"/>
      <c r="GH640" s="681"/>
      <c r="GI640" s="681"/>
      <c r="GJ640" s="681"/>
      <c r="GK640" s="681"/>
      <c r="GL640" s="681"/>
      <c r="GM640" s="681"/>
      <c r="GN640" s="681"/>
      <c r="GO640" s="681"/>
      <c r="GP640" s="681"/>
      <c r="GQ640" s="681"/>
      <c r="GR640" s="681"/>
      <c r="GS640" s="681"/>
      <c r="GT640" s="681"/>
      <c r="GU640" s="681"/>
      <c r="GV640" s="681"/>
      <c r="GW640" s="681"/>
      <c r="GX640" s="681"/>
      <c r="GY640" s="681"/>
      <c r="GZ640" s="681"/>
      <c r="HA640" s="681"/>
      <c r="HB640" s="681"/>
      <c r="HC640" s="681"/>
      <c r="HD640" s="681"/>
      <c r="HE640" s="681"/>
      <c r="HF640" s="681"/>
      <c r="HG640" s="681"/>
      <c r="HH640" s="681"/>
      <c r="HI640" s="681"/>
      <c r="HJ640" s="681"/>
      <c r="HK640" s="681"/>
      <c r="HL640" s="681"/>
      <c r="HM640" s="681"/>
      <c r="HN640" s="681"/>
      <c r="HO640" s="681"/>
      <c r="HP640" s="681"/>
      <c r="HQ640" s="681"/>
      <c r="HR640" s="681"/>
      <c r="HS640" s="681"/>
      <c r="HT640" s="681"/>
      <c r="HU640" s="681"/>
      <c r="HV640" s="681"/>
      <c r="HW640" s="681"/>
      <c r="HX640" s="681"/>
      <c r="HY640" s="681"/>
      <c r="HZ640" s="681"/>
      <c r="IA640" s="681"/>
      <c r="IB640" s="681"/>
      <c r="IC640" s="681"/>
      <c r="ID640" s="681"/>
      <c r="IE640" s="681"/>
      <c r="IF640" s="681"/>
      <c r="IG640" s="681"/>
      <c r="IH640" s="681"/>
      <c r="II640" s="681"/>
      <c r="IJ640" s="681"/>
      <c r="IK640" s="681"/>
      <c r="IL640" s="681"/>
      <c r="IM640" s="681"/>
      <c r="IN640" s="681"/>
      <c r="IO640" s="681"/>
      <c r="IP640" s="681"/>
      <c r="IQ640" s="681"/>
      <c r="IR640" s="681"/>
      <c r="IS640" s="681"/>
      <c r="IT640" s="681"/>
      <c r="IU640" s="681"/>
      <c r="IV640" s="681"/>
      <c r="IW640" s="681"/>
    </row>
    <row r="641" spans="1:257" s="682" customFormat="1" ht="31.5">
      <c r="A641" s="713" t="s">
        <v>258</v>
      </c>
      <c r="B641" s="696" t="s">
        <v>1084</v>
      </c>
      <c r="C641" s="713"/>
      <c r="D641" s="713"/>
      <c r="E641" s="725"/>
      <c r="F641" s="700">
        <v>20000000</v>
      </c>
      <c r="G641" s="669"/>
      <c r="H641" s="669"/>
      <c r="I641" s="669"/>
      <c r="J641" s="700">
        <v>100000000</v>
      </c>
      <c r="K641" s="700">
        <v>330000000</v>
      </c>
      <c r="L641" s="1315">
        <v>145000000</v>
      </c>
      <c r="M641" s="651" t="s">
        <v>1402</v>
      </c>
      <c r="N641" s="820"/>
      <c r="O641" s="820"/>
      <c r="P641" s="837"/>
      <c r="Q641" s="837"/>
      <c r="R641" s="908"/>
      <c r="S641" s="891"/>
      <c r="T641" s="832"/>
      <c r="U641" s="577"/>
      <c r="V641" s="680"/>
      <c r="W641" s="680"/>
      <c r="X641" s="677"/>
      <c r="Y641" s="681"/>
      <c r="Z641" s="681"/>
      <c r="AA641" s="681"/>
      <c r="AB641" s="681"/>
      <c r="AC641" s="681"/>
      <c r="AD641" s="681"/>
      <c r="AE641" s="681"/>
      <c r="AF641" s="681"/>
      <c r="AG641" s="681"/>
      <c r="AH641" s="681"/>
      <c r="AI641" s="681"/>
      <c r="AJ641" s="681"/>
      <c r="AK641" s="681"/>
      <c r="AL641" s="681"/>
      <c r="AM641" s="681"/>
      <c r="AN641" s="681"/>
      <c r="AO641" s="681"/>
      <c r="AP641" s="681"/>
      <c r="AQ641" s="681"/>
      <c r="AR641" s="681"/>
      <c r="AS641" s="681"/>
      <c r="AT641" s="681"/>
      <c r="AU641" s="681"/>
      <c r="AV641" s="681"/>
      <c r="AW641" s="681"/>
      <c r="AX641" s="681"/>
      <c r="AY641" s="681"/>
      <c r="AZ641" s="681"/>
      <c r="BA641" s="681"/>
      <c r="BB641" s="681"/>
      <c r="BC641" s="681"/>
      <c r="BD641" s="681"/>
      <c r="BE641" s="681"/>
      <c r="BF641" s="681"/>
      <c r="BG641" s="681"/>
      <c r="BH641" s="681"/>
      <c r="BI641" s="681"/>
      <c r="BJ641" s="681"/>
      <c r="BK641" s="681"/>
      <c r="BL641" s="681"/>
      <c r="BM641" s="681"/>
      <c r="BN641" s="681"/>
      <c r="BO641" s="681"/>
      <c r="BP641" s="681"/>
      <c r="BQ641" s="681"/>
      <c r="BR641" s="681"/>
      <c r="BS641" s="681"/>
      <c r="BT641" s="681"/>
      <c r="BU641" s="681"/>
      <c r="BV641" s="681"/>
      <c r="BW641" s="681"/>
      <c r="BX641" s="681"/>
      <c r="BY641" s="681"/>
      <c r="BZ641" s="681"/>
      <c r="CA641" s="681"/>
      <c r="CB641" s="681"/>
      <c r="CC641" s="681"/>
      <c r="CD641" s="681"/>
      <c r="CE641" s="681"/>
      <c r="CF641" s="681"/>
      <c r="CG641" s="681"/>
      <c r="CH641" s="681"/>
      <c r="CI641" s="681"/>
      <c r="CJ641" s="681"/>
      <c r="CK641" s="681"/>
      <c r="CL641" s="681"/>
      <c r="CM641" s="681"/>
      <c r="CN641" s="681"/>
      <c r="CO641" s="681"/>
      <c r="CP641" s="681"/>
      <c r="CQ641" s="681"/>
      <c r="CR641" s="681"/>
      <c r="CS641" s="681"/>
      <c r="CT641" s="681"/>
      <c r="CU641" s="681"/>
      <c r="CV641" s="681"/>
      <c r="CW641" s="681"/>
      <c r="CX641" s="681"/>
      <c r="CY641" s="681"/>
      <c r="CZ641" s="681"/>
      <c r="DA641" s="681"/>
      <c r="DB641" s="681"/>
      <c r="DC641" s="681"/>
      <c r="DD641" s="681"/>
      <c r="DE641" s="681"/>
      <c r="DF641" s="681"/>
      <c r="DG641" s="681"/>
      <c r="DH641" s="681"/>
      <c r="DI641" s="681"/>
      <c r="DJ641" s="681"/>
      <c r="DK641" s="681"/>
      <c r="DL641" s="681"/>
      <c r="DM641" s="681"/>
      <c r="DN641" s="681"/>
      <c r="DO641" s="681"/>
      <c r="DP641" s="681"/>
      <c r="DQ641" s="681"/>
      <c r="DR641" s="681"/>
      <c r="DS641" s="681"/>
      <c r="DT641" s="681"/>
      <c r="DU641" s="681"/>
      <c r="DV641" s="681"/>
      <c r="DW641" s="681"/>
      <c r="DX641" s="681"/>
      <c r="DY641" s="681"/>
      <c r="DZ641" s="681"/>
      <c r="EA641" s="681"/>
      <c r="EB641" s="681"/>
      <c r="EC641" s="681"/>
      <c r="ED641" s="681"/>
      <c r="EE641" s="681"/>
      <c r="EF641" s="681"/>
      <c r="EG641" s="681"/>
      <c r="EH641" s="681"/>
      <c r="EI641" s="681"/>
      <c r="EJ641" s="681"/>
      <c r="EK641" s="681"/>
      <c r="EL641" s="681"/>
      <c r="EM641" s="681"/>
      <c r="EN641" s="681"/>
      <c r="EO641" s="681"/>
      <c r="EP641" s="681"/>
      <c r="EQ641" s="681"/>
      <c r="ER641" s="681"/>
      <c r="ES641" s="681"/>
      <c r="ET641" s="681"/>
      <c r="EU641" s="681"/>
      <c r="EV641" s="681"/>
      <c r="EW641" s="681"/>
      <c r="EX641" s="681"/>
      <c r="EY641" s="681"/>
      <c r="EZ641" s="681"/>
      <c r="FA641" s="681"/>
      <c r="FB641" s="681"/>
      <c r="FC641" s="681"/>
      <c r="FD641" s="681"/>
      <c r="FE641" s="681"/>
      <c r="FF641" s="681"/>
      <c r="FG641" s="681"/>
      <c r="FH641" s="681"/>
      <c r="FI641" s="681"/>
      <c r="FJ641" s="681"/>
      <c r="FK641" s="681"/>
      <c r="FL641" s="681"/>
      <c r="FM641" s="681"/>
      <c r="FN641" s="681"/>
      <c r="FO641" s="681"/>
      <c r="FP641" s="681"/>
      <c r="FQ641" s="681"/>
      <c r="FR641" s="681"/>
      <c r="FS641" s="681"/>
      <c r="FT641" s="681"/>
      <c r="FU641" s="681"/>
      <c r="FV641" s="681"/>
      <c r="FW641" s="681"/>
      <c r="FX641" s="681"/>
      <c r="FY641" s="681"/>
      <c r="FZ641" s="681"/>
      <c r="GA641" s="681"/>
      <c r="GB641" s="681"/>
      <c r="GC641" s="681"/>
      <c r="GD641" s="681"/>
      <c r="GE641" s="681"/>
      <c r="GF641" s="681"/>
      <c r="GG641" s="681"/>
      <c r="GH641" s="681"/>
      <c r="GI641" s="681"/>
      <c r="GJ641" s="681"/>
      <c r="GK641" s="681"/>
      <c r="GL641" s="681"/>
      <c r="GM641" s="681"/>
      <c r="GN641" s="681"/>
      <c r="GO641" s="681"/>
      <c r="GP641" s="681"/>
      <c r="GQ641" s="681"/>
      <c r="GR641" s="681"/>
      <c r="GS641" s="681"/>
      <c r="GT641" s="681"/>
      <c r="GU641" s="681"/>
      <c r="GV641" s="681"/>
      <c r="GW641" s="681"/>
      <c r="GX641" s="681"/>
      <c r="GY641" s="681"/>
      <c r="GZ641" s="681"/>
      <c r="HA641" s="681"/>
      <c r="HB641" s="681"/>
      <c r="HC641" s="681"/>
      <c r="HD641" s="681"/>
      <c r="HE641" s="681"/>
      <c r="HF641" s="681"/>
      <c r="HG641" s="681"/>
      <c r="HH641" s="681"/>
      <c r="HI641" s="681"/>
      <c r="HJ641" s="681"/>
      <c r="HK641" s="681"/>
      <c r="HL641" s="681"/>
      <c r="HM641" s="681"/>
      <c r="HN641" s="681"/>
      <c r="HO641" s="681"/>
      <c r="HP641" s="681"/>
      <c r="HQ641" s="681"/>
      <c r="HR641" s="681"/>
      <c r="HS641" s="681"/>
      <c r="HT641" s="681"/>
      <c r="HU641" s="681"/>
      <c r="HV641" s="681"/>
      <c r="HW641" s="681"/>
      <c r="HX641" s="681"/>
      <c r="HY641" s="681"/>
      <c r="HZ641" s="681"/>
      <c r="IA641" s="681"/>
      <c r="IB641" s="681"/>
      <c r="IC641" s="681"/>
      <c r="ID641" s="681"/>
      <c r="IE641" s="681"/>
      <c r="IF641" s="681"/>
      <c r="IG641" s="681"/>
      <c r="IH641" s="681"/>
      <c r="II641" s="681"/>
      <c r="IJ641" s="681"/>
      <c r="IK641" s="681"/>
      <c r="IL641" s="681"/>
      <c r="IM641" s="681"/>
      <c r="IN641" s="681"/>
      <c r="IO641" s="681"/>
      <c r="IP641" s="681"/>
      <c r="IQ641" s="681"/>
      <c r="IR641" s="681"/>
      <c r="IS641" s="681"/>
      <c r="IT641" s="681"/>
      <c r="IU641" s="681"/>
      <c r="IV641" s="681"/>
      <c r="IW641" s="681"/>
    </row>
    <row r="642" spans="1:257" s="682" customFormat="1" ht="25.5" customHeight="1">
      <c r="A642" s="713" t="s">
        <v>258</v>
      </c>
      <c r="B642" s="696" t="s">
        <v>1085</v>
      </c>
      <c r="C642" s="713"/>
      <c r="D642" s="713"/>
      <c r="E642" s="725"/>
      <c r="F642" s="700"/>
      <c r="G642" s="669"/>
      <c r="H642" s="669"/>
      <c r="I642" s="669"/>
      <c r="J642" s="700">
        <v>100000000</v>
      </c>
      <c r="K642" s="700">
        <v>10000000</v>
      </c>
      <c r="L642" s="1315">
        <v>0</v>
      </c>
      <c r="M642" s="651"/>
      <c r="N642" s="820"/>
      <c r="O642" s="820"/>
      <c r="P642" s="837"/>
      <c r="Q642" s="837"/>
      <c r="R642" s="908"/>
      <c r="S642" s="891"/>
      <c r="T642" s="832"/>
      <c r="U642" s="577"/>
      <c r="V642" s="680"/>
      <c r="W642" s="680"/>
      <c r="X642" s="677"/>
      <c r="Y642" s="681"/>
      <c r="Z642" s="681"/>
      <c r="AA642" s="681"/>
      <c r="AB642" s="681"/>
      <c r="AC642" s="681"/>
      <c r="AD642" s="681"/>
      <c r="AE642" s="681"/>
      <c r="AF642" s="681"/>
      <c r="AG642" s="681"/>
      <c r="AH642" s="681"/>
      <c r="AI642" s="681"/>
      <c r="AJ642" s="681"/>
      <c r="AK642" s="681"/>
      <c r="AL642" s="681"/>
      <c r="AM642" s="681"/>
      <c r="AN642" s="681"/>
      <c r="AO642" s="681"/>
      <c r="AP642" s="681"/>
      <c r="AQ642" s="681"/>
      <c r="AR642" s="681"/>
      <c r="AS642" s="681"/>
      <c r="AT642" s="681"/>
      <c r="AU642" s="681"/>
      <c r="AV642" s="681"/>
      <c r="AW642" s="681"/>
      <c r="AX642" s="681"/>
      <c r="AY642" s="681"/>
      <c r="AZ642" s="681"/>
      <c r="BA642" s="681"/>
      <c r="BB642" s="681"/>
      <c r="BC642" s="681"/>
      <c r="BD642" s="681"/>
      <c r="BE642" s="681"/>
      <c r="BF642" s="681"/>
      <c r="BG642" s="681"/>
      <c r="BH642" s="681"/>
      <c r="BI642" s="681"/>
      <c r="BJ642" s="681"/>
      <c r="BK642" s="681"/>
      <c r="BL642" s="681"/>
      <c r="BM642" s="681"/>
      <c r="BN642" s="681"/>
      <c r="BO642" s="681"/>
      <c r="BP642" s="681"/>
      <c r="BQ642" s="681"/>
      <c r="BR642" s="681"/>
      <c r="BS642" s="681"/>
      <c r="BT642" s="681"/>
      <c r="BU642" s="681"/>
      <c r="BV642" s="681"/>
      <c r="BW642" s="681"/>
      <c r="BX642" s="681"/>
      <c r="BY642" s="681"/>
      <c r="BZ642" s="681"/>
      <c r="CA642" s="681"/>
      <c r="CB642" s="681"/>
      <c r="CC642" s="681"/>
      <c r="CD642" s="681"/>
      <c r="CE642" s="681"/>
      <c r="CF642" s="681"/>
      <c r="CG642" s="681"/>
      <c r="CH642" s="681"/>
      <c r="CI642" s="681"/>
      <c r="CJ642" s="681"/>
      <c r="CK642" s="681"/>
      <c r="CL642" s="681"/>
      <c r="CM642" s="681"/>
      <c r="CN642" s="681"/>
      <c r="CO642" s="681"/>
      <c r="CP642" s="681"/>
      <c r="CQ642" s="681"/>
      <c r="CR642" s="681"/>
      <c r="CS642" s="681"/>
      <c r="CT642" s="681"/>
      <c r="CU642" s="681"/>
      <c r="CV642" s="681"/>
      <c r="CW642" s="681"/>
      <c r="CX642" s="681"/>
      <c r="CY642" s="681"/>
      <c r="CZ642" s="681"/>
      <c r="DA642" s="681"/>
      <c r="DB642" s="681"/>
      <c r="DC642" s="681"/>
      <c r="DD642" s="681"/>
      <c r="DE642" s="681"/>
      <c r="DF642" s="681"/>
      <c r="DG642" s="681"/>
      <c r="DH642" s="681"/>
      <c r="DI642" s="681"/>
      <c r="DJ642" s="681"/>
      <c r="DK642" s="681"/>
      <c r="DL642" s="681"/>
      <c r="DM642" s="681"/>
      <c r="DN642" s="681"/>
      <c r="DO642" s="681"/>
      <c r="DP642" s="681"/>
      <c r="DQ642" s="681"/>
      <c r="DR642" s="681"/>
      <c r="DS642" s="681"/>
      <c r="DT642" s="681"/>
      <c r="DU642" s="681"/>
      <c r="DV642" s="681"/>
      <c r="DW642" s="681"/>
      <c r="DX642" s="681"/>
      <c r="DY642" s="681"/>
      <c r="DZ642" s="681"/>
      <c r="EA642" s="681"/>
      <c r="EB642" s="681"/>
      <c r="EC642" s="681"/>
      <c r="ED642" s="681"/>
      <c r="EE642" s="681"/>
      <c r="EF642" s="681"/>
      <c r="EG642" s="681"/>
      <c r="EH642" s="681"/>
      <c r="EI642" s="681"/>
      <c r="EJ642" s="681"/>
      <c r="EK642" s="681"/>
      <c r="EL642" s="681"/>
      <c r="EM642" s="681"/>
      <c r="EN642" s="681"/>
      <c r="EO642" s="681"/>
      <c r="EP642" s="681"/>
      <c r="EQ642" s="681"/>
      <c r="ER642" s="681"/>
      <c r="ES642" s="681"/>
      <c r="ET642" s="681"/>
      <c r="EU642" s="681"/>
      <c r="EV642" s="681"/>
      <c r="EW642" s="681"/>
      <c r="EX642" s="681"/>
      <c r="EY642" s="681"/>
      <c r="EZ642" s="681"/>
      <c r="FA642" s="681"/>
      <c r="FB642" s="681"/>
      <c r="FC642" s="681"/>
      <c r="FD642" s="681"/>
      <c r="FE642" s="681"/>
      <c r="FF642" s="681"/>
      <c r="FG642" s="681"/>
      <c r="FH642" s="681"/>
      <c r="FI642" s="681"/>
      <c r="FJ642" s="681"/>
      <c r="FK642" s="681"/>
      <c r="FL642" s="681"/>
      <c r="FM642" s="681"/>
      <c r="FN642" s="681"/>
      <c r="FO642" s="681"/>
      <c r="FP642" s="681"/>
      <c r="FQ642" s="681"/>
      <c r="FR642" s="681"/>
      <c r="FS642" s="681"/>
      <c r="FT642" s="681"/>
      <c r="FU642" s="681"/>
      <c r="FV642" s="681"/>
      <c r="FW642" s="681"/>
      <c r="FX642" s="681"/>
      <c r="FY642" s="681"/>
      <c r="FZ642" s="681"/>
      <c r="GA642" s="681"/>
      <c r="GB642" s="681"/>
      <c r="GC642" s="681"/>
      <c r="GD642" s="681"/>
      <c r="GE642" s="681"/>
      <c r="GF642" s="681"/>
      <c r="GG642" s="681"/>
      <c r="GH642" s="681"/>
      <c r="GI642" s="681"/>
      <c r="GJ642" s="681"/>
      <c r="GK642" s="681"/>
      <c r="GL642" s="681"/>
      <c r="GM642" s="681"/>
      <c r="GN642" s="681"/>
      <c r="GO642" s="681"/>
      <c r="GP642" s="681"/>
      <c r="GQ642" s="681"/>
      <c r="GR642" s="681"/>
      <c r="GS642" s="681"/>
      <c r="GT642" s="681"/>
      <c r="GU642" s="681"/>
      <c r="GV642" s="681"/>
      <c r="GW642" s="681"/>
      <c r="GX642" s="681"/>
      <c r="GY642" s="681"/>
      <c r="GZ642" s="681"/>
      <c r="HA642" s="681"/>
      <c r="HB642" s="681"/>
      <c r="HC642" s="681"/>
      <c r="HD642" s="681"/>
      <c r="HE642" s="681"/>
      <c r="HF642" s="681"/>
      <c r="HG642" s="681"/>
      <c r="HH642" s="681"/>
      <c r="HI642" s="681"/>
      <c r="HJ642" s="681"/>
      <c r="HK642" s="681"/>
      <c r="HL642" s="681"/>
      <c r="HM642" s="681"/>
      <c r="HN642" s="681"/>
      <c r="HO642" s="681"/>
      <c r="HP642" s="681"/>
      <c r="HQ642" s="681"/>
      <c r="HR642" s="681"/>
      <c r="HS642" s="681"/>
      <c r="HT642" s="681"/>
      <c r="HU642" s="681"/>
      <c r="HV642" s="681"/>
      <c r="HW642" s="681"/>
      <c r="HX642" s="681"/>
      <c r="HY642" s="681"/>
      <c r="HZ642" s="681"/>
      <c r="IA642" s="681"/>
      <c r="IB642" s="681"/>
      <c r="IC642" s="681"/>
      <c r="ID642" s="681"/>
      <c r="IE642" s="681"/>
      <c r="IF642" s="681"/>
      <c r="IG642" s="681"/>
      <c r="IH642" s="681"/>
      <c r="II642" s="681"/>
      <c r="IJ642" s="681"/>
      <c r="IK642" s="681"/>
      <c r="IL642" s="681"/>
      <c r="IM642" s="681"/>
      <c r="IN642" s="681"/>
      <c r="IO642" s="681"/>
      <c r="IP642" s="681"/>
      <c r="IQ642" s="681"/>
      <c r="IR642" s="681"/>
      <c r="IS642" s="681"/>
      <c r="IT642" s="681"/>
      <c r="IU642" s="681"/>
      <c r="IV642" s="681"/>
      <c r="IW642" s="681"/>
    </row>
    <row r="643" spans="1:257" s="682" customFormat="1" ht="25.5" customHeight="1">
      <c r="A643" s="713" t="s">
        <v>258</v>
      </c>
      <c r="B643" s="696" t="s">
        <v>1086</v>
      </c>
      <c r="C643" s="713"/>
      <c r="D643" s="713"/>
      <c r="E643" s="725"/>
      <c r="F643" s="700"/>
      <c r="G643" s="669"/>
      <c r="H643" s="669"/>
      <c r="I643" s="669"/>
      <c r="J643" s="700"/>
      <c r="K643" s="700">
        <v>480000000</v>
      </c>
      <c r="L643" s="1315">
        <v>180000000</v>
      </c>
      <c r="M643" s="651" t="s">
        <v>1403</v>
      </c>
      <c r="N643" s="820"/>
      <c r="O643" s="820"/>
      <c r="P643" s="837"/>
      <c r="Q643" s="837"/>
      <c r="R643" s="908"/>
      <c r="S643" s="891"/>
      <c r="T643" s="832"/>
      <c r="U643" s="577"/>
      <c r="V643" s="680"/>
      <c r="W643" s="680"/>
      <c r="X643" s="677"/>
      <c r="Y643" s="681"/>
      <c r="Z643" s="681"/>
      <c r="AA643" s="681"/>
      <c r="AB643" s="681"/>
      <c r="AC643" s="681"/>
      <c r="AD643" s="681"/>
      <c r="AE643" s="681"/>
      <c r="AF643" s="681"/>
      <c r="AG643" s="681"/>
      <c r="AH643" s="681"/>
      <c r="AI643" s="681"/>
      <c r="AJ643" s="681"/>
      <c r="AK643" s="681"/>
      <c r="AL643" s="681"/>
      <c r="AM643" s="681"/>
      <c r="AN643" s="681"/>
      <c r="AO643" s="681"/>
      <c r="AP643" s="681"/>
      <c r="AQ643" s="681"/>
      <c r="AR643" s="681"/>
      <c r="AS643" s="681"/>
      <c r="AT643" s="681"/>
      <c r="AU643" s="681"/>
      <c r="AV643" s="681"/>
      <c r="AW643" s="681"/>
      <c r="AX643" s="681"/>
      <c r="AY643" s="681"/>
      <c r="AZ643" s="681"/>
      <c r="BA643" s="681"/>
      <c r="BB643" s="681"/>
      <c r="BC643" s="681"/>
      <c r="BD643" s="681"/>
      <c r="BE643" s="681"/>
      <c r="BF643" s="681"/>
      <c r="BG643" s="681"/>
      <c r="BH643" s="681"/>
      <c r="BI643" s="681"/>
      <c r="BJ643" s="681"/>
      <c r="BK643" s="681"/>
      <c r="BL643" s="681"/>
      <c r="BM643" s="681"/>
      <c r="BN643" s="681"/>
      <c r="BO643" s="681"/>
      <c r="BP643" s="681"/>
      <c r="BQ643" s="681"/>
      <c r="BR643" s="681"/>
      <c r="BS643" s="681"/>
      <c r="BT643" s="681"/>
      <c r="BU643" s="681"/>
      <c r="BV643" s="681"/>
      <c r="BW643" s="681"/>
      <c r="BX643" s="681"/>
      <c r="BY643" s="681"/>
      <c r="BZ643" s="681"/>
      <c r="CA643" s="681"/>
      <c r="CB643" s="681"/>
      <c r="CC643" s="681"/>
      <c r="CD643" s="681"/>
      <c r="CE643" s="681"/>
      <c r="CF643" s="681"/>
      <c r="CG643" s="681"/>
      <c r="CH643" s="681"/>
      <c r="CI643" s="681"/>
      <c r="CJ643" s="681"/>
      <c r="CK643" s="681"/>
      <c r="CL643" s="681"/>
      <c r="CM643" s="681"/>
      <c r="CN643" s="681"/>
      <c r="CO643" s="681"/>
      <c r="CP643" s="681"/>
      <c r="CQ643" s="681"/>
      <c r="CR643" s="681"/>
      <c r="CS643" s="681"/>
      <c r="CT643" s="681"/>
      <c r="CU643" s="681"/>
      <c r="CV643" s="681"/>
      <c r="CW643" s="681"/>
      <c r="CX643" s="681"/>
      <c r="CY643" s="681"/>
      <c r="CZ643" s="681"/>
      <c r="DA643" s="681"/>
      <c r="DB643" s="681"/>
      <c r="DC643" s="681"/>
      <c r="DD643" s="681"/>
      <c r="DE643" s="681"/>
      <c r="DF643" s="681"/>
      <c r="DG643" s="681"/>
      <c r="DH643" s="681"/>
      <c r="DI643" s="681"/>
      <c r="DJ643" s="681"/>
      <c r="DK643" s="681"/>
      <c r="DL643" s="681"/>
      <c r="DM643" s="681"/>
      <c r="DN643" s="681"/>
      <c r="DO643" s="681"/>
      <c r="DP643" s="681"/>
      <c r="DQ643" s="681"/>
      <c r="DR643" s="681"/>
      <c r="DS643" s="681"/>
      <c r="DT643" s="681"/>
      <c r="DU643" s="681"/>
      <c r="DV643" s="681"/>
      <c r="DW643" s="681"/>
      <c r="DX643" s="681"/>
      <c r="DY643" s="681"/>
      <c r="DZ643" s="681"/>
      <c r="EA643" s="681"/>
      <c r="EB643" s="681"/>
      <c r="EC643" s="681"/>
      <c r="ED643" s="681"/>
      <c r="EE643" s="681"/>
      <c r="EF643" s="681"/>
      <c r="EG643" s="681"/>
      <c r="EH643" s="681"/>
      <c r="EI643" s="681"/>
      <c r="EJ643" s="681"/>
      <c r="EK643" s="681"/>
      <c r="EL643" s="681"/>
      <c r="EM643" s="681"/>
      <c r="EN643" s="681"/>
      <c r="EO643" s="681"/>
      <c r="EP643" s="681"/>
      <c r="EQ643" s="681"/>
      <c r="ER643" s="681"/>
      <c r="ES643" s="681"/>
      <c r="ET643" s="681"/>
      <c r="EU643" s="681"/>
      <c r="EV643" s="681"/>
      <c r="EW643" s="681"/>
      <c r="EX643" s="681"/>
      <c r="EY643" s="681"/>
      <c r="EZ643" s="681"/>
      <c r="FA643" s="681"/>
      <c r="FB643" s="681"/>
      <c r="FC643" s="681"/>
      <c r="FD643" s="681"/>
      <c r="FE643" s="681"/>
      <c r="FF643" s="681"/>
      <c r="FG643" s="681"/>
      <c r="FH643" s="681"/>
      <c r="FI643" s="681"/>
      <c r="FJ643" s="681"/>
      <c r="FK643" s="681"/>
      <c r="FL643" s="681"/>
      <c r="FM643" s="681"/>
      <c r="FN643" s="681"/>
      <c r="FO643" s="681"/>
      <c r="FP643" s="681"/>
      <c r="FQ643" s="681"/>
      <c r="FR643" s="681"/>
      <c r="FS643" s="681"/>
      <c r="FT643" s="681"/>
      <c r="FU643" s="681"/>
      <c r="FV643" s="681"/>
      <c r="FW643" s="681"/>
      <c r="FX643" s="681"/>
      <c r="FY643" s="681"/>
      <c r="FZ643" s="681"/>
      <c r="GA643" s="681"/>
      <c r="GB643" s="681"/>
      <c r="GC643" s="681"/>
      <c r="GD643" s="681"/>
      <c r="GE643" s="681"/>
      <c r="GF643" s="681"/>
      <c r="GG643" s="681"/>
      <c r="GH643" s="681"/>
      <c r="GI643" s="681"/>
      <c r="GJ643" s="681"/>
      <c r="GK643" s="681"/>
      <c r="GL643" s="681"/>
      <c r="GM643" s="681"/>
      <c r="GN643" s="681"/>
      <c r="GO643" s="681"/>
      <c r="GP643" s="681"/>
      <c r="GQ643" s="681"/>
      <c r="GR643" s="681"/>
      <c r="GS643" s="681"/>
      <c r="GT643" s="681"/>
      <c r="GU643" s="681"/>
      <c r="GV643" s="681"/>
      <c r="GW643" s="681"/>
      <c r="GX643" s="681"/>
      <c r="GY643" s="681"/>
      <c r="GZ643" s="681"/>
      <c r="HA643" s="681"/>
      <c r="HB643" s="681"/>
      <c r="HC643" s="681"/>
      <c r="HD643" s="681"/>
      <c r="HE643" s="681"/>
      <c r="HF643" s="681"/>
      <c r="HG643" s="681"/>
      <c r="HH643" s="681"/>
      <c r="HI643" s="681"/>
      <c r="HJ643" s="681"/>
      <c r="HK643" s="681"/>
      <c r="HL643" s="681"/>
      <c r="HM643" s="681"/>
      <c r="HN643" s="681"/>
      <c r="HO643" s="681"/>
      <c r="HP643" s="681"/>
      <c r="HQ643" s="681"/>
      <c r="HR643" s="681"/>
      <c r="HS643" s="681"/>
      <c r="HT643" s="681"/>
      <c r="HU643" s="681"/>
      <c r="HV643" s="681"/>
      <c r="HW643" s="681"/>
      <c r="HX643" s="681"/>
      <c r="HY643" s="681"/>
      <c r="HZ643" s="681"/>
      <c r="IA643" s="681"/>
      <c r="IB643" s="681"/>
      <c r="IC643" s="681"/>
      <c r="ID643" s="681"/>
      <c r="IE643" s="681"/>
      <c r="IF643" s="681"/>
      <c r="IG643" s="681"/>
      <c r="IH643" s="681"/>
      <c r="II643" s="681"/>
      <c r="IJ643" s="681"/>
      <c r="IK643" s="681"/>
      <c r="IL643" s="681"/>
      <c r="IM643" s="681"/>
      <c r="IN643" s="681"/>
      <c r="IO643" s="681"/>
      <c r="IP643" s="681"/>
      <c r="IQ643" s="681"/>
      <c r="IR643" s="681"/>
      <c r="IS643" s="681"/>
      <c r="IT643" s="681"/>
      <c r="IU643" s="681"/>
      <c r="IV643" s="681"/>
      <c r="IW643" s="681"/>
    </row>
    <row r="644" spans="1:257" s="682" customFormat="1">
      <c r="A644" s="713" t="s">
        <v>258</v>
      </c>
      <c r="B644" s="696" t="s">
        <v>1087</v>
      </c>
      <c r="C644" s="713"/>
      <c r="D644" s="713"/>
      <c r="E644" s="725"/>
      <c r="F644" s="700"/>
      <c r="G644" s="669"/>
      <c r="H644" s="669"/>
      <c r="I644" s="669"/>
      <c r="J644" s="700"/>
      <c r="K644" s="700">
        <f>ROUND((1153000000-890000000)/0.9,-6)</f>
        <v>292000000</v>
      </c>
      <c r="L644" s="1315">
        <v>0</v>
      </c>
      <c r="M644" s="651"/>
      <c r="N644" s="820"/>
      <c r="O644" s="820"/>
      <c r="P644" s="837"/>
      <c r="Q644" s="837"/>
      <c r="R644" s="908"/>
      <c r="S644" s="891"/>
      <c r="T644" s="832"/>
      <c r="U644" s="577"/>
      <c r="V644" s="680"/>
      <c r="W644" s="680"/>
      <c r="X644" s="677"/>
      <c r="Y644" s="681"/>
      <c r="Z644" s="681"/>
      <c r="AA644" s="681"/>
      <c r="AB644" s="681"/>
      <c r="AC644" s="681"/>
      <c r="AD644" s="681"/>
      <c r="AE644" s="681"/>
      <c r="AF644" s="681"/>
      <c r="AG644" s="681"/>
      <c r="AH644" s="681"/>
      <c r="AI644" s="681"/>
      <c r="AJ644" s="681"/>
      <c r="AK644" s="681"/>
      <c r="AL644" s="681"/>
      <c r="AM644" s="681"/>
      <c r="AN644" s="681"/>
      <c r="AO644" s="681"/>
      <c r="AP644" s="681"/>
      <c r="AQ644" s="681"/>
      <c r="AR644" s="681"/>
      <c r="AS644" s="681"/>
      <c r="AT644" s="681"/>
      <c r="AU644" s="681"/>
      <c r="AV644" s="681"/>
      <c r="AW644" s="681"/>
      <c r="AX644" s="681"/>
      <c r="AY644" s="681"/>
      <c r="AZ644" s="681"/>
      <c r="BA644" s="681"/>
      <c r="BB644" s="681"/>
      <c r="BC644" s="681"/>
      <c r="BD644" s="681"/>
      <c r="BE644" s="681"/>
      <c r="BF644" s="681"/>
      <c r="BG644" s="681"/>
      <c r="BH644" s="681"/>
      <c r="BI644" s="681"/>
      <c r="BJ644" s="681"/>
      <c r="BK644" s="681"/>
      <c r="BL644" s="681"/>
      <c r="BM644" s="681"/>
      <c r="BN644" s="681"/>
      <c r="BO644" s="681"/>
      <c r="BP644" s="681"/>
      <c r="BQ644" s="681"/>
      <c r="BR644" s="681"/>
      <c r="BS644" s="681"/>
      <c r="BT644" s="681"/>
      <c r="BU644" s="681"/>
      <c r="BV644" s="681"/>
      <c r="BW644" s="681"/>
      <c r="BX644" s="681"/>
      <c r="BY644" s="681"/>
      <c r="BZ644" s="681"/>
      <c r="CA644" s="681"/>
      <c r="CB644" s="681"/>
      <c r="CC644" s="681"/>
      <c r="CD644" s="681"/>
      <c r="CE644" s="681"/>
      <c r="CF644" s="681"/>
      <c r="CG644" s="681"/>
      <c r="CH644" s="681"/>
      <c r="CI644" s="681"/>
      <c r="CJ644" s="681"/>
      <c r="CK644" s="681"/>
      <c r="CL644" s="681"/>
      <c r="CM644" s="681"/>
      <c r="CN644" s="681"/>
      <c r="CO644" s="681"/>
      <c r="CP644" s="681"/>
      <c r="CQ644" s="681"/>
      <c r="CR644" s="681"/>
      <c r="CS644" s="681"/>
      <c r="CT644" s="681"/>
      <c r="CU644" s="681"/>
      <c r="CV644" s="681"/>
      <c r="CW644" s="681"/>
      <c r="CX644" s="681"/>
      <c r="CY644" s="681"/>
      <c r="CZ644" s="681"/>
      <c r="DA644" s="681"/>
      <c r="DB644" s="681"/>
      <c r="DC644" s="681"/>
      <c r="DD644" s="681"/>
      <c r="DE644" s="681"/>
      <c r="DF644" s="681"/>
      <c r="DG644" s="681"/>
      <c r="DH644" s="681"/>
      <c r="DI644" s="681"/>
      <c r="DJ644" s="681"/>
      <c r="DK644" s="681"/>
      <c r="DL644" s="681"/>
      <c r="DM644" s="681"/>
      <c r="DN644" s="681"/>
      <c r="DO644" s="681"/>
      <c r="DP644" s="681"/>
      <c r="DQ644" s="681"/>
      <c r="DR644" s="681"/>
      <c r="DS644" s="681"/>
      <c r="DT644" s="681"/>
      <c r="DU644" s="681"/>
      <c r="DV644" s="681"/>
      <c r="DW644" s="681"/>
      <c r="DX644" s="681"/>
      <c r="DY644" s="681"/>
      <c r="DZ644" s="681"/>
      <c r="EA644" s="681"/>
      <c r="EB644" s="681"/>
      <c r="EC644" s="681"/>
      <c r="ED644" s="681"/>
      <c r="EE644" s="681"/>
      <c r="EF644" s="681"/>
      <c r="EG644" s="681"/>
      <c r="EH644" s="681"/>
      <c r="EI644" s="681"/>
      <c r="EJ644" s="681"/>
      <c r="EK644" s="681"/>
      <c r="EL644" s="681"/>
      <c r="EM644" s="681"/>
      <c r="EN644" s="681"/>
      <c r="EO644" s="681"/>
      <c r="EP644" s="681"/>
      <c r="EQ644" s="681"/>
      <c r="ER644" s="681"/>
      <c r="ES644" s="681"/>
      <c r="ET644" s="681"/>
      <c r="EU644" s="681"/>
      <c r="EV644" s="681"/>
      <c r="EW644" s="681"/>
      <c r="EX644" s="681"/>
      <c r="EY644" s="681"/>
      <c r="EZ644" s="681"/>
      <c r="FA644" s="681"/>
      <c r="FB644" s="681"/>
      <c r="FC644" s="681"/>
      <c r="FD644" s="681"/>
      <c r="FE644" s="681"/>
      <c r="FF644" s="681"/>
      <c r="FG644" s="681"/>
      <c r="FH644" s="681"/>
      <c r="FI644" s="681"/>
      <c r="FJ644" s="681"/>
      <c r="FK644" s="681"/>
      <c r="FL644" s="681"/>
      <c r="FM644" s="681"/>
      <c r="FN644" s="681"/>
      <c r="FO644" s="681"/>
      <c r="FP644" s="681"/>
      <c r="FQ644" s="681"/>
      <c r="FR644" s="681"/>
      <c r="FS644" s="681"/>
      <c r="FT644" s="681"/>
      <c r="FU644" s="681"/>
      <c r="FV644" s="681"/>
      <c r="FW644" s="681"/>
      <c r="FX644" s="681"/>
      <c r="FY644" s="681"/>
      <c r="FZ644" s="681"/>
      <c r="GA644" s="681"/>
      <c r="GB644" s="681"/>
      <c r="GC644" s="681"/>
      <c r="GD644" s="681"/>
      <c r="GE644" s="681"/>
      <c r="GF644" s="681"/>
      <c r="GG644" s="681"/>
      <c r="GH644" s="681"/>
      <c r="GI644" s="681"/>
      <c r="GJ644" s="681"/>
      <c r="GK644" s="681"/>
      <c r="GL644" s="681"/>
      <c r="GM644" s="681"/>
      <c r="GN644" s="681"/>
      <c r="GO644" s="681"/>
      <c r="GP644" s="681"/>
      <c r="GQ644" s="681"/>
      <c r="GR644" s="681"/>
      <c r="GS644" s="681"/>
      <c r="GT644" s="681"/>
      <c r="GU644" s="681"/>
      <c r="GV644" s="681"/>
      <c r="GW644" s="681"/>
      <c r="GX644" s="681"/>
      <c r="GY644" s="681"/>
      <c r="GZ644" s="681"/>
      <c r="HA644" s="681"/>
      <c r="HB644" s="681"/>
      <c r="HC644" s="681"/>
      <c r="HD644" s="681"/>
      <c r="HE644" s="681"/>
      <c r="HF644" s="681"/>
      <c r="HG644" s="681"/>
      <c r="HH644" s="681"/>
      <c r="HI644" s="681"/>
      <c r="HJ644" s="681"/>
      <c r="HK644" s="681"/>
      <c r="HL644" s="681"/>
      <c r="HM644" s="681"/>
      <c r="HN644" s="681"/>
      <c r="HO644" s="681"/>
      <c r="HP644" s="681"/>
      <c r="HQ644" s="681"/>
      <c r="HR644" s="681"/>
      <c r="HS644" s="681"/>
      <c r="HT644" s="681"/>
      <c r="HU644" s="681"/>
      <c r="HV644" s="681"/>
      <c r="HW644" s="681"/>
      <c r="HX644" s="681"/>
      <c r="HY644" s="681"/>
      <c r="HZ644" s="681"/>
      <c r="IA644" s="681"/>
      <c r="IB644" s="681"/>
      <c r="IC644" s="681"/>
      <c r="ID644" s="681"/>
      <c r="IE644" s="681"/>
      <c r="IF644" s="681"/>
      <c r="IG644" s="681"/>
      <c r="IH644" s="681"/>
      <c r="II644" s="681"/>
      <c r="IJ644" s="681"/>
      <c r="IK644" s="681"/>
      <c r="IL644" s="681"/>
      <c r="IM644" s="681"/>
      <c r="IN644" s="681"/>
      <c r="IO644" s="681"/>
      <c r="IP644" s="681"/>
      <c r="IQ644" s="681"/>
      <c r="IR644" s="681"/>
      <c r="IS644" s="681"/>
      <c r="IT644" s="681"/>
      <c r="IU644" s="681"/>
      <c r="IV644" s="681"/>
      <c r="IW644" s="681"/>
    </row>
    <row r="645" spans="1:257" s="682" customFormat="1" ht="39" customHeight="1">
      <c r="A645" s="713" t="s">
        <v>258</v>
      </c>
      <c r="B645" s="696" t="s">
        <v>1088</v>
      </c>
      <c r="C645" s="713"/>
      <c r="D645" s="713"/>
      <c r="E645" s="725"/>
      <c r="F645" s="700"/>
      <c r="G645" s="669"/>
      <c r="H645" s="669"/>
      <c r="I645" s="669"/>
      <c r="J645" s="700"/>
      <c r="K645" s="700"/>
      <c r="L645" s="1315">
        <v>500000000</v>
      </c>
      <c r="M645" s="651" t="s">
        <v>1404</v>
      </c>
      <c r="N645" s="820"/>
      <c r="O645" s="820"/>
      <c r="P645" s="837"/>
      <c r="Q645" s="837"/>
      <c r="R645" s="908"/>
      <c r="S645" s="891"/>
      <c r="T645" s="832"/>
      <c r="U645" s="577"/>
      <c r="V645" s="680"/>
      <c r="W645" s="680"/>
      <c r="X645" s="677"/>
      <c r="Y645" s="681"/>
      <c r="Z645" s="681"/>
      <c r="AA645" s="681"/>
      <c r="AB645" s="681"/>
      <c r="AC645" s="681"/>
      <c r="AD645" s="681"/>
      <c r="AE645" s="681"/>
      <c r="AF645" s="681"/>
      <c r="AG645" s="681"/>
      <c r="AH645" s="681"/>
      <c r="AI645" s="681"/>
      <c r="AJ645" s="681"/>
      <c r="AK645" s="681"/>
      <c r="AL645" s="681"/>
      <c r="AM645" s="681"/>
      <c r="AN645" s="681"/>
      <c r="AO645" s="681"/>
      <c r="AP645" s="681"/>
      <c r="AQ645" s="681"/>
      <c r="AR645" s="681"/>
      <c r="AS645" s="681"/>
      <c r="AT645" s="681"/>
      <c r="AU645" s="681"/>
      <c r="AV645" s="681"/>
      <c r="AW645" s="681"/>
      <c r="AX645" s="681"/>
      <c r="AY645" s="681"/>
      <c r="AZ645" s="681"/>
      <c r="BA645" s="681"/>
      <c r="BB645" s="681"/>
      <c r="BC645" s="681"/>
      <c r="BD645" s="681"/>
      <c r="BE645" s="681"/>
      <c r="BF645" s="681"/>
      <c r="BG645" s="681"/>
      <c r="BH645" s="681"/>
      <c r="BI645" s="681"/>
      <c r="BJ645" s="681"/>
      <c r="BK645" s="681"/>
      <c r="BL645" s="681"/>
      <c r="BM645" s="681"/>
      <c r="BN645" s="681"/>
      <c r="BO645" s="681"/>
      <c r="BP645" s="681"/>
      <c r="BQ645" s="681"/>
      <c r="BR645" s="681"/>
      <c r="BS645" s="681"/>
      <c r="BT645" s="681"/>
      <c r="BU645" s="681"/>
      <c r="BV645" s="681"/>
      <c r="BW645" s="681"/>
      <c r="BX645" s="681"/>
      <c r="BY645" s="681"/>
      <c r="BZ645" s="681"/>
      <c r="CA645" s="681"/>
      <c r="CB645" s="681"/>
      <c r="CC645" s="681"/>
      <c r="CD645" s="681"/>
      <c r="CE645" s="681"/>
      <c r="CF645" s="681"/>
      <c r="CG645" s="681"/>
      <c r="CH645" s="681"/>
      <c r="CI645" s="681"/>
      <c r="CJ645" s="681"/>
      <c r="CK645" s="681"/>
      <c r="CL645" s="681"/>
      <c r="CM645" s="681"/>
      <c r="CN645" s="681"/>
      <c r="CO645" s="681"/>
      <c r="CP645" s="681"/>
      <c r="CQ645" s="681"/>
      <c r="CR645" s="681"/>
      <c r="CS645" s="681"/>
      <c r="CT645" s="681"/>
      <c r="CU645" s="681"/>
      <c r="CV645" s="681"/>
      <c r="CW645" s="681"/>
      <c r="CX645" s="681"/>
      <c r="CY645" s="681"/>
      <c r="CZ645" s="681"/>
      <c r="DA645" s="681"/>
      <c r="DB645" s="681"/>
      <c r="DC645" s="681"/>
      <c r="DD645" s="681"/>
      <c r="DE645" s="681"/>
      <c r="DF645" s="681"/>
      <c r="DG645" s="681"/>
      <c r="DH645" s="681"/>
      <c r="DI645" s="681"/>
      <c r="DJ645" s="681"/>
      <c r="DK645" s="681"/>
      <c r="DL645" s="681"/>
      <c r="DM645" s="681"/>
      <c r="DN645" s="681"/>
      <c r="DO645" s="681"/>
      <c r="DP645" s="681"/>
      <c r="DQ645" s="681"/>
      <c r="DR645" s="681"/>
      <c r="DS645" s="681"/>
      <c r="DT645" s="681"/>
      <c r="DU645" s="681"/>
      <c r="DV645" s="681"/>
      <c r="DW645" s="681"/>
      <c r="DX645" s="681"/>
      <c r="DY645" s="681"/>
      <c r="DZ645" s="681"/>
      <c r="EA645" s="681"/>
      <c r="EB645" s="681"/>
      <c r="EC645" s="681"/>
      <c r="ED645" s="681"/>
      <c r="EE645" s="681"/>
      <c r="EF645" s="681"/>
      <c r="EG645" s="681"/>
      <c r="EH645" s="681"/>
      <c r="EI645" s="681"/>
      <c r="EJ645" s="681"/>
      <c r="EK645" s="681"/>
      <c r="EL645" s="681"/>
      <c r="EM645" s="681"/>
      <c r="EN645" s="681"/>
      <c r="EO645" s="681"/>
      <c r="EP645" s="681"/>
      <c r="EQ645" s="681"/>
      <c r="ER645" s="681"/>
      <c r="ES645" s="681"/>
      <c r="ET645" s="681"/>
      <c r="EU645" s="681"/>
      <c r="EV645" s="681"/>
      <c r="EW645" s="681"/>
      <c r="EX645" s="681"/>
      <c r="EY645" s="681"/>
      <c r="EZ645" s="681"/>
      <c r="FA645" s="681"/>
      <c r="FB645" s="681"/>
      <c r="FC645" s="681"/>
      <c r="FD645" s="681"/>
      <c r="FE645" s="681"/>
      <c r="FF645" s="681"/>
      <c r="FG645" s="681"/>
      <c r="FH645" s="681"/>
      <c r="FI645" s="681"/>
      <c r="FJ645" s="681"/>
      <c r="FK645" s="681"/>
      <c r="FL645" s="681"/>
      <c r="FM645" s="681"/>
      <c r="FN645" s="681"/>
      <c r="FO645" s="681"/>
      <c r="FP645" s="681"/>
      <c r="FQ645" s="681"/>
      <c r="FR645" s="681"/>
      <c r="FS645" s="681"/>
      <c r="FT645" s="681"/>
      <c r="FU645" s="681"/>
      <c r="FV645" s="681"/>
      <c r="FW645" s="681"/>
      <c r="FX645" s="681"/>
      <c r="FY645" s="681"/>
      <c r="FZ645" s="681"/>
      <c r="GA645" s="681"/>
      <c r="GB645" s="681"/>
      <c r="GC645" s="681"/>
      <c r="GD645" s="681"/>
      <c r="GE645" s="681"/>
      <c r="GF645" s="681"/>
      <c r="GG645" s="681"/>
      <c r="GH645" s="681"/>
      <c r="GI645" s="681"/>
      <c r="GJ645" s="681"/>
      <c r="GK645" s="681"/>
      <c r="GL645" s="681"/>
      <c r="GM645" s="681"/>
      <c r="GN645" s="681"/>
      <c r="GO645" s="681"/>
      <c r="GP645" s="681"/>
      <c r="GQ645" s="681"/>
      <c r="GR645" s="681"/>
      <c r="GS645" s="681"/>
      <c r="GT645" s="681"/>
      <c r="GU645" s="681"/>
      <c r="GV645" s="681"/>
      <c r="GW645" s="681"/>
      <c r="GX645" s="681"/>
      <c r="GY645" s="681"/>
      <c r="GZ645" s="681"/>
      <c r="HA645" s="681"/>
      <c r="HB645" s="681"/>
      <c r="HC645" s="681"/>
      <c r="HD645" s="681"/>
      <c r="HE645" s="681"/>
      <c r="HF645" s="681"/>
      <c r="HG645" s="681"/>
      <c r="HH645" s="681"/>
      <c r="HI645" s="681"/>
      <c r="HJ645" s="681"/>
      <c r="HK645" s="681"/>
      <c r="HL645" s="681"/>
      <c r="HM645" s="681"/>
      <c r="HN645" s="681"/>
      <c r="HO645" s="681"/>
      <c r="HP645" s="681"/>
      <c r="HQ645" s="681"/>
      <c r="HR645" s="681"/>
      <c r="HS645" s="681"/>
      <c r="HT645" s="681"/>
      <c r="HU645" s="681"/>
      <c r="HV645" s="681"/>
      <c r="HW645" s="681"/>
      <c r="HX645" s="681"/>
      <c r="HY645" s="681"/>
      <c r="HZ645" s="681"/>
      <c r="IA645" s="681"/>
      <c r="IB645" s="681"/>
      <c r="IC645" s="681"/>
      <c r="ID645" s="681"/>
      <c r="IE645" s="681"/>
      <c r="IF645" s="681"/>
      <c r="IG645" s="681"/>
      <c r="IH645" s="681"/>
      <c r="II645" s="681"/>
      <c r="IJ645" s="681"/>
      <c r="IK645" s="681"/>
      <c r="IL645" s="681"/>
      <c r="IM645" s="681"/>
      <c r="IN645" s="681"/>
      <c r="IO645" s="681"/>
      <c r="IP645" s="681"/>
      <c r="IQ645" s="681"/>
      <c r="IR645" s="681"/>
      <c r="IS645" s="681"/>
      <c r="IT645" s="681"/>
      <c r="IU645" s="681"/>
      <c r="IV645" s="681"/>
      <c r="IW645" s="681"/>
    </row>
    <row r="646" spans="1:257" s="682" customFormat="1">
      <c r="A646" s="713" t="s">
        <v>258</v>
      </c>
      <c r="B646" s="696" t="s">
        <v>1405</v>
      </c>
      <c r="C646" s="713"/>
      <c r="D646" s="713"/>
      <c r="E646" s="725"/>
      <c r="F646" s="700"/>
      <c r="G646" s="669"/>
      <c r="H646" s="669"/>
      <c r="I646" s="669"/>
      <c r="J646" s="700">
        <v>300000000</v>
      </c>
      <c r="K646" s="700"/>
      <c r="L646" s="1315">
        <v>25000000</v>
      </c>
      <c r="M646" s="651"/>
      <c r="N646" s="820"/>
      <c r="O646" s="820"/>
      <c r="P646" s="837"/>
      <c r="Q646" s="837"/>
      <c r="R646" s="908"/>
      <c r="S646" s="891"/>
      <c r="T646" s="832"/>
      <c r="U646" s="577"/>
      <c r="V646" s="680"/>
      <c r="W646" s="680"/>
      <c r="X646" s="677"/>
      <c r="Y646" s="681"/>
      <c r="Z646" s="681"/>
      <c r="AA646" s="681"/>
      <c r="AB646" s="681"/>
      <c r="AC646" s="681"/>
      <c r="AD646" s="681"/>
      <c r="AE646" s="681"/>
      <c r="AF646" s="681"/>
      <c r="AG646" s="681"/>
      <c r="AH646" s="681"/>
      <c r="AI646" s="681"/>
      <c r="AJ646" s="681"/>
      <c r="AK646" s="681"/>
      <c r="AL646" s="681"/>
      <c r="AM646" s="681"/>
      <c r="AN646" s="681"/>
      <c r="AO646" s="681"/>
      <c r="AP646" s="681"/>
      <c r="AQ646" s="681"/>
      <c r="AR646" s="681"/>
      <c r="AS646" s="681"/>
      <c r="AT646" s="681"/>
      <c r="AU646" s="681"/>
      <c r="AV646" s="681"/>
      <c r="AW646" s="681"/>
      <c r="AX646" s="681"/>
      <c r="AY646" s="681"/>
      <c r="AZ646" s="681"/>
      <c r="BA646" s="681"/>
      <c r="BB646" s="681"/>
      <c r="BC646" s="681"/>
      <c r="BD646" s="681"/>
      <c r="BE646" s="681"/>
      <c r="BF646" s="681"/>
      <c r="BG646" s="681"/>
      <c r="BH646" s="681"/>
      <c r="BI646" s="681"/>
      <c r="BJ646" s="681"/>
      <c r="BK646" s="681"/>
      <c r="BL646" s="681"/>
      <c r="BM646" s="681"/>
      <c r="BN646" s="681"/>
      <c r="BO646" s="681"/>
      <c r="BP646" s="681"/>
      <c r="BQ646" s="681"/>
      <c r="BR646" s="681"/>
      <c r="BS646" s="681"/>
      <c r="BT646" s="681"/>
      <c r="BU646" s="681"/>
      <c r="BV646" s="681"/>
      <c r="BW646" s="681"/>
      <c r="BX646" s="681"/>
      <c r="BY646" s="681"/>
      <c r="BZ646" s="681"/>
      <c r="CA646" s="681"/>
      <c r="CB646" s="681"/>
      <c r="CC646" s="681"/>
      <c r="CD646" s="681"/>
      <c r="CE646" s="681"/>
      <c r="CF646" s="681"/>
      <c r="CG646" s="681"/>
      <c r="CH646" s="681"/>
      <c r="CI646" s="681"/>
      <c r="CJ646" s="681"/>
      <c r="CK646" s="681"/>
      <c r="CL646" s="681"/>
      <c r="CM646" s="681"/>
      <c r="CN646" s="681"/>
      <c r="CO646" s="681"/>
      <c r="CP646" s="681"/>
      <c r="CQ646" s="681"/>
      <c r="CR646" s="681"/>
      <c r="CS646" s="681"/>
      <c r="CT646" s="681"/>
      <c r="CU646" s="681"/>
      <c r="CV646" s="681"/>
      <c r="CW646" s="681"/>
      <c r="CX646" s="681"/>
      <c r="CY646" s="681"/>
      <c r="CZ646" s="681"/>
      <c r="DA646" s="681"/>
      <c r="DB646" s="681"/>
      <c r="DC646" s="681"/>
      <c r="DD646" s="681"/>
      <c r="DE646" s="681"/>
      <c r="DF646" s="681"/>
      <c r="DG646" s="681"/>
      <c r="DH646" s="681"/>
      <c r="DI646" s="681"/>
      <c r="DJ646" s="681"/>
      <c r="DK646" s="681"/>
      <c r="DL646" s="681"/>
      <c r="DM646" s="681"/>
      <c r="DN646" s="681"/>
      <c r="DO646" s="681"/>
      <c r="DP646" s="681"/>
      <c r="DQ646" s="681"/>
      <c r="DR646" s="681"/>
      <c r="DS646" s="681"/>
      <c r="DT646" s="681"/>
      <c r="DU646" s="681"/>
      <c r="DV646" s="681"/>
      <c r="DW646" s="681"/>
      <c r="DX646" s="681"/>
      <c r="DY646" s="681"/>
      <c r="DZ646" s="681"/>
      <c r="EA646" s="681"/>
      <c r="EB646" s="681"/>
      <c r="EC646" s="681"/>
      <c r="ED646" s="681"/>
      <c r="EE646" s="681"/>
      <c r="EF646" s="681"/>
      <c r="EG646" s="681"/>
      <c r="EH646" s="681"/>
      <c r="EI646" s="681"/>
      <c r="EJ646" s="681"/>
      <c r="EK646" s="681"/>
      <c r="EL646" s="681"/>
      <c r="EM646" s="681"/>
      <c r="EN646" s="681"/>
      <c r="EO646" s="681"/>
      <c r="EP646" s="681"/>
      <c r="EQ646" s="681"/>
      <c r="ER646" s="681"/>
      <c r="ES646" s="681"/>
      <c r="ET646" s="681"/>
      <c r="EU646" s="681"/>
      <c r="EV646" s="681"/>
      <c r="EW646" s="681"/>
      <c r="EX646" s="681"/>
      <c r="EY646" s="681"/>
      <c r="EZ646" s="681"/>
      <c r="FA646" s="681"/>
      <c r="FB646" s="681"/>
      <c r="FC646" s="681"/>
      <c r="FD646" s="681"/>
      <c r="FE646" s="681"/>
      <c r="FF646" s="681"/>
      <c r="FG646" s="681"/>
      <c r="FH646" s="681"/>
      <c r="FI646" s="681"/>
      <c r="FJ646" s="681"/>
      <c r="FK646" s="681"/>
      <c r="FL646" s="681"/>
      <c r="FM646" s="681"/>
      <c r="FN646" s="681"/>
      <c r="FO646" s="681"/>
      <c r="FP646" s="681"/>
      <c r="FQ646" s="681"/>
      <c r="FR646" s="681"/>
      <c r="FS646" s="681"/>
      <c r="FT646" s="681"/>
      <c r="FU646" s="681"/>
      <c r="FV646" s="681"/>
      <c r="FW646" s="681"/>
      <c r="FX646" s="681"/>
      <c r="FY646" s="681"/>
      <c r="FZ646" s="681"/>
      <c r="GA646" s="681"/>
      <c r="GB646" s="681"/>
      <c r="GC646" s="681"/>
      <c r="GD646" s="681"/>
      <c r="GE646" s="681"/>
      <c r="GF646" s="681"/>
      <c r="GG646" s="681"/>
      <c r="GH646" s="681"/>
      <c r="GI646" s="681"/>
      <c r="GJ646" s="681"/>
      <c r="GK646" s="681"/>
      <c r="GL646" s="681"/>
      <c r="GM646" s="681"/>
      <c r="GN646" s="681"/>
      <c r="GO646" s="681"/>
      <c r="GP646" s="681"/>
      <c r="GQ646" s="681"/>
      <c r="GR646" s="681"/>
      <c r="GS646" s="681"/>
      <c r="GT646" s="681"/>
      <c r="GU646" s="681"/>
      <c r="GV646" s="681"/>
      <c r="GW646" s="681"/>
      <c r="GX646" s="681"/>
      <c r="GY646" s="681"/>
      <c r="GZ646" s="681"/>
      <c r="HA646" s="681"/>
      <c r="HB646" s="681"/>
      <c r="HC646" s="681"/>
      <c r="HD646" s="681"/>
      <c r="HE646" s="681"/>
      <c r="HF646" s="681"/>
      <c r="HG646" s="681"/>
      <c r="HH646" s="681"/>
      <c r="HI646" s="681"/>
      <c r="HJ646" s="681"/>
      <c r="HK646" s="681"/>
      <c r="HL646" s="681"/>
      <c r="HM646" s="681"/>
      <c r="HN646" s="681"/>
      <c r="HO646" s="681"/>
      <c r="HP646" s="681"/>
      <c r="HQ646" s="681"/>
      <c r="HR646" s="681"/>
      <c r="HS646" s="681"/>
      <c r="HT646" s="681"/>
      <c r="HU646" s="681"/>
      <c r="HV646" s="681"/>
      <c r="HW646" s="681"/>
      <c r="HX646" s="681"/>
      <c r="HY646" s="681"/>
      <c r="HZ646" s="681"/>
      <c r="IA646" s="681"/>
      <c r="IB646" s="681"/>
      <c r="IC646" s="681"/>
      <c r="ID646" s="681"/>
      <c r="IE646" s="681"/>
      <c r="IF646" s="681"/>
      <c r="IG646" s="681"/>
      <c r="IH646" s="681"/>
      <c r="II646" s="681"/>
      <c r="IJ646" s="681"/>
      <c r="IK646" s="681"/>
      <c r="IL646" s="681"/>
      <c r="IM646" s="681"/>
      <c r="IN646" s="681"/>
      <c r="IO646" s="681"/>
      <c r="IP646" s="681"/>
      <c r="IQ646" s="681"/>
      <c r="IR646" s="681"/>
      <c r="IS646" s="681"/>
      <c r="IT646" s="681"/>
      <c r="IU646" s="681"/>
      <c r="IV646" s="681"/>
      <c r="IW646" s="681"/>
    </row>
    <row r="647" spans="1:257" s="682" customFormat="1">
      <c r="A647" s="713" t="s">
        <v>258</v>
      </c>
      <c r="B647" s="696" t="s">
        <v>1406</v>
      </c>
      <c r="C647" s="713"/>
      <c r="D647" s="713"/>
      <c r="E647" s="725"/>
      <c r="F647" s="700"/>
      <c r="G647" s="669"/>
      <c r="H647" s="669"/>
      <c r="I647" s="669"/>
      <c r="J647" s="700">
        <v>36000000</v>
      </c>
      <c r="K647" s="700"/>
      <c r="L647" s="1315">
        <v>500000000</v>
      </c>
      <c r="M647" s="651" t="s">
        <v>1407</v>
      </c>
      <c r="N647" s="820"/>
      <c r="O647" s="820"/>
      <c r="P647" s="837"/>
      <c r="Q647" s="837"/>
      <c r="R647" s="908"/>
      <c r="S647" s="891"/>
      <c r="T647" s="832"/>
      <c r="U647" s="577"/>
      <c r="V647" s="680"/>
      <c r="W647" s="680"/>
      <c r="X647" s="677"/>
      <c r="Y647" s="681"/>
      <c r="Z647" s="681"/>
      <c r="AA647" s="681"/>
      <c r="AB647" s="681"/>
      <c r="AC647" s="681"/>
      <c r="AD647" s="681"/>
      <c r="AE647" s="681"/>
      <c r="AF647" s="681"/>
      <c r="AG647" s="681"/>
      <c r="AH647" s="681"/>
      <c r="AI647" s="681"/>
      <c r="AJ647" s="681"/>
      <c r="AK647" s="681"/>
      <c r="AL647" s="681"/>
      <c r="AM647" s="681"/>
      <c r="AN647" s="681"/>
      <c r="AO647" s="681"/>
      <c r="AP647" s="681"/>
      <c r="AQ647" s="681"/>
      <c r="AR647" s="681"/>
      <c r="AS647" s="681"/>
      <c r="AT647" s="681"/>
      <c r="AU647" s="681"/>
      <c r="AV647" s="681"/>
      <c r="AW647" s="681"/>
      <c r="AX647" s="681"/>
      <c r="AY647" s="681"/>
      <c r="AZ647" s="681"/>
      <c r="BA647" s="681"/>
      <c r="BB647" s="681"/>
      <c r="BC647" s="681"/>
      <c r="BD647" s="681"/>
      <c r="BE647" s="681"/>
      <c r="BF647" s="681"/>
      <c r="BG647" s="681"/>
      <c r="BH647" s="681"/>
      <c r="BI647" s="681"/>
      <c r="BJ647" s="681"/>
      <c r="BK647" s="681"/>
      <c r="BL647" s="681"/>
      <c r="BM647" s="681"/>
      <c r="BN647" s="681"/>
      <c r="BO647" s="681"/>
      <c r="BP647" s="681"/>
      <c r="BQ647" s="681"/>
      <c r="BR647" s="681"/>
      <c r="BS647" s="681"/>
      <c r="BT647" s="681"/>
      <c r="BU647" s="681"/>
      <c r="BV647" s="681"/>
      <c r="BW647" s="681"/>
      <c r="BX647" s="681"/>
      <c r="BY647" s="681"/>
      <c r="BZ647" s="681"/>
      <c r="CA647" s="681"/>
      <c r="CB647" s="681"/>
      <c r="CC647" s="681"/>
      <c r="CD647" s="681"/>
      <c r="CE647" s="681"/>
      <c r="CF647" s="681"/>
      <c r="CG647" s="681"/>
      <c r="CH647" s="681"/>
      <c r="CI647" s="681"/>
      <c r="CJ647" s="681"/>
      <c r="CK647" s="681"/>
      <c r="CL647" s="681"/>
      <c r="CM647" s="681"/>
      <c r="CN647" s="681"/>
      <c r="CO647" s="681"/>
      <c r="CP647" s="681"/>
      <c r="CQ647" s="681"/>
      <c r="CR647" s="681"/>
      <c r="CS647" s="681"/>
      <c r="CT647" s="681"/>
      <c r="CU647" s="681"/>
      <c r="CV647" s="681"/>
      <c r="CW647" s="681"/>
      <c r="CX647" s="681"/>
      <c r="CY647" s="681"/>
      <c r="CZ647" s="681"/>
      <c r="DA647" s="681"/>
      <c r="DB647" s="681"/>
      <c r="DC647" s="681"/>
      <c r="DD647" s="681"/>
      <c r="DE647" s="681"/>
      <c r="DF647" s="681"/>
      <c r="DG647" s="681"/>
      <c r="DH647" s="681"/>
      <c r="DI647" s="681"/>
      <c r="DJ647" s="681"/>
      <c r="DK647" s="681"/>
      <c r="DL647" s="681"/>
      <c r="DM647" s="681"/>
      <c r="DN647" s="681"/>
      <c r="DO647" s="681"/>
      <c r="DP647" s="681"/>
      <c r="DQ647" s="681"/>
      <c r="DR647" s="681"/>
      <c r="DS647" s="681"/>
      <c r="DT647" s="681"/>
      <c r="DU647" s="681"/>
      <c r="DV647" s="681"/>
      <c r="DW647" s="681"/>
      <c r="DX647" s="681"/>
      <c r="DY647" s="681"/>
      <c r="DZ647" s="681"/>
      <c r="EA647" s="681"/>
      <c r="EB647" s="681"/>
      <c r="EC647" s="681"/>
      <c r="ED647" s="681"/>
      <c r="EE647" s="681"/>
      <c r="EF647" s="681"/>
      <c r="EG647" s="681"/>
      <c r="EH647" s="681"/>
      <c r="EI647" s="681"/>
      <c r="EJ647" s="681"/>
      <c r="EK647" s="681"/>
      <c r="EL647" s="681"/>
      <c r="EM647" s="681"/>
      <c r="EN647" s="681"/>
      <c r="EO647" s="681"/>
      <c r="EP647" s="681"/>
      <c r="EQ647" s="681"/>
      <c r="ER647" s="681"/>
      <c r="ES647" s="681"/>
      <c r="ET647" s="681"/>
      <c r="EU647" s="681"/>
      <c r="EV647" s="681"/>
      <c r="EW647" s="681"/>
      <c r="EX647" s="681"/>
      <c r="EY647" s="681"/>
      <c r="EZ647" s="681"/>
      <c r="FA647" s="681"/>
      <c r="FB647" s="681"/>
      <c r="FC647" s="681"/>
      <c r="FD647" s="681"/>
      <c r="FE647" s="681"/>
      <c r="FF647" s="681"/>
      <c r="FG647" s="681"/>
      <c r="FH647" s="681"/>
      <c r="FI647" s="681"/>
      <c r="FJ647" s="681"/>
      <c r="FK647" s="681"/>
      <c r="FL647" s="681"/>
      <c r="FM647" s="681"/>
      <c r="FN647" s="681"/>
      <c r="FO647" s="681"/>
      <c r="FP647" s="681"/>
      <c r="FQ647" s="681"/>
      <c r="FR647" s="681"/>
      <c r="FS647" s="681"/>
      <c r="FT647" s="681"/>
      <c r="FU647" s="681"/>
      <c r="FV647" s="681"/>
      <c r="FW647" s="681"/>
      <c r="FX647" s="681"/>
      <c r="FY647" s="681"/>
      <c r="FZ647" s="681"/>
      <c r="GA647" s="681"/>
      <c r="GB647" s="681"/>
      <c r="GC647" s="681"/>
      <c r="GD647" s="681"/>
      <c r="GE647" s="681"/>
      <c r="GF647" s="681"/>
      <c r="GG647" s="681"/>
      <c r="GH647" s="681"/>
      <c r="GI647" s="681"/>
      <c r="GJ647" s="681"/>
      <c r="GK647" s="681"/>
      <c r="GL647" s="681"/>
      <c r="GM647" s="681"/>
      <c r="GN647" s="681"/>
      <c r="GO647" s="681"/>
      <c r="GP647" s="681"/>
      <c r="GQ647" s="681"/>
      <c r="GR647" s="681"/>
      <c r="GS647" s="681"/>
      <c r="GT647" s="681"/>
      <c r="GU647" s="681"/>
      <c r="GV647" s="681"/>
      <c r="GW647" s="681"/>
      <c r="GX647" s="681"/>
      <c r="GY647" s="681"/>
      <c r="GZ647" s="681"/>
      <c r="HA647" s="681"/>
      <c r="HB647" s="681"/>
      <c r="HC647" s="681"/>
      <c r="HD647" s="681"/>
      <c r="HE647" s="681"/>
      <c r="HF647" s="681"/>
      <c r="HG647" s="681"/>
      <c r="HH647" s="681"/>
      <c r="HI647" s="681"/>
      <c r="HJ647" s="681"/>
      <c r="HK647" s="681"/>
      <c r="HL647" s="681"/>
      <c r="HM647" s="681"/>
      <c r="HN647" s="681"/>
      <c r="HO647" s="681"/>
      <c r="HP647" s="681"/>
      <c r="HQ647" s="681"/>
      <c r="HR647" s="681"/>
      <c r="HS647" s="681"/>
      <c r="HT647" s="681"/>
      <c r="HU647" s="681"/>
      <c r="HV647" s="681"/>
      <c r="HW647" s="681"/>
      <c r="HX647" s="681"/>
      <c r="HY647" s="681"/>
      <c r="HZ647" s="681"/>
      <c r="IA647" s="681"/>
      <c r="IB647" s="681"/>
      <c r="IC647" s="681"/>
      <c r="ID647" s="681"/>
      <c r="IE647" s="681"/>
      <c r="IF647" s="681"/>
      <c r="IG647" s="681"/>
      <c r="IH647" s="681"/>
      <c r="II647" s="681"/>
      <c r="IJ647" s="681"/>
      <c r="IK647" s="681"/>
      <c r="IL647" s="681"/>
      <c r="IM647" s="681"/>
      <c r="IN647" s="681"/>
      <c r="IO647" s="681"/>
      <c r="IP647" s="681"/>
      <c r="IQ647" s="681"/>
      <c r="IR647" s="681"/>
      <c r="IS647" s="681"/>
      <c r="IT647" s="681"/>
      <c r="IU647" s="681"/>
      <c r="IV647" s="681"/>
      <c r="IW647" s="681"/>
    </row>
    <row r="648" spans="1:257" s="682" customFormat="1" ht="31.5">
      <c r="A648" s="713" t="s">
        <v>258</v>
      </c>
      <c r="B648" s="696" t="s">
        <v>1408</v>
      </c>
      <c r="C648" s="713"/>
      <c r="D648" s="713"/>
      <c r="E648" s="725"/>
      <c r="F648" s="700"/>
      <c r="G648" s="669"/>
      <c r="H648" s="669"/>
      <c r="I648" s="669"/>
      <c r="J648" s="700">
        <v>20000000</v>
      </c>
      <c r="K648" s="700"/>
      <c r="L648" s="1315">
        <v>400000000</v>
      </c>
      <c r="M648" s="651" t="s">
        <v>1409</v>
      </c>
      <c r="N648" s="820"/>
      <c r="O648" s="820"/>
      <c r="P648" s="837"/>
      <c r="Q648" s="837"/>
      <c r="R648" s="908"/>
      <c r="S648" s="891"/>
      <c r="T648" s="832"/>
      <c r="U648" s="577"/>
      <c r="V648" s="680"/>
      <c r="W648" s="680"/>
      <c r="X648" s="677"/>
      <c r="Y648" s="681"/>
      <c r="Z648" s="681"/>
      <c r="AA648" s="681"/>
      <c r="AB648" s="681"/>
      <c r="AC648" s="681"/>
      <c r="AD648" s="681"/>
      <c r="AE648" s="681"/>
      <c r="AF648" s="681"/>
      <c r="AG648" s="681"/>
      <c r="AH648" s="681"/>
      <c r="AI648" s="681"/>
      <c r="AJ648" s="681"/>
      <c r="AK648" s="681"/>
      <c r="AL648" s="681"/>
      <c r="AM648" s="681"/>
      <c r="AN648" s="681"/>
      <c r="AO648" s="681"/>
      <c r="AP648" s="681"/>
      <c r="AQ648" s="681"/>
      <c r="AR648" s="681"/>
      <c r="AS648" s="681"/>
      <c r="AT648" s="681"/>
      <c r="AU648" s="681"/>
      <c r="AV648" s="681"/>
      <c r="AW648" s="681"/>
      <c r="AX648" s="681"/>
      <c r="AY648" s="681"/>
      <c r="AZ648" s="681"/>
      <c r="BA648" s="681"/>
      <c r="BB648" s="681"/>
      <c r="BC648" s="681"/>
      <c r="BD648" s="681"/>
      <c r="BE648" s="681"/>
      <c r="BF648" s="681"/>
      <c r="BG648" s="681"/>
      <c r="BH648" s="681"/>
      <c r="BI648" s="681"/>
      <c r="BJ648" s="681"/>
      <c r="BK648" s="681"/>
      <c r="BL648" s="681"/>
      <c r="BM648" s="681"/>
      <c r="BN648" s="681"/>
      <c r="BO648" s="681"/>
      <c r="BP648" s="681"/>
      <c r="BQ648" s="681"/>
      <c r="BR648" s="681"/>
      <c r="BS648" s="681"/>
      <c r="BT648" s="681"/>
      <c r="BU648" s="681"/>
      <c r="BV648" s="681"/>
      <c r="BW648" s="681"/>
      <c r="BX648" s="681"/>
      <c r="BY648" s="681"/>
      <c r="BZ648" s="681"/>
      <c r="CA648" s="681"/>
      <c r="CB648" s="681"/>
      <c r="CC648" s="681"/>
      <c r="CD648" s="681"/>
      <c r="CE648" s="681"/>
      <c r="CF648" s="681"/>
      <c r="CG648" s="681"/>
      <c r="CH648" s="681"/>
      <c r="CI648" s="681"/>
      <c r="CJ648" s="681"/>
      <c r="CK648" s="681"/>
      <c r="CL648" s="681"/>
      <c r="CM648" s="681"/>
      <c r="CN648" s="681"/>
      <c r="CO648" s="681"/>
      <c r="CP648" s="681"/>
      <c r="CQ648" s="681"/>
      <c r="CR648" s="681"/>
      <c r="CS648" s="681"/>
      <c r="CT648" s="681"/>
      <c r="CU648" s="681"/>
      <c r="CV648" s="681"/>
      <c r="CW648" s="681"/>
      <c r="CX648" s="681"/>
      <c r="CY648" s="681"/>
      <c r="CZ648" s="681"/>
      <c r="DA648" s="681"/>
      <c r="DB648" s="681"/>
      <c r="DC648" s="681"/>
      <c r="DD648" s="681"/>
      <c r="DE648" s="681"/>
      <c r="DF648" s="681"/>
      <c r="DG648" s="681"/>
      <c r="DH648" s="681"/>
      <c r="DI648" s="681"/>
      <c r="DJ648" s="681"/>
      <c r="DK648" s="681"/>
      <c r="DL648" s="681"/>
      <c r="DM648" s="681"/>
      <c r="DN648" s="681"/>
      <c r="DO648" s="681"/>
      <c r="DP648" s="681"/>
      <c r="DQ648" s="681"/>
      <c r="DR648" s="681"/>
      <c r="DS648" s="681"/>
      <c r="DT648" s="681"/>
      <c r="DU648" s="681"/>
      <c r="DV648" s="681"/>
      <c r="DW648" s="681"/>
      <c r="DX648" s="681"/>
      <c r="DY648" s="681"/>
      <c r="DZ648" s="681"/>
      <c r="EA648" s="681"/>
      <c r="EB648" s="681"/>
      <c r="EC648" s="681"/>
      <c r="ED648" s="681"/>
      <c r="EE648" s="681"/>
      <c r="EF648" s="681"/>
      <c r="EG648" s="681"/>
      <c r="EH648" s="681"/>
      <c r="EI648" s="681"/>
      <c r="EJ648" s="681"/>
      <c r="EK648" s="681"/>
      <c r="EL648" s="681"/>
      <c r="EM648" s="681"/>
      <c r="EN648" s="681"/>
      <c r="EO648" s="681"/>
      <c r="EP648" s="681"/>
      <c r="EQ648" s="681"/>
      <c r="ER648" s="681"/>
      <c r="ES648" s="681"/>
      <c r="ET648" s="681"/>
      <c r="EU648" s="681"/>
      <c r="EV648" s="681"/>
      <c r="EW648" s="681"/>
      <c r="EX648" s="681"/>
      <c r="EY648" s="681"/>
      <c r="EZ648" s="681"/>
      <c r="FA648" s="681"/>
      <c r="FB648" s="681"/>
      <c r="FC648" s="681"/>
      <c r="FD648" s="681"/>
      <c r="FE648" s="681"/>
      <c r="FF648" s="681"/>
      <c r="FG648" s="681"/>
      <c r="FH648" s="681"/>
      <c r="FI648" s="681"/>
      <c r="FJ648" s="681"/>
      <c r="FK648" s="681"/>
      <c r="FL648" s="681"/>
      <c r="FM648" s="681"/>
      <c r="FN648" s="681"/>
      <c r="FO648" s="681"/>
      <c r="FP648" s="681"/>
      <c r="FQ648" s="681"/>
      <c r="FR648" s="681"/>
      <c r="FS648" s="681"/>
      <c r="FT648" s="681"/>
      <c r="FU648" s="681"/>
      <c r="FV648" s="681"/>
      <c r="FW648" s="681"/>
      <c r="FX648" s="681"/>
      <c r="FY648" s="681"/>
      <c r="FZ648" s="681"/>
      <c r="GA648" s="681"/>
      <c r="GB648" s="681"/>
      <c r="GC648" s="681"/>
      <c r="GD648" s="681"/>
      <c r="GE648" s="681"/>
      <c r="GF648" s="681"/>
      <c r="GG648" s="681"/>
      <c r="GH648" s="681"/>
      <c r="GI648" s="681"/>
      <c r="GJ648" s="681"/>
      <c r="GK648" s="681"/>
      <c r="GL648" s="681"/>
      <c r="GM648" s="681"/>
      <c r="GN648" s="681"/>
      <c r="GO648" s="681"/>
      <c r="GP648" s="681"/>
      <c r="GQ648" s="681"/>
      <c r="GR648" s="681"/>
      <c r="GS648" s="681"/>
      <c r="GT648" s="681"/>
      <c r="GU648" s="681"/>
      <c r="GV648" s="681"/>
      <c r="GW648" s="681"/>
      <c r="GX648" s="681"/>
      <c r="GY648" s="681"/>
      <c r="GZ648" s="681"/>
      <c r="HA648" s="681"/>
      <c r="HB648" s="681"/>
      <c r="HC648" s="681"/>
      <c r="HD648" s="681"/>
      <c r="HE648" s="681"/>
      <c r="HF648" s="681"/>
      <c r="HG648" s="681"/>
      <c r="HH648" s="681"/>
      <c r="HI648" s="681"/>
      <c r="HJ648" s="681"/>
      <c r="HK648" s="681"/>
      <c r="HL648" s="681"/>
      <c r="HM648" s="681"/>
      <c r="HN648" s="681"/>
      <c r="HO648" s="681"/>
      <c r="HP648" s="681"/>
      <c r="HQ648" s="681"/>
      <c r="HR648" s="681"/>
      <c r="HS648" s="681"/>
      <c r="HT648" s="681"/>
      <c r="HU648" s="681"/>
      <c r="HV648" s="681"/>
      <c r="HW648" s="681"/>
      <c r="HX648" s="681"/>
      <c r="HY648" s="681"/>
      <c r="HZ648" s="681"/>
      <c r="IA648" s="681"/>
      <c r="IB648" s="681"/>
      <c r="IC648" s="681"/>
      <c r="ID648" s="681"/>
      <c r="IE648" s="681"/>
      <c r="IF648" s="681"/>
      <c r="IG648" s="681"/>
      <c r="IH648" s="681"/>
      <c r="II648" s="681"/>
      <c r="IJ648" s="681"/>
      <c r="IK648" s="681"/>
      <c r="IL648" s="681"/>
      <c r="IM648" s="681"/>
      <c r="IN648" s="681"/>
      <c r="IO648" s="681"/>
      <c r="IP648" s="681"/>
      <c r="IQ648" s="681"/>
      <c r="IR648" s="681"/>
      <c r="IS648" s="681"/>
      <c r="IT648" s="681"/>
      <c r="IU648" s="681"/>
      <c r="IV648" s="681"/>
      <c r="IW648" s="681"/>
    </row>
    <row r="649" spans="1:257" s="682" customFormat="1">
      <c r="A649" s="713" t="s">
        <v>258</v>
      </c>
      <c r="B649" s="696" t="s">
        <v>1410</v>
      </c>
      <c r="C649" s="713"/>
      <c r="D649" s="713"/>
      <c r="E649" s="725"/>
      <c r="F649" s="700"/>
      <c r="G649" s="669"/>
      <c r="H649" s="669"/>
      <c r="I649" s="669"/>
      <c r="J649" s="700">
        <v>90000000</v>
      </c>
      <c r="K649" s="700"/>
      <c r="L649" s="1315">
        <v>50000000</v>
      </c>
      <c r="M649" s="651"/>
      <c r="N649" s="820"/>
      <c r="O649" s="820"/>
      <c r="P649" s="837"/>
      <c r="Q649" s="837"/>
      <c r="R649" s="908"/>
      <c r="S649" s="891"/>
      <c r="T649" s="832"/>
      <c r="U649" s="577"/>
      <c r="V649" s="680"/>
      <c r="W649" s="680"/>
      <c r="X649" s="677"/>
      <c r="Y649" s="681"/>
      <c r="Z649" s="681"/>
      <c r="AA649" s="681"/>
      <c r="AB649" s="681"/>
      <c r="AC649" s="681"/>
      <c r="AD649" s="681"/>
      <c r="AE649" s="681"/>
      <c r="AF649" s="681"/>
      <c r="AG649" s="681"/>
      <c r="AH649" s="681"/>
      <c r="AI649" s="681"/>
      <c r="AJ649" s="681"/>
      <c r="AK649" s="681"/>
      <c r="AL649" s="681"/>
      <c r="AM649" s="681"/>
      <c r="AN649" s="681"/>
      <c r="AO649" s="681"/>
      <c r="AP649" s="681"/>
      <c r="AQ649" s="681"/>
      <c r="AR649" s="681"/>
      <c r="AS649" s="681"/>
      <c r="AT649" s="681"/>
      <c r="AU649" s="681"/>
      <c r="AV649" s="681"/>
      <c r="AW649" s="681"/>
      <c r="AX649" s="681"/>
      <c r="AY649" s="681"/>
      <c r="AZ649" s="681"/>
      <c r="BA649" s="681"/>
      <c r="BB649" s="681"/>
      <c r="BC649" s="681"/>
      <c r="BD649" s="681"/>
      <c r="BE649" s="681"/>
      <c r="BF649" s="681"/>
      <c r="BG649" s="681"/>
      <c r="BH649" s="681"/>
      <c r="BI649" s="681"/>
      <c r="BJ649" s="681"/>
      <c r="BK649" s="681"/>
      <c r="BL649" s="681"/>
      <c r="BM649" s="681"/>
      <c r="BN649" s="681"/>
      <c r="BO649" s="681"/>
      <c r="BP649" s="681"/>
      <c r="BQ649" s="681"/>
      <c r="BR649" s="681"/>
      <c r="BS649" s="681"/>
      <c r="BT649" s="681"/>
      <c r="BU649" s="681"/>
      <c r="BV649" s="681"/>
      <c r="BW649" s="681"/>
      <c r="BX649" s="681"/>
      <c r="BY649" s="681"/>
      <c r="BZ649" s="681"/>
      <c r="CA649" s="681"/>
      <c r="CB649" s="681"/>
      <c r="CC649" s="681"/>
      <c r="CD649" s="681"/>
      <c r="CE649" s="681"/>
      <c r="CF649" s="681"/>
      <c r="CG649" s="681"/>
      <c r="CH649" s="681"/>
      <c r="CI649" s="681"/>
      <c r="CJ649" s="681"/>
      <c r="CK649" s="681"/>
      <c r="CL649" s="681"/>
      <c r="CM649" s="681"/>
      <c r="CN649" s="681"/>
      <c r="CO649" s="681"/>
      <c r="CP649" s="681"/>
      <c r="CQ649" s="681"/>
      <c r="CR649" s="681"/>
      <c r="CS649" s="681"/>
      <c r="CT649" s="681"/>
      <c r="CU649" s="681"/>
      <c r="CV649" s="681"/>
      <c r="CW649" s="681"/>
      <c r="CX649" s="681"/>
      <c r="CY649" s="681"/>
      <c r="CZ649" s="681"/>
      <c r="DA649" s="681"/>
      <c r="DB649" s="681"/>
      <c r="DC649" s="681"/>
      <c r="DD649" s="681"/>
      <c r="DE649" s="681"/>
      <c r="DF649" s="681"/>
      <c r="DG649" s="681"/>
      <c r="DH649" s="681"/>
      <c r="DI649" s="681"/>
      <c r="DJ649" s="681"/>
      <c r="DK649" s="681"/>
      <c r="DL649" s="681"/>
      <c r="DM649" s="681"/>
      <c r="DN649" s="681"/>
      <c r="DO649" s="681"/>
      <c r="DP649" s="681"/>
      <c r="DQ649" s="681"/>
      <c r="DR649" s="681"/>
      <c r="DS649" s="681"/>
      <c r="DT649" s="681"/>
      <c r="DU649" s="681"/>
      <c r="DV649" s="681"/>
      <c r="DW649" s="681"/>
      <c r="DX649" s="681"/>
      <c r="DY649" s="681"/>
      <c r="DZ649" s="681"/>
      <c r="EA649" s="681"/>
      <c r="EB649" s="681"/>
      <c r="EC649" s="681"/>
      <c r="ED649" s="681"/>
      <c r="EE649" s="681"/>
      <c r="EF649" s="681"/>
      <c r="EG649" s="681"/>
      <c r="EH649" s="681"/>
      <c r="EI649" s="681"/>
      <c r="EJ649" s="681"/>
      <c r="EK649" s="681"/>
      <c r="EL649" s="681"/>
      <c r="EM649" s="681"/>
      <c r="EN649" s="681"/>
      <c r="EO649" s="681"/>
      <c r="EP649" s="681"/>
      <c r="EQ649" s="681"/>
      <c r="ER649" s="681"/>
      <c r="ES649" s="681"/>
      <c r="ET649" s="681"/>
      <c r="EU649" s="681"/>
      <c r="EV649" s="681"/>
      <c r="EW649" s="681"/>
      <c r="EX649" s="681"/>
      <c r="EY649" s="681"/>
      <c r="EZ649" s="681"/>
      <c r="FA649" s="681"/>
      <c r="FB649" s="681"/>
      <c r="FC649" s="681"/>
      <c r="FD649" s="681"/>
      <c r="FE649" s="681"/>
      <c r="FF649" s="681"/>
      <c r="FG649" s="681"/>
      <c r="FH649" s="681"/>
      <c r="FI649" s="681"/>
      <c r="FJ649" s="681"/>
      <c r="FK649" s="681"/>
      <c r="FL649" s="681"/>
      <c r="FM649" s="681"/>
      <c r="FN649" s="681"/>
      <c r="FO649" s="681"/>
      <c r="FP649" s="681"/>
      <c r="FQ649" s="681"/>
      <c r="FR649" s="681"/>
      <c r="FS649" s="681"/>
      <c r="FT649" s="681"/>
      <c r="FU649" s="681"/>
      <c r="FV649" s="681"/>
      <c r="FW649" s="681"/>
      <c r="FX649" s="681"/>
      <c r="FY649" s="681"/>
      <c r="FZ649" s="681"/>
      <c r="GA649" s="681"/>
      <c r="GB649" s="681"/>
      <c r="GC649" s="681"/>
      <c r="GD649" s="681"/>
      <c r="GE649" s="681"/>
      <c r="GF649" s="681"/>
      <c r="GG649" s="681"/>
      <c r="GH649" s="681"/>
      <c r="GI649" s="681"/>
      <c r="GJ649" s="681"/>
      <c r="GK649" s="681"/>
      <c r="GL649" s="681"/>
      <c r="GM649" s="681"/>
      <c r="GN649" s="681"/>
      <c r="GO649" s="681"/>
      <c r="GP649" s="681"/>
      <c r="GQ649" s="681"/>
      <c r="GR649" s="681"/>
      <c r="GS649" s="681"/>
      <c r="GT649" s="681"/>
      <c r="GU649" s="681"/>
      <c r="GV649" s="681"/>
      <c r="GW649" s="681"/>
      <c r="GX649" s="681"/>
      <c r="GY649" s="681"/>
      <c r="GZ649" s="681"/>
      <c r="HA649" s="681"/>
      <c r="HB649" s="681"/>
      <c r="HC649" s="681"/>
      <c r="HD649" s="681"/>
      <c r="HE649" s="681"/>
      <c r="HF649" s="681"/>
      <c r="HG649" s="681"/>
      <c r="HH649" s="681"/>
      <c r="HI649" s="681"/>
      <c r="HJ649" s="681"/>
      <c r="HK649" s="681"/>
      <c r="HL649" s="681"/>
      <c r="HM649" s="681"/>
      <c r="HN649" s="681"/>
      <c r="HO649" s="681"/>
      <c r="HP649" s="681"/>
      <c r="HQ649" s="681"/>
      <c r="HR649" s="681"/>
      <c r="HS649" s="681"/>
      <c r="HT649" s="681"/>
      <c r="HU649" s="681"/>
      <c r="HV649" s="681"/>
      <c r="HW649" s="681"/>
      <c r="HX649" s="681"/>
      <c r="HY649" s="681"/>
      <c r="HZ649" s="681"/>
      <c r="IA649" s="681"/>
      <c r="IB649" s="681"/>
      <c r="IC649" s="681"/>
      <c r="ID649" s="681"/>
      <c r="IE649" s="681"/>
      <c r="IF649" s="681"/>
      <c r="IG649" s="681"/>
      <c r="IH649" s="681"/>
      <c r="II649" s="681"/>
      <c r="IJ649" s="681"/>
      <c r="IK649" s="681"/>
      <c r="IL649" s="681"/>
      <c r="IM649" s="681"/>
      <c r="IN649" s="681"/>
      <c r="IO649" s="681"/>
      <c r="IP649" s="681"/>
      <c r="IQ649" s="681"/>
      <c r="IR649" s="681"/>
      <c r="IS649" s="681"/>
      <c r="IT649" s="681"/>
      <c r="IU649" s="681"/>
      <c r="IV649" s="681"/>
      <c r="IW649" s="681"/>
    </row>
    <row r="650" spans="1:257" s="682" customFormat="1" hidden="1">
      <c r="A650" s="713" t="s">
        <v>258</v>
      </c>
      <c r="B650" s="696" t="s">
        <v>406</v>
      </c>
      <c r="C650" s="713"/>
      <c r="D650" s="713"/>
      <c r="E650" s="725"/>
      <c r="F650" s="700"/>
      <c r="G650" s="669"/>
      <c r="H650" s="669"/>
      <c r="I650" s="669"/>
      <c r="J650" s="700">
        <v>20000000</v>
      </c>
      <c r="K650" s="700"/>
      <c r="L650" s="1315"/>
      <c r="M650" s="651"/>
      <c r="N650" s="820"/>
      <c r="O650" s="820"/>
      <c r="P650" s="837"/>
      <c r="Q650" s="837"/>
      <c r="R650" s="908"/>
      <c r="S650" s="891"/>
      <c r="T650" s="832"/>
      <c r="U650" s="577"/>
      <c r="V650" s="680"/>
      <c r="W650" s="680"/>
      <c r="X650" s="677"/>
      <c r="Y650" s="681"/>
      <c r="Z650" s="681"/>
      <c r="AA650" s="681"/>
      <c r="AB650" s="681"/>
      <c r="AC650" s="681"/>
      <c r="AD650" s="681"/>
      <c r="AE650" s="681"/>
      <c r="AF650" s="681"/>
      <c r="AG650" s="681"/>
      <c r="AH650" s="681"/>
      <c r="AI650" s="681"/>
      <c r="AJ650" s="681"/>
      <c r="AK650" s="681"/>
      <c r="AL650" s="681"/>
      <c r="AM650" s="681"/>
      <c r="AN650" s="681"/>
      <c r="AO650" s="681"/>
      <c r="AP650" s="681"/>
      <c r="AQ650" s="681"/>
      <c r="AR650" s="681"/>
      <c r="AS650" s="681"/>
      <c r="AT650" s="681"/>
      <c r="AU650" s="681"/>
      <c r="AV650" s="681"/>
      <c r="AW650" s="681"/>
      <c r="AX650" s="681"/>
      <c r="AY650" s="681"/>
      <c r="AZ650" s="681"/>
      <c r="BA650" s="681"/>
      <c r="BB650" s="681"/>
      <c r="BC650" s="681"/>
      <c r="BD650" s="681"/>
      <c r="BE650" s="681"/>
      <c r="BF650" s="681"/>
      <c r="BG650" s="681"/>
      <c r="BH650" s="681"/>
      <c r="BI650" s="681"/>
      <c r="BJ650" s="681"/>
      <c r="BK650" s="681"/>
      <c r="BL650" s="681"/>
      <c r="BM650" s="681"/>
      <c r="BN650" s="681"/>
      <c r="BO650" s="681"/>
      <c r="BP650" s="681"/>
      <c r="BQ650" s="681"/>
      <c r="BR650" s="681"/>
      <c r="BS650" s="681"/>
      <c r="BT650" s="681"/>
      <c r="BU650" s="681"/>
      <c r="BV650" s="681"/>
      <c r="BW650" s="681"/>
      <c r="BX650" s="681"/>
      <c r="BY650" s="681"/>
      <c r="BZ650" s="681"/>
      <c r="CA650" s="681"/>
      <c r="CB650" s="681"/>
      <c r="CC650" s="681"/>
      <c r="CD650" s="681"/>
      <c r="CE650" s="681"/>
      <c r="CF650" s="681"/>
      <c r="CG650" s="681"/>
      <c r="CH650" s="681"/>
      <c r="CI650" s="681"/>
      <c r="CJ650" s="681"/>
      <c r="CK650" s="681"/>
      <c r="CL650" s="681"/>
      <c r="CM650" s="681"/>
      <c r="CN650" s="681"/>
      <c r="CO650" s="681"/>
      <c r="CP650" s="681"/>
      <c r="CQ650" s="681"/>
      <c r="CR650" s="681"/>
      <c r="CS650" s="681"/>
      <c r="CT650" s="681"/>
      <c r="CU650" s="681"/>
      <c r="CV650" s="681"/>
      <c r="CW650" s="681"/>
      <c r="CX650" s="681"/>
      <c r="CY650" s="681"/>
      <c r="CZ650" s="681"/>
      <c r="DA650" s="681"/>
      <c r="DB650" s="681"/>
      <c r="DC650" s="681"/>
      <c r="DD650" s="681"/>
      <c r="DE650" s="681"/>
      <c r="DF650" s="681"/>
      <c r="DG650" s="681"/>
      <c r="DH650" s="681"/>
      <c r="DI650" s="681"/>
      <c r="DJ650" s="681"/>
      <c r="DK650" s="681"/>
      <c r="DL650" s="681"/>
      <c r="DM650" s="681"/>
      <c r="DN650" s="681"/>
      <c r="DO650" s="681"/>
      <c r="DP650" s="681"/>
      <c r="DQ650" s="681"/>
      <c r="DR650" s="681"/>
      <c r="DS650" s="681"/>
      <c r="DT650" s="681"/>
      <c r="DU650" s="681"/>
      <c r="DV650" s="681"/>
      <c r="DW650" s="681"/>
      <c r="DX650" s="681"/>
      <c r="DY650" s="681"/>
      <c r="DZ650" s="681"/>
      <c r="EA650" s="681"/>
      <c r="EB650" s="681"/>
      <c r="EC650" s="681"/>
      <c r="ED650" s="681"/>
      <c r="EE650" s="681"/>
      <c r="EF650" s="681"/>
      <c r="EG650" s="681"/>
      <c r="EH650" s="681"/>
      <c r="EI650" s="681"/>
      <c r="EJ650" s="681"/>
      <c r="EK650" s="681"/>
      <c r="EL650" s="681"/>
      <c r="EM650" s="681"/>
      <c r="EN650" s="681"/>
      <c r="EO650" s="681"/>
      <c r="EP650" s="681"/>
      <c r="EQ650" s="681"/>
      <c r="ER650" s="681"/>
      <c r="ES650" s="681"/>
      <c r="ET650" s="681"/>
      <c r="EU650" s="681"/>
      <c r="EV650" s="681"/>
      <c r="EW650" s="681"/>
      <c r="EX650" s="681"/>
      <c r="EY650" s="681"/>
      <c r="EZ650" s="681"/>
      <c r="FA650" s="681"/>
      <c r="FB650" s="681"/>
      <c r="FC650" s="681"/>
      <c r="FD650" s="681"/>
      <c r="FE650" s="681"/>
      <c r="FF650" s="681"/>
      <c r="FG650" s="681"/>
      <c r="FH650" s="681"/>
      <c r="FI650" s="681"/>
      <c r="FJ650" s="681"/>
      <c r="FK650" s="681"/>
      <c r="FL650" s="681"/>
      <c r="FM650" s="681"/>
      <c r="FN650" s="681"/>
      <c r="FO650" s="681"/>
      <c r="FP650" s="681"/>
      <c r="FQ650" s="681"/>
      <c r="FR650" s="681"/>
      <c r="FS650" s="681"/>
      <c r="FT650" s="681"/>
      <c r="FU650" s="681"/>
      <c r="FV650" s="681"/>
      <c r="FW650" s="681"/>
      <c r="FX650" s="681"/>
      <c r="FY650" s="681"/>
      <c r="FZ650" s="681"/>
      <c r="GA650" s="681"/>
      <c r="GB650" s="681"/>
      <c r="GC650" s="681"/>
      <c r="GD650" s="681"/>
      <c r="GE650" s="681"/>
      <c r="GF650" s="681"/>
      <c r="GG650" s="681"/>
      <c r="GH650" s="681"/>
      <c r="GI650" s="681"/>
      <c r="GJ650" s="681"/>
      <c r="GK650" s="681"/>
      <c r="GL650" s="681"/>
      <c r="GM650" s="681"/>
      <c r="GN650" s="681"/>
      <c r="GO650" s="681"/>
      <c r="GP650" s="681"/>
      <c r="GQ650" s="681"/>
      <c r="GR650" s="681"/>
      <c r="GS650" s="681"/>
      <c r="GT650" s="681"/>
      <c r="GU650" s="681"/>
      <c r="GV650" s="681"/>
      <c r="GW650" s="681"/>
      <c r="GX650" s="681"/>
      <c r="GY650" s="681"/>
      <c r="GZ650" s="681"/>
      <c r="HA650" s="681"/>
      <c r="HB650" s="681"/>
      <c r="HC650" s="681"/>
      <c r="HD650" s="681"/>
      <c r="HE650" s="681"/>
      <c r="HF650" s="681"/>
      <c r="HG650" s="681"/>
      <c r="HH650" s="681"/>
      <c r="HI650" s="681"/>
      <c r="HJ650" s="681"/>
      <c r="HK650" s="681"/>
      <c r="HL650" s="681"/>
      <c r="HM650" s="681"/>
      <c r="HN650" s="681"/>
      <c r="HO650" s="681"/>
      <c r="HP650" s="681"/>
      <c r="HQ650" s="681"/>
      <c r="HR650" s="681"/>
      <c r="HS650" s="681"/>
      <c r="HT650" s="681"/>
      <c r="HU650" s="681"/>
      <c r="HV650" s="681"/>
      <c r="HW650" s="681"/>
      <c r="HX650" s="681"/>
      <c r="HY650" s="681"/>
      <c r="HZ650" s="681"/>
      <c r="IA650" s="681"/>
      <c r="IB650" s="681"/>
      <c r="IC650" s="681"/>
      <c r="ID650" s="681"/>
      <c r="IE650" s="681"/>
      <c r="IF650" s="681"/>
      <c r="IG650" s="681"/>
      <c r="IH650" s="681"/>
      <c r="II650" s="681"/>
      <c r="IJ650" s="681"/>
      <c r="IK650" s="681"/>
      <c r="IL650" s="681"/>
      <c r="IM650" s="681"/>
      <c r="IN650" s="681"/>
      <c r="IO650" s="681"/>
      <c r="IP650" s="681"/>
      <c r="IQ650" s="681"/>
      <c r="IR650" s="681"/>
      <c r="IS650" s="681"/>
      <c r="IT650" s="681"/>
      <c r="IU650" s="681"/>
      <c r="IV650" s="681"/>
      <c r="IW650" s="681"/>
    </row>
    <row r="651" spans="1:257" s="682" customFormat="1" hidden="1">
      <c r="A651" s="713" t="s">
        <v>258</v>
      </c>
      <c r="B651" s="696" t="s">
        <v>407</v>
      </c>
      <c r="C651" s="713"/>
      <c r="D651" s="713"/>
      <c r="E651" s="725"/>
      <c r="F651" s="700"/>
      <c r="G651" s="669"/>
      <c r="H651" s="669"/>
      <c r="I651" s="669"/>
      <c r="J651" s="700">
        <v>30000000</v>
      </c>
      <c r="K651" s="700"/>
      <c r="L651" s="1315"/>
      <c r="M651" s="651"/>
      <c r="N651" s="820"/>
      <c r="O651" s="820"/>
      <c r="P651" s="837"/>
      <c r="Q651" s="837"/>
      <c r="R651" s="908"/>
      <c r="S651" s="891"/>
      <c r="T651" s="832"/>
      <c r="U651" s="577"/>
      <c r="V651" s="680"/>
      <c r="W651" s="680"/>
      <c r="X651" s="677"/>
      <c r="Y651" s="681"/>
      <c r="Z651" s="681"/>
      <c r="AA651" s="681"/>
      <c r="AB651" s="681"/>
      <c r="AC651" s="681"/>
      <c r="AD651" s="681"/>
      <c r="AE651" s="681"/>
      <c r="AF651" s="681"/>
      <c r="AG651" s="681"/>
      <c r="AH651" s="681"/>
      <c r="AI651" s="681"/>
      <c r="AJ651" s="681"/>
      <c r="AK651" s="681"/>
      <c r="AL651" s="681"/>
      <c r="AM651" s="681"/>
      <c r="AN651" s="681"/>
      <c r="AO651" s="681"/>
      <c r="AP651" s="681"/>
      <c r="AQ651" s="681"/>
      <c r="AR651" s="681"/>
      <c r="AS651" s="681"/>
      <c r="AT651" s="681"/>
      <c r="AU651" s="681"/>
      <c r="AV651" s="681"/>
      <c r="AW651" s="681"/>
      <c r="AX651" s="681"/>
      <c r="AY651" s="681"/>
      <c r="AZ651" s="681"/>
      <c r="BA651" s="681"/>
      <c r="BB651" s="681"/>
      <c r="BC651" s="681"/>
      <c r="BD651" s="681"/>
      <c r="BE651" s="681"/>
      <c r="BF651" s="681"/>
      <c r="BG651" s="681"/>
      <c r="BH651" s="681"/>
      <c r="BI651" s="681"/>
      <c r="BJ651" s="681"/>
      <c r="BK651" s="681"/>
      <c r="BL651" s="681"/>
      <c r="BM651" s="681"/>
      <c r="BN651" s="681"/>
      <c r="BO651" s="681"/>
      <c r="BP651" s="681"/>
      <c r="BQ651" s="681"/>
      <c r="BR651" s="681"/>
      <c r="BS651" s="681"/>
      <c r="BT651" s="681"/>
      <c r="BU651" s="681"/>
      <c r="BV651" s="681"/>
      <c r="BW651" s="681"/>
      <c r="BX651" s="681"/>
      <c r="BY651" s="681"/>
      <c r="BZ651" s="681"/>
      <c r="CA651" s="681"/>
      <c r="CB651" s="681"/>
      <c r="CC651" s="681"/>
      <c r="CD651" s="681"/>
      <c r="CE651" s="681"/>
      <c r="CF651" s="681"/>
      <c r="CG651" s="681"/>
      <c r="CH651" s="681"/>
      <c r="CI651" s="681"/>
      <c r="CJ651" s="681"/>
      <c r="CK651" s="681"/>
      <c r="CL651" s="681"/>
      <c r="CM651" s="681"/>
      <c r="CN651" s="681"/>
      <c r="CO651" s="681"/>
      <c r="CP651" s="681"/>
      <c r="CQ651" s="681"/>
      <c r="CR651" s="681"/>
      <c r="CS651" s="681"/>
      <c r="CT651" s="681"/>
      <c r="CU651" s="681"/>
      <c r="CV651" s="681"/>
      <c r="CW651" s="681"/>
      <c r="CX651" s="681"/>
      <c r="CY651" s="681"/>
      <c r="CZ651" s="681"/>
      <c r="DA651" s="681"/>
      <c r="DB651" s="681"/>
      <c r="DC651" s="681"/>
      <c r="DD651" s="681"/>
      <c r="DE651" s="681"/>
      <c r="DF651" s="681"/>
      <c r="DG651" s="681"/>
      <c r="DH651" s="681"/>
      <c r="DI651" s="681"/>
      <c r="DJ651" s="681"/>
      <c r="DK651" s="681"/>
      <c r="DL651" s="681"/>
      <c r="DM651" s="681"/>
      <c r="DN651" s="681"/>
      <c r="DO651" s="681"/>
      <c r="DP651" s="681"/>
      <c r="DQ651" s="681"/>
      <c r="DR651" s="681"/>
      <c r="DS651" s="681"/>
      <c r="DT651" s="681"/>
      <c r="DU651" s="681"/>
      <c r="DV651" s="681"/>
      <c r="DW651" s="681"/>
      <c r="DX651" s="681"/>
      <c r="DY651" s="681"/>
      <c r="DZ651" s="681"/>
      <c r="EA651" s="681"/>
      <c r="EB651" s="681"/>
      <c r="EC651" s="681"/>
      <c r="ED651" s="681"/>
      <c r="EE651" s="681"/>
      <c r="EF651" s="681"/>
      <c r="EG651" s="681"/>
      <c r="EH651" s="681"/>
      <c r="EI651" s="681"/>
      <c r="EJ651" s="681"/>
      <c r="EK651" s="681"/>
      <c r="EL651" s="681"/>
      <c r="EM651" s="681"/>
      <c r="EN651" s="681"/>
      <c r="EO651" s="681"/>
      <c r="EP651" s="681"/>
      <c r="EQ651" s="681"/>
      <c r="ER651" s="681"/>
      <c r="ES651" s="681"/>
      <c r="ET651" s="681"/>
      <c r="EU651" s="681"/>
      <c r="EV651" s="681"/>
      <c r="EW651" s="681"/>
      <c r="EX651" s="681"/>
      <c r="EY651" s="681"/>
      <c r="EZ651" s="681"/>
      <c r="FA651" s="681"/>
      <c r="FB651" s="681"/>
      <c r="FC651" s="681"/>
      <c r="FD651" s="681"/>
      <c r="FE651" s="681"/>
      <c r="FF651" s="681"/>
      <c r="FG651" s="681"/>
      <c r="FH651" s="681"/>
      <c r="FI651" s="681"/>
      <c r="FJ651" s="681"/>
      <c r="FK651" s="681"/>
      <c r="FL651" s="681"/>
      <c r="FM651" s="681"/>
      <c r="FN651" s="681"/>
      <c r="FO651" s="681"/>
      <c r="FP651" s="681"/>
      <c r="FQ651" s="681"/>
      <c r="FR651" s="681"/>
      <c r="FS651" s="681"/>
      <c r="FT651" s="681"/>
      <c r="FU651" s="681"/>
      <c r="FV651" s="681"/>
      <c r="FW651" s="681"/>
      <c r="FX651" s="681"/>
      <c r="FY651" s="681"/>
      <c r="FZ651" s="681"/>
      <c r="GA651" s="681"/>
      <c r="GB651" s="681"/>
      <c r="GC651" s="681"/>
      <c r="GD651" s="681"/>
      <c r="GE651" s="681"/>
      <c r="GF651" s="681"/>
      <c r="GG651" s="681"/>
      <c r="GH651" s="681"/>
      <c r="GI651" s="681"/>
      <c r="GJ651" s="681"/>
      <c r="GK651" s="681"/>
      <c r="GL651" s="681"/>
      <c r="GM651" s="681"/>
      <c r="GN651" s="681"/>
      <c r="GO651" s="681"/>
      <c r="GP651" s="681"/>
      <c r="GQ651" s="681"/>
      <c r="GR651" s="681"/>
      <c r="GS651" s="681"/>
      <c r="GT651" s="681"/>
      <c r="GU651" s="681"/>
      <c r="GV651" s="681"/>
      <c r="GW651" s="681"/>
      <c r="GX651" s="681"/>
      <c r="GY651" s="681"/>
      <c r="GZ651" s="681"/>
      <c r="HA651" s="681"/>
      <c r="HB651" s="681"/>
      <c r="HC651" s="681"/>
      <c r="HD651" s="681"/>
      <c r="HE651" s="681"/>
      <c r="HF651" s="681"/>
      <c r="HG651" s="681"/>
      <c r="HH651" s="681"/>
      <c r="HI651" s="681"/>
      <c r="HJ651" s="681"/>
      <c r="HK651" s="681"/>
      <c r="HL651" s="681"/>
      <c r="HM651" s="681"/>
      <c r="HN651" s="681"/>
      <c r="HO651" s="681"/>
      <c r="HP651" s="681"/>
      <c r="HQ651" s="681"/>
      <c r="HR651" s="681"/>
      <c r="HS651" s="681"/>
      <c r="HT651" s="681"/>
      <c r="HU651" s="681"/>
      <c r="HV651" s="681"/>
      <c r="HW651" s="681"/>
      <c r="HX651" s="681"/>
      <c r="HY651" s="681"/>
      <c r="HZ651" s="681"/>
      <c r="IA651" s="681"/>
      <c r="IB651" s="681"/>
      <c r="IC651" s="681"/>
      <c r="ID651" s="681"/>
      <c r="IE651" s="681"/>
      <c r="IF651" s="681"/>
      <c r="IG651" s="681"/>
      <c r="IH651" s="681"/>
      <c r="II651" s="681"/>
      <c r="IJ651" s="681"/>
      <c r="IK651" s="681"/>
      <c r="IL651" s="681"/>
      <c r="IM651" s="681"/>
      <c r="IN651" s="681"/>
      <c r="IO651" s="681"/>
      <c r="IP651" s="681"/>
      <c r="IQ651" s="681"/>
      <c r="IR651" s="681"/>
      <c r="IS651" s="681"/>
      <c r="IT651" s="681"/>
      <c r="IU651" s="681"/>
      <c r="IV651" s="681"/>
      <c r="IW651" s="681"/>
    </row>
    <row r="652" spans="1:257" s="682" customFormat="1" hidden="1">
      <c r="A652" s="713" t="s">
        <v>258</v>
      </c>
      <c r="B652" s="696" t="s">
        <v>1089</v>
      </c>
      <c r="C652" s="683"/>
      <c r="D652" s="683"/>
      <c r="E652" s="669"/>
      <c r="F652" s="651">
        <v>190000000</v>
      </c>
      <c r="G652" s="1112"/>
      <c r="H652" s="1112"/>
      <c r="I652" s="1112"/>
      <c r="J652" s="651"/>
      <c r="K652" s="651"/>
      <c r="L652" s="1305"/>
      <c r="M652" s="651"/>
      <c r="N652" s="826"/>
      <c r="O652" s="826"/>
      <c r="P652" s="1113"/>
      <c r="Q652" s="1113"/>
      <c r="R652" s="871"/>
      <c r="S652" s="871"/>
      <c r="T652" s="824"/>
      <c r="U652" s="806"/>
      <c r="V652" s="581"/>
      <c r="W652" s="727"/>
      <c r="X652" s="728"/>
    </row>
    <row r="653" spans="1:257" s="682" customFormat="1">
      <c r="A653" s="699" t="s">
        <v>261</v>
      </c>
      <c r="B653" s="808" t="s">
        <v>262</v>
      </c>
      <c r="C653" s="699"/>
      <c r="D653" s="699"/>
      <c r="E653" s="700"/>
      <c r="F653" s="810">
        <f>F654+F655</f>
        <v>46700000</v>
      </c>
      <c r="G653" s="700"/>
      <c r="H653" s="700"/>
      <c r="I653" s="700"/>
      <c r="J653" s="810">
        <f>J654</f>
        <v>108000000</v>
      </c>
      <c r="K653" s="810">
        <f>K654</f>
        <v>151700000</v>
      </c>
      <c r="L653" s="1313">
        <f>L654</f>
        <v>217800000</v>
      </c>
      <c r="M653" s="707"/>
      <c r="N653" s="934"/>
      <c r="O653" s="934"/>
      <c r="P653" s="820"/>
      <c r="Q653" s="820"/>
      <c r="R653" s="1114"/>
      <c r="S653" s="891"/>
      <c r="T653" s="832"/>
      <c r="U653" s="580"/>
      <c r="V653" s="727"/>
      <c r="W653" s="727"/>
      <c r="X653" s="728"/>
    </row>
    <row r="654" spans="1:257" s="682" customFormat="1">
      <c r="A654" s="713"/>
      <c r="B654" s="668" t="s">
        <v>263</v>
      </c>
      <c r="C654" s="713"/>
      <c r="D654" s="713"/>
      <c r="E654" s="725"/>
      <c r="F654" s="669">
        <f>(F639+F641+F636)*10%</f>
        <v>46700000</v>
      </c>
      <c r="G654" s="700"/>
      <c r="H654" s="700"/>
      <c r="I654" s="700"/>
      <c r="J654" s="669">
        <f>(J636+J641+J642+J646+J647+J648+J649+J650+J651)*10%</f>
        <v>108000000</v>
      </c>
      <c r="K654" s="669">
        <f>(K636+K637-K638-K639)*10%</f>
        <v>151700000</v>
      </c>
      <c r="L654" s="1306">
        <f>(L636+L637-L638-L639-L640)*10%</f>
        <v>217800000</v>
      </c>
      <c r="M654" s="669"/>
      <c r="N654" s="837"/>
      <c r="O654" s="837"/>
      <c r="P654" s="820"/>
      <c r="Q654" s="820"/>
      <c r="R654" s="1114"/>
      <c r="S654" s="891"/>
      <c r="T654" s="832"/>
      <c r="U654" s="580"/>
      <c r="V654" s="727"/>
      <c r="W654" s="727"/>
      <c r="X654" s="728"/>
    </row>
    <row r="655" spans="1:257" s="682" customFormat="1" ht="15.75" hidden="1" customHeight="1">
      <c r="A655" s="713"/>
      <c r="B655" s="669"/>
      <c r="C655" s="713"/>
      <c r="D655" s="713"/>
      <c r="E655" s="725"/>
      <c r="F655" s="669"/>
      <c r="G655" s="725"/>
      <c r="H655" s="725"/>
      <c r="I655" s="725"/>
      <c r="J655" s="669"/>
      <c r="K655" s="669"/>
      <c r="L655" s="1306"/>
      <c r="M655" s="669"/>
      <c r="N655" s="837"/>
      <c r="O655" s="837"/>
      <c r="P655" s="868"/>
      <c r="Q655" s="868"/>
      <c r="R655" s="1114"/>
      <c r="S655" s="891"/>
      <c r="T655" s="832"/>
      <c r="U655" s="580"/>
      <c r="V655" s="727"/>
      <c r="W655" s="727"/>
      <c r="X655" s="728"/>
    </row>
    <row r="656" spans="1:257" s="1093" customFormat="1" ht="31.5">
      <c r="A656" s="1115">
        <v>6</v>
      </c>
      <c r="B656" s="1116" t="s">
        <v>204</v>
      </c>
      <c r="C656" s="1115"/>
      <c r="D656" s="1115"/>
      <c r="E656" s="1117"/>
      <c r="F656" s="1117">
        <f>F657+F663</f>
        <v>4277000000</v>
      </c>
      <c r="G656" s="1118"/>
      <c r="H656" s="1118"/>
      <c r="I656" s="1118"/>
      <c r="J656" s="1117">
        <f>J657+J663</f>
        <v>2688000000</v>
      </c>
      <c r="K656" s="1117">
        <f>K657+K663+K679</f>
        <v>3295000000</v>
      </c>
      <c r="L656" s="1310">
        <f>L657+L663</f>
        <v>10857282000</v>
      </c>
      <c r="M656" s="792" t="s">
        <v>1468</v>
      </c>
      <c r="N656" s="1119"/>
      <c r="O656" s="1119"/>
      <c r="P656" s="1120"/>
      <c r="Q656" s="1120"/>
      <c r="R656" s="947"/>
      <c r="S656" s="916"/>
      <c r="T656" s="1121"/>
      <c r="U656" s="799"/>
      <c r="V656" s="895"/>
      <c r="W656" s="895"/>
      <c r="X656" s="1092"/>
    </row>
    <row r="657" spans="1:257" s="724" customFormat="1">
      <c r="A657" s="589" t="s">
        <v>222</v>
      </c>
      <c r="B657" s="804" t="s">
        <v>252</v>
      </c>
      <c r="C657" s="715"/>
      <c r="D657" s="715"/>
      <c r="E657" s="716"/>
      <c r="F657" s="716">
        <f>F658+F662</f>
        <v>2092000000</v>
      </c>
      <c r="G657" s="704"/>
      <c r="H657" s="704"/>
      <c r="I657" s="704"/>
      <c r="J657" s="716">
        <f>J658+J662</f>
        <v>2116000000</v>
      </c>
      <c r="K657" s="716">
        <f>K659+K661+K662</f>
        <v>2279000000</v>
      </c>
      <c r="L657" s="1316">
        <f>L659+L661+L662</f>
        <v>2306732000</v>
      </c>
      <c r="M657" s="618"/>
      <c r="N657" s="890"/>
      <c r="O657" s="890"/>
      <c r="P657" s="829"/>
      <c r="Q657" s="829"/>
      <c r="R657" s="900"/>
      <c r="S657" s="900"/>
      <c r="T657" s="822"/>
      <c r="U657" s="721"/>
      <c r="V657" s="722"/>
      <c r="W657" s="722"/>
      <c r="X657" s="723"/>
    </row>
    <row r="658" spans="1:257" s="682" customFormat="1" ht="33" customHeight="1">
      <c r="A658" s="812" t="s">
        <v>91</v>
      </c>
      <c r="B658" s="936" t="s">
        <v>1090</v>
      </c>
      <c r="C658" s="713">
        <v>17</v>
      </c>
      <c r="D658" s="713"/>
      <c r="E658" s="725"/>
      <c r="F658" s="725">
        <f>1621000000+12000000</f>
        <v>1633000000</v>
      </c>
      <c r="G658" s="669" t="s">
        <v>1091</v>
      </c>
      <c r="H658" s="669"/>
      <c r="I658" s="669"/>
      <c r="J658" s="725">
        <v>1657000000</v>
      </c>
      <c r="K658" s="725">
        <f>K659+K660</f>
        <v>1921000000</v>
      </c>
      <c r="L658" s="1311">
        <f>L659+L660</f>
        <v>2740632000</v>
      </c>
      <c r="M658" s="669" t="s">
        <v>1467</v>
      </c>
      <c r="N658" s="868">
        <f>L659+L661+L662</f>
        <v>2306732000</v>
      </c>
      <c r="O658" s="868"/>
      <c r="P658" s="837"/>
      <c r="Q658" s="837"/>
      <c r="R658" s="871"/>
      <c r="S658" s="871"/>
      <c r="T658" s="824"/>
      <c r="U658" s="580"/>
      <c r="V658" s="727"/>
      <c r="W658" s="727"/>
      <c r="X658" s="728"/>
    </row>
    <row r="659" spans="1:257" s="682" customFormat="1">
      <c r="A659" s="812"/>
      <c r="B659" s="684" t="s">
        <v>1092</v>
      </c>
      <c r="C659" s="713"/>
      <c r="D659" s="713"/>
      <c r="E659" s="725"/>
      <c r="F659" s="725"/>
      <c r="G659" s="669"/>
      <c r="H659" s="669"/>
      <c r="I659" s="669"/>
      <c r="J659" s="725"/>
      <c r="K659" s="725">
        <v>1590000000</v>
      </c>
      <c r="L659" s="1311">
        <f>145425000*12</f>
        <v>1745100000</v>
      </c>
      <c r="M659" s="669"/>
      <c r="N659" s="868"/>
      <c r="O659" s="868"/>
      <c r="P659" s="837"/>
      <c r="Q659" s="837"/>
      <c r="R659" s="871"/>
      <c r="S659" s="871"/>
      <c r="T659" s="824"/>
      <c r="U659" s="580"/>
      <c r="V659" s="727"/>
      <c r="W659" s="727"/>
      <c r="X659" s="728"/>
    </row>
    <row r="660" spans="1:257" s="682" customFormat="1">
      <c r="A660" s="812"/>
      <c r="B660" s="684" t="s">
        <v>1351</v>
      </c>
      <c r="C660" s="713"/>
      <c r="D660" s="713"/>
      <c r="E660" s="725"/>
      <c r="F660" s="725"/>
      <c r="G660" s="669"/>
      <c r="H660" s="669"/>
      <c r="I660" s="669"/>
      <c r="J660" s="725"/>
      <c r="K660" s="725">
        <v>331000000</v>
      </c>
      <c r="L660" s="1311">
        <f>(228386000-145425000)*12</f>
        <v>995532000</v>
      </c>
      <c r="M660" s="669"/>
      <c r="N660" s="868"/>
      <c r="O660" s="868"/>
      <c r="P660" s="837"/>
      <c r="Q660" s="837"/>
      <c r="R660" s="871"/>
      <c r="S660" s="871"/>
      <c r="T660" s="824"/>
      <c r="U660" s="580"/>
      <c r="V660" s="727"/>
      <c r="W660" s="727"/>
      <c r="X660" s="728"/>
    </row>
    <row r="661" spans="1:257" s="682" customFormat="1">
      <c r="A661" s="812"/>
      <c r="B661" s="684" t="s">
        <v>1390</v>
      </c>
      <c r="C661" s="713"/>
      <c r="D661" s="713"/>
      <c r="E661" s="725"/>
      <c r="F661" s="725"/>
      <c r="G661" s="669"/>
      <c r="H661" s="669"/>
      <c r="I661" s="669"/>
      <c r="J661" s="725"/>
      <c r="K661" s="725">
        <f>ROUND(K660-K694,-6)</f>
        <v>230000000</v>
      </c>
      <c r="L661" s="1311">
        <f>L660-L695</f>
        <v>102632000</v>
      </c>
      <c r="M661" s="669"/>
      <c r="N661" s="868"/>
      <c r="O661" s="868"/>
      <c r="P661" s="837"/>
      <c r="Q661" s="837"/>
      <c r="R661" s="871"/>
      <c r="S661" s="871"/>
      <c r="T661" s="824"/>
      <c r="U661" s="580"/>
      <c r="V661" s="727"/>
      <c r="W661" s="727"/>
      <c r="X661" s="728"/>
    </row>
    <row r="662" spans="1:257" s="641" customFormat="1">
      <c r="A662" s="812" t="s">
        <v>91</v>
      </c>
      <c r="B662" s="936" t="s">
        <v>256</v>
      </c>
      <c r="C662" s="713"/>
      <c r="D662" s="713"/>
      <c r="E662" s="725">
        <v>27000000</v>
      </c>
      <c r="F662" s="725">
        <f>C658*E662</f>
        <v>459000000</v>
      </c>
      <c r="G662" s="725"/>
      <c r="H662" s="725">
        <v>17</v>
      </c>
      <c r="I662" s="725">
        <v>27000000</v>
      </c>
      <c r="J662" s="725">
        <f>H662*I662</f>
        <v>459000000</v>
      </c>
      <c r="K662" s="725">
        <f>17*27000000</f>
        <v>459000000</v>
      </c>
      <c r="L662" s="1311">
        <f>17*27000000</f>
        <v>459000000</v>
      </c>
      <c r="M662" s="669" t="s">
        <v>1093</v>
      </c>
      <c r="N662" s="868"/>
      <c r="O662" s="868"/>
      <c r="P662" s="868"/>
      <c r="Q662" s="868"/>
      <c r="R662" s="866"/>
      <c r="S662" s="871"/>
      <c r="T662" s="824"/>
      <c r="U662" s="726"/>
      <c r="V662" s="727"/>
      <c r="W662" s="581"/>
      <c r="X662" s="578"/>
      <c r="Y662" s="582"/>
      <c r="Z662" s="582"/>
      <c r="AA662" s="582"/>
      <c r="AB662" s="582"/>
      <c r="AC662" s="582"/>
      <c r="AD662" s="582"/>
      <c r="AE662" s="582"/>
      <c r="AF662" s="582"/>
      <c r="AG662" s="582"/>
      <c r="AH662" s="582"/>
      <c r="AI662" s="582"/>
      <c r="AJ662" s="582"/>
      <c r="AK662" s="582"/>
      <c r="AL662" s="582"/>
      <c r="AM662" s="582"/>
      <c r="AN662" s="582"/>
      <c r="AO662" s="582"/>
      <c r="AP662" s="582"/>
      <c r="AQ662" s="582"/>
      <c r="AR662" s="582"/>
      <c r="AS662" s="582"/>
      <c r="AT662" s="582"/>
      <c r="AU662" s="582"/>
      <c r="AV662" s="582"/>
      <c r="AW662" s="582"/>
      <c r="AX662" s="582"/>
      <c r="AY662" s="582"/>
      <c r="AZ662" s="582"/>
      <c r="BA662" s="582"/>
      <c r="BB662" s="582"/>
      <c r="BC662" s="582"/>
      <c r="BD662" s="582"/>
      <c r="BE662" s="582"/>
      <c r="BF662" s="582"/>
      <c r="BG662" s="582"/>
      <c r="BH662" s="582"/>
      <c r="BI662" s="582"/>
      <c r="BJ662" s="582"/>
      <c r="BK662" s="582"/>
      <c r="BL662" s="582"/>
      <c r="BM662" s="582"/>
      <c r="BN662" s="582"/>
      <c r="BO662" s="582"/>
      <c r="BP662" s="582"/>
      <c r="BQ662" s="582"/>
      <c r="BR662" s="582"/>
      <c r="BS662" s="582"/>
      <c r="BT662" s="582"/>
      <c r="BU662" s="582"/>
      <c r="BV662" s="582"/>
      <c r="BW662" s="582"/>
      <c r="BX662" s="582"/>
      <c r="BY662" s="582"/>
      <c r="BZ662" s="582"/>
      <c r="CA662" s="582"/>
      <c r="CB662" s="582"/>
      <c r="CC662" s="582"/>
      <c r="CD662" s="582"/>
      <c r="CE662" s="582"/>
      <c r="CF662" s="582"/>
      <c r="CG662" s="582"/>
      <c r="CH662" s="582"/>
      <c r="CI662" s="582"/>
      <c r="CJ662" s="582"/>
      <c r="CK662" s="582"/>
      <c r="CL662" s="582"/>
      <c r="CM662" s="582"/>
      <c r="CN662" s="582"/>
      <c r="CO662" s="582"/>
      <c r="CP662" s="582"/>
      <c r="CQ662" s="582"/>
      <c r="CR662" s="582"/>
      <c r="CS662" s="582"/>
      <c r="CT662" s="582"/>
      <c r="CU662" s="582"/>
      <c r="CV662" s="582"/>
      <c r="CW662" s="582"/>
      <c r="CX662" s="582"/>
      <c r="CY662" s="582"/>
      <c r="CZ662" s="582"/>
      <c r="DA662" s="582"/>
      <c r="DB662" s="582"/>
      <c r="DC662" s="582"/>
      <c r="DD662" s="582"/>
      <c r="DE662" s="582"/>
      <c r="DF662" s="582"/>
      <c r="DG662" s="582"/>
      <c r="DH662" s="582"/>
      <c r="DI662" s="582"/>
      <c r="DJ662" s="582"/>
      <c r="DK662" s="582"/>
      <c r="DL662" s="582"/>
      <c r="DM662" s="582"/>
      <c r="DN662" s="582"/>
      <c r="DO662" s="582"/>
      <c r="DP662" s="582"/>
      <c r="DQ662" s="582"/>
      <c r="DR662" s="582"/>
      <c r="DS662" s="582"/>
      <c r="DT662" s="582"/>
      <c r="DU662" s="582"/>
      <c r="DV662" s="582"/>
      <c r="DW662" s="582"/>
      <c r="DX662" s="582"/>
      <c r="DY662" s="582"/>
      <c r="DZ662" s="582"/>
      <c r="EA662" s="582"/>
      <c r="EB662" s="582"/>
      <c r="EC662" s="582"/>
      <c r="ED662" s="582"/>
      <c r="EE662" s="582"/>
      <c r="EF662" s="582"/>
      <c r="EG662" s="582"/>
      <c r="EH662" s="582"/>
      <c r="EI662" s="582"/>
      <c r="EJ662" s="582"/>
      <c r="EK662" s="582"/>
      <c r="EL662" s="582"/>
      <c r="EM662" s="582"/>
      <c r="EN662" s="582"/>
      <c r="EO662" s="582"/>
      <c r="EP662" s="582"/>
      <c r="EQ662" s="582"/>
      <c r="ER662" s="582"/>
      <c r="ES662" s="582"/>
      <c r="ET662" s="582"/>
      <c r="EU662" s="582"/>
      <c r="EV662" s="582"/>
      <c r="EW662" s="582"/>
      <c r="EX662" s="582"/>
      <c r="EY662" s="582"/>
      <c r="EZ662" s="582"/>
      <c r="FA662" s="582"/>
      <c r="FB662" s="582"/>
      <c r="FC662" s="582"/>
      <c r="FD662" s="582"/>
      <c r="FE662" s="582"/>
      <c r="FF662" s="582"/>
      <c r="FG662" s="582"/>
      <c r="FH662" s="582"/>
      <c r="FI662" s="582"/>
      <c r="FJ662" s="582"/>
      <c r="FK662" s="582"/>
      <c r="FL662" s="582"/>
      <c r="FM662" s="582"/>
      <c r="FN662" s="582"/>
      <c r="FO662" s="582"/>
      <c r="FP662" s="582"/>
      <c r="FQ662" s="582"/>
      <c r="FR662" s="582"/>
      <c r="FS662" s="582"/>
      <c r="FT662" s="582"/>
      <c r="FU662" s="582"/>
      <c r="FV662" s="582"/>
      <c r="FW662" s="582"/>
      <c r="FX662" s="582"/>
      <c r="FY662" s="582"/>
      <c r="FZ662" s="582"/>
      <c r="GA662" s="582"/>
      <c r="GB662" s="582"/>
      <c r="GC662" s="582"/>
      <c r="GD662" s="582"/>
      <c r="GE662" s="582"/>
      <c r="GF662" s="582"/>
      <c r="GG662" s="582"/>
      <c r="GH662" s="582"/>
      <c r="GI662" s="582"/>
      <c r="GJ662" s="582"/>
      <c r="GK662" s="582"/>
      <c r="GL662" s="582"/>
      <c r="GM662" s="582"/>
      <c r="GN662" s="582"/>
      <c r="GO662" s="582"/>
      <c r="GP662" s="582"/>
      <c r="GQ662" s="582"/>
      <c r="GR662" s="582"/>
      <c r="GS662" s="582"/>
      <c r="GT662" s="582"/>
      <c r="GU662" s="582"/>
      <c r="GV662" s="582"/>
      <c r="GW662" s="582"/>
      <c r="GX662" s="582"/>
      <c r="GY662" s="582"/>
      <c r="GZ662" s="582"/>
      <c r="HA662" s="582"/>
      <c r="HB662" s="582"/>
      <c r="HC662" s="582"/>
      <c r="HD662" s="582"/>
      <c r="HE662" s="582"/>
      <c r="HF662" s="582"/>
      <c r="HG662" s="582"/>
      <c r="HH662" s="582"/>
      <c r="HI662" s="582"/>
      <c r="HJ662" s="582"/>
      <c r="HK662" s="582"/>
      <c r="HL662" s="582"/>
      <c r="HM662" s="582"/>
      <c r="HN662" s="582"/>
      <c r="HO662" s="582"/>
      <c r="HP662" s="582"/>
      <c r="HQ662" s="582"/>
      <c r="HR662" s="582"/>
      <c r="HS662" s="582"/>
      <c r="HT662" s="582"/>
      <c r="HU662" s="582"/>
      <c r="HV662" s="582"/>
      <c r="HW662" s="582"/>
      <c r="HX662" s="582"/>
      <c r="HY662" s="582"/>
      <c r="HZ662" s="582"/>
      <c r="IA662" s="582"/>
      <c r="IB662" s="582"/>
      <c r="IC662" s="582"/>
      <c r="ID662" s="582"/>
      <c r="IE662" s="582"/>
      <c r="IF662" s="582"/>
      <c r="IG662" s="582"/>
      <c r="IH662" s="582"/>
      <c r="II662" s="582"/>
      <c r="IJ662" s="582"/>
      <c r="IK662" s="582"/>
      <c r="IL662" s="582"/>
      <c r="IM662" s="582"/>
      <c r="IN662" s="582"/>
      <c r="IO662" s="582"/>
      <c r="IP662" s="582"/>
      <c r="IQ662" s="582"/>
      <c r="IR662" s="582"/>
      <c r="IS662" s="582"/>
      <c r="IT662" s="582"/>
      <c r="IU662" s="582"/>
      <c r="IV662" s="582"/>
      <c r="IW662" s="582"/>
    </row>
    <row r="663" spans="1:257" s="682" customFormat="1">
      <c r="A663" s="589" t="s">
        <v>225</v>
      </c>
      <c r="B663" s="804" t="s">
        <v>257</v>
      </c>
      <c r="C663" s="589"/>
      <c r="D663" s="589"/>
      <c r="E663" s="704"/>
      <c r="F663" s="805">
        <f>SUM(F665:F678)</f>
        <v>2185000000</v>
      </c>
      <c r="G663" s="716"/>
      <c r="H663" s="716"/>
      <c r="I663" s="716"/>
      <c r="J663" s="805">
        <f>SUM(J665:J678)</f>
        <v>572000000</v>
      </c>
      <c r="K663" s="805">
        <f>K664+K679+K688</f>
        <v>616000000</v>
      </c>
      <c r="L663" s="1312">
        <f>L664+L679+L688+L686</f>
        <v>8550550000</v>
      </c>
      <c r="M663" s="603"/>
      <c r="N663" s="835"/>
      <c r="O663" s="835"/>
      <c r="P663" s="890"/>
      <c r="Q663" s="890"/>
      <c r="R663" s="823"/>
      <c r="S663" s="871"/>
      <c r="T663" s="824"/>
      <c r="U663" s="580"/>
      <c r="V663" s="722"/>
      <c r="W663" s="581"/>
      <c r="X663" s="578"/>
      <c r="Y663" s="582"/>
      <c r="Z663" s="582"/>
      <c r="AA663" s="582"/>
      <c r="AB663" s="582"/>
      <c r="AC663" s="582"/>
      <c r="AD663" s="582"/>
      <c r="AE663" s="582"/>
      <c r="AF663" s="582"/>
      <c r="AG663" s="582"/>
      <c r="AH663" s="582"/>
      <c r="AI663" s="582"/>
      <c r="AJ663" s="582"/>
      <c r="AK663" s="582"/>
      <c r="AL663" s="582"/>
      <c r="AM663" s="582"/>
      <c r="AN663" s="582"/>
      <c r="AO663" s="582"/>
      <c r="AP663" s="582"/>
      <c r="AQ663" s="582"/>
      <c r="AR663" s="582"/>
      <c r="AS663" s="582"/>
      <c r="AT663" s="582"/>
      <c r="AU663" s="582"/>
      <c r="AV663" s="582"/>
      <c r="AW663" s="582"/>
      <c r="AX663" s="582"/>
      <c r="AY663" s="582"/>
      <c r="AZ663" s="582"/>
      <c r="BA663" s="582"/>
      <c r="BB663" s="582"/>
      <c r="BC663" s="582"/>
      <c r="BD663" s="582"/>
      <c r="BE663" s="582"/>
      <c r="BF663" s="582"/>
      <c r="BG663" s="582"/>
      <c r="BH663" s="582"/>
      <c r="BI663" s="582"/>
      <c r="BJ663" s="582"/>
      <c r="BK663" s="582"/>
      <c r="BL663" s="582"/>
      <c r="BM663" s="582"/>
      <c r="BN663" s="582"/>
      <c r="BO663" s="582"/>
      <c r="BP663" s="582"/>
      <c r="BQ663" s="582"/>
      <c r="BR663" s="582"/>
      <c r="BS663" s="582"/>
      <c r="BT663" s="582"/>
      <c r="BU663" s="582"/>
      <c r="BV663" s="582"/>
      <c r="BW663" s="582"/>
      <c r="BX663" s="582"/>
      <c r="BY663" s="582"/>
      <c r="BZ663" s="582"/>
      <c r="CA663" s="582"/>
      <c r="CB663" s="582"/>
      <c r="CC663" s="582"/>
      <c r="CD663" s="582"/>
      <c r="CE663" s="582"/>
      <c r="CF663" s="582"/>
      <c r="CG663" s="582"/>
      <c r="CH663" s="582"/>
      <c r="CI663" s="582"/>
      <c r="CJ663" s="582"/>
      <c r="CK663" s="582"/>
      <c r="CL663" s="582"/>
      <c r="CM663" s="582"/>
      <c r="CN663" s="582"/>
      <c r="CO663" s="582"/>
      <c r="CP663" s="582"/>
      <c r="CQ663" s="582"/>
      <c r="CR663" s="582"/>
      <c r="CS663" s="582"/>
      <c r="CT663" s="582"/>
      <c r="CU663" s="582"/>
      <c r="CV663" s="582"/>
      <c r="CW663" s="582"/>
      <c r="CX663" s="582"/>
      <c r="CY663" s="582"/>
      <c r="CZ663" s="582"/>
      <c r="DA663" s="582"/>
      <c r="DB663" s="582"/>
      <c r="DC663" s="582"/>
      <c r="DD663" s="582"/>
      <c r="DE663" s="582"/>
      <c r="DF663" s="582"/>
      <c r="DG663" s="582"/>
      <c r="DH663" s="582"/>
      <c r="DI663" s="582"/>
      <c r="DJ663" s="582"/>
      <c r="DK663" s="582"/>
      <c r="DL663" s="582"/>
      <c r="DM663" s="582"/>
      <c r="DN663" s="582"/>
      <c r="DO663" s="582"/>
      <c r="DP663" s="582"/>
      <c r="DQ663" s="582"/>
      <c r="DR663" s="582"/>
      <c r="DS663" s="582"/>
      <c r="DT663" s="582"/>
      <c r="DU663" s="582"/>
      <c r="DV663" s="582"/>
      <c r="DW663" s="582"/>
      <c r="DX663" s="582"/>
      <c r="DY663" s="582"/>
      <c r="DZ663" s="582"/>
      <c r="EA663" s="582"/>
      <c r="EB663" s="582"/>
      <c r="EC663" s="582"/>
      <c r="ED663" s="582"/>
      <c r="EE663" s="582"/>
      <c r="EF663" s="582"/>
      <c r="EG663" s="582"/>
      <c r="EH663" s="582"/>
      <c r="EI663" s="582"/>
      <c r="EJ663" s="582"/>
      <c r="EK663" s="582"/>
      <c r="EL663" s="582"/>
      <c r="EM663" s="582"/>
      <c r="EN663" s="582"/>
      <c r="EO663" s="582"/>
      <c r="EP663" s="582"/>
      <c r="EQ663" s="582"/>
      <c r="ER663" s="582"/>
      <c r="ES663" s="582"/>
      <c r="ET663" s="582"/>
      <c r="EU663" s="582"/>
      <c r="EV663" s="582"/>
      <c r="EW663" s="582"/>
      <c r="EX663" s="582"/>
      <c r="EY663" s="582"/>
      <c r="EZ663" s="582"/>
      <c r="FA663" s="582"/>
      <c r="FB663" s="582"/>
      <c r="FC663" s="582"/>
      <c r="FD663" s="582"/>
      <c r="FE663" s="582"/>
      <c r="FF663" s="582"/>
      <c r="FG663" s="582"/>
      <c r="FH663" s="582"/>
      <c r="FI663" s="582"/>
      <c r="FJ663" s="582"/>
      <c r="FK663" s="582"/>
      <c r="FL663" s="582"/>
      <c r="FM663" s="582"/>
      <c r="FN663" s="582"/>
      <c r="FO663" s="582"/>
      <c r="FP663" s="582"/>
      <c r="FQ663" s="582"/>
      <c r="FR663" s="582"/>
      <c r="FS663" s="582"/>
      <c r="FT663" s="582"/>
      <c r="FU663" s="582"/>
      <c r="FV663" s="582"/>
      <c r="FW663" s="582"/>
      <c r="FX663" s="582"/>
      <c r="FY663" s="582"/>
      <c r="FZ663" s="582"/>
      <c r="GA663" s="582"/>
      <c r="GB663" s="582"/>
      <c r="GC663" s="582"/>
      <c r="GD663" s="582"/>
      <c r="GE663" s="582"/>
      <c r="GF663" s="582"/>
      <c r="GG663" s="582"/>
      <c r="GH663" s="582"/>
      <c r="GI663" s="582"/>
      <c r="GJ663" s="582"/>
      <c r="GK663" s="582"/>
      <c r="GL663" s="582"/>
      <c r="GM663" s="582"/>
      <c r="GN663" s="582"/>
      <c r="GO663" s="582"/>
      <c r="GP663" s="582"/>
      <c r="GQ663" s="582"/>
      <c r="GR663" s="582"/>
      <c r="GS663" s="582"/>
      <c r="GT663" s="582"/>
      <c r="GU663" s="582"/>
      <c r="GV663" s="582"/>
      <c r="GW663" s="582"/>
      <c r="GX663" s="582"/>
      <c r="GY663" s="582"/>
      <c r="GZ663" s="582"/>
      <c r="HA663" s="582"/>
      <c r="HB663" s="582"/>
      <c r="HC663" s="582"/>
      <c r="HD663" s="582"/>
      <c r="HE663" s="582"/>
      <c r="HF663" s="582"/>
      <c r="HG663" s="582"/>
      <c r="HH663" s="582"/>
      <c r="HI663" s="582"/>
      <c r="HJ663" s="582"/>
      <c r="HK663" s="582"/>
      <c r="HL663" s="582"/>
      <c r="HM663" s="582"/>
      <c r="HN663" s="582"/>
      <c r="HO663" s="582"/>
      <c r="HP663" s="582"/>
      <c r="HQ663" s="582"/>
      <c r="HR663" s="582"/>
      <c r="HS663" s="582"/>
      <c r="HT663" s="582"/>
      <c r="HU663" s="582"/>
      <c r="HV663" s="582"/>
      <c r="HW663" s="582"/>
      <c r="HX663" s="582"/>
      <c r="HY663" s="582"/>
      <c r="HZ663" s="582"/>
      <c r="IA663" s="582"/>
      <c r="IB663" s="582"/>
      <c r="IC663" s="582"/>
      <c r="ID663" s="582"/>
      <c r="IE663" s="582"/>
      <c r="IF663" s="582"/>
      <c r="IG663" s="582"/>
      <c r="IH663" s="582"/>
      <c r="II663" s="582"/>
      <c r="IJ663" s="582"/>
      <c r="IK663" s="582"/>
      <c r="IL663" s="582"/>
      <c r="IM663" s="582"/>
      <c r="IN663" s="582"/>
      <c r="IO663" s="582"/>
      <c r="IP663" s="582"/>
      <c r="IQ663" s="582"/>
      <c r="IR663" s="582"/>
      <c r="IS663" s="582"/>
      <c r="IT663" s="582"/>
      <c r="IU663" s="582"/>
      <c r="IV663" s="582"/>
      <c r="IW663" s="582"/>
    </row>
    <row r="664" spans="1:257" s="724" customFormat="1">
      <c r="A664" s="715" t="s">
        <v>192</v>
      </c>
      <c r="B664" s="1122" t="s">
        <v>1094</v>
      </c>
      <c r="C664" s="715"/>
      <c r="D664" s="715"/>
      <c r="E664" s="716"/>
      <c r="F664" s="1099"/>
      <c r="G664" s="716"/>
      <c r="H664" s="716"/>
      <c r="I664" s="716"/>
      <c r="J664" s="1099"/>
      <c r="K664" s="1099">
        <f>SUM(K665:K678)</f>
        <v>216000000</v>
      </c>
      <c r="L664" s="1324">
        <f>SUM(L665:L678)</f>
        <v>400550000</v>
      </c>
      <c r="M664" s="717"/>
      <c r="N664" s="1100"/>
      <c r="O664" s="1100"/>
      <c r="P664" s="890"/>
      <c r="Q664" s="890"/>
      <c r="R664" s="831"/>
      <c r="S664" s="891"/>
      <c r="T664" s="832"/>
      <c r="U664" s="721"/>
      <c r="V664" s="722"/>
      <c r="W664" s="722"/>
      <c r="X664" s="723"/>
    </row>
    <row r="665" spans="1:257" s="682" customFormat="1">
      <c r="A665" s="683" t="s">
        <v>91</v>
      </c>
      <c r="B665" s="696" t="s">
        <v>399</v>
      </c>
      <c r="C665" s="1123"/>
      <c r="D665" s="1123"/>
      <c r="E665" s="1124"/>
      <c r="F665" s="1124">
        <v>30000000</v>
      </c>
      <c r="G665" s="725"/>
      <c r="H665" s="725"/>
      <c r="I665" s="725"/>
      <c r="J665" s="1124">
        <v>42000000</v>
      </c>
      <c r="K665" s="1124">
        <v>36000000</v>
      </c>
      <c r="L665" s="1326">
        <v>36000000</v>
      </c>
      <c r="M665" s="1125"/>
      <c r="N665" s="838">
        <f>(L662+L663-L665-L666-L667)*10%</f>
        <v>892900000</v>
      </c>
      <c r="O665" s="838"/>
      <c r="P665" s="868" t="s">
        <v>408</v>
      </c>
      <c r="Q665" s="868"/>
      <c r="R665" s="871"/>
      <c r="S665" s="866"/>
      <c r="T665" s="839"/>
      <c r="U665" s="580"/>
      <c r="V665" s="1126"/>
      <c r="W665" s="727"/>
      <c r="X665" s="728"/>
    </row>
    <row r="666" spans="1:257" s="682" customFormat="1">
      <c r="A666" s="683" t="s">
        <v>91</v>
      </c>
      <c r="B666" s="711" t="s">
        <v>409</v>
      </c>
      <c r="C666" s="1123"/>
      <c r="D666" s="1123"/>
      <c r="E666" s="1124"/>
      <c r="F666" s="1124">
        <v>25000000</v>
      </c>
      <c r="G666" s="725"/>
      <c r="H666" s="725"/>
      <c r="I666" s="725"/>
      <c r="J666" s="1124">
        <v>30000000</v>
      </c>
      <c r="K666" s="1124">
        <v>30000000</v>
      </c>
      <c r="L666" s="1326">
        <v>10050000</v>
      </c>
      <c r="M666" s="1125"/>
      <c r="N666" s="838"/>
      <c r="O666" s="838"/>
      <c r="P666" s="868"/>
      <c r="Q666" s="868"/>
      <c r="R666" s="869"/>
      <c r="S666" s="891"/>
      <c r="T666" s="832"/>
      <c r="U666" s="580"/>
      <c r="V666" s="581"/>
      <c r="W666" s="727"/>
      <c r="X666" s="728"/>
    </row>
    <row r="667" spans="1:257" s="682" customFormat="1">
      <c r="A667" s="683"/>
      <c r="B667" s="711" t="str">
        <f>B640</f>
        <v>Kinh phí tổ chức Đại hội Chi bộ</v>
      </c>
      <c r="C667" s="1123"/>
      <c r="D667" s="1123"/>
      <c r="E667" s="1124"/>
      <c r="F667" s="1124"/>
      <c r="G667" s="725"/>
      <c r="H667" s="725"/>
      <c r="I667" s="725"/>
      <c r="J667" s="1124">
        <v>200000000</v>
      </c>
      <c r="K667" s="1124"/>
      <c r="L667" s="1326">
        <v>34500000</v>
      </c>
      <c r="M667" s="1125"/>
      <c r="N667" s="838"/>
      <c r="O667" s="838"/>
      <c r="P667" s="868"/>
      <c r="Q667" s="868"/>
      <c r="R667" s="869"/>
      <c r="S667" s="891"/>
      <c r="T667" s="832"/>
      <c r="U667" s="580"/>
      <c r="V667" s="581"/>
      <c r="W667" s="727"/>
      <c r="X667" s="728"/>
    </row>
    <row r="668" spans="1:257" s="682" customFormat="1" ht="31.5">
      <c r="A668" s="683" t="s">
        <v>91</v>
      </c>
      <c r="B668" s="696" t="s">
        <v>1475</v>
      </c>
      <c r="C668" s="1123"/>
      <c r="D668" s="1123"/>
      <c r="E668" s="1124"/>
      <c r="F668" s="700">
        <v>50000000</v>
      </c>
      <c r="G668" s="725" t="s">
        <v>1095</v>
      </c>
      <c r="H668" s="725"/>
      <c r="I668" s="725"/>
      <c r="J668" s="700">
        <v>50000000</v>
      </c>
      <c r="K668" s="700">
        <v>50000000</v>
      </c>
      <c r="L668" s="1315">
        <v>250000000</v>
      </c>
      <c r="M668" s="651" t="s">
        <v>1469</v>
      </c>
      <c r="N668" s="820"/>
      <c r="O668" s="820"/>
      <c r="P668" s="868"/>
      <c r="Q668" s="868"/>
      <c r="R668" s="869"/>
      <c r="S668" s="891"/>
      <c r="T668" s="832"/>
      <c r="U668" s="580"/>
      <c r="V668" s="581"/>
      <c r="W668" s="727"/>
      <c r="X668" s="728"/>
    </row>
    <row r="669" spans="1:257" s="682" customFormat="1">
      <c r="A669" s="683" t="s">
        <v>91</v>
      </c>
      <c r="B669" s="696" t="s">
        <v>1096</v>
      </c>
      <c r="C669" s="635"/>
      <c r="D669" s="635"/>
      <c r="E669" s="651"/>
      <c r="F669" s="651">
        <v>30000000</v>
      </c>
      <c r="G669" s="669"/>
      <c r="H669" s="669"/>
      <c r="I669" s="669"/>
      <c r="J669" s="651"/>
      <c r="K669" s="651"/>
      <c r="L669" s="1305"/>
      <c r="M669" s="651"/>
      <c r="N669" s="826"/>
      <c r="O669" s="826"/>
      <c r="P669" s="837"/>
      <c r="Q669" s="837"/>
      <c r="R669" s="866"/>
      <c r="S669" s="891"/>
      <c r="T669" s="832"/>
      <c r="U669" s="580"/>
      <c r="V669" s="727"/>
      <c r="W669" s="727"/>
      <c r="X669" s="728"/>
    </row>
    <row r="670" spans="1:257" s="682" customFormat="1" ht="15.75" hidden="1" customHeight="1">
      <c r="A670" s="683" t="s">
        <v>91</v>
      </c>
      <c r="B670" s="696" t="s">
        <v>1097</v>
      </c>
      <c r="C670" s="635"/>
      <c r="D670" s="635"/>
      <c r="E670" s="651"/>
      <c r="F670" s="651"/>
      <c r="G670" s="651">
        <v>75000000</v>
      </c>
      <c r="H670" s="651"/>
      <c r="I670" s="651"/>
      <c r="J670" s="651"/>
      <c r="K670" s="651"/>
      <c r="L670" s="1305"/>
      <c r="M670" s="651"/>
      <c r="N670" s="826"/>
      <c r="O670" s="826"/>
      <c r="P670" s="826"/>
      <c r="Q670" s="826"/>
      <c r="R670" s="866"/>
      <c r="S670" s="891"/>
      <c r="T670" s="832"/>
      <c r="U670" s="580"/>
      <c r="V670" s="727"/>
      <c r="W670" s="727"/>
      <c r="X670" s="728"/>
    </row>
    <row r="671" spans="1:257" s="682" customFormat="1" ht="15.75" hidden="1" customHeight="1">
      <c r="A671" s="683" t="s">
        <v>91</v>
      </c>
      <c r="B671" s="696" t="s">
        <v>1098</v>
      </c>
      <c r="C671" s="635"/>
      <c r="D671" s="635"/>
      <c r="E671" s="651"/>
      <c r="F671" s="651"/>
      <c r="G671" s="651">
        <f>16*15000000</f>
        <v>240000000</v>
      </c>
      <c r="H671" s="651"/>
      <c r="I671" s="651"/>
      <c r="J671" s="651"/>
      <c r="K671" s="651"/>
      <c r="L671" s="1305"/>
      <c r="M671" s="651"/>
      <c r="N671" s="826"/>
      <c r="O671" s="826"/>
      <c r="P671" s="826"/>
      <c r="Q671" s="826"/>
      <c r="R671" s="866"/>
      <c r="S671" s="891"/>
      <c r="T671" s="832"/>
      <c r="U671" s="580"/>
      <c r="V671" s="727"/>
      <c r="W671" s="727"/>
      <c r="X671" s="728"/>
    </row>
    <row r="672" spans="1:257" s="682" customFormat="1" ht="15.75" hidden="1" customHeight="1">
      <c r="A672" s="683" t="s">
        <v>91</v>
      </c>
      <c r="B672" s="696" t="s">
        <v>1099</v>
      </c>
      <c r="C672" s="635"/>
      <c r="D672" s="635"/>
      <c r="E672" s="651"/>
      <c r="F672" s="651"/>
      <c r="G672" s="651">
        <v>27000000</v>
      </c>
      <c r="H672" s="651"/>
      <c r="I672" s="651"/>
      <c r="J672" s="651"/>
      <c r="K672" s="651"/>
      <c r="L672" s="1305"/>
      <c r="M672" s="651"/>
      <c r="N672" s="826"/>
      <c r="O672" s="826"/>
      <c r="P672" s="826"/>
      <c r="Q672" s="826"/>
      <c r="R672" s="866"/>
      <c r="S672" s="891"/>
      <c r="T672" s="832"/>
      <c r="U672" s="580"/>
      <c r="V672" s="727"/>
      <c r="W672" s="727"/>
      <c r="X672" s="728"/>
    </row>
    <row r="673" spans="1:257" s="682" customFormat="1">
      <c r="A673" s="683"/>
      <c r="B673" s="696" t="s">
        <v>412</v>
      </c>
      <c r="C673" s="635"/>
      <c r="D673" s="635"/>
      <c r="E673" s="651"/>
      <c r="F673" s="651"/>
      <c r="G673" s="651"/>
      <c r="H673" s="651"/>
      <c r="I673" s="651"/>
      <c r="J673" s="651">
        <v>50000000</v>
      </c>
      <c r="K673" s="651"/>
      <c r="L673" s="1305"/>
      <c r="M673" s="651"/>
      <c r="N673" s="826"/>
      <c r="O673" s="826"/>
      <c r="P673" s="826"/>
      <c r="Q673" s="826"/>
      <c r="R673" s="866"/>
      <c r="S673" s="891"/>
      <c r="T673" s="832"/>
      <c r="U673" s="580"/>
      <c r="V673" s="727"/>
      <c r="W673" s="727"/>
      <c r="X673" s="728"/>
    </row>
    <row r="674" spans="1:257" s="682" customFormat="1">
      <c r="A674" s="683"/>
      <c r="B674" s="696" t="s">
        <v>413</v>
      </c>
      <c r="C674" s="635"/>
      <c r="D674" s="635"/>
      <c r="E674" s="651"/>
      <c r="F674" s="651"/>
      <c r="G674" s="651"/>
      <c r="H674" s="651"/>
      <c r="I674" s="651"/>
      <c r="J674" s="651">
        <v>100000000</v>
      </c>
      <c r="K674" s="651"/>
      <c r="L674" s="1305"/>
      <c r="M674" s="651"/>
      <c r="N674" s="826"/>
      <c r="O674" s="826"/>
      <c r="P674" s="826"/>
      <c r="Q674" s="826"/>
      <c r="R674" s="866"/>
      <c r="S674" s="891"/>
      <c r="T674" s="832"/>
      <c r="U674" s="580"/>
      <c r="V674" s="727"/>
      <c r="W674" s="727"/>
      <c r="X674" s="728"/>
    </row>
    <row r="675" spans="1:257" s="682" customFormat="1">
      <c r="A675" s="683"/>
      <c r="B675" s="696" t="s">
        <v>414</v>
      </c>
      <c r="C675" s="635"/>
      <c r="D675" s="635"/>
      <c r="E675" s="651"/>
      <c r="F675" s="651"/>
      <c r="G675" s="651"/>
      <c r="H675" s="651"/>
      <c r="I675" s="651"/>
      <c r="J675" s="651">
        <v>50000000</v>
      </c>
      <c r="K675" s="651"/>
      <c r="L675" s="1305"/>
      <c r="M675" s="651"/>
      <c r="N675" s="826"/>
      <c r="O675" s="826"/>
      <c r="P675" s="826"/>
      <c r="Q675" s="826"/>
      <c r="R675" s="866"/>
      <c r="S675" s="891"/>
      <c r="T675" s="832"/>
      <c r="U675" s="580"/>
      <c r="V675" s="727"/>
      <c r="W675" s="727"/>
      <c r="X675" s="728"/>
    </row>
    <row r="676" spans="1:257" s="682" customFormat="1">
      <c r="A676" s="683" t="s">
        <v>91</v>
      </c>
      <c r="B676" s="696" t="s">
        <v>1008</v>
      </c>
      <c r="C676" s="635"/>
      <c r="D676" s="635"/>
      <c r="E676" s="651"/>
      <c r="F676" s="651">
        <v>2000000000</v>
      </c>
      <c r="G676" s="669" t="s">
        <v>1100</v>
      </c>
      <c r="H676" s="669"/>
      <c r="I676" s="669"/>
      <c r="J676" s="651"/>
      <c r="K676" s="651"/>
      <c r="L676" s="1305"/>
      <c r="M676" s="651"/>
      <c r="N676" s="826"/>
      <c r="O676" s="826"/>
      <c r="P676" s="837"/>
      <c r="Q676" s="837"/>
      <c r="R676" s="866"/>
      <c r="S676" s="891"/>
      <c r="T676" s="832"/>
      <c r="U676" s="580"/>
      <c r="V676" s="727"/>
      <c r="W676" s="727"/>
      <c r="X676" s="728"/>
    </row>
    <row r="677" spans="1:257" s="682" customFormat="1">
      <c r="A677" s="683"/>
      <c r="B677" s="696" t="s">
        <v>1101</v>
      </c>
      <c r="C677" s="635"/>
      <c r="D677" s="635"/>
      <c r="E677" s="651"/>
      <c r="F677" s="651"/>
      <c r="G677" s="669"/>
      <c r="H677" s="669"/>
      <c r="I677" s="669"/>
      <c r="J677" s="651"/>
      <c r="K677" s="651">
        <v>50000000</v>
      </c>
      <c r="L677" s="1305">
        <v>50000000</v>
      </c>
      <c r="M677" s="651"/>
      <c r="N677" s="826"/>
      <c r="O677" s="826"/>
      <c r="P677" s="837"/>
      <c r="Q677" s="837"/>
      <c r="R677" s="866"/>
      <c r="S677" s="891"/>
      <c r="T677" s="832"/>
      <c r="U677" s="580"/>
      <c r="V677" s="727"/>
      <c r="W677" s="727"/>
      <c r="X677" s="728"/>
    </row>
    <row r="678" spans="1:257" s="582" customFormat="1" ht="45.75" customHeight="1">
      <c r="A678" s="683" t="s">
        <v>91</v>
      </c>
      <c r="B678" s="696" t="s">
        <v>415</v>
      </c>
      <c r="C678" s="635"/>
      <c r="D678" s="635"/>
      <c r="E678" s="651"/>
      <c r="F678" s="651">
        <v>50000000</v>
      </c>
      <c r="G678" s="725"/>
      <c r="H678" s="725"/>
      <c r="I678" s="725"/>
      <c r="J678" s="651">
        <v>50000000</v>
      </c>
      <c r="K678" s="651">
        <v>50000000</v>
      </c>
      <c r="L678" s="1305">
        <v>20000000</v>
      </c>
      <c r="M678" s="651"/>
      <c r="N678" s="826"/>
      <c r="O678" s="826"/>
      <c r="P678" s="868"/>
      <c r="Q678" s="868"/>
      <c r="R678" s="871"/>
      <c r="S678" s="871"/>
      <c r="T678" s="824"/>
      <c r="U678" s="721"/>
      <c r="V678" s="727"/>
      <c r="W678" s="727"/>
      <c r="X678" s="728"/>
      <c r="Y678" s="682"/>
      <c r="Z678" s="682"/>
      <c r="AA678" s="682"/>
      <c r="AB678" s="682"/>
      <c r="AC678" s="682"/>
      <c r="AD678" s="682"/>
      <c r="AE678" s="682"/>
      <c r="AF678" s="682"/>
      <c r="AG678" s="682"/>
      <c r="AH678" s="682"/>
      <c r="AI678" s="682"/>
      <c r="AJ678" s="682"/>
      <c r="AK678" s="682"/>
      <c r="AL678" s="682"/>
      <c r="AM678" s="682"/>
      <c r="AN678" s="682"/>
      <c r="AO678" s="682"/>
      <c r="AP678" s="682"/>
      <c r="AQ678" s="682"/>
      <c r="AR678" s="682"/>
      <c r="AS678" s="682"/>
      <c r="AT678" s="682"/>
      <c r="AU678" s="682"/>
      <c r="AV678" s="682"/>
      <c r="AW678" s="682"/>
      <c r="AX678" s="682"/>
      <c r="AY678" s="682"/>
      <c r="AZ678" s="682"/>
      <c r="BA678" s="682"/>
      <c r="BB678" s="682"/>
      <c r="BC678" s="682"/>
      <c r="BD678" s="682"/>
      <c r="BE678" s="682"/>
      <c r="BF678" s="682"/>
      <c r="BG678" s="682"/>
      <c r="BH678" s="682"/>
      <c r="BI678" s="682"/>
      <c r="BJ678" s="682"/>
      <c r="BK678" s="682"/>
      <c r="BL678" s="682"/>
      <c r="BM678" s="682"/>
      <c r="BN678" s="682"/>
      <c r="BO678" s="682"/>
      <c r="BP678" s="682"/>
      <c r="BQ678" s="682"/>
      <c r="BR678" s="682"/>
      <c r="BS678" s="682"/>
      <c r="BT678" s="682"/>
      <c r="BU678" s="682"/>
      <c r="BV678" s="682"/>
      <c r="BW678" s="682"/>
      <c r="BX678" s="682"/>
      <c r="BY678" s="682"/>
      <c r="BZ678" s="682"/>
      <c r="CA678" s="682"/>
      <c r="CB678" s="682"/>
      <c r="CC678" s="682"/>
      <c r="CD678" s="682"/>
      <c r="CE678" s="682"/>
      <c r="CF678" s="682"/>
      <c r="CG678" s="682"/>
      <c r="CH678" s="682"/>
      <c r="CI678" s="682"/>
      <c r="CJ678" s="682"/>
      <c r="CK678" s="682"/>
      <c r="CL678" s="682"/>
      <c r="CM678" s="682"/>
      <c r="CN678" s="682"/>
      <c r="CO678" s="682"/>
      <c r="CP678" s="682"/>
      <c r="CQ678" s="682"/>
      <c r="CR678" s="682"/>
      <c r="CS678" s="682"/>
      <c r="CT678" s="682"/>
      <c r="CU678" s="682"/>
      <c r="CV678" s="682"/>
      <c r="CW678" s="682"/>
      <c r="CX678" s="682"/>
      <c r="CY678" s="682"/>
      <c r="CZ678" s="682"/>
      <c r="DA678" s="682"/>
      <c r="DB678" s="682"/>
      <c r="DC678" s="682"/>
      <c r="DD678" s="682"/>
      <c r="DE678" s="682"/>
      <c r="DF678" s="682"/>
      <c r="DG678" s="682"/>
      <c r="DH678" s="682"/>
      <c r="DI678" s="682"/>
      <c r="DJ678" s="682"/>
      <c r="DK678" s="682"/>
      <c r="DL678" s="682"/>
      <c r="DM678" s="682"/>
      <c r="DN678" s="682"/>
      <c r="DO678" s="682"/>
      <c r="DP678" s="682"/>
      <c r="DQ678" s="682"/>
      <c r="DR678" s="682"/>
      <c r="DS678" s="682"/>
      <c r="DT678" s="682"/>
      <c r="DU678" s="682"/>
      <c r="DV678" s="682"/>
      <c r="DW678" s="682"/>
      <c r="DX678" s="682"/>
      <c r="DY678" s="682"/>
      <c r="DZ678" s="682"/>
      <c r="EA678" s="682"/>
      <c r="EB678" s="682"/>
      <c r="EC678" s="682"/>
      <c r="ED678" s="682"/>
      <c r="EE678" s="682"/>
      <c r="EF678" s="682"/>
      <c r="EG678" s="682"/>
      <c r="EH678" s="682"/>
      <c r="EI678" s="682"/>
      <c r="EJ678" s="682"/>
      <c r="EK678" s="682"/>
      <c r="EL678" s="682"/>
      <c r="EM678" s="682"/>
      <c r="EN678" s="682"/>
      <c r="EO678" s="682"/>
      <c r="EP678" s="682"/>
      <c r="EQ678" s="682"/>
      <c r="ER678" s="682"/>
      <c r="ES678" s="682"/>
      <c r="ET678" s="682"/>
      <c r="EU678" s="682"/>
      <c r="EV678" s="682"/>
      <c r="EW678" s="682"/>
      <c r="EX678" s="682"/>
      <c r="EY678" s="682"/>
      <c r="EZ678" s="682"/>
      <c r="FA678" s="682"/>
      <c r="FB678" s="682"/>
      <c r="FC678" s="682"/>
      <c r="FD678" s="682"/>
      <c r="FE678" s="682"/>
      <c r="FF678" s="682"/>
      <c r="FG678" s="682"/>
      <c r="FH678" s="682"/>
      <c r="FI678" s="682"/>
      <c r="FJ678" s="682"/>
      <c r="FK678" s="682"/>
      <c r="FL678" s="682"/>
      <c r="FM678" s="682"/>
      <c r="FN678" s="682"/>
      <c r="FO678" s="682"/>
      <c r="FP678" s="682"/>
      <c r="FQ678" s="682"/>
      <c r="FR678" s="682"/>
      <c r="FS678" s="682"/>
      <c r="FT678" s="682"/>
      <c r="FU678" s="682"/>
      <c r="FV678" s="682"/>
      <c r="FW678" s="682"/>
      <c r="FX678" s="682"/>
      <c r="FY678" s="682"/>
      <c r="FZ678" s="682"/>
      <c r="GA678" s="682"/>
      <c r="GB678" s="682"/>
      <c r="GC678" s="682"/>
      <c r="GD678" s="682"/>
      <c r="GE678" s="682"/>
      <c r="GF678" s="682"/>
      <c r="GG678" s="682"/>
      <c r="GH678" s="682"/>
      <c r="GI678" s="682"/>
      <c r="GJ678" s="682"/>
      <c r="GK678" s="682"/>
      <c r="GL678" s="682"/>
      <c r="GM678" s="682"/>
      <c r="GN678" s="682"/>
      <c r="GO678" s="682"/>
      <c r="GP678" s="682"/>
      <c r="GQ678" s="682"/>
      <c r="GR678" s="682"/>
      <c r="GS678" s="682"/>
      <c r="GT678" s="682"/>
      <c r="GU678" s="682"/>
      <c r="GV678" s="682"/>
      <c r="GW678" s="682"/>
      <c r="GX678" s="682"/>
      <c r="GY678" s="682"/>
      <c r="GZ678" s="682"/>
      <c r="HA678" s="682"/>
      <c r="HB678" s="682"/>
      <c r="HC678" s="682"/>
      <c r="HD678" s="682"/>
      <c r="HE678" s="682"/>
      <c r="HF678" s="682"/>
      <c r="HG678" s="682"/>
      <c r="HH678" s="682"/>
      <c r="HI678" s="682"/>
      <c r="HJ678" s="682"/>
      <c r="HK678" s="682"/>
      <c r="HL678" s="682"/>
      <c r="HM678" s="682"/>
      <c r="HN678" s="682"/>
      <c r="HO678" s="682"/>
      <c r="HP678" s="682"/>
      <c r="HQ678" s="682"/>
      <c r="HR678" s="682"/>
      <c r="HS678" s="682"/>
      <c r="HT678" s="682"/>
      <c r="HU678" s="682"/>
      <c r="HV678" s="682"/>
      <c r="HW678" s="682"/>
      <c r="HX678" s="682"/>
      <c r="HY678" s="682"/>
      <c r="HZ678" s="682"/>
      <c r="IA678" s="682"/>
      <c r="IB678" s="682"/>
      <c r="IC678" s="682"/>
      <c r="ID678" s="682"/>
      <c r="IE678" s="682"/>
      <c r="IF678" s="682"/>
      <c r="IG678" s="682"/>
      <c r="IH678" s="682"/>
      <c r="II678" s="682"/>
      <c r="IJ678" s="682"/>
      <c r="IK678" s="682"/>
      <c r="IL678" s="682"/>
      <c r="IM678" s="682"/>
      <c r="IN678" s="682"/>
      <c r="IO678" s="682"/>
      <c r="IP678" s="682"/>
      <c r="IQ678" s="682"/>
      <c r="IR678" s="682"/>
      <c r="IS678" s="682"/>
      <c r="IT678" s="682"/>
      <c r="IU678" s="682"/>
      <c r="IV678" s="682"/>
      <c r="IW678" s="682"/>
    </row>
    <row r="679" spans="1:257" s="737" customFormat="1" ht="45.75" customHeight="1">
      <c r="A679" s="624" t="s">
        <v>192</v>
      </c>
      <c r="B679" s="623" t="s">
        <v>1453</v>
      </c>
      <c r="C679" s="622"/>
      <c r="D679" s="622"/>
      <c r="E679" s="660"/>
      <c r="F679" s="660">
        <f t="shared" ref="F679:J679" si="79">F687</f>
        <v>400000000</v>
      </c>
      <c r="G679" s="660">
        <f t="shared" si="79"/>
        <v>0</v>
      </c>
      <c r="H679" s="660">
        <f t="shared" si="79"/>
        <v>0</v>
      </c>
      <c r="I679" s="660">
        <f t="shared" si="79"/>
        <v>0</v>
      </c>
      <c r="J679" s="660">
        <f t="shared" si="79"/>
        <v>400000000</v>
      </c>
      <c r="K679" s="660">
        <f>K687</f>
        <v>400000000</v>
      </c>
      <c r="L679" s="1303">
        <f>SUM(L680:L687)-L686-L687</f>
        <v>7700000000</v>
      </c>
      <c r="M679" s="660"/>
      <c r="N679" s="860" t="s">
        <v>1705</v>
      </c>
      <c r="O679" s="860"/>
      <c r="P679" s="984"/>
      <c r="Q679" s="984"/>
      <c r="R679" s="1001"/>
      <c r="S679" s="1001"/>
      <c r="T679" s="1127"/>
      <c r="U679" s="954"/>
      <c r="V679" s="907"/>
      <c r="W679" s="907"/>
      <c r="X679" s="769"/>
      <c r="Y679" s="889"/>
      <c r="Z679" s="889"/>
      <c r="AA679" s="889"/>
      <c r="AB679" s="889"/>
      <c r="AC679" s="889"/>
      <c r="AD679" s="889"/>
      <c r="AE679" s="889"/>
      <c r="AF679" s="889"/>
      <c r="AG679" s="889"/>
      <c r="AH679" s="889"/>
      <c r="AI679" s="889"/>
      <c r="AJ679" s="889"/>
      <c r="AK679" s="889"/>
      <c r="AL679" s="889"/>
      <c r="AM679" s="889"/>
      <c r="AN679" s="889"/>
      <c r="AO679" s="889"/>
      <c r="AP679" s="889"/>
      <c r="AQ679" s="889"/>
      <c r="AR679" s="889"/>
      <c r="AS679" s="889"/>
      <c r="AT679" s="889"/>
      <c r="AU679" s="889"/>
      <c r="AV679" s="889"/>
      <c r="AW679" s="889"/>
      <c r="AX679" s="889"/>
      <c r="AY679" s="889"/>
      <c r="AZ679" s="889"/>
      <c r="BA679" s="889"/>
      <c r="BB679" s="889"/>
      <c r="BC679" s="889"/>
      <c r="BD679" s="889"/>
      <c r="BE679" s="889"/>
      <c r="BF679" s="889"/>
      <c r="BG679" s="889"/>
      <c r="BH679" s="889"/>
      <c r="BI679" s="889"/>
      <c r="BJ679" s="889"/>
      <c r="BK679" s="889"/>
      <c r="BL679" s="889"/>
      <c r="BM679" s="889"/>
      <c r="BN679" s="889"/>
      <c r="BO679" s="889"/>
      <c r="BP679" s="889"/>
      <c r="BQ679" s="889"/>
      <c r="BR679" s="889"/>
      <c r="BS679" s="889"/>
      <c r="BT679" s="889"/>
      <c r="BU679" s="889"/>
      <c r="BV679" s="889"/>
      <c r="BW679" s="889"/>
      <c r="BX679" s="889"/>
      <c r="BY679" s="889"/>
      <c r="BZ679" s="889"/>
      <c r="CA679" s="889"/>
      <c r="CB679" s="889"/>
      <c r="CC679" s="889"/>
      <c r="CD679" s="889"/>
      <c r="CE679" s="889"/>
      <c r="CF679" s="889"/>
      <c r="CG679" s="889"/>
      <c r="CH679" s="889"/>
      <c r="CI679" s="889"/>
      <c r="CJ679" s="889"/>
      <c r="CK679" s="889"/>
      <c r="CL679" s="889"/>
      <c r="CM679" s="889"/>
      <c r="CN679" s="889"/>
      <c r="CO679" s="889"/>
      <c r="CP679" s="889"/>
      <c r="CQ679" s="889"/>
      <c r="CR679" s="889"/>
      <c r="CS679" s="889"/>
      <c r="CT679" s="889"/>
      <c r="CU679" s="889"/>
      <c r="CV679" s="889"/>
      <c r="CW679" s="889"/>
      <c r="CX679" s="889"/>
      <c r="CY679" s="889"/>
      <c r="CZ679" s="889"/>
      <c r="DA679" s="889"/>
      <c r="DB679" s="889"/>
      <c r="DC679" s="889"/>
      <c r="DD679" s="889"/>
      <c r="DE679" s="889"/>
      <c r="DF679" s="889"/>
      <c r="DG679" s="889"/>
      <c r="DH679" s="889"/>
      <c r="DI679" s="889"/>
      <c r="DJ679" s="889"/>
      <c r="DK679" s="889"/>
      <c r="DL679" s="889"/>
      <c r="DM679" s="889"/>
      <c r="DN679" s="889"/>
      <c r="DO679" s="889"/>
      <c r="DP679" s="889"/>
      <c r="DQ679" s="889"/>
      <c r="DR679" s="889"/>
      <c r="DS679" s="889"/>
      <c r="DT679" s="889"/>
      <c r="DU679" s="889"/>
      <c r="DV679" s="889"/>
      <c r="DW679" s="889"/>
      <c r="DX679" s="889"/>
      <c r="DY679" s="889"/>
      <c r="DZ679" s="889"/>
      <c r="EA679" s="889"/>
      <c r="EB679" s="889"/>
      <c r="EC679" s="889"/>
      <c r="ED679" s="889"/>
      <c r="EE679" s="889"/>
      <c r="EF679" s="889"/>
      <c r="EG679" s="889"/>
      <c r="EH679" s="889"/>
      <c r="EI679" s="889"/>
      <c r="EJ679" s="889"/>
      <c r="EK679" s="889"/>
      <c r="EL679" s="889"/>
      <c r="EM679" s="889"/>
      <c r="EN679" s="889"/>
      <c r="EO679" s="889"/>
      <c r="EP679" s="889"/>
      <c r="EQ679" s="889"/>
      <c r="ER679" s="889"/>
      <c r="ES679" s="889"/>
      <c r="ET679" s="889"/>
      <c r="EU679" s="889"/>
      <c r="EV679" s="889"/>
      <c r="EW679" s="889"/>
      <c r="EX679" s="889"/>
      <c r="EY679" s="889"/>
      <c r="EZ679" s="889"/>
      <c r="FA679" s="889"/>
      <c r="FB679" s="889"/>
      <c r="FC679" s="889"/>
      <c r="FD679" s="889"/>
      <c r="FE679" s="889"/>
      <c r="FF679" s="889"/>
      <c r="FG679" s="889"/>
      <c r="FH679" s="889"/>
      <c r="FI679" s="889"/>
      <c r="FJ679" s="889"/>
      <c r="FK679" s="889"/>
      <c r="FL679" s="889"/>
      <c r="FM679" s="889"/>
      <c r="FN679" s="889"/>
      <c r="FO679" s="889"/>
      <c r="FP679" s="889"/>
      <c r="FQ679" s="889"/>
      <c r="FR679" s="889"/>
      <c r="FS679" s="889"/>
      <c r="FT679" s="889"/>
      <c r="FU679" s="889"/>
      <c r="FV679" s="889"/>
      <c r="FW679" s="889"/>
      <c r="FX679" s="889"/>
      <c r="FY679" s="889"/>
      <c r="FZ679" s="889"/>
      <c r="GA679" s="889"/>
      <c r="GB679" s="889"/>
      <c r="GC679" s="889"/>
      <c r="GD679" s="889"/>
      <c r="GE679" s="889"/>
      <c r="GF679" s="889"/>
      <c r="GG679" s="889"/>
      <c r="GH679" s="889"/>
      <c r="GI679" s="889"/>
      <c r="GJ679" s="889"/>
      <c r="GK679" s="889"/>
      <c r="GL679" s="889"/>
      <c r="GM679" s="889"/>
      <c r="GN679" s="889"/>
      <c r="GO679" s="889"/>
      <c r="GP679" s="889"/>
      <c r="GQ679" s="889"/>
      <c r="GR679" s="889"/>
      <c r="GS679" s="889"/>
      <c r="GT679" s="889"/>
      <c r="GU679" s="889"/>
      <c r="GV679" s="889"/>
      <c r="GW679" s="889"/>
      <c r="GX679" s="889"/>
      <c r="GY679" s="889"/>
      <c r="GZ679" s="889"/>
      <c r="HA679" s="889"/>
      <c r="HB679" s="889"/>
      <c r="HC679" s="889"/>
      <c r="HD679" s="889"/>
      <c r="HE679" s="889"/>
      <c r="HF679" s="889"/>
      <c r="HG679" s="889"/>
      <c r="HH679" s="889"/>
      <c r="HI679" s="889"/>
      <c r="HJ679" s="889"/>
      <c r="HK679" s="889"/>
      <c r="HL679" s="889"/>
      <c r="HM679" s="889"/>
      <c r="HN679" s="889"/>
      <c r="HO679" s="889"/>
      <c r="HP679" s="889"/>
      <c r="HQ679" s="889"/>
      <c r="HR679" s="889"/>
      <c r="HS679" s="889"/>
      <c r="HT679" s="889"/>
      <c r="HU679" s="889"/>
      <c r="HV679" s="889"/>
      <c r="HW679" s="889"/>
      <c r="HX679" s="889"/>
      <c r="HY679" s="889"/>
      <c r="HZ679" s="889"/>
      <c r="IA679" s="889"/>
      <c r="IB679" s="889"/>
      <c r="IC679" s="889"/>
      <c r="ID679" s="889"/>
      <c r="IE679" s="889"/>
      <c r="IF679" s="889"/>
      <c r="IG679" s="889"/>
      <c r="IH679" s="889"/>
      <c r="II679" s="889"/>
      <c r="IJ679" s="889"/>
      <c r="IK679" s="889"/>
      <c r="IL679" s="889"/>
      <c r="IM679" s="889"/>
      <c r="IN679" s="889"/>
      <c r="IO679" s="889"/>
      <c r="IP679" s="889"/>
      <c r="IQ679" s="889"/>
      <c r="IR679" s="889"/>
      <c r="IS679" s="889"/>
      <c r="IT679" s="889"/>
      <c r="IU679" s="889"/>
      <c r="IV679" s="889"/>
      <c r="IW679" s="889"/>
    </row>
    <row r="680" spans="1:257" s="703" customFormat="1" ht="45.75" customHeight="1">
      <c r="A680" s="617"/>
      <c r="B680" s="696" t="s">
        <v>1470</v>
      </c>
      <c r="C680" s="635"/>
      <c r="D680" s="635"/>
      <c r="E680" s="651"/>
      <c r="F680" s="651"/>
      <c r="G680" s="651"/>
      <c r="H680" s="651"/>
      <c r="I680" s="651"/>
      <c r="J680" s="651"/>
      <c r="K680" s="651"/>
      <c r="L680" s="1305">
        <v>1500000000</v>
      </c>
      <c r="M680" s="609"/>
      <c r="N680" s="830"/>
      <c r="O680" s="830"/>
      <c r="P680" s="890"/>
      <c r="Q680" s="890"/>
      <c r="R680" s="891"/>
      <c r="S680" s="891"/>
      <c r="T680" s="832"/>
      <c r="U680" s="721"/>
      <c r="V680" s="722"/>
      <c r="W680" s="722"/>
      <c r="X680" s="723"/>
      <c r="Y680" s="724"/>
      <c r="Z680" s="724"/>
      <c r="AA680" s="724"/>
      <c r="AB680" s="724"/>
      <c r="AC680" s="724"/>
      <c r="AD680" s="724"/>
      <c r="AE680" s="724"/>
      <c r="AF680" s="724"/>
      <c r="AG680" s="724"/>
      <c r="AH680" s="724"/>
      <c r="AI680" s="724"/>
      <c r="AJ680" s="724"/>
      <c r="AK680" s="724"/>
      <c r="AL680" s="724"/>
      <c r="AM680" s="724"/>
      <c r="AN680" s="724"/>
      <c r="AO680" s="724"/>
      <c r="AP680" s="724"/>
      <c r="AQ680" s="724"/>
      <c r="AR680" s="724"/>
      <c r="AS680" s="724"/>
      <c r="AT680" s="724"/>
      <c r="AU680" s="724"/>
      <c r="AV680" s="724"/>
      <c r="AW680" s="724"/>
      <c r="AX680" s="724"/>
      <c r="AY680" s="724"/>
      <c r="AZ680" s="724"/>
      <c r="BA680" s="724"/>
      <c r="BB680" s="724"/>
      <c r="BC680" s="724"/>
      <c r="BD680" s="724"/>
      <c r="BE680" s="724"/>
      <c r="BF680" s="724"/>
      <c r="BG680" s="724"/>
      <c r="BH680" s="724"/>
      <c r="BI680" s="724"/>
      <c r="BJ680" s="724"/>
      <c r="BK680" s="724"/>
      <c r="BL680" s="724"/>
      <c r="BM680" s="724"/>
      <c r="BN680" s="724"/>
      <c r="BO680" s="724"/>
      <c r="BP680" s="724"/>
      <c r="BQ680" s="724"/>
      <c r="BR680" s="724"/>
      <c r="BS680" s="724"/>
      <c r="BT680" s="724"/>
      <c r="BU680" s="724"/>
      <c r="BV680" s="724"/>
      <c r="BW680" s="724"/>
      <c r="BX680" s="724"/>
      <c r="BY680" s="724"/>
      <c r="BZ680" s="724"/>
      <c r="CA680" s="724"/>
      <c r="CB680" s="724"/>
      <c r="CC680" s="724"/>
      <c r="CD680" s="724"/>
      <c r="CE680" s="724"/>
      <c r="CF680" s="724"/>
      <c r="CG680" s="724"/>
      <c r="CH680" s="724"/>
      <c r="CI680" s="724"/>
      <c r="CJ680" s="724"/>
      <c r="CK680" s="724"/>
      <c r="CL680" s="724"/>
      <c r="CM680" s="724"/>
      <c r="CN680" s="724"/>
      <c r="CO680" s="724"/>
      <c r="CP680" s="724"/>
      <c r="CQ680" s="724"/>
      <c r="CR680" s="724"/>
      <c r="CS680" s="724"/>
      <c r="CT680" s="724"/>
      <c r="CU680" s="724"/>
      <c r="CV680" s="724"/>
      <c r="CW680" s="724"/>
      <c r="CX680" s="724"/>
      <c r="CY680" s="724"/>
      <c r="CZ680" s="724"/>
      <c r="DA680" s="724"/>
      <c r="DB680" s="724"/>
      <c r="DC680" s="724"/>
      <c r="DD680" s="724"/>
      <c r="DE680" s="724"/>
      <c r="DF680" s="724"/>
      <c r="DG680" s="724"/>
      <c r="DH680" s="724"/>
      <c r="DI680" s="724"/>
      <c r="DJ680" s="724"/>
      <c r="DK680" s="724"/>
      <c r="DL680" s="724"/>
      <c r="DM680" s="724"/>
      <c r="DN680" s="724"/>
      <c r="DO680" s="724"/>
      <c r="DP680" s="724"/>
      <c r="DQ680" s="724"/>
      <c r="DR680" s="724"/>
      <c r="DS680" s="724"/>
      <c r="DT680" s="724"/>
      <c r="DU680" s="724"/>
      <c r="DV680" s="724"/>
      <c r="DW680" s="724"/>
      <c r="DX680" s="724"/>
      <c r="DY680" s="724"/>
      <c r="DZ680" s="724"/>
      <c r="EA680" s="724"/>
      <c r="EB680" s="724"/>
      <c r="EC680" s="724"/>
      <c r="ED680" s="724"/>
      <c r="EE680" s="724"/>
      <c r="EF680" s="724"/>
      <c r="EG680" s="724"/>
      <c r="EH680" s="724"/>
      <c r="EI680" s="724"/>
      <c r="EJ680" s="724"/>
      <c r="EK680" s="724"/>
      <c r="EL680" s="724"/>
      <c r="EM680" s="724"/>
      <c r="EN680" s="724"/>
      <c r="EO680" s="724"/>
      <c r="EP680" s="724"/>
      <c r="EQ680" s="724"/>
      <c r="ER680" s="724"/>
      <c r="ES680" s="724"/>
      <c r="ET680" s="724"/>
      <c r="EU680" s="724"/>
      <c r="EV680" s="724"/>
      <c r="EW680" s="724"/>
      <c r="EX680" s="724"/>
      <c r="EY680" s="724"/>
      <c r="EZ680" s="724"/>
      <c r="FA680" s="724"/>
      <c r="FB680" s="724"/>
      <c r="FC680" s="724"/>
      <c r="FD680" s="724"/>
      <c r="FE680" s="724"/>
      <c r="FF680" s="724"/>
      <c r="FG680" s="724"/>
      <c r="FH680" s="724"/>
      <c r="FI680" s="724"/>
      <c r="FJ680" s="724"/>
      <c r="FK680" s="724"/>
      <c r="FL680" s="724"/>
      <c r="FM680" s="724"/>
      <c r="FN680" s="724"/>
      <c r="FO680" s="724"/>
      <c r="FP680" s="724"/>
      <c r="FQ680" s="724"/>
      <c r="FR680" s="724"/>
      <c r="FS680" s="724"/>
      <c r="FT680" s="724"/>
      <c r="FU680" s="724"/>
      <c r="FV680" s="724"/>
      <c r="FW680" s="724"/>
      <c r="FX680" s="724"/>
      <c r="FY680" s="724"/>
      <c r="FZ680" s="724"/>
      <c r="GA680" s="724"/>
      <c r="GB680" s="724"/>
      <c r="GC680" s="724"/>
      <c r="GD680" s="724"/>
      <c r="GE680" s="724"/>
      <c r="GF680" s="724"/>
      <c r="GG680" s="724"/>
      <c r="GH680" s="724"/>
      <c r="GI680" s="724"/>
      <c r="GJ680" s="724"/>
      <c r="GK680" s="724"/>
      <c r="GL680" s="724"/>
      <c r="GM680" s="724"/>
      <c r="GN680" s="724"/>
      <c r="GO680" s="724"/>
      <c r="GP680" s="724"/>
      <c r="GQ680" s="724"/>
      <c r="GR680" s="724"/>
      <c r="GS680" s="724"/>
      <c r="GT680" s="724"/>
      <c r="GU680" s="724"/>
      <c r="GV680" s="724"/>
      <c r="GW680" s="724"/>
      <c r="GX680" s="724"/>
      <c r="GY680" s="724"/>
      <c r="GZ680" s="724"/>
      <c r="HA680" s="724"/>
      <c r="HB680" s="724"/>
      <c r="HC680" s="724"/>
      <c r="HD680" s="724"/>
      <c r="HE680" s="724"/>
      <c r="HF680" s="724"/>
      <c r="HG680" s="724"/>
      <c r="HH680" s="724"/>
      <c r="HI680" s="724"/>
      <c r="HJ680" s="724"/>
      <c r="HK680" s="724"/>
      <c r="HL680" s="724"/>
      <c r="HM680" s="724"/>
      <c r="HN680" s="724"/>
      <c r="HO680" s="724"/>
      <c r="HP680" s="724"/>
      <c r="HQ680" s="724"/>
      <c r="HR680" s="724"/>
      <c r="HS680" s="724"/>
      <c r="HT680" s="724"/>
      <c r="HU680" s="724"/>
      <c r="HV680" s="724"/>
      <c r="HW680" s="724"/>
      <c r="HX680" s="724"/>
      <c r="HY680" s="724"/>
      <c r="HZ680" s="724"/>
      <c r="IA680" s="724"/>
      <c r="IB680" s="724"/>
      <c r="IC680" s="724"/>
      <c r="ID680" s="724"/>
      <c r="IE680" s="724"/>
      <c r="IF680" s="724"/>
      <c r="IG680" s="724"/>
      <c r="IH680" s="724"/>
      <c r="II680" s="724"/>
      <c r="IJ680" s="724"/>
      <c r="IK680" s="724"/>
      <c r="IL680" s="724"/>
      <c r="IM680" s="724"/>
      <c r="IN680" s="724"/>
      <c r="IO680" s="724"/>
      <c r="IP680" s="724"/>
      <c r="IQ680" s="724"/>
      <c r="IR680" s="724"/>
      <c r="IS680" s="724"/>
      <c r="IT680" s="724"/>
      <c r="IU680" s="724"/>
      <c r="IV680" s="724"/>
      <c r="IW680" s="724"/>
    </row>
    <row r="681" spans="1:257" s="703" customFormat="1" ht="45.75" customHeight="1">
      <c r="A681" s="617"/>
      <c r="B681" s="696" t="s">
        <v>1471</v>
      </c>
      <c r="C681" s="635"/>
      <c r="D681" s="635"/>
      <c r="E681" s="651"/>
      <c r="F681" s="651"/>
      <c r="G681" s="651"/>
      <c r="H681" s="651"/>
      <c r="I681" s="651"/>
      <c r="J681" s="651"/>
      <c r="K681" s="651"/>
      <c r="L681" s="1305">
        <v>200000000</v>
      </c>
      <c r="M681" s="609"/>
      <c r="N681" s="830"/>
      <c r="O681" s="830"/>
      <c r="P681" s="890"/>
      <c r="Q681" s="890"/>
      <c r="R681" s="891"/>
      <c r="S681" s="891"/>
      <c r="T681" s="832"/>
      <c r="U681" s="721"/>
      <c r="V681" s="722"/>
      <c r="W681" s="722"/>
      <c r="X681" s="723"/>
      <c r="Y681" s="724"/>
      <c r="Z681" s="724"/>
      <c r="AA681" s="724"/>
      <c r="AB681" s="724"/>
      <c r="AC681" s="724"/>
      <c r="AD681" s="724"/>
      <c r="AE681" s="724"/>
      <c r="AF681" s="724"/>
      <c r="AG681" s="724"/>
      <c r="AH681" s="724"/>
      <c r="AI681" s="724"/>
      <c r="AJ681" s="724"/>
      <c r="AK681" s="724"/>
      <c r="AL681" s="724"/>
      <c r="AM681" s="724"/>
      <c r="AN681" s="724"/>
      <c r="AO681" s="724"/>
      <c r="AP681" s="724"/>
      <c r="AQ681" s="724"/>
      <c r="AR681" s="724"/>
      <c r="AS681" s="724"/>
      <c r="AT681" s="724"/>
      <c r="AU681" s="724"/>
      <c r="AV681" s="724"/>
      <c r="AW681" s="724"/>
      <c r="AX681" s="724"/>
      <c r="AY681" s="724"/>
      <c r="AZ681" s="724"/>
      <c r="BA681" s="724"/>
      <c r="BB681" s="724"/>
      <c r="BC681" s="724"/>
      <c r="BD681" s="724"/>
      <c r="BE681" s="724"/>
      <c r="BF681" s="724"/>
      <c r="BG681" s="724"/>
      <c r="BH681" s="724"/>
      <c r="BI681" s="724"/>
      <c r="BJ681" s="724"/>
      <c r="BK681" s="724"/>
      <c r="BL681" s="724"/>
      <c r="BM681" s="724"/>
      <c r="BN681" s="724"/>
      <c r="BO681" s="724"/>
      <c r="BP681" s="724"/>
      <c r="BQ681" s="724"/>
      <c r="BR681" s="724"/>
      <c r="BS681" s="724"/>
      <c r="BT681" s="724"/>
      <c r="BU681" s="724"/>
      <c r="BV681" s="724"/>
      <c r="BW681" s="724"/>
      <c r="BX681" s="724"/>
      <c r="BY681" s="724"/>
      <c r="BZ681" s="724"/>
      <c r="CA681" s="724"/>
      <c r="CB681" s="724"/>
      <c r="CC681" s="724"/>
      <c r="CD681" s="724"/>
      <c r="CE681" s="724"/>
      <c r="CF681" s="724"/>
      <c r="CG681" s="724"/>
      <c r="CH681" s="724"/>
      <c r="CI681" s="724"/>
      <c r="CJ681" s="724"/>
      <c r="CK681" s="724"/>
      <c r="CL681" s="724"/>
      <c r="CM681" s="724"/>
      <c r="CN681" s="724"/>
      <c r="CO681" s="724"/>
      <c r="CP681" s="724"/>
      <c r="CQ681" s="724"/>
      <c r="CR681" s="724"/>
      <c r="CS681" s="724"/>
      <c r="CT681" s="724"/>
      <c r="CU681" s="724"/>
      <c r="CV681" s="724"/>
      <c r="CW681" s="724"/>
      <c r="CX681" s="724"/>
      <c r="CY681" s="724"/>
      <c r="CZ681" s="724"/>
      <c r="DA681" s="724"/>
      <c r="DB681" s="724"/>
      <c r="DC681" s="724"/>
      <c r="DD681" s="724"/>
      <c r="DE681" s="724"/>
      <c r="DF681" s="724"/>
      <c r="DG681" s="724"/>
      <c r="DH681" s="724"/>
      <c r="DI681" s="724"/>
      <c r="DJ681" s="724"/>
      <c r="DK681" s="724"/>
      <c r="DL681" s="724"/>
      <c r="DM681" s="724"/>
      <c r="DN681" s="724"/>
      <c r="DO681" s="724"/>
      <c r="DP681" s="724"/>
      <c r="DQ681" s="724"/>
      <c r="DR681" s="724"/>
      <c r="DS681" s="724"/>
      <c r="DT681" s="724"/>
      <c r="DU681" s="724"/>
      <c r="DV681" s="724"/>
      <c r="DW681" s="724"/>
      <c r="DX681" s="724"/>
      <c r="DY681" s="724"/>
      <c r="DZ681" s="724"/>
      <c r="EA681" s="724"/>
      <c r="EB681" s="724"/>
      <c r="EC681" s="724"/>
      <c r="ED681" s="724"/>
      <c r="EE681" s="724"/>
      <c r="EF681" s="724"/>
      <c r="EG681" s="724"/>
      <c r="EH681" s="724"/>
      <c r="EI681" s="724"/>
      <c r="EJ681" s="724"/>
      <c r="EK681" s="724"/>
      <c r="EL681" s="724"/>
      <c r="EM681" s="724"/>
      <c r="EN681" s="724"/>
      <c r="EO681" s="724"/>
      <c r="EP681" s="724"/>
      <c r="EQ681" s="724"/>
      <c r="ER681" s="724"/>
      <c r="ES681" s="724"/>
      <c r="ET681" s="724"/>
      <c r="EU681" s="724"/>
      <c r="EV681" s="724"/>
      <c r="EW681" s="724"/>
      <c r="EX681" s="724"/>
      <c r="EY681" s="724"/>
      <c r="EZ681" s="724"/>
      <c r="FA681" s="724"/>
      <c r="FB681" s="724"/>
      <c r="FC681" s="724"/>
      <c r="FD681" s="724"/>
      <c r="FE681" s="724"/>
      <c r="FF681" s="724"/>
      <c r="FG681" s="724"/>
      <c r="FH681" s="724"/>
      <c r="FI681" s="724"/>
      <c r="FJ681" s="724"/>
      <c r="FK681" s="724"/>
      <c r="FL681" s="724"/>
      <c r="FM681" s="724"/>
      <c r="FN681" s="724"/>
      <c r="FO681" s="724"/>
      <c r="FP681" s="724"/>
      <c r="FQ681" s="724"/>
      <c r="FR681" s="724"/>
      <c r="FS681" s="724"/>
      <c r="FT681" s="724"/>
      <c r="FU681" s="724"/>
      <c r="FV681" s="724"/>
      <c r="FW681" s="724"/>
      <c r="FX681" s="724"/>
      <c r="FY681" s="724"/>
      <c r="FZ681" s="724"/>
      <c r="GA681" s="724"/>
      <c r="GB681" s="724"/>
      <c r="GC681" s="724"/>
      <c r="GD681" s="724"/>
      <c r="GE681" s="724"/>
      <c r="GF681" s="724"/>
      <c r="GG681" s="724"/>
      <c r="GH681" s="724"/>
      <c r="GI681" s="724"/>
      <c r="GJ681" s="724"/>
      <c r="GK681" s="724"/>
      <c r="GL681" s="724"/>
      <c r="GM681" s="724"/>
      <c r="GN681" s="724"/>
      <c r="GO681" s="724"/>
      <c r="GP681" s="724"/>
      <c r="GQ681" s="724"/>
      <c r="GR681" s="724"/>
      <c r="GS681" s="724"/>
      <c r="GT681" s="724"/>
      <c r="GU681" s="724"/>
      <c r="GV681" s="724"/>
      <c r="GW681" s="724"/>
      <c r="GX681" s="724"/>
      <c r="GY681" s="724"/>
      <c r="GZ681" s="724"/>
      <c r="HA681" s="724"/>
      <c r="HB681" s="724"/>
      <c r="HC681" s="724"/>
      <c r="HD681" s="724"/>
      <c r="HE681" s="724"/>
      <c r="HF681" s="724"/>
      <c r="HG681" s="724"/>
      <c r="HH681" s="724"/>
      <c r="HI681" s="724"/>
      <c r="HJ681" s="724"/>
      <c r="HK681" s="724"/>
      <c r="HL681" s="724"/>
      <c r="HM681" s="724"/>
      <c r="HN681" s="724"/>
      <c r="HO681" s="724"/>
      <c r="HP681" s="724"/>
      <c r="HQ681" s="724"/>
      <c r="HR681" s="724"/>
      <c r="HS681" s="724"/>
      <c r="HT681" s="724"/>
      <c r="HU681" s="724"/>
      <c r="HV681" s="724"/>
      <c r="HW681" s="724"/>
      <c r="HX681" s="724"/>
      <c r="HY681" s="724"/>
      <c r="HZ681" s="724"/>
      <c r="IA681" s="724"/>
      <c r="IB681" s="724"/>
      <c r="IC681" s="724"/>
      <c r="ID681" s="724"/>
      <c r="IE681" s="724"/>
      <c r="IF681" s="724"/>
      <c r="IG681" s="724"/>
      <c r="IH681" s="724"/>
      <c r="II681" s="724"/>
      <c r="IJ681" s="724"/>
      <c r="IK681" s="724"/>
      <c r="IL681" s="724"/>
      <c r="IM681" s="724"/>
      <c r="IN681" s="724"/>
      <c r="IO681" s="724"/>
      <c r="IP681" s="724"/>
      <c r="IQ681" s="724"/>
      <c r="IR681" s="724"/>
      <c r="IS681" s="724"/>
      <c r="IT681" s="724"/>
      <c r="IU681" s="724"/>
      <c r="IV681" s="724"/>
      <c r="IW681" s="724"/>
    </row>
    <row r="682" spans="1:257" s="703" customFormat="1" ht="45.75" customHeight="1">
      <c r="A682" s="617"/>
      <c r="B682" s="696" t="s">
        <v>1472</v>
      </c>
      <c r="C682" s="635"/>
      <c r="D682" s="635"/>
      <c r="E682" s="651"/>
      <c r="F682" s="651"/>
      <c r="G682" s="651"/>
      <c r="H682" s="651"/>
      <c r="I682" s="651"/>
      <c r="J682" s="651"/>
      <c r="K682" s="651"/>
      <c r="L682" s="1305">
        <v>2000000000</v>
      </c>
      <c r="M682" s="609"/>
      <c r="N682" s="830"/>
      <c r="O682" s="830"/>
      <c r="P682" s="890"/>
      <c r="Q682" s="890"/>
      <c r="R682" s="891"/>
      <c r="S682" s="891"/>
      <c r="T682" s="832"/>
      <c r="U682" s="721"/>
      <c r="V682" s="722"/>
      <c r="W682" s="722"/>
      <c r="X682" s="723"/>
      <c r="Y682" s="724"/>
      <c r="Z682" s="724"/>
      <c r="AA682" s="724"/>
      <c r="AB682" s="724"/>
      <c r="AC682" s="724"/>
      <c r="AD682" s="724"/>
      <c r="AE682" s="724"/>
      <c r="AF682" s="724"/>
      <c r="AG682" s="724"/>
      <c r="AH682" s="724"/>
      <c r="AI682" s="724"/>
      <c r="AJ682" s="724"/>
      <c r="AK682" s="724"/>
      <c r="AL682" s="724"/>
      <c r="AM682" s="724"/>
      <c r="AN682" s="724"/>
      <c r="AO682" s="724"/>
      <c r="AP682" s="724"/>
      <c r="AQ682" s="724"/>
      <c r="AR682" s="724"/>
      <c r="AS682" s="724"/>
      <c r="AT682" s="724"/>
      <c r="AU682" s="724"/>
      <c r="AV682" s="724"/>
      <c r="AW682" s="724"/>
      <c r="AX682" s="724"/>
      <c r="AY682" s="724"/>
      <c r="AZ682" s="724"/>
      <c r="BA682" s="724"/>
      <c r="BB682" s="724"/>
      <c r="BC682" s="724"/>
      <c r="BD682" s="724"/>
      <c r="BE682" s="724"/>
      <c r="BF682" s="724"/>
      <c r="BG682" s="724"/>
      <c r="BH682" s="724"/>
      <c r="BI682" s="724"/>
      <c r="BJ682" s="724"/>
      <c r="BK682" s="724"/>
      <c r="BL682" s="724"/>
      <c r="BM682" s="724"/>
      <c r="BN682" s="724"/>
      <c r="BO682" s="724"/>
      <c r="BP682" s="724"/>
      <c r="BQ682" s="724"/>
      <c r="BR682" s="724"/>
      <c r="BS682" s="724"/>
      <c r="BT682" s="724"/>
      <c r="BU682" s="724"/>
      <c r="BV682" s="724"/>
      <c r="BW682" s="724"/>
      <c r="BX682" s="724"/>
      <c r="BY682" s="724"/>
      <c r="BZ682" s="724"/>
      <c r="CA682" s="724"/>
      <c r="CB682" s="724"/>
      <c r="CC682" s="724"/>
      <c r="CD682" s="724"/>
      <c r="CE682" s="724"/>
      <c r="CF682" s="724"/>
      <c r="CG682" s="724"/>
      <c r="CH682" s="724"/>
      <c r="CI682" s="724"/>
      <c r="CJ682" s="724"/>
      <c r="CK682" s="724"/>
      <c r="CL682" s="724"/>
      <c r="CM682" s="724"/>
      <c r="CN682" s="724"/>
      <c r="CO682" s="724"/>
      <c r="CP682" s="724"/>
      <c r="CQ682" s="724"/>
      <c r="CR682" s="724"/>
      <c r="CS682" s="724"/>
      <c r="CT682" s="724"/>
      <c r="CU682" s="724"/>
      <c r="CV682" s="724"/>
      <c r="CW682" s="724"/>
      <c r="CX682" s="724"/>
      <c r="CY682" s="724"/>
      <c r="CZ682" s="724"/>
      <c r="DA682" s="724"/>
      <c r="DB682" s="724"/>
      <c r="DC682" s="724"/>
      <c r="DD682" s="724"/>
      <c r="DE682" s="724"/>
      <c r="DF682" s="724"/>
      <c r="DG682" s="724"/>
      <c r="DH682" s="724"/>
      <c r="DI682" s="724"/>
      <c r="DJ682" s="724"/>
      <c r="DK682" s="724"/>
      <c r="DL682" s="724"/>
      <c r="DM682" s="724"/>
      <c r="DN682" s="724"/>
      <c r="DO682" s="724"/>
      <c r="DP682" s="724"/>
      <c r="DQ682" s="724"/>
      <c r="DR682" s="724"/>
      <c r="DS682" s="724"/>
      <c r="DT682" s="724"/>
      <c r="DU682" s="724"/>
      <c r="DV682" s="724"/>
      <c r="DW682" s="724"/>
      <c r="DX682" s="724"/>
      <c r="DY682" s="724"/>
      <c r="DZ682" s="724"/>
      <c r="EA682" s="724"/>
      <c r="EB682" s="724"/>
      <c r="EC682" s="724"/>
      <c r="ED682" s="724"/>
      <c r="EE682" s="724"/>
      <c r="EF682" s="724"/>
      <c r="EG682" s="724"/>
      <c r="EH682" s="724"/>
      <c r="EI682" s="724"/>
      <c r="EJ682" s="724"/>
      <c r="EK682" s="724"/>
      <c r="EL682" s="724"/>
      <c r="EM682" s="724"/>
      <c r="EN682" s="724"/>
      <c r="EO682" s="724"/>
      <c r="EP682" s="724"/>
      <c r="EQ682" s="724"/>
      <c r="ER682" s="724"/>
      <c r="ES682" s="724"/>
      <c r="ET682" s="724"/>
      <c r="EU682" s="724"/>
      <c r="EV682" s="724"/>
      <c r="EW682" s="724"/>
      <c r="EX682" s="724"/>
      <c r="EY682" s="724"/>
      <c r="EZ682" s="724"/>
      <c r="FA682" s="724"/>
      <c r="FB682" s="724"/>
      <c r="FC682" s="724"/>
      <c r="FD682" s="724"/>
      <c r="FE682" s="724"/>
      <c r="FF682" s="724"/>
      <c r="FG682" s="724"/>
      <c r="FH682" s="724"/>
      <c r="FI682" s="724"/>
      <c r="FJ682" s="724"/>
      <c r="FK682" s="724"/>
      <c r="FL682" s="724"/>
      <c r="FM682" s="724"/>
      <c r="FN682" s="724"/>
      <c r="FO682" s="724"/>
      <c r="FP682" s="724"/>
      <c r="FQ682" s="724"/>
      <c r="FR682" s="724"/>
      <c r="FS682" s="724"/>
      <c r="FT682" s="724"/>
      <c r="FU682" s="724"/>
      <c r="FV682" s="724"/>
      <c r="FW682" s="724"/>
      <c r="FX682" s="724"/>
      <c r="FY682" s="724"/>
      <c r="FZ682" s="724"/>
      <c r="GA682" s="724"/>
      <c r="GB682" s="724"/>
      <c r="GC682" s="724"/>
      <c r="GD682" s="724"/>
      <c r="GE682" s="724"/>
      <c r="GF682" s="724"/>
      <c r="GG682" s="724"/>
      <c r="GH682" s="724"/>
      <c r="GI682" s="724"/>
      <c r="GJ682" s="724"/>
      <c r="GK682" s="724"/>
      <c r="GL682" s="724"/>
      <c r="GM682" s="724"/>
      <c r="GN682" s="724"/>
      <c r="GO682" s="724"/>
      <c r="GP682" s="724"/>
      <c r="GQ682" s="724"/>
      <c r="GR682" s="724"/>
      <c r="GS682" s="724"/>
      <c r="GT682" s="724"/>
      <c r="GU682" s="724"/>
      <c r="GV682" s="724"/>
      <c r="GW682" s="724"/>
      <c r="GX682" s="724"/>
      <c r="GY682" s="724"/>
      <c r="GZ682" s="724"/>
      <c r="HA682" s="724"/>
      <c r="HB682" s="724"/>
      <c r="HC682" s="724"/>
      <c r="HD682" s="724"/>
      <c r="HE682" s="724"/>
      <c r="HF682" s="724"/>
      <c r="HG682" s="724"/>
      <c r="HH682" s="724"/>
      <c r="HI682" s="724"/>
      <c r="HJ682" s="724"/>
      <c r="HK682" s="724"/>
      <c r="HL682" s="724"/>
      <c r="HM682" s="724"/>
      <c r="HN682" s="724"/>
      <c r="HO682" s="724"/>
      <c r="HP682" s="724"/>
      <c r="HQ682" s="724"/>
      <c r="HR682" s="724"/>
      <c r="HS682" s="724"/>
      <c r="HT682" s="724"/>
      <c r="HU682" s="724"/>
      <c r="HV682" s="724"/>
      <c r="HW682" s="724"/>
      <c r="HX682" s="724"/>
      <c r="HY682" s="724"/>
      <c r="HZ682" s="724"/>
      <c r="IA682" s="724"/>
      <c r="IB682" s="724"/>
      <c r="IC682" s="724"/>
      <c r="ID682" s="724"/>
      <c r="IE682" s="724"/>
      <c r="IF682" s="724"/>
      <c r="IG682" s="724"/>
      <c r="IH682" s="724"/>
      <c r="II682" s="724"/>
      <c r="IJ682" s="724"/>
      <c r="IK682" s="724"/>
      <c r="IL682" s="724"/>
      <c r="IM682" s="724"/>
      <c r="IN682" s="724"/>
      <c r="IO682" s="724"/>
      <c r="IP682" s="724"/>
      <c r="IQ682" s="724"/>
      <c r="IR682" s="724"/>
      <c r="IS682" s="724"/>
      <c r="IT682" s="724"/>
      <c r="IU682" s="724"/>
      <c r="IV682" s="724"/>
      <c r="IW682" s="724"/>
    </row>
    <row r="683" spans="1:257" s="703" customFormat="1" ht="45.75" customHeight="1">
      <c r="A683" s="617"/>
      <c r="B683" s="696" t="s">
        <v>1473</v>
      </c>
      <c r="C683" s="635"/>
      <c r="D683" s="635"/>
      <c r="E683" s="651"/>
      <c r="F683" s="651"/>
      <c r="G683" s="651"/>
      <c r="H683" s="651"/>
      <c r="I683" s="651"/>
      <c r="J683" s="651"/>
      <c r="K683" s="651"/>
      <c r="L683" s="1305">
        <v>2000000000</v>
      </c>
      <c r="M683" s="609"/>
      <c r="N683" s="830"/>
      <c r="O683" s="830"/>
      <c r="P683" s="890"/>
      <c r="Q683" s="890"/>
      <c r="R683" s="891"/>
      <c r="S683" s="891"/>
      <c r="T683" s="832"/>
      <c r="U683" s="721"/>
      <c r="V683" s="722"/>
      <c r="W683" s="722"/>
      <c r="X683" s="723"/>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4"/>
      <c r="AX683" s="724"/>
      <c r="AY683" s="724"/>
      <c r="AZ683" s="724"/>
      <c r="BA683" s="724"/>
      <c r="BB683" s="724"/>
      <c r="BC683" s="724"/>
      <c r="BD683" s="724"/>
      <c r="BE683" s="724"/>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4"/>
      <c r="CA683" s="724"/>
      <c r="CB683" s="724"/>
      <c r="CC683" s="724"/>
      <c r="CD683" s="724"/>
      <c r="CE683" s="724"/>
      <c r="CF683" s="724"/>
      <c r="CG683" s="724"/>
      <c r="CH683" s="724"/>
      <c r="CI683" s="724"/>
      <c r="CJ683" s="724"/>
      <c r="CK683" s="724"/>
      <c r="CL683" s="724"/>
      <c r="CM683" s="724"/>
      <c r="CN683" s="724"/>
      <c r="CO683" s="724"/>
      <c r="CP683" s="724"/>
      <c r="CQ683" s="724"/>
      <c r="CR683" s="724"/>
      <c r="CS683" s="724"/>
      <c r="CT683" s="724"/>
      <c r="CU683" s="724"/>
      <c r="CV683" s="724"/>
      <c r="CW683" s="724"/>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4"/>
      <c r="EB683" s="724"/>
      <c r="EC683" s="724"/>
      <c r="ED683" s="724"/>
      <c r="EE683" s="724"/>
      <c r="EF683" s="724"/>
      <c r="EG683" s="724"/>
      <c r="EH683" s="724"/>
      <c r="EI683" s="724"/>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4"/>
      <c r="FE683" s="724"/>
      <c r="FF683" s="724"/>
      <c r="FG683" s="724"/>
      <c r="FH683" s="724"/>
      <c r="FI683" s="724"/>
      <c r="FJ683" s="724"/>
      <c r="FK683" s="724"/>
      <c r="FL683" s="724"/>
      <c r="FM683" s="724"/>
      <c r="FN683" s="724"/>
      <c r="FO683" s="724"/>
      <c r="FP683" s="724"/>
      <c r="FQ683" s="724"/>
      <c r="FR683" s="724"/>
      <c r="FS683" s="724"/>
      <c r="FT683" s="724"/>
      <c r="FU683" s="724"/>
      <c r="FV683" s="724"/>
      <c r="FW683" s="724"/>
      <c r="FX683" s="724"/>
      <c r="FY683" s="724"/>
      <c r="FZ683" s="724"/>
      <c r="GA683" s="724"/>
      <c r="GB683" s="724"/>
      <c r="GC683" s="724"/>
      <c r="GD683" s="724"/>
      <c r="GE683" s="724"/>
      <c r="GF683" s="724"/>
      <c r="GG683" s="724"/>
      <c r="GH683" s="724"/>
      <c r="GI683" s="724"/>
      <c r="GJ683" s="724"/>
      <c r="GK683" s="724"/>
      <c r="GL683" s="724"/>
      <c r="GM683" s="724"/>
      <c r="GN683" s="724"/>
      <c r="GO683" s="724"/>
      <c r="GP683" s="724"/>
      <c r="GQ683" s="724"/>
      <c r="GR683" s="724"/>
      <c r="GS683" s="724"/>
      <c r="GT683" s="724"/>
      <c r="GU683" s="724"/>
      <c r="GV683" s="724"/>
      <c r="GW683" s="724"/>
      <c r="GX683" s="724"/>
      <c r="GY683" s="724"/>
      <c r="GZ683" s="724"/>
      <c r="HA683" s="724"/>
      <c r="HB683" s="724"/>
      <c r="HC683" s="724"/>
      <c r="HD683" s="724"/>
      <c r="HE683" s="724"/>
      <c r="HF683" s="724"/>
      <c r="HG683" s="724"/>
      <c r="HH683" s="724"/>
      <c r="HI683" s="724"/>
      <c r="HJ683" s="724"/>
      <c r="HK683" s="724"/>
      <c r="HL683" s="724"/>
      <c r="HM683" s="724"/>
      <c r="HN683" s="724"/>
      <c r="HO683" s="724"/>
      <c r="HP683" s="724"/>
      <c r="HQ683" s="724"/>
      <c r="HR683" s="724"/>
      <c r="HS683" s="724"/>
      <c r="HT683" s="724"/>
      <c r="HU683" s="724"/>
      <c r="HV683" s="724"/>
      <c r="HW683" s="724"/>
      <c r="HX683" s="724"/>
      <c r="HY683" s="724"/>
      <c r="HZ683" s="724"/>
      <c r="IA683" s="724"/>
      <c r="IB683" s="724"/>
      <c r="IC683" s="724"/>
      <c r="ID683" s="724"/>
      <c r="IE683" s="724"/>
      <c r="IF683" s="724"/>
      <c r="IG683" s="724"/>
      <c r="IH683" s="724"/>
      <c r="II683" s="724"/>
      <c r="IJ683" s="724"/>
      <c r="IK683" s="724"/>
      <c r="IL683" s="724"/>
      <c r="IM683" s="724"/>
      <c r="IN683" s="724"/>
      <c r="IO683" s="724"/>
      <c r="IP683" s="724"/>
      <c r="IQ683" s="724"/>
      <c r="IR683" s="724"/>
      <c r="IS683" s="724"/>
      <c r="IT683" s="724"/>
      <c r="IU683" s="724"/>
      <c r="IV683" s="724"/>
      <c r="IW683" s="724"/>
    </row>
    <row r="684" spans="1:257" s="703" customFormat="1" ht="45.75" customHeight="1">
      <c r="A684" s="617"/>
      <c r="B684" s="696" t="s">
        <v>2001</v>
      </c>
      <c r="C684" s="635"/>
      <c r="D684" s="635"/>
      <c r="E684" s="651"/>
      <c r="F684" s="651"/>
      <c r="G684" s="651"/>
      <c r="H684" s="651"/>
      <c r="I684" s="651"/>
      <c r="J684" s="651"/>
      <c r="K684" s="651"/>
      <c r="L684" s="1305">
        <v>500000000</v>
      </c>
      <c r="M684" s="609"/>
      <c r="N684" s="830"/>
      <c r="O684" s="830"/>
      <c r="P684" s="890"/>
      <c r="Q684" s="890"/>
      <c r="R684" s="891"/>
      <c r="S684" s="891"/>
      <c r="T684" s="832"/>
      <c r="U684" s="721"/>
      <c r="V684" s="722"/>
      <c r="W684" s="722"/>
      <c r="X684" s="723"/>
      <c r="Y684" s="724"/>
      <c r="Z684" s="724"/>
      <c r="AA684" s="724"/>
      <c r="AB684" s="724"/>
      <c r="AC684" s="724"/>
      <c r="AD684" s="724"/>
      <c r="AE684" s="724"/>
      <c r="AF684" s="724"/>
      <c r="AG684" s="724"/>
      <c r="AH684" s="724"/>
      <c r="AI684" s="724"/>
      <c r="AJ684" s="724"/>
      <c r="AK684" s="724"/>
      <c r="AL684" s="724"/>
      <c r="AM684" s="724"/>
      <c r="AN684" s="724"/>
      <c r="AO684" s="724"/>
      <c r="AP684" s="724"/>
      <c r="AQ684" s="724"/>
      <c r="AR684" s="724"/>
      <c r="AS684" s="724"/>
      <c r="AT684" s="724"/>
      <c r="AU684" s="724"/>
      <c r="AV684" s="724"/>
      <c r="AW684" s="724"/>
      <c r="AX684" s="724"/>
      <c r="AY684" s="724"/>
      <c r="AZ684" s="724"/>
      <c r="BA684" s="724"/>
      <c r="BB684" s="724"/>
      <c r="BC684" s="724"/>
      <c r="BD684" s="724"/>
      <c r="BE684" s="724"/>
      <c r="BF684" s="724"/>
      <c r="BG684" s="724"/>
      <c r="BH684" s="724"/>
      <c r="BI684" s="724"/>
      <c r="BJ684" s="724"/>
      <c r="BK684" s="724"/>
      <c r="BL684" s="724"/>
      <c r="BM684" s="724"/>
      <c r="BN684" s="724"/>
      <c r="BO684" s="724"/>
      <c r="BP684" s="724"/>
      <c r="BQ684" s="724"/>
      <c r="BR684" s="724"/>
      <c r="BS684" s="724"/>
      <c r="BT684" s="724"/>
      <c r="BU684" s="724"/>
      <c r="BV684" s="724"/>
      <c r="BW684" s="724"/>
      <c r="BX684" s="724"/>
      <c r="BY684" s="724"/>
      <c r="BZ684" s="724"/>
      <c r="CA684" s="724"/>
      <c r="CB684" s="724"/>
      <c r="CC684" s="724"/>
      <c r="CD684" s="724"/>
      <c r="CE684" s="724"/>
      <c r="CF684" s="724"/>
      <c r="CG684" s="724"/>
      <c r="CH684" s="724"/>
      <c r="CI684" s="724"/>
      <c r="CJ684" s="724"/>
      <c r="CK684" s="724"/>
      <c r="CL684" s="724"/>
      <c r="CM684" s="724"/>
      <c r="CN684" s="724"/>
      <c r="CO684" s="724"/>
      <c r="CP684" s="724"/>
      <c r="CQ684" s="724"/>
      <c r="CR684" s="724"/>
      <c r="CS684" s="724"/>
      <c r="CT684" s="724"/>
      <c r="CU684" s="724"/>
      <c r="CV684" s="724"/>
      <c r="CW684" s="724"/>
      <c r="CX684" s="724"/>
      <c r="CY684" s="724"/>
      <c r="CZ684" s="724"/>
      <c r="DA684" s="724"/>
      <c r="DB684" s="724"/>
      <c r="DC684" s="724"/>
      <c r="DD684" s="724"/>
      <c r="DE684" s="724"/>
      <c r="DF684" s="724"/>
      <c r="DG684" s="724"/>
      <c r="DH684" s="724"/>
      <c r="DI684" s="724"/>
      <c r="DJ684" s="724"/>
      <c r="DK684" s="724"/>
      <c r="DL684" s="724"/>
      <c r="DM684" s="724"/>
      <c r="DN684" s="724"/>
      <c r="DO684" s="724"/>
      <c r="DP684" s="724"/>
      <c r="DQ684" s="724"/>
      <c r="DR684" s="724"/>
      <c r="DS684" s="724"/>
      <c r="DT684" s="724"/>
      <c r="DU684" s="724"/>
      <c r="DV684" s="724"/>
      <c r="DW684" s="724"/>
      <c r="DX684" s="724"/>
      <c r="DY684" s="724"/>
      <c r="DZ684" s="724"/>
      <c r="EA684" s="724"/>
      <c r="EB684" s="724"/>
      <c r="EC684" s="724"/>
      <c r="ED684" s="724"/>
      <c r="EE684" s="724"/>
      <c r="EF684" s="724"/>
      <c r="EG684" s="724"/>
      <c r="EH684" s="724"/>
      <c r="EI684" s="724"/>
      <c r="EJ684" s="724"/>
      <c r="EK684" s="724"/>
      <c r="EL684" s="724"/>
      <c r="EM684" s="724"/>
      <c r="EN684" s="724"/>
      <c r="EO684" s="724"/>
      <c r="EP684" s="724"/>
      <c r="EQ684" s="724"/>
      <c r="ER684" s="724"/>
      <c r="ES684" s="724"/>
      <c r="ET684" s="724"/>
      <c r="EU684" s="724"/>
      <c r="EV684" s="724"/>
      <c r="EW684" s="724"/>
      <c r="EX684" s="724"/>
      <c r="EY684" s="724"/>
      <c r="EZ684" s="724"/>
      <c r="FA684" s="724"/>
      <c r="FB684" s="724"/>
      <c r="FC684" s="724"/>
      <c r="FD684" s="724"/>
      <c r="FE684" s="724"/>
      <c r="FF684" s="724"/>
      <c r="FG684" s="724"/>
      <c r="FH684" s="724"/>
      <c r="FI684" s="724"/>
      <c r="FJ684" s="724"/>
      <c r="FK684" s="724"/>
      <c r="FL684" s="724"/>
      <c r="FM684" s="724"/>
      <c r="FN684" s="724"/>
      <c r="FO684" s="724"/>
      <c r="FP684" s="724"/>
      <c r="FQ684" s="724"/>
      <c r="FR684" s="724"/>
      <c r="FS684" s="724"/>
      <c r="FT684" s="724"/>
      <c r="FU684" s="724"/>
      <c r="FV684" s="724"/>
      <c r="FW684" s="724"/>
      <c r="FX684" s="724"/>
      <c r="FY684" s="724"/>
      <c r="FZ684" s="724"/>
      <c r="GA684" s="724"/>
      <c r="GB684" s="724"/>
      <c r="GC684" s="724"/>
      <c r="GD684" s="724"/>
      <c r="GE684" s="724"/>
      <c r="GF684" s="724"/>
      <c r="GG684" s="724"/>
      <c r="GH684" s="724"/>
      <c r="GI684" s="724"/>
      <c r="GJ684" s="724"/>
      <c r="GK684" s="724"/>
      <c r="GL684" s="724"/>
      <c r="GM684" s="724"/>
      <c r="GN684" s="724"/>
      <c r="GO684" s="724"/>
      <c r="GP684" s="724"/>
      <c r="GQ684" s="724"/>
      <c r="GR684" s="724"/>
      <c r="GS684" s="724"/>
      <c r="GT684" s="724"/>
      <c r="GU684" s="724"/>
      <c r="GV684" s="724"/>
      <c r="GW684" s="724"/>
      <c r="GX684" s="724"/>
      <c r="GY684" s="724"/>
      <c r="GZ684" s="724"/>
      <c r="HA684" s="724"/>
      <c r="HB684" s="724"/>
      <c r="HC684" s="724"/>
      <c r="HD684" s="724"/>
      <c r="HE684" s="724"/>
      <c r="HF684" s="724"/>
      <c r="HG684" s="724"/>
      <c r="HH684" s="724"/>
      <c r="HI684" s="724"/>
      <c r="HJ684" s="724"/>
      <c r="HK684" s="724"/>
      <c r="HL684" s="724"/>
      <c r="HM684" s="724"/>
      <c r="HN684" s="724"/>
      <c r="HO684" s="724"/>
      <c r="HP684" s="724"/>
      <c r="HQ684" s="724"/>
      <c r="HR684" s="724"/>
      <c r="HS684" s="724"/>
      <c r="HT684" s="724"/>
      <c r="HU684" s="724"/>
      <c r="HV684" s="724"/>
      <c r="HW684" s="724"/>
      <c r="HX684" s="724"/>
      <c r="HY684" s="724"/>
      <c r="HZ684" s="724"/>
      <c r="IA684" s="724"/>
      <c r="IB684" s="724"/>
      <c r="IC684" s="724"/>
      <c r="ID684" s="724"/>
      <c r="IE684" s="724"/>
      <c r="IF684" s="724"/>
      <c r="IG684" s="724"/>
      <c r="IH684" s="724"/>
      <c r="II684" s="724"/>
      <c r="IJ684" s="724"/>
      <c r="IK684" s="724"/>
      <c r="IL684" s="724"/>
      <c r="IM684" s="724"/>
      <c r="IN684" s="724"/>
      <c r="IO684" s="724"/>
      <c r="IP684" s="724"/>
      <c r="IQ684" s="724"/>
      <c r="IR684" s="724"/>
      <c r="IS684" s="724"/>
      <c r="IT684" s="724"/>
      <c r="IU684" s="724"/>
      <c r="IV684" s="724"/>
      <c r="IW684" s="724"/>
    </row>
    <row r="685" spans="1:257" s="703" customFormat="1" ht="45.75" customHeight="1">
      <c r="A685" s="617"/>
      <c r="B685" s="696" t="s">
        <v>1474</v>
      </c>
      <c r="C685" s="635"/>
      <c r="D685" s="635"/>
      <c r="E685" s="651"/>
      <c r="F685" s="651"/>
      <c r="G685" s="651"/>
      <c r="H685" s="651"/>
      <c r="I685" s="651"/>
      <c r="J685" s="651"/>
      <c r="K685" s="651"/>
      <c r="L685" s="1305">
        <v>1500000000</v>
      </c>
      <c r="M685" s="609"/>
      <c r="N685" s="830"/>
      <c r="O685" s="830"/>
      <c r="P685" s="890"/>
      <c r="Q685" s="890"/>
      <c r="R685" s="891"/>
      <c r="S685" s="891"/>
      <c r="T685" s="832"/>
      <c r="U685" s="721"/>
      <c r="V685" s="722"/>
      <c r="W685" s="722"/>
      <c r="X685" s="723"/>
      <c r="Y685" s="724"/>
      <c r="Z685" s="724"/>
      <c r="AA685" s="724"/>
      <c r="AB685" s="724"/>
      <c r="AC685" s="724"/>
      <c r="AD685" s="724"/>
      <c r="AE685" s="724"/>
      <c r="AF685" s="724"/>
      <c r="AG685" s="724"/>
      <c r="AH685" s="724"/>
      <c r="AI685" s="724"/>
      <c r="AJ685" s="724"/>
      <c r="AK685" s="724"/>
      <c r="AL685" s="724"/>
      <c r="AM685" s="724"/>
      <c r="AN685" s="724"/>
      <c r="AO685" s="724"/>
      <c r="AP685" s="724"/>
      <c r="AQ685" s="724"/>
      <c r="AR685" s="724"/>
      <c r="AS685" s="724"/>
      <c r="AT685" s="724"/>
      <c r="AU685" s="724"/>
      <c r="AV685" s="724"/>
      <c r="AW685" s="724"/>
      <c r="AX685" s="724"/>
      <c r="AY685" s="724"/>
      <c r="AZ685" s="724"/>
      <c r="BA685" s="724"/>
      <c r="BB685" s="724"/>
      <c r="BC685" s="724"/>
      <c r="BD685" s="724"/>
      <c r="BE685" s="724"/>
      <c r="BF685" s="724"/>
      <c r="BG685" s="724"/>
      <c r="BH685" s="724"/>
      <c r="BI685" s="724"/>
      <c r="BJ685" s="724"/>
      <c r="BK685" s="724"/>
      <c r="BL685" s="724"/>
      <c r="BM685" s="724"/>
      <c r="BN685" s="724"/>
      <c r="BO685" s="724"/>
      <c r="BP685" s="724"/>
      <c r="BQ685" s="724"/>
      <c r="BR685" s="724"/>
      <c r="BS685" s="724"/>
      <c r="BT685" s="724"/>
      <c r="BU685" s="724"/>
      <c r="BV685" s="724"/>
      <c r="BW685" s="724"/>
      <c r="BX685" s="724"/>
      <c r="BY685" s="724"/>
      <c r="BZ685" s="724"/>
      <c r="CA685" s="724"/>
      <c r="CB685" s="724"/>
      <c r="CC685" s="724"/>
      <c r="CD685" s="724"/>
      <c r="CE685" s="724"/>
      <c r="CF685" s="724"/>
      <c r="CG685" s="724"/>
      <c r="CH685" s="724"/>
      <c r="CI685" s="724"/>
      <c r="CJ685" s="724"/>
      <c r="CK685" s="724"/>
      <c r="CL685" s="724"/>
      <c r="CM685" s="724"/>
      <c r="CN685" s="724"/>
      <c r="CO685" s="724"/>
      <c r="CP685" s="724"/>
      <c r="CQ685" s="724"/>
      <c r="CR685" s="724"/>
      <c r="CS685" s="724"/>
      <c r="CT685" s="724"/>
      <c r="CU685" s="724"/>
      <c r="CV685" s="724"/>
      <c r="CW685" s="724"/>
      <c r="CX685" s="724"/>
      <c r="CY685" s="724"/>
      <c r="CZ685" s="724"/>
      <c r="DA685" s="724"/>
      <c r="DB685" s="724"/>
      <c r="DC685" s="724"/>
      <c r="DD685" s="724"/>
      <c r="DE685" s="724"/>
      <c r="DF685" s="724"/>
      <c r="DG685" s="724"/>
      <c r="DH685" s="724"/>
      <c r="DI685" s="724"/>
      <c r="DJ685" s="724"/>
      <c r="DK685" s="724"/>
      <c r="DL685" s="724"/>
      <c r="DM685" s="724"/>
      <c r="DN685" s="724"/>
      <c r="DO685" s="724"/>
      <c r="DP685" s="724"/>
      <c r="DQ685" s="724"/>
      <c r="DR685" s="724"/>
      <c r="DS685" s="724"/>
      <c r="DT685" s="724"/>
      <c r="DU685" s="724"/>
      <c r="DV685" s="724"/>
      <c r="DW685" s="724"/>
      <c r="DX685" s="724"/>
      <c r="DY685" s="724"/>
      <c r="DZ685" s="724"/>
      <c r="EA685" s="724"/>
      <c r="EB685" s="724"/>
      <c r="EC685" s="724"/>
      <c r="ED685" s="724"/>
      <c r="EE685" s="724"/>
      <c r="EF685" s="724"/>
      <c r="EG685" s="724"/>
      <c r="EH685" s="724"/>
      <c r="EI685" s="724"/>
      <c r="EJ685" s="724"/>
      <c r="EK685" s="724"/>
      <c r="EL685" s="724"/>
      <c r="EM685" s="724"/>
      <c r="EN685" s="724"/>
      <c r="EO685" s="724"/>
      <c r="EP685" s="724"/>
      <c r="EQ685" s="724"/>
      <c r="ER685" s="724"/>
      <c r="ES685" s="724"/>
      <c r="ET685" s="724"/>
      <c r="EU685" s="724"/>
      <c r="EV685" s="724"/>
      <c r="EW685" s="724"/>
      <c r="EX685" s="724"/>
      <c r="EY685" s="724"/>
      <c r="EZ685" s="724"/>
      <c r="FA685" s="724"/>
      <c r="FB685" s="724"/>
      <c r="FC685" s="724"/>
      <c r="FD685" s="724"/>
      <c r="FE685" s="724"/>
      <c r="FF685" s="724"/>
      <c r="FG685" s="724"/>
      <c r="FH685" s="724"/>
      <c r="FI685" s="724"/>
      <c r="FJ685" s="724"/>
      <c r="FK685" s="724"/>
      <c r="FL685" s="724"/>
      <c r="FM685" s="724"/>
      <c r="FN685" s="724"/>
      <c r="FO685" s="724"/>
      <c r="FP685" s="724"/>
      <c r="FQ685" s="724"/>
      <c r="FR685" s="724"/>
      <c r="FS685" s="724"/>
      <c r="FT685" s="724"/>
      <c r="FU685" s="724"/>
      <c r="FV685" s="724"/>
      <c r="FW685" s="724"/>
      <c r="FX685" s="724"/>
      <c r="FY685" s="724"/>
      <c r="FZ685" s="724"/>
      <c r="GA685" s="724"/>
      <c r="GB685" s="724"/>
      <c r="GC685" s="724"/>
      <c r="GD685" s="724"/>
      <c r="GE685" s="724"/>
      <c r="GF685" s="724"/>
      <c r="GG685" s="724"/>
      <c r="GH685" s="724"/>
      <c r="GI685" s="724"/>
      <c r="GJ685" s="724"/>
      <c r="GK685" s="724"/>
      <c r="GL685" s="724"/>
      <c r="GM685" s="724"/>
      <c r="GN685" s="724"/>
      <c r="GO685" s="724"/>
      <c r="GP685" s="724"/>
      <c r="GQ685" s="724"/>
      <c r="GR685" s="724"/>
      <c r="GS685" s="724"/>
      <c r="GT685" s="724"/>
      <c r="GU685" s="724"/>
      <c r="GV685" s="724"/>
      <c r="GW685" s="724"/>
      <c r="GX685" s="724"/>
      <c r="GY685" s="724"/>
      <c r="GZ685" s="724"/>
      <c r="HA685" s="724"/>
      <c r="HB685" s="724"/>
      <c r="HC685" s="724"/>
      <c r="HD685" s="724"/>
      <c r="HE685" s="724"/>
      <c r="HF685" s="724"/>
      <c r="HG685" s="724"/>
      <c r="HH685" s="724"/>
      <c r="HI685" s="724"/>
      <c r="HJ685" s="724"/>
      <c r="HK685" s="724"/>
      <c r="HL685" s="724"/>
      <c r="HM685" s="724"/>
      <c r="HN685" s="724"/>
      <c r="HO685" s="724"/>
      <c r="HP685" s="724"/>
      <c r="HQ685" s="724"/>
      <c r="HR685" s="724"/>
      <c r="HS685" s="724"/>
      <c r="HT685" s="724"/>
      <c r="HU685" s="724"/>
      <c r="HV685" s="724"/>
      <c r="HW685" s="724"/>
      <c r="HX685" s="724"/>
      <c r="HY685" s="724"/>
      <c r="HZ685" s="724"/>
      <c r="IA685" s="724"/>
      <c r="IB685" s="724"/>
      <c r="IC685" s="724"/>
      <c r="ID685" s="724"/>
      <c r="IE685" s="724"/>
      <c r="IF685" s="724"/>
      <c r="IG685" s="724"/>
      <c r="IH685" s="724"/>
      <c r="II685" s="724"/>
      <c r="IJ685" s="724"/>
      <c r="IK685" s="724"/>
      <c r="IL685" s="724"/>
      <c r="IM685" s="724"/>
      <c r="IN685" s="724"/>
      <c r="IO685" s="724"/>
      <c r="IP685" s="724"/>
      <c r="IQ685" s="724"/>
      <c r="IR685" s="724"/>
      <c r="IS685" s="724"/>
      <c r="IT685" s="724"/>
      <c r="IU685" s="724"/>
      <c r="IV685" s="724"/>
      <c r="IW685" s="724"/>
    </row>
    <row r="686" spans="1:257" s="703" customFormat="1" ht="45.75" customHeight="1">
      <c r="A686" s="624" t="s">
        <v>192</v>
      </c>
      <c r="B686" s="623" t="s">
        <v>1707</v>
      </c>
      <c r="C686" s="590"/>
      <c r="D686" s="590"/>
      <c r="E686" s="609"/>
      <c r="F686" s="609"/>
      <c r="G686" s="609"/>
      <c r="H686" s="609"/>
      <c r="I686" s="609"/>
      <c r="J686" s="609"/>
      <c r="K686" s="609">
        <f>K687</f>
        <v>400000000</v>
      </c>
      <c r="L686" s="1303">
        <f>L687</f>
        <v>450000000</v>
      </c>
      <c r="M686" s="609"/>
      <c r="N686" s="830"/>
      <c r="O686" s="830"/>
      <c r="P686" s="890"/>
      <c r="Q686" s="890"/>
      <c r="R686" s="891"/>
      <c r="S686" s="891"/>
      <c r="T686" s="832"/>
      <c r="U686" s="721"/>
      <c r="V686" s="722"/>
      <c r="W686" s="722"/>
      <c r="X686" s="723"/>
      <c r="Y686" s="724"/>
      <c r="Z686" s="724"/>
      <c r="AA686" s="724"/>
      <c r="AB686" s="724"/>
      <c r="AC686" s="724"/>
      <c r="AD686" s="724"/>
      <c r="AE686" s="724"/>
      <c r="AF686" s="724"/>
      <c r="AG686" s="724"/>
      <c r="AH686" s="724"/>
      <c r="AI686" s="724"/>
      <c r="AJ686" s="724"/>
      <c r="AK686" s="724"/>
      <c r="AL686" s="724"/>
      <c r="AM686" s="724"/>
      <c r="AN686" s="724"/>
      <c r="AO686" s="724"/>
      <c r="AP686" s="724"/>
      <c r="AQ686" s="724"/>
      <c r="AR686" s="724"/>
      <c r="AS686" s="724"/>
      <c r="AT686" s="724"/>
      <c r="AU686" s="724"/>
      <c r="AV686" s="724"/>
      <c r="AW686" s="724"/>
      <c r="AX686" s="724"/>
      <c r="AY686" s="724"/>
      <c r="AZ686" s="724"/>
      <c r="BA686" s="724"/>
      <c r="BB686" s="724"/>
      <c r="BC686" s="724"/>
      <c r="BD686" s="724"/>
      <c r="BE686" s="724"/>
      <c r="BF686" s="724"/>
      <c r="BG686" s="724"/>
      <c r="BH686" s="724"/>
      <c r="BI686" s="724"/>
      <c r="BJ686" s="724"/>
      <c r="BK686" s="724"/>
      <c r="BL686" s="724"/>
      <c r="BM686" s="724"/>
      <c r="BN686" s="724"/>
      <c r="BO686" s="724"/>
      <c r="BP686" s="724"/>
      <c r="BQ686" s="724"/>
      <c r="BR686" s="724"/>
      <c r="BS686" s="724"/>
      <c r="BT686" s="724"/>
      <c r="BU686" s="724"/>
      <c r="BV686" s="724"/>
      <c r="BW686" s="724"/>
      <c r="BX686" s="724"/>
      <c r="BY686" s="724"/>
      <c r="BZ686" s="724"/>
      <c r="CA686" s="724"/>
      <c r="CB686" s="724"/>
      <c r="CC686" s="724"/>
      <c r="CD686" s="724"/>
      <c r="CE686" s="724"/>
      <c r="CF686" s="724"/>
      <c r="CG686" s="724"/>
      <c r="CH686" s="724"/>
      <c r="CI686" s="724"/>
      <c r="CJ686" s="724"/>
      <c r="CK686" s="724"/>
      <c r="CL686" s="724"/>
      <c r="CM686" s="724"/>
      <c r="CN686" s="724"/>
      <c r="CO686" s="724"/>
      <c r="CP686" s="724"/>
      <c r="CQ686" s="724"/>
      <c r="CR686" s="724"/>
      <c r="CS686" s="724"/>
      <c r="CT686" s="724"/>
      <c r="CU686" s="724"/>
      <c r="CV686" s="724"/>
      <c r="CW686" s="724"/>
      <c r="CX686" s="724"/>
      <c r="CY686" s="724"/>
      <c r="CZ686" s="724"/>
      <c r="DA686" s="724"/>
      <c r="DB686" s="724"/>
      <c r="DC686" s="724"/>
      <c r="DD686" s="724"/>
      <c r="DE686" s="724"/>
      <c r="DF686" s="724"/>
      <c r="DG686" s="724"/>
      <c r="DH686" s="724"/>
      <c r="DI686" s="724"/>
      <c r="DJ686" s="724"/>
      <c r="DK686" s="724"/>
      <c r="DL686" s="724"/>
      <c r="DM686" s="724"/>
      <c r="DN686" s="724"/>
      <c r="DO686" s="724"/>
      <c r="DP686" s="724"/>
      <c r="DQ686" s="724"/>
      <c r="DR686" s="724"/>
      <c r="DS686" s="724"/>
      <c r="DT686" s="724"/>
      <c r="DU686" s="724"/>
      <c r="DV686" s="724"/>
      <c r="DW686" s="724"/>
      <c r="DX686" s="724"/>
      <c r="DY686" s="724"/>
      <c r="DZ686" s="724"/>
      <c r="EA686" s="724"/>
      <c r="EB686" s="724"/>
      <c r="EC686" s="724"/>
      <c r="ED686" s="724"/>
      <c r="EE686" s="724"/>
      <c r="EF686" s="724"/>
      <c r="EG686" s="724"/>
      <c r="EH686" s="724"/>
      <c r="EI686" s="724"/>
      <c r="EJ686" s="724"/>
      <c r="EK686" s="724"/>
      <c r="EL686" s="724"/>
      <c r="EM686" s="724"/>
      <c r="EN686" s="724"/>
      <c r="EO686" s="724"/>
      <c r="EP686" s="724"/>
      <c r="EQ686" s="724"/>
      <c r="ER686" s="724"/>
      <c r="ES686" s="724"/>
      <c r="ET686" s="724"/>
      <c r="EU686" s="724"/>
      <c r="EV686" s="724"/>
      <c r="EW686" s="724"/>
      <c r="EX686" s="724"/>
      <c r="EY686" s="724"/>
      <c r="EZ686" s="724"/>
      <c r="FA686" s="724"/>
      <c r="FB686" s="724"/>
      <c r="FC686" s="724"/>
      <c r="FD686" s="724"/>
      <c r="FE686" s="724"/>
      <c r="FF686" s="724"/>
      <c r="FG686" s="724"/>
      <c r="FH686" s="724"/>
      <c r="FI686" s="724"/>
      <c r="FJ686" s="724"/>
      <c r="FK686" s="724"/>
      <c r="FL686" s="724"/>
      <c r="FM686" s="724"/>
      <c r="FN686" s="724"/>
      <c r="FO686" s="724"/>
      <c r="FP686" s="724"/>
      <c r="FQ686" s="724"/>
      <c r="FR686" s="724"/>
      <c r="FS686" s="724"/>
      <c r="FT686" s="724"/>
      <c r="FU686" s="724"/>
      <c r="FV686" s="724"/>
      <c r="FW686" s="724"/>
      <c r="FX686" s="724"/>
      <c r="FY686" s="724"/>
      <c r="FZ686" s="724"/>
      <c r="GA686" s="724"/>
      <c r="GB686" s="724"/>
      <c r="GC686" s="724"/>
      <c r="GD686" s="724"/>
      <c r="GE686" s="724"/>
      <c r="GF686" s="724"/>
      <c r="GG686" s="724"/>
      <c r="GH686" s="724"/>
      <c r="GI686" s="724"/>
      <c r="GJ686" s="724"/>
      <c r="GK686" s="724"/>
      <c r="GL686" s="724"/>
      <c r="GM686" s="724"/>
      <c r="GN686" s="724"/>
      <c r="GO686" s="724"/>
      <c r="GP686" s="724"/>
      <c r="GQ686" s="724"/>
      <c r="GR686" s="724"/>
      <c r="GS686" s="724"/>
      <c r="GT686" s="724"/>
      <c r="GU686" s="724"/>
      <c r="GV686" s="724"/>
      <c r="GW686" s="724"/>
      <c r="GX686" s="724"/>
      <c r="GY686" s="724"/>
      <c r="GZ686" s="724"/>
      <c r="HA686" s="724"/>
      <c r="HB686" s="724"/>
      <c r="HC686" s="724"/>
      <c r="HD686" s="724"/>
      <c r="HE686" s="724"/>
      <c r="HF686" s="724"/>
      <c r="HG686" s="724"/>
      <c r="HH686" s="724"/>
      <c r="HI686" s="724"/>
      <c r="HJ686" s="724"/>
      <c r="HK686" s="724"/>
      <c r="HL686" s="724"/>
      <c r="HM686" s="724"/>
      <c r="HN686" s="724"/>
      <c r="HO686" s="724"/>
      <c r="HP686" s="724"/>
      <c r="HQ686" s="724"/>
      <c r="HR686" s="724"/>
      <c r="HS686" s="724"/>
      <c r="HT686" s="724"/>
      <c r="HU686" s="724"/>
      <c r="HV686" s="724"/>
      <c r="HW686" s="724"/>
      <c r="HX686" s="724"/>
      <c r="HY686" s="724"/>
      <c r="HZ686" s="724"/>
      <c r="IA686" s="724"/>
      <c r="IB686" s="724"/>
      <c r="IC686" s="724"/>
      <c r="ID686" s="724"/>
      <c r="IE686" s="724"/>
      <c r="IF686" s="724"/>
      <c r="IG686" s="724"/>
      <c r="IH686" s="724"/>
      <c r="II686" s="724"/>
      <c r="IJ686" s="724"/>
      <c r="IK686" s="724"/>
      <c r="IL686" s="724"/>
      <c r="IM686" s="724"/>
      <c r="IN686" s="724"/>
      <c r="IO686" s="724"/>
      <c r="IP686" s="724"/>
      <c r="IQ686" s="724"/>
      <c r="IR686" s="724"/>
      <c r="IS686" s="724"/>
      <c r="IT686" s="724"/>
      <c r="IU686" s="724"/>
      <c r="IV686" s="724"/>
      <c r="IW686" s="724"/>
    </row>
    <row r="687" spans="1:257" s="582" customFormat="1">
      <c r="A687" s="683" t="s">
        <v>91</v>
      </c>
      <c r="B687" s="696" t="s">
        <v>1706</v>
      </c>
      <c r="C687" s="699"/>
      <c r="D687" s="699"/>
      <c r="E687" s="700"/>
      <c r="F687" s="700">
        <v>400000000</v>
      </c>
      <c r="G687" s="725"/>
      <c r="H687" s="725"/>
      <c r="I687" s="725"/>
      <c r="J687" s="700">
        <v>400000000</v>
      </c>
      <c r="K687" s="700">
        <v>400000000</v>
      </c>
      <c r="L687" s="1315">
        <v>450000000</v>
      </c>
      <c r="M687" s="651" t="s">
        <v>1102</v>
      </c>
      <c r="N687" s="826"/>
      <c r="O687" s="826"/>
      <c r="P687" s="868"/>
      <c r="Q687" s="868"/>
      <c r="R687" s="871"/>
      <c r="S687" s="871"/>
      <c r="T687" s="824"/>
      <c r="U687" s="721"/>
      <c r="V687" s="727"/>
      <c r="W687" s="727"/>
      <c r="X687" s="728"/>
      <c r="Y687" s="682"/>
      <c r="Z687" s="682"/>
      <c r="AA687" s="682"/>
      <c r="AB687" s="682"/>
      <c r="AC687" s="682"/>
      <c r="AD687" s="682"/>
      <c r="AE687" s="682"/>
      <c r="AF687" s="682"/>
      <c r="AG687" s="682"/>
      <c r="AH687" s="682"/>
      <c r="AI687" s="682"/>
      <c r="AJ687" s="682"/>
      <c r="AK687" s="682"/>
      <c r="AL687" s="682"/>
      <c r="AM687" s="682"/>
      <c r="AN687" s="682"/>
      <c r="AO687" s="682"/>
      <c r="AP687" s="682"/>
      <c r="AQ687" s="682"/>
      <c r="AR687" s="682"/>
      <c r="AS687" s="682"/>
      <c r="AT687" s="682"/>
      <c r="AU687" s="682"/>
      <c r="AV687" s="682"/>
      <c r="AW687" s="682"/>
      <c r="AX687" s="682"/>
      <c r="AY687" s="682"/>
      <c r="AZ687" s="682"/>
      <c r="BA687" s="682"/>
      <c r="BB687" s="682"/>
      <c r="BC687" s="682"/>
      <c r="BD687" s="682"/>
      <c r="BE687" s="682"/>
      <c r="BF687" s="682"/>
      <c r="BG687" s="682"/>
      <c r="BH687" s="682"/>
      <c r="BI687" s="682"/>
      <c r="BJ687" s="682"/>
      <c r="BK687" s="682"/>
      <c r="BL687" s="682"/>
      <c r="BM687" s="682"/>
      <c r="BN687" s="682"/>
      <c r="BO687" s="682"/>
      <c r="BP687" s="682"/>
      <c r="BQ687" s="682"/>
      <c r="BR687" s="682"/>
      <c r="BS687" s="682"/>
      <c r="BT687" s="682"/>
      <c r="BU687" s="682"/>
      <c r="BV687" s="682"/>
      <c r="BW687" s="682"/>
      <c r="BX687" s="682"/>
      <c r="BY687" s="682"/>
      <c r="BZ687" s="682"/>
      <c r="CA687" s="682"/>
      <c r="CB687" s="682"/>
      <c r="CC687" s="682"/>
      <c r="CD687" s="682"/>
      <c r="CE687" s="682"/>
      <c r="CF687" s="682"/>
      <c r="CG687" s="682"/>
      <c r="CH687" s="682"/>
      <c r="CI687" s="682"/>
      <c r="CJ687" s="682"/>
      <c r="CK687" s="682"/>
      <c r="CL687" s="682"/>
      <c r="CM687" s="682"/>
      <c r="CN687" s="682"/>
      <c r="CO687" s="682"/>
      <c r="CP687" s="682"/>
      <c r="CQ687" s="682"/>
      <c r="CR687" s="682"/>
      <c r="CS687" s="682"/>
      <c r="CT687" s="682"/>
      <c r="CU687" s="682"/>
      <c r="CV687" s="682"/>
      <c r="CW687" s="682"/>
      <c r="CX687" s="682"/>
      <c r="CY687" s="682"/>
      <c r="CZ687" s="682"/>
      <c r="DA687" s="682"/>
      <c r="DB687" s="682"/>
      <c r="DC687" s="682"/>
      <c r="DD687" s="682"/>
      <c r="DE687" s="682"/>
      <c r="DF687" s="682"/>
      <c r="DG687" s="682"/>
      <c r="DH687" s="682"/>
      <c r="DI687" s="682"/>
      <c r="DJ687" s="682"/>
      <c r="DK687" s="682"/>
      <c r="DL687" s="682"/>
      <c r="DM687" s="682"/>
      <c r="DN687" s="682"/>
      <c r="DO687" s="682"/>
      <c r="DP687" s="682"/>
      <c r="DQ687" s="682"/>
      <c r="DR687" s="682"/>
      <c r="DS687" s="682"/>
      <c r="DT687" s="682"/>
      <c r="DU687" s="682"/>
      <c r="DV687" s="682"/>
      <c r="DW687" s="682"/>
      <c r="DX687" s="682"/>
      <c r="DY687" s="682"/>
      <c r="DZ687" s="682"/>
      <c r="EA687" s="682"/>
      <c r="EB687" s="682"/>
      <c r="EC687" s="682"/>
      <c r="ED687" s="682"/>
      <c r="EE687" s="682"/>
      <c r="EF687" s="682"/>
      <c r="EG687" s="682"/>
      <c r="EH687" s="682"/>
      <c r="EI687" s="682"/>
      <c r="EJ687" s="682"/>
      <c r="EK687" s="682"/>
      <c r="EL687" s="682"/>
      <c r="EM687" s="682"/>
      <c r="EN687" s="682"/>
      <c r="EO687" s="682"/>
      <c r="EP687" s="682"/>
      <c r="EQ687" s="682"/>
      <c r="ER687" s="682"/>
      <c r="ES687" s="682"/>
      <c r="ET687" s="682"/>
      <c r="EU687" s="682"/>
      <c r="EV687" s="682"/>
      <c r="EW687" s="682"/>
      <c r="EX687" s="682"/>
      <c r="EY687" s="682"/>
      <c r="EZ687" s="682"/>
      <c r="FA687" s="682"/>
      <c r="FB687" s="682"/>
      <c r="FC687" s="682"/>
      <c r="FD687" s="682"/>
      <c r="FE687" s="682"/>
      <c r="FF687" s="682"/>
      <c r="FG687" s="682"/>
      <c r="FH687" s="682"/>
      <c r="FI687" s="682"/>
      <c r="FJ687" s="682"/>
      <c r="FK687" s="682"/>
      <c r="FL687" s="682"/>
      <c r="FM687" s="682"/>
      <c r="FN687" s="682"/>
      <c r="FO687" s="682"/>
      <c r="FP687" s="682"/>
      <c r="FQ687" s="682"/>
      <c r="FR687" s="682"/>
      <c r="FS687" s="682"/>
      <c r="FT687" s="682"/>
      <c r="FU687" s="682"/>
      <c r="FV687" s="682"/>
      <c r="FW687" s="682"/>
      <c r="FX687" s="682"/>
      <c r="FY687" s="682"/>
      <c r="FZ687" s="682"/>
      <c r="GA687" s="682"/>
      <c r="GB687" s="682"/>
      <c r="GC687" s="682"/>
      <c r="GD687" s="682"/>
      <c r="GE687" s="682"/>
      <c r="GF687" s="682"/>
      <c r="GG687" s="682"/>
      <c r="GH687" s="682"/>
      <c r="GI687" s="682"/>
      <c r="GJ687" s="682"/>
      <c r="GK687" s="682"/>
      <c r="GL687" s="682"/>
      <c r="GM687" s="682"/>
      <c r="GN687" s="682"/>
      <c r="GO687" s="682"/>
      <c r="GP687" s="682"/>
      <c r="GQ687" s="682"/>
      <c r="GR687" s="682"/>
      <c r="GS687" s="682"/>
      <c r="GT687" s="682"/>
      <c r="GU687" s="682"/>
      <c r="GV687" s="682"/>
      <c r="GW687" s="682"/>
      <c r="GX687" s="682"/>
      <c r="GY687" s="682"/>
      <c r="GZ687" s="682"/>
      <c r="HA687" s="682"/>
      <c r="HB687" s="682"/>
      <c r="HC687" s="682"/>
      <c r="HD687" s="682"/>
      <c r="HE687" s="682"/>
      <c r="HF687" s="682"/>
      <c r="HG687" s="682"/>
      <c r="HH687" s="682"/>
      <c r="HI687" s="682"/>
      <c r="HJ687" s="682"/>
      <c r="HK687" s="682"/>
      <c r="HL687" s="682"/>
      <c r="HM687" s="682"/>
      <c r="HN687" s="682"/>
      <c r="HO687" s="682"/>
      <c r="HP687" s="682"/>
      <c r="HQ687" s="682"/>
      <c r="HR687" s="682"/>
      <c r="HS687" s="682"/>
      <c r="HT687" s="682"/>
      <c r="HU687" s="682"/>
      <c r="HV687" s="682"/>
      <c r="HW687" s="682"/>
      <c r="HX687" s="682"/>
      <c r="HY687" s="682"/>
      <c r="HZ687" s="682"/>
      <c r="IA687" s="682"/>
      <c r="IB687" s="682"/>
      <c r="IC687" s="682"/>
      <c r="ID687" s="682"/>
      <c r="IE687" s="682"/>
      <c r="IF687" s="682"/>
      <c r="IG687" s="682"/>
      <c r="IH687" s="682"/>
      <c r="II687" s="682"/>
      <c r="IJ687" s="682"/>
      <c r="IK687" s="682"/>
      <c r="IL687" s="682"/>
      <c r="IM687" s="682"/>
      <c r="IN687" s="682"/>
      <c r="IO687" s="682"/>
      <c r="IP687" s="682"/>
      <c r="IQ687" s="682"/>
      <c r="IR687" s="682"/>
      <c r="IS687" s="682"/>
      <c r="IT687" s="682"/>
      <c r="IU687" s="682"/>
      <c r="IV687" s="682"/>
      <c r="IW687" s="682"/>
    </row>
    <row r="688" spans="1:257" s="703" customFormat="1" ht="47.25">
      <c r="A688" s="617" t="s">
        <v>192</v>
      </c>
      <c r="B688" s="607" t="s">
        <v>1103</v>
      </c>
      <c r="C688" s="589"/>
      <c r="D688" s="589"/>
      <c r="E688" s="704"/>
      <c r="F688" s="704"/>
      <c r="G688" s="716"/>
      <c r="H688" s="716"/>
      <c r="I688" s="716"/>
      <c r="J688" s="704"/>
      <c r="K688" s="704">
        <f>SUM(K689:K693)</f>
        <v>0</v>
      </c>
      <c r="L688" s="1310">
        <f>SUM(L689:L693)</f>
        <v>0</v>
      </c>
      <c r="M688" s="609" t="s">
        <v>1104</v>
      </c>
      <c r="N688" s="830"/>
      <c r="O688" s="830"/>
      <c r="P688" s="890"/>
      <c r="Q688" s="890"/>
      <c r="R688" s="891"/>
      <c r="S688" s="891"/>
      <c r="T688" s="832"/>
      <c r="U688" s="721"/>
      <c r="V688" s="722"/>
      <c r="W688" s="722"/>
      <c r="X688" s="723"/>
      <c r="Y688" s="724"/>
      <c r="Z688" s="724"/>
      <c r="AA688" s="724"/>
      <c r="AB688" s="724"/>
      <c r="AC688" s="724"/>
      <c r="AD688" s="724"/>
      <c r="AE688" s="724"/>
      <c r="AF688" s="724"/>
      <c r="AG688" s="724"/>
      <c r="AH688" s="724"/>
      <c r="AI688" s="724"/>
      <c r="AJ688" s="724"/>
      <c r="AK688" s="724"/>
      <c r="AL688" s="724"/>
      <c r="AM688" s="724"/>
      <c r="AN688" s="724"/>
      <c r="AO688" s="724"/>
      <c r="AP688" s="724"/>
      <c r="AQ688" s="724"/>
      <c r="AR688" s="724"/>
      <c r="AS688" s="724"/>
      <c r="AT688" s="724"/>
      <c r="AU688" s="724"/>
      <c r="AV688" s="724"/>
      <c r="AW688" s="724"/>
      <c r="AX688" s="724"/>
      <c r="AY688" s="724"/>
      <c r="AZ688" s="724"/>
      <c r="BA688" s="724"/>
      <c r="BB688" s="724"/>
      <c r="BC688" s="724"/>
      <c r="BD688" s="724"/>
      <c r="BE688" s="724"/>
      <c r="BF688" s="724"/>
      <c r="BG688" s="724"/>
      <c r="BH688" s="724"/>
      <c r="BI688" s="724"/>
      <c r="BJ688" s="724"/>
      <c r="BK688" s="724"/>
      <c r="BL688" s="724"/>
      <c r="BM688" s="724"/>
      <c r="BN688" s="724"/>
      <c r="BO688" s="724"/>
      <c r="BP688" s="724"/>
      <c r="BQ688" s="724"/>
      <c r="BR688" s="724"/>
      <c r="BS688" s="724"/>
      <c r="BT688" s="724"/>
      <c r="BU688" s="724"/>
      <c r="BV688" s="724"/>
      <c r="BW688" s="724"/>
      <c r="BX688" s="724"/>
      <c r="BY688" s="724"/>
      <c r="BZ688" s="724"/>
      <c r="CA688" s="724"/>
      <c r="CB688" s="724"/>
      <c r="CC688" s="724"/>
      <c r="CD688" s="724"/>
      <c r="CE688" s="724"/>
      <c r="CF688" s="724"/>
      <c r="CG688" s="724"/>
      <c r="CH688" s="724"/>
      <c r="CI688" s="724"/>
      <c r="CJ688" s="724"/>
      <c r="CK688" s="724"/>
      <c r="CL688" s="724"/>
      <c r="CM688" s="724"/>
      <c r="CN688" s="724"/>
      <c r="CO688" s="724"/>
      <c r="CP688" s="724"/>
      <c r="CQ688" s="724"/>
      <c r="CR688" s="724"/>
      <c r="CS688" s="724"/>
      <c r="CT688" s="724"/>
      <c r="CU688" s="724"/>
      <c r="CV688" s="724"/>
      <c r="CW688" s="724"/>
      <c r="CX688" s="724"/>
      <c r="CY688" s="724"/>
      <c r="CZ688" s="724"/>
      <c r="DA688" s="724"/>
      <c r="DB688" s="724"/>
      <c r="DC688" s="724"/>
      <c r="DD688" s="724"/>
      <c r="DE688" s="724"/>
      <c r="DF688" s="724"/>
      <c r="DG688" s="724"/>
      <c r="DH688" s="724"/>
      <c r="DI688" s="724"/>
      <c r="DJ688" s="724"/>
      <c r="DK688" s="724"/>
      <c r="DL688" s="724"/>
      <c r="DM688" s="724"/>
      <c r="DN688" s="724"/>
      <c r="DO688" s="724"/>
      <c r="DP688" s="724"/>
      <c r="DQ688" s="724"/>
      <c r="DR688" s="724"/>
      <c r="DS688" s="724"/>
      <c r="DT688" s="724"/>
      <c r="DU688" s="724"/>
      <c r="DV688" s="724"/>
      <c r="DW688" s="724"/>
      <c r="DX688" s="724"/>
      <c r="DY688" s="724"/>
      <c r="DZ688" s="724"/>
      <c r="EA688" s="724"/>
      <c r="EB688" s="724"/>
      <c r="EC688" s="724"/>
      <c r="ED688" s="724"/>
      <c r="EE688" s="724"/>
      <c r="EF688" s="724"/>
      <c r="EG688" s="724"/>
      <c r="EH688" s="724"/>
      <c r="EI688" s="724"/>
      <c r="EJ688" s="724"/>
      <c r="EK688" s="724"/>
      <c r="EL688" s="724"/>
      <c r="EM688" s="724"/>
      <c r="EN688" s="724"/>
      <c r="EO688" s="724"/>
      <c r="EP688" s="724"/>
      <c r="EQ688" s="724"/>
      <c r="ER688" s="724"/>
      <c r="ES688" s="724"/>
      <c r="ET688" s="724"/>
      <c r="EU688" s="724"/>
      <c r="EV688" s="724"/>
      <c r="EW688" s="724"/>
      <c r="EX688" s="724"/>
      <c r="EY688" s="724"/>
      <c r="EZ688" s="724"/>
      <c r="FA688" s="724"/>
      <c r="FB688" s="724"/>
      <c r="FC688" s="724"/>
      <c r="FD688" s="724"/>
      <c r="FE688" s="724"/>
      <c r="FF688" s="724"/>
      <c r="FG688" s="724"/>
      <c r="FH688" s="724"/>
      <c r="FI688" s="724"/>
      <c r="FJ688" s="724"/>
      <c r="FK688" s="724"/>
      <c r="FL688" s="724"/>
      <c r="FM688" s="724"/>
      <c r="FN688" s="724"/>
      <c r="FO688" s="724"/>
      <c r="FP688" s="724"/>
      <c r="FQ688" s="724"/>
      <c r="FR688" s="724"/>
      <c r="FS688" s="724"/>
      <c r="FT688" s="724"/>
      <c r="FU688" s="724"/>
      <c r="FV688" s="724"/>
      <c r="FW688" s="724"/>
      <c r="FX688" s="724"/>
      <c r="FY688" s="724"/>
      <c r="FZ688" s="724"/>
      <c r="GA688" s="724"/>
      <c r="GB688" s="724"/>
      <c r="GC688" s="724"/>
      <c r="GD688" s="724"/>
      <c r="GE688" s="724"/>
      <c r="GF688" s="724"/>
      <c r="GG688" s="724"/>
      <c r="GH688" s="724"/>
      <c r="GI688" s="724"/>
      <c r="GJ688" s="724"/>
      <c r="GK688" s="724"/>
      <c r="GL688" s="724"/>
      <c r="GM688" s="724"/>
      <c r="GN688" s="724"/>
      <c r="GO688" s="724"/>
      <c r="GP688" s="724"/>
      <c r="GQ688" s="724"/>
      <c r="GR688" s="724"/>
      <c r="GS688" s="724"/>
      <c r="GT688" s="724"/>
      <c r="GU688" s="724"/>
      <c r="GV688" s="724"/>
      <c r="GW688" s="724"/>
      <c r="GX688" s="724"/>
      <c r="GY688" s="724"/>
      <c r="GZ688" s="724"/>
      <c r="HA688" s="724"/>
      <c r="HB688" s="724"/>
      <c r="HC688" s="724"/>
      <c r="HD688" s="724"/>
      <c r="HE688" s="724"/>
      <c r="HF688" s="724"/>
      <c r="HG688" s="724"/>
      <c r="HH688" s="724"/>
      <c r="HI688" s="724"/>
      <c r="HJ688" s="724"/>
      <c r="HK688" s="724"/>
      <c r="HL688" s="724"/>
      <c r="HM688" s="724"/>
      <c r="HN688" s="724"/>
      <c r="HO688" s="724"/>
      <c r="HP688" s="724"/>
      <c r="HQ688" s="724"/>
      <c r="HR688" s="724"/>
      <c r="HS688" s="724"/>
      <c r="HT688" s="724"/>
      <c r="HU688" s="724"/>
      <c r="HV688" s="724"/>
      <c r="HW688" s="724"/>
      <c r="HX688" s="724"/>
      <c r="HY688" s="724"/>
      <c r="HZ688" s="724"/>
      <c r="IA688" s="724"/>
      <c r="IB688" s="724"/>
      <c r="IC688" s="724"/>
      <c r="ID688" s="724"/>
      <c r="IE688" s="724"/>
      <c r="IF688" s="724"/>
      <c r="IG688" s="724"/>
      <c r="IH688" s="724"/>
      <c r="II688" s="724"/>
      <c r="IJ688" s="724"/>
      <c r="IK688" s="724"/>
      <c r="IL688" s="724"/>
      <c r="IM688" s="724"/>
      <c r="IN688" s="724"/>
      <c r="IO688" s="724"/>
      <c r="IP688" s="724"/>
      <c r="IQ688" s="724"/>
      <c r="IR688" s="724"/>
      <c r="IS688" s="724"/>
      <c r="IT688" s="724"/>
      <c r="IU688" s="724"/>
      <c r="IV688" s="724"/>
      <c r="IW688" s="724"/>
    </row>
    <row r="689" spans="1:257" s="582" customFormat="1" ht="15.75" hidden="1" customHeight="1">
      <c r="A689" s="683" t="s">
        <v>91</v>
      </c>
      <c r="B689" s="696" t="s">
        <v>1105</v>
      </c>
      <c r="C689" s="699"/>
      <c r="D689" s="699"/>
      <c r="E689" s="700"/>
      <c r="F689" s="700"/>
      <c r="G689" s="725"/>
      <c r="H689" s="725"/>
      <c r="I689" s="725"/>
      <c r="J689" s="700"/>
      <c r="K689" s="700"/>
      <c r="L689" s="1315"/>
      <c r="M689" s="651">
        <v>3000000000</v>
      </c>
      <c r="N689" s="826"/>
      <c r="O689" s="826"/>
      <c r="P689" s="868"/>
      <c r="Q689" s="868"/>
      <c r="R689" s="871"/>
      <c r="S689" s="871"/>
      <c r="T689" s="824"/>
      <c r="U689" s="721"/>
      <c r="V689" s="727"/>
      <c r="W689" s="727"/>
      <c r="X689" s="728"/>
      <c r="Y689" s="682"/>
      <c r="Z689" s="682"/>
      <c r="AA689" s="682"/>
      <c r="AB689" s="682"/>
      <c r="AC689" s="682"/>
      <c r="AD689" s="682"/>
      <c r="AE689" s="682"/>
      <c r="AF689" s="682"/>
      <c r="AG689" s="682"/>
      <c r="AH689" s="682"/>
      <c r="AI689" s="682"/>
      <c r="AJ689" s="682"/>
      <c r="AK689" s="682"/>
      <c r="AL689" s="682"/>
      <c r="AM689" s="682"/>
      <c r="AN689" s="682"/>
      <c r="AO689" s="682"/>
      <c r="AP689" s="682"/>
      <c r="AQ689" s="682"/>
      <c r="AR689" s="682"/>
      <c r="AS689" s="682"/>
      <c r="AT689" s="682"/>
      <c r="AU689" s="682"/>
      <c r="AV689" s="682"/>
      <c r="AW689" s="682"/>
      <c r="AX689" s="682"/>
      <c r="AY689" s="682"/>
      <c r="AZ689" s="682"/>
      <c r="BA689" s="682"/>
      <c r="BB689" s="682"/>
      <c r="BC689" s="682"/>
      <c r="BD689" s="682"/>
      <c r="BE689" s="682"/>
      <c r="BF689" s="682"/>
      <c r="BG689" s="682"/>
      <c r="BH689" s="682"/>
      <c r="BI689" s="682"/>
      <c r="BJ689" s="682"/>
      <c r="BK689" s="682"/>
      <c r="BL689" s="682"/>
      <c r="BM689" s="682"/>
      <c r="BN689" s="682"/>
      <c r="BO689" s="682"/>
      <c r="BP689" s="682"/>
      <c r="BQ689" s="682"/>
      <c r="BR689" s="682"/>
      <c r="BS689" s="682"/>
      <c r="BT689" s="682"/>
      <c r="BU689" s="682"/>
      <c r="BV689" s="682"/>
      <c r="BW689" s="682"/>
      <c r="BX689" s="682"/>
      <c r="BY689" s="682"/>
      <c r="BZ689" s="682"/>
      <c r="CA689" s="682"/>
      <c r="CB689" s="682"/>
      <c r="CC689" s="682"/>
      <c r="CD689" s="682"/>
      <c r="CE689" s="682"/>
      <c r="CF689" s="682"/>
      <c r="CG689" s="682"/>
      <c r="CH689" s="682"/>
      <c r="CI689" s="682"/>
      <c r="CJ689" s="682"/>
      <c r="CK689" s="682"/>
      <c r="CL689" s="682"/>
      <c r="CM689" s="682"/>
      <c r="CN689" s="682"/>
      <c r="CO689" s="682"/>
      <c r="CP689" s="682"/>
      <c r="CQ689" s="682"/>
      <c r="CR689" s="682"/>
      <c r="CS689" s="682"/>
      <c r="CT689" s="682"/>
      <c r="CU689" s="682"/>
      <c r="CV689" s="682"/>
      <c r="CW689" s="682"/>
      <c r="CX689" s="682"/>
      <c r="CY689" s="682"/>
      <c r="CZ689" s="682"/>
      <c r="DA689" s="682"/>
      <c r="DB689" s="682"/>
      <c r="DC689" s="682"/>
      <c r="DD689" s="682"/>
      <c r="DE689" s="682"/>
      <c r="DF689" s="682"/>
      <c r="DG689" s="682"/>
      <c r="DH689" s="682"/>
      <c r="DI689" s="682"/>
      <c r="DJ689" s="682"/>
      <c r="DK689" s="682"/>
      <c r="DL689" s="682"/>
      <c r="DM689" s="682"/>
      <c r="DN689" s="682"/>
      <c r="DO689" s="682"/>
      <c r="DP689" s="682"/>
      <c r="DQ689" s="682"/>
      <c r="DR689" s="682"/>
      <c r="DS689" s="682"/>
      <c r="DT689" s="682"/>
      <c r="DU689" s="682"/>
      <c r="DV689" s="682"/>
      <c r="DW689" s="682"/>
      <c r="DX689" s="682"/>
      <c r="DY689" s="682"/>
      <c r="DZ689" s="682"/>
      <c r="EA689" s="682"/>
      <c r="EB689" s="682"/>
      <c r="EC689" s="682"/>
      <c r="ED689" s="682"/>
      <c r="EE689" s="682"/>
      <c r="EF689" s="682"/>
      <c r="EG689" s="682"/>
      <c r="EH689" s="682"/>
      <c r="EI689" s="682"/>
      <c r="EJ689" s="682"/>
      <c r="EK689" s="682"/>
      <c r="EL689" s="682"/>
      <c r="EM689" s="682"/>
      <c r="EN689" s="682"/>
      <c r="EO689" s="682"/>
      <c r="EP689" s="682"/>
      <c r="EQ689" s="682"/>
      <c r="ER689" s="682"/>
      <c r="ES689" s="682"/>
      <c r="ET689" s="682"/>
      <c r="EU689" s="682"/>
      <c r="EV689" s="682"/>
      <c r="EW689" s="682"/>
      <c r="EX689" s="682"/>
      <c r="EY689" s="682"/>
      <c r="EZ689" s="682"/>
      <c r="FA689" s="682"/>
      <c r="FB689" s="682"/>
      <c r="FC689" s="682"/>
      <c r="FD689" s="682"/>
      <c r="FE689" s="682"/>
      <c r="FF689" s="682"/>
      <c r="FG689" s="682"/>
      <c r="FH689" s="682"/>
      <c r="FI689" s="682"/>
      <c r="FJ689" s="682"/>
      <c r="FK689" s="682"/>
      <c r="FL689" s="682"/>
      <c r="FM689" s="682"/>
      <c r="FN689" s="682"/>
      <c r="FO689" s="682"/>
      <c r="FP689" s="682"/>
      <c r="FQ689" s="682"/>
      <c r="FR689" s="682"/>
      <c r="FS689" s="682"/>
      <c r="FT689" s="682"/>
      <c r="FU689" s="682"/>
      <c r="FV689" s="682"/>
      <c r="FW689" s="682"/>
      <c r="FX689" s="682"/>
      <c r="FY689" s="682"/>
      <c r="FZ689" s="682"/>
      <c r="GA689" s="682"/>
      <c r="GB689" s="682"/>
      <c r="GC689" s="682"/>
      <c r="GD689" s="682"/>
      <c r="GE689" s="682"/>
      <c r="GF689" s="682"/>
      <c r="GG689" s="682"/>
      <c r="GH689" s="682"/>
      <c r="GI689" s="682"/>
      <c r="GJ689" s="682"/>
      <c r="GK689" s="682"/>
      <c r="GL689" s="682"/>
      <c r="GM689" s="682"/>
      <c r="GN689" s="682"/>
      <c r="GO689" s="682"/>
      <c r="GP689" s="682"/>
      <c r="GQ689" s="682"/>
      <c r="GR689" s="682"/>
      <c r="GS689" s="682"/>
      <c r="GT689" s="682"/>
      <c r="GU689" s="682"/>
      <c r="GV689" s="682"/>
      <c r="GW689" s="682"/>
      <c r="GX689" s="682"/>
      <c r="GY689" s="682"/>
      <c r="GZ689" s="682"/>
      <c r="HA689" s="682"/>
      <c r="HB689" s="682"/>
      <c r="HC689" s="682"/>
      <c r="HD689" s="682"/>
      <c r="HE689" s="682"/>
      <c r="HF689" s="682"/>
      <c r="HG689" s="682"/>
      <c r="HH689" s="682"/>
      <c r="HI689" s="682"/>
      <c r="HJ689" s="682"/>
      <c r="HK689" s="682"/>
      <c r="HL689" s="682"/>
      <c r="HM689" s="682"/>
      <c r="HN689" s="682"/>
      <c r="HO689" s="682"/>
      <c r="HP689" s="682"/>
      <c r="HQ689" s="682"/>
      <c r="HR689" s="682"/>
      <c r="HS689" s="682"/>
      <c r="HT689" s="682"/>
      <c r="HU689" s="682"/>
      <c r="HV689" s="682"/>
      <c r="HW689" s="682"/>
      <c r="HX689" s="682"/>
      <c r="HY689" s="682"/>
      <c r="HZ689" s="682"/>
      <c r="IA689" s="682"/>
      <c r="IB689" s="682"/>
      <c r="IC689" s="682"/>
      <c r="ID689" s="682"/>
      <c r="IE689" s="682"/>
      <c r="IF689" s="682"/>
      <c r="IG689" s="682"/>
      <c r="IH689" s="682"/>
      <c r="II689" s="682"/>
      <c r="IJ689" s="682"/>
      <c r="IK689" s="682"/>
      <c r="IL689" s="682"/>
      <c r="IM689" s="682"/>
      <c r="IN689" s="682"/>
      <c r="IO689" s="682"/>
      <c r="IP689" s="682"/>
      <c r="IQ689" s="682"/>
      <c r="IR689" s="682"/>
      <c r="IS689" s="682"/>
      <c r="IT689" s="682"/>
      <c r="IU689" s="682"/>
      <c r="IV689" s="682"/>
      <c r="IW689" s="682"/>
    </row>
    <row r="690" spans="1:257" s="582" customFormat="1" ht="15.75" hidden="1" customHeight="1">
      <c r="A690" s="683" t="s">
        <v>91</v>
      </c>
      <c r="B690" s="696" t="s">
        <v>1106</v>
      </c>
      <c r="C690" s="699"/>
      <c r="D690" s="699"/>
      <c r="E690" s="700"/>
      <c r="F690" s="700"/>
      <c r="G690" s="725"/>
      <c r="H690" s="725"/>
      <c r="I690" s="725"/>
      <c r="J690" s="700"/>
      <c r="K690" s="700"/>
      <c r="L690" s="1315"/>
      <c r="M690" s="651">
        <v>250000000</v>
      </c>
      <c r="N690" s="826"/>
      <c r="O690" s="826"/>
      <c r="P690" s="868"/>
      <c r="Q690" s="868"/>
      <c r="R690" s="871"/>
      <c r="S690" s="871"/>
      <c r="T690" s="824"/>
      <c r="U690" s="721"/>
      <c r="V690" s="727"/>
      <c r="W690" s="727"/>
      <c r="X690" s="728"/>
      <c r="Y690" s="682"/>
      <c r="Z690" s="682"/>
      <c r="AA690" s="682"/>
      <c r="AB690" s="682"/>
      <c r="AC690" s="682"/>
      <c r="AD690" s="682"/>
      <c r="AE690" s="682"/>
      <c r="AF690" s="682"/>
      <c r="AG690" s="682"/>
      <c r="AH690" s="682"/>
      <c r="AI690" s="682"/>
      <c r="AJ690" s="682"/>
      <c r="AK690" s="682"/>
      <c r="AL690" s="682"/>
      <c r="AM690" s="682"/>
      <c r="AN690" s="682"/>
      <c r="AO690" s="682"/>
      <c r="AP690" s="682"/>
      <c r="AQ690" s="682"/>
      <c r="AR690" s="682"/>
      <c r="AS690" s="682"/>
      <c r="AT690" s="682"/>
      <c r="AU690" s="682"/>
      <c r="AV690" s="682"/>
      <c r="AW690" s="682"/>
      <c r="AX690" s="682"/>
      <c r="AY690" s="682"/>
      <c r="AZ690" s="682"/>
      <c r="BA690" s="682"/>
      <c r="BB690" s="682"/>
      <c r="BC690" s="682"/>
      <c r="BD690" s="682"/>
      <c r="BE690" s="682"/>
      <c r="BF690" s="682"/>
      <c r="BG690" s="682"/>
      <c r="BH690" s="682"/>
      <c r="BI690" s="682"/>
      <c r="BJ690" s="682"/>
      <c r="BK690" s="682"/>
      <c r="BL690" s="682"/>
      <c r="BM690" s="682"/>
      <c r="BN690" s="682"/>
      <c r="BO690" s="682"/>
      <c r="BP690" s="682"/>
      <c r="BQ690" s="682"/>
      <c r="BR690" s="682"/>
      <c r="BS690" s="682"/>
      <c r="BT690" s="682"/>
      <c r="BU690" s="682"/>
      <c r="BV690" s="682"/>
      <c r="BW690" s="682"/>
      <c r="BX690" s="682"/>
      <c r="BY690" s="682"/>
      <c r="BZ690" s="682"/>
      <c r="CA690" s="682"/>
      <c r="CB690" s="682"/>
      <c r="CC690" s="682"/>
      <c r="CD690" s="682"/>
      <c r="CE690" s="682"/>
      <c r="CF690" s="682"/>
      <c r="CG690" s="682"/>
      <c r="CH690" s="682"/>
      <c r="CI690" s="682"/>
      <c r="CJ690" s="682"/>
      <c r="CK690" s="682"/>
      <c r="CL690" s="682"/>
      <c r="CM690" s="682"/>
      <c r="CN690" s="682"/>
      <c r="CO690" s="682"/>
      <c r="CP690" s="682"/>
      <c r="CQ690" s="682"/>
      <c r="CR690" s="682"/>
      <c r="CS690" s="682"/>
      <c r="CT690" s="682"/>
      <c r="CU690" s="682"/>
      <c r="CV690" s="682"/>
      <c r="CW690" s="682"/>
      <c r="CX690" s="682"/>
      <c r="CY690" s="682"/>
      <c r="CZ690" s="682"/>
      <c r="DA690" s="682"/>
      <c r="DB690" s="682"/>
      <c r="DC690" s="682"/>
      <c r="DD690" s="682"/>
      <c r="DE690" s="682"/>
      <c r="DF690" s="682"/>
      <c r="DG690" s="682"/>
      <c r="DH690" s="682"/>
      <c r="DI690" s="682"/>
      <c r="DJ690" s="682"/>
      <c r="DK690" s="682"/>
      <c r="DL690" s="682"/>
      <c r="DM690" s="682"/>
      <c r="DN690" s="682"/>
      <c r="DO690" s="682"/>
      <c r="DP690" s="682"/>
      <c r="DQ690" s="682"/>
      <c r="DR690" s="682"/>
      <c r="DS690" s="682"/>
      <c r="DT690" s="682"/>
      <c r="DU690" s="682"/>
      <c r="DV690" s="682"/>
      <c r="DW690" s="682"/>
      <c r="DX690" s="682"/>
      <c r="DY690" s="682"/>
      <c r="DZ690" s="682"/>
      <c r="EA690" s="682"/>
      <c r="EB690" s="682"/>
      <c r="EC690" s="682"/>
      <c r="ED690" s="682"/>
      <c r="EE690" s="682"/>
      <c r="EF690" s="682"/>
      <c r="EG690" s="682"/>
      <c r="EH690" s="682"/>
      <c r="EI690" s="682"/>
      <c r="EJ690" s="682"/>
      <c r="EK690" s="682"/>
      <c r="EL690" s="682"/>
      <c r="EM690" s="682"/>
      <c r="EN690" s="682"/>
      <c r="EO690" s="682"/>
      <c r="EP690" s="682"/>
      <c r="EQ690" s="682"/>
      <c r="ER690" s="682"/>
      <c r="ES690" s="682"/>
      <c r="ET690" s="682"/>
      <c r="EU690" s="682"/>
      <c r="EV690" s="682"/>
      <c r="EW690" s="682"/>
      <c r="EX690" s="682"/>
      <c r="EY690" s="682"/>
      <c r="EZ690" s="682"/>
      <c r="FA690" s="682"/>
      <c r="FB690" s="682"/>
      <c r="FC690" s="682"/>
      <c r="FD690" s="682"/>
      <c r="FE690" s="682"/>
      <c r="FF690" s="682"/>
      <c r="FG690" s="682"/>
      <c r="FH690" s="682"/>
      <c r="FI690" s="682"/>
      <c r="FJ690" s="682"/>
      <c r="FK690" s="682"/>
      <c r="FL690" s="682"/>
      <c r="FM690" s="682"/>
      <c r="FN690" s="682"/>
      <c r="FO690" s="682"/>
      <c r="FP690" s="682"/>
      <c r="FQ690" s="682"/>
      <c r="FR690" s="682"/>
      <c r="FS690" s="682"/>
      <c r="FT690" s="682"/>
      <c r="FU690" s="682"/>
      <c r="FV690" s="682"/>
      <c r="FW690" s="682"/>
      <c r="FX690" s="682"/>
      <c r="FY690" s="682"/>
      <c r="FZ690" s="682"/>
      <c r="GA690" s="682"/>
      <c r="GB690" s="682"/>
      <c r="GC690" s="682"/>
      <c r="GD690" s="682"/>
      <c r="GE690" s="682"/>
      <c r="GF690" s="682"/>
      <c r="GG690" s="682"/>
      <c r="GH690" s="682"/>
      <c r="GI690" s="682"/>
      <c r="GJ690" s="682"/>
      <c r="GK690" s="682"/>
      <c r="GL690" s="682"/>
      <c r="GM690" s="682"/>
      <c r="GN690" s="682"/>
      <c r="GO690" s="682"/>
      <c r="GP690" s="682"/>
      <c r="GQ690" s="682"/>
      <c r="GR690" s="682"/>
      <c r="GS690" s="682"/>
      <c r="GT690" s="682"/>
      <c r="GU690" s="682"/>
      <c r="GV690" s="682"/>
      <c r="GW690" s="682"/>
      <c r="GX690" s="682"/>
      <c r="GY690" s="682"/>
      <c r="GZ690" s="682"/>
      <c r="HA690" s="682"/>
      <c r="HB690" s="682"/>
      <c r="HC690" s="682"/>
      <c r="HD690" s="682"/>
      <c r="HE690" s="682"/>
      <c r="HF690" s="682"/>
      <c r="HG690" s="682"/>
      <c r="HH690" s="682"/>
      <c r="HI690" s="682"/>
      <c r="HJ690" s="682"/>
      <c r="HK690" s="682"/>
      <c r="HL690" s="682"/>
      <c r="HM690" s="682"/>
      <c r="HN690" s="682"/>
      <c r="HO690" s="682"/>
      <c r="HP690" s="682"/>
      <c r="HQ690" s="682"/>
      <c r="HR690" s="682"/>
      <c r="HS690" s="682"/>
      <c r="HT690" s="682"/>
      <c r="HU690" s="682"/>
      <c r="HV690" s="682"/>
      <c r="HW690" s="682"/>
      <c r="HX690" s="682"/>
      <c r="HY690" s="682"/>
      <c r="HZ690" s="682"/>
      <c r="IA690" s="682"/>
      <c r="IB690" s="682"/>
      <c r="IC690" s="682"/>
      <c r="ID690" s="682"/>
      <c r="IE690" s="682"/>
      <c r="IF690" s="682"/>
      <c r="IG690" s="682"/>
      <c r="IH690" s="682"/>
      <c r="II690" s="682"/>
      <c r="IJ690" s="682"/>
      <c r="IK690" s="682"/>
      <c r="IL690" s="682"/>
      <c r="IM690" s="682"/>
      <c r="IN690" s="682"/>
      <c r="IO690" s="682"/>
      <c r="IP690" s="682"/>
      <c r="IQ690" s="682"/>
      <c r="IR690" s="682"/>
      <c r="IS690" s="682"/>
      <c r="IT690" s="682"/>
      <c r="IU690" s="682"/>
      <c r="IV690" s="682"/>
      <c r="IW690" s="682"/>
    </row>
    <row r="691" spans="1:257" s="582" customFormat="1" ht="15.75" hidden="1" customHeight="1">
      <c r="A691" s="683" t="s">
        <v>91</v>
      </c>
      <c r="B691" s="696" t="s">
        <v>1107</v>
      </c>
      <c r="C691" s="699"/>
      <c r="D691" s="699"/>
      <c r="E691" s="700"/>
      <c r="F691" s="700"/>
      <c r="G691" s="725"/>
      <c r="H691" s="725"/>
      <c r="I691" s="725"/>
      <c r="J691" s="700"/>
      <c r="K691" s="700"/>
      <c r="L691" s="1315"/>
      <c r="M691" s="651">
        <v>2800000000</v>
      </c>
      <c r="N691" s="826"/>
      <c r="O691" s="826"/>
      <c r="P691" s="868"/>
      <c r="Q691" s="868"/>
      <c r="R691" s="871"/>
      <c r="S691" s="871"/>
      <c r="T691" s="824"/>
      <c r="U691" s="721"/>
      <c r="V691" s="727"/>
      <c r="W691" s="727"/>
      <c r="X691" s="728"/>
      <c r="Y691" s="682"/>
      <c r="Z691" s="682"/>
      <c r="AA691" s="682"/>
      <c r="AB691" s="682"/>
      <c r="AC691" s="682"/>
      <c r="AD691" s="682"/>
      <c r="AE691" s="682"/>
      <c r="AF691" s="682"/>
      <c r="AG691" s="682"/>
      <c r="AH691" s="682"/>
      <c r="AI691" s="682"/>
      <c r="AJ691" s="682"/>
      <c r="AK691" s="682"/>
      <c r="AL691" s="682"/>
      <c r="AM691" s="682"/>
      <c r="AN691" s="682"/>
      <c r="AO691" s="682"/>
      <c r="AP691" s="682"/>
      <c r="AQ691" s="682"/>
      <c r="AR691" s="682"/>
      <c r="AS691" s="682"/>
      <c r="AT691" s="682"/>
      <c r="AU691" s="682"/>
      <c r="AV691" s="682"/>
      <c r="AW691" s="682"/>
      <c r="AX691" s="682"/>
      <c r="AY691" s="682"/>
      <c r="AZ691" s="682"/>
      <c r="BA691" s="682"/>
      <c r="BB691" s="682"/>
      <c r="BC691" s="682"/>
      <c r="BD691" s="682"/>
      <c r="BE691" s="682"/>
      <c r="BF691" s="682"/>
      <c r="BG691" s="682"/>
      <c r="BH691" s="682"/>
      <c r="BI691" s="682"/>
      <c r="BJ691" s="682"/>
      <c r="BK691" s="682"/>
      <c r="BL691" s="682"/>
      <c r="BM691" s="682"/>
      <c r="BN691" s="682"/>
      <c r="BO691" s="682"/>
      <c r="BP691" s="682"/>
      <c r="BQ691" s="682"/>
      <c r="BR691" s="682"/>
      <c r="BS691" s="682"/>
      <c r="BT691" s="682"/>
      <c r="BU691" s="682"/>
      <c r="BV691" s="682"/>
      <c r="BW691" s="682"/>
      <c r="BX691" s="682"/>
      <c r="BY691" s="682"/>
      <c r="BZ691" s="682"/>
      <c r="CA691" s="682"/>
      <c r="CB691" s="682"/>
      <c r="CC691" s="682"/>
      <c r="CD691" s="682"/>
      <c r="CE691" s="682"/>
      <c r="CF691" s="682"/>
      <c r="CG691" s="682"/>
      <c r="CH691" s="682"/>
      <c r="CI691" s="682"/>
      <c r="CJ691" s="682"/>
      <c r="CK691" s="682"/>
      <c r="CL691" s="682"/>
      <c r="CM691" s="682"/>
      <c r="CN691" s="682"/>
      <c r="CO691" s="682"/>
      <c r="CP691" s="682"/>
      <c r="CQ691" s="682"/>
      <c r="CR691" s="682"/>
      <c r="CS691" s="682"/>
      <c r="CT691" s="682"/>
      <c r="CU691" s="682"/>
      <c r="CV691" s="682"/>
      <c r="CW691" s="682"/>
      <c r="CX691" s="682"/>
      <c r="CY691" s="682"/>
      <c r="CZ691" s="682"/>
      <c r="DA691" s="682"/>
      <c r="DB691" s="682"/>
      <c r="DC691" s="682"/>
      <c r="DD691" s="682"/>
      <c r="DE691" s="682"/>
      <c r="DF691" s="682"/>
      <c r="DG691" s="682"/>
      <c r="DH691" s="682"/>
      <c r="DI691" s="682"/>
      <c r="DJ691" s="682"/>
      <c r="DK691" s="682"/>
      <c r="DL691" s="682"/>
      <c r="DM691" s="682"/>
      <c r="DN691" s="682"/>
      <c r="DO691" s="682"/>
      <c r="DP691" s="682"/>
      <c r="DQ691" s="682"/>
      <c r="DR691" s="682"/>
      <c r="DS691" s="682"/>
      <c r="DT691" s="682"/>
      <c r="DU691" s="682"/>
      <c r="DV691" s="682"/>
      <c r="DW691" s="682"/>
      <c r="DX691" s="682"/>
      <c r="DY691" s="682"/>
      <c r="DZ691" s="682"/>
      <c r="EA691" s="682"/>
      <c r="EB691" s="682"/>
      <c r="EC691" s="682"/>
      <c r="ED691" s="682"/>
      <c r="EE691" s="682"/>
      <c r="EF691" s="682"/>
      <c r="EG691" s="682"/>
      <c r="EH691" s="682"/>
      <c r="EI691" s="682"/>
      <c r="EJ691" s="682"/>
      <c r="EK691" s="682"/>
      <c r="EL691" s="682"/>
      <c r="EM691" s="682"/>
      <c r="EN691" s="682"/>
      <c r="EO691" s="682"/>
      <c r="EP691" s="682"/>
      <c r="EQ691" s="682"/>
      <c r="ER691" s="682"/>
      <c r="ES691" s="682"/>
      <c r="ET691" s="682"/>
      <c r="EU691" s="682"/>
      <c r="EV691" s="682"/>
      <c r="EW691" s="682"/>
      <c r="EX691" s="682"/>
      <c r="EY691" s="682"/>
      <c r="EZ691" s="682"/>
      <c r="FA691" s="682"/>
      <c r="FB691" s="682"/>
      <c r="FC691" s="682"/>
      <c r="FD691" s="682"/>
      <c r="FE691" s="682"/>
      <c r="FF691" s="682"/>
      <c r="FG691" s="682"/>
      <c r="FH691" s="682"/>
      <c r="FI691" s="682"/>
      <c r="FJ691" s="682"/>
      <c r="FK691" s="682"/>
      <c r="FL691" s="682"/>
      <c r="FM691" s="682"/>
      <c r="FN691" s="682"/>
      <c r="FO691" s="682"/>
      <c r="FP691" s="682"/>
      <c r="FQ691" s="682"/>
      <c r="FR691" s="682"/>
      <c r="FS691" s="682"/>
      <c r="FT691" s="682"/>
      <c r="FU691" s="682"/>
      <c r="FV691" s="682"/>
      <c r="FW691" s="682"/>
      <c r="FX691" s="682"/>
      <c r="FY691" s="682"/>
      <c r="FZ691" s="682"/>
      <c r="GA691" s="682"/>
      <c r="GB691" s="682"/>
      <c r="GC691" s="682"/>
      <c r="GD691" s="682"/>
      <c r="GE691" s="682"/>
      <c r="GF691" s="682"/>
      <c r="GG691" s="682"/>
      <c r="GH691" s="682"/>
      <c r="GI691" s="682"/>
      <c r="GJ691" s="682"/>
      <c r="GK691" s="682"/>
      <c r="GL691" s="682"/>
      <c r="GM691" s="682"/>
      <c r="GN691" s="682"/>
      <c r="GO691" s="682"/>
      <c r="GP691" s="682"/>
      <c r="GQ691" s="682"/>
      <c r="GR691" s="682"/>
      <c r="GS691" s="682"/>
      <c r="GT691" s="682"/>
      <c r="GU691" s="682"/>
      <c r="GV691" s="682"/>
      <c r="GW691" s="682"/>
      <c r="GX691" s="682"/>
      <c r="GY691" s="682"/>
      <c r="GZ691" s="682"/>
      <c r="HA691" s="682"/>
      <c r="HB691" s="682"/>
      <c r="HC691" s="682"/>
      <c r="HD691" s="682"/>
      <c r="HE691" s="682"/>
      <c r="HF691" s="682"/>
      <c r="HG691" s="682"/>
      <c r="HH691" s="682"/>
      <c r="HI691" s="682"/>
      <c r="HJ691" s="682"/>
      <c r="HK691" s="682"/>
      <c r="HL691" s="682"/>
      <c r="HM691" s="682"/>
      <c r="HN691" s="682"/>
      <c r="HO691" s="682"/>
      <c r="HP691" s="682"/>
      <c r="HQ691" s="682"/>
      <c r="HR691" s="682"/>
      <c r="HS691" s="682"/>
      <c r="HT691" s="682"/>
      <c r="HU691" s="682"/>
      <c r="HV691" s="682"/>
      <c r="HW691" s="682"/>
      <c r="HX691" s="682"/>
      <c r="HY691" s="682"/>
      <c r="HZ691" s="682"/>
      <c r="IA691" s="682"/>
      <c r="IB691" s="682"/>
      <c r="IC691" s="682"/>
      <c r="ID691" s="682"/>
      <c r="IE691" s="682"/>
      <c r="IF691" s="682"/>
      <c r="IG691" s="682"/>
      <c r="IH691" s="682"/>
      <c r="II691" s="682"/>
      <c r="IJ691" s="682"/>
      <c r="IK691" s="682"/>
      <c r="IL691" s="682"/>
      <c r="IM691" s="682"/>
      <c r="IN691" s="682"/>
      <c r="IO691" s="682"/>
      <c r="IP691" s="682"/>
      <c r="IQ691" s="682"/>
      <c r="IR691" s="682"/>
      <c r="IS691" s="682"/>
      <c r="IT691" s="682"/>
      <c r="IU691" s="682"/>
      <c r="IV691" s="682"/>
      <c r="IW691" s="682"/>
    </row>
    <row r="692" spans="1:257" s="582" customFormat="1" ht="15.75" hidden="1" customHeight="1">
      <c r="A692" s="683" t="s">
        <v>91</v>
      </c>
      <c r="B692" s="696" t="s">
        <v>1108</v>
      </c>
      <c r="C692" s="699"/>
      <c r="D692" s="699"/>
      <c r="E692" s="700"/>
      <c r="F692" s="700"/>
      <c r="G692" s="725"/>
      <c r="H692" s="725"/>
      <c r="I692" s="725"/>
      <c r="J692" s="700"/>
      <c r="K692" s="700"/>
      <c r="L692" s="1315"/>
      <c r="M692" s="651">
        <v>1500000000</v>
      </c>
      <c r="N692" s="826"/>
      <c r="O692" s="826"/>
      <c r="P692" s="868"/>
      <c r="Q692" s="868"/>
      <c r="R692" s="871"/>
      <c r="S692" s="871"/>
      <c r="T692" s="824"/>
      <c r="U692" s="721"/>
      <c r="V692" s="727"/>
      <c r="W692" s="727"/>
      <c r="X692" s="728"/>
      <c r="Y692" s="682"/>
      <c r="Z692" s="682"/>
      <c r="AA692" s="682"/>
      <c r="AB692" s="682"/>
      <c r="AC692" s="682"/>
      <c r="AD692" s="682"/>
      <c r="AE692" s="682"/>
      <c r="AF692" s="682"/>
      <c r="AG692" s="682"/>
      <c r="AH692" s="682"/>
      <c r="AI692" s="682"/>
      <c r="AJ692" s="682"/>
      <c r="AK692" s="682"/>
      <c r="AL692" s="682"/>
      <c r="AM692" s="682"/>
      <c r="AN692" s="682"/>
      <c r="AO692" s="682"/>
      <c r="AP692" s="682"/>
      <c r="AQ692" s="682"/>
      <c r="AR692" s="682"/>
      <c r="AS692" s="682"/>
      <c r="AT692" s="682"/>
      <c r="AU692" s="682"/>
      <c r="AV692" s="682"/>
      <c r="AW692" s="682"/>
      <c r="AX692" s="682"/>
      <c r="AY692" s="682"/>
      <c r="AZ692" s="682"/>
      <c r="BA692" s="682"/>
      <c r="BB692" s="682"/>
      <c r="BC692" s="682"/>
      <c r="BD692" s="682"/>
      <c r="BE692" s="682"/>
      <c r="BF692" s="682"/>
      <c r="BG692" s="682"/>
      <c r="BH692" s="682"/>
      <c r="BI692" s="682"/>
      <c r="BJ692" s="682"/>
      <c r="BK692" s="682"/>
      <c r="BL692" s="682"/>
      <c r="BM692" s="682"/>
      <c r="BN692" s="682"/>
      <c r="BO692" s="682"/>
      <c r="BP692" s="682"/>
      <c r="BQ692" s="682"/>
      <c r="BR692" s="682"/>
      <c r="BS692" s="682"/>
      <c r="BT692" s="682"/>
      <c r="BU692" s="682"/>
      <c r="BV692" s="682"/>
      <c r="BW692" s="682"/>
      <c r="BX692" s="682"/>
      <c r="BY692" s="682"/>
      <c r="BZ692" s="682"/>
      <c r="CA692" s="682"/>
      <c r="CB692" s="682"/>
      <c r="CC692" s="682"/>
      <c r="CD692" s="682"/>
      <c r="CE692" s="682"/>
      <c r="CF692" s="682"/>
      <c r="CG692" s="682"/>
      <c r="CH692" s="682"/>
      <c r="CI692" s="682"/>
      <c r="CJ692" s="682"/>
      <c r="CK692" s="682"/>
      <c r="CL692" s="682"/>
      <c r="CM692" s="682"/>
      <c r="CN692" s="682"/>
      <c r="CO692" s="682"/>
      <c r="CP692" s="682"/>
      <c r="CQ692" s="682"/>
      <c r="CR692" s="682"/>
      <c r="CS692" s="682"/>
      <c r="CT692" s="682"/>
      <c r="CU692" s="682"/>
      <c r="CV692" s="682"/>
      <c r="CW692" s="682"/>
      <c r="CX692" s="682"/>
      <c r="CY692" s="682"/>
      <c r="CZ692" s="682"/>
      <c r="DA692" s="682"/>
      <c r="DB692" s="682"/>
      <c r="DC692" s="682"/>
      <c r="DD692" s="682"/>
      <c r="DE692" s="682"/>
      <c r="DF692" s="682"/>
      <c r="DG692" s="682"/>
      <c r="DH692" s="682"/>
      <c r="DI692" s="682"/>
      <c r="DJ692" s="682"/>
      <c r="DK692" s="682"/>
      <c r="DL692" s="682"/>
      <c r="DM692" s="682"/>
      <c r="DN692" s="682"/>
      <c r="DO692" s="682"/>
      <c r="DP692" s="682"/>
      <c r="DQ692" s="682"/>
      <c r="DR692" s="682"/>
      <c r="DS692" s="682"/>
      <c r="DT692" s="682"/>
      <c r="DU692" s="682"/>
      <c r="DV692" s="682"/>
      <c r="DW692" s="682"/>
      <c r="DX692" s="682"/>
      <c r="DY692" s="682"/>
      <c r="DZ692" s="682"/>
      <c r="EA692" s="682"/>
      <c r="EB692" s="682"/>
      <c r="EC692" s="682"/>
      <c r="ED692" s="682"/>
      <c r="EE692" s="682"/>
      <c r="EF692" s="682"/>
      <c r="EG692" s="682"/>
      <c r="EH692" s="682"/>
      <c r="EI692" s="682"/>
      <c r="EJ692" s="682"/>
      <c r="EK692" s="682"/>
      <c r="EL692" s="682"/>
      <c r="EM692" s="682"/>
      <c r="EN692" s="682"/>
      <c r="EO692" s="682"/>
      <c r="EP692" s="682"/>
      <c r="EQ692" s="682"/>
      <c r="ER692" s="682"/>
      <c r="ES692" s="682"/>
      <c r="ET692" s="682"/>
      <c r="EU692" s="682"/>
      <c r="EV692" s="682"/>
      <c r="EW692" s="682"/>
      <c r="EX692" s="682"/>
      <c r="EY692" s="682"/>
      <c r="EZ692" s="682"/>
      <c r="FA692" s="682"/>
      <c r="FB692" s="682"/>
      <c r="FC692" s="682"/>
      <c r="FD692" s="682"/>
      <c r="FE692" s="682"/>
      <c r="FF692" s="682"/>
      <c r="FG692" s="682"/>
      <c r="FH692" s="682"/>
      <c r="FI692" s="682"/>
      <c r="FJ692" s="682"/>
      <c r="FK692" s="682"/>
      <c r="FL692" s="682"/>
      <c r="FM692" s="682"/>
      <c r="FN692" s="682"/>
      <c r="FO692" s="682"/>
      <c r="FP692" s="682"/>
      <c r="FQ692" s="682"/>
      <c r="FR692" s="682"/>
      <c r="FS692" s="682"/>
      <c r="FT692" s="682"/>
      <c r="FU692" s="682"/>
      <c r="FV692" s="682"/>
      <c r="FW692" s="682"/>
      <c r="FX692" s="682"/>
      <c r="FY692" s="682"/>
      <c r="FZ692" s="682"/>
      <c r="GA692" s="682"/>
      <c r="GB692" s="682"/>
      <c r="GC692" s="682"/>
      <c r="GD692" s="682"/>
      <c r="GE692" s="682"/>
      <c r="GF692" s="682"/>
      <c r="GG692" s="682"/>
      <c r="GH692" s="682"/>
      <c r="GI692" s="682"/>
      <c r="GJ692" s="682"/>
      <c r="GK692" s="682"/>
      <c r="GL692" s="682"/>
      <c r="GM692" s="682"/>
      <c r="GN692" s="682"/>
      <c r="GO692" s="682"/>
      <c r="GP692" s="682"/>
      <c r="GQ692" s="682"/>
      <c r="GR692" s="682"/>
      <c r="GS692" s="682"/>
      <c r="GT692" s="682"/>
      <c r="GU692" s="682"/>
      <c r="GV692" s="682"/>
      <c r="GW692" s="682"/>
      <c r="GX692" s="682"/>
      <c r="GY692" s="682"/>
      <c r="GZ692" s="682"/>
      <c r="HA692" s="682"/>
      <c r="HB692" s="682"/>
      <c r="HC692" s="682"/>
      <c r="HD692" s="682"/>
      <c r="HE692" s="682"/>
      <c r="HF692" s="682"/>
      <c r="HG692" s="682"/>
      <c r="HH692" s="682"/>
      <c r="HI692" s="682"/>
      <c r="HJ692" s="682"/>
      <c r="HK692" s="682"/>
      <c r="HL692" s="682"/>
      <c r="HM692" s="682"/>
      <c r="HN692" s="682"/>
      <c r="HO692" s="682"/>
      <c r="HP692" s="682"/>
      <c r="HQ692" s="682"/>
      <c r="HR692" s="682"/>
      <c r="HS692" s="682"/>
      <c r="HT692" s="682"/>
      <c r="HU692" s="682"/>
      <c r="HV692" s="682"/>
      <c r="HW692" s="682"/>
      <c r="HX692" s="682"/>
      <c r="HY692" s="682"/>
      <c r="HZ692" s="682"/>
      <c r="IA692" s="682"/>
      <c r="IB692" s="682"/>
      <c r="IC692" s="682"/>
      <c r="ID692" s="682"/>
      <c r="IE692" s="682"/>
      <c r="IF692" s="682"/>
      <c r="IG692" s="682"/>
      <c r="IH692" s="682"/>
      <c r="II692" s="682"/>
      <c r="IJ692" s="682"/>
      <c r="IK692" s="682"/>
      <c r="IL692" s="682"/>
      <c r="IM692" s="682"/>
      <c r="IN692" s="682"/>
      <c r="IO692" s="682"/>
      <c r="IP692" s="682"/>
      <c r="IQ692" s="682"/>
      <c r="IR692" s="682"/>
      <c r="IS692" s="682"/>
      <c r="IT692" s="682"/>
      <c r="IU692" s="682"/>
      <c r="IV692" s="682"/>
      <c r="IW692" s="682"/>
    </row>
    <row r="693" spans="1:257" s="582" customFormat="1" ht="45.75" hidden="1" customHeight="1">
      <c r="A693" s="683" t="s">
        <v>91</v>
      </c>
      <c r="B693" s="696" t="s">
        <v>1109</v>
      </c>
      <c r="C693" s="635"/>
      <c r="D693" s="635"/>
      <c r="E693" s="651"/>
      <c r="F693" s="651"/>
      <c r="G693" s="725"/>
      <c r="H693" s="725"/>
      <c r="I693" s="725"/>
      <c r="J693" s="651"/>
      <c r="K693" s="651"/>
      <c r="L693" s="1305"/>
      <c r="M693" s="651">
        <v>100000000</v>
      </c>
      <c r="N693" s="826"/>
      <c r="O693" s="826"/>
      <c r="P693" s="868"/>
      <c r="Q693" s="868"/>
      <c r="R693" s="871"/>
      <c r="S693" s="871"/>
      <c r="T693" s="824"/>
      <c r="U693" s="721"/>
      <c r="V693" s="727"/>
      <c r="W693" s="727"/>
      <c r="X693" s="728"/>
      <c r="Y693" s="682"/>
      <c r="Z693" s="682"/>
      <c r="AA693" s="682"/>
      <c r="AB693" s="682"/>
      <c r="AC693" s="682"/>
      <c r="AD693" s="682"/>
      <c r="AE693" s="682"/>
      <c r="AF693" s="682"/>
      <c r="AG693" s="682"/>
      <c r="AH693" s="682"/>
      <c r="AI693" s="682"/>
      <c r="AJ693" s="682"/>
      <c r="AK693" s="682"/>
      <c r="AL693" s="682"/>
      <c r="AM693" s="682"/>
      <c r="AN693" s="682"/>
      <c r="AO693" s="682"/>
      <c r="AP693" s="682"/>
      <c r="AQ693" s="682"/>
      <c r="AR693" s="682"/>
      <c r="AS693" s="682"/>
      <c r="AT693" s="682"/>
      <c r="AU693" s="682"/>
      <c r="AV693" s="682"/>
      <c r="AW693" s="682"/>
      <c r="AX693" s="682"/>
      <c r="AY693" s="682"/>
      <c r="AZ693" s="682"/>
      <c r="BA693" s="682"/>
      <c r="BB693" s="682"/>
      <c r="BC693" s="682"/>
      <c r="BD693" s="682"/>
      <c r="BE693" s="682"/>
      <c r="BF693" s="682"/>
      <c r="BG693" s="682"/>
      <c r="BH693" s="682"/>
      <c r="BI693" s="682"/>
      <c r="BJ693" s="682"/>
      <c r="BK693" s="682"/>
      <c r="BL693" s="682"/>
      <c r="BM693" s="682"/>
      <c r="BN693" s="682"/>
      <c r="BO693" s="682"/>
      <c r="BP693" s="682"/>
      <c r="BQ693" s="682"/>
      <c r="BR693" s="682"/>
      <c r="BS693" s="682"/>
      <c r="BT693" s="682"/>
      <c r="BU693" s="682"/>
      <c r="BV693" s="682"/>
      <c r="BW693" s="682"/>
      <c r="BX693" s="682"/>
      <c r="BY693" s="682"/>
      <c r="BZ693" s="682"/>
      <c r="CA693" s="682"/>
      <c r="CB693" s="682"/>
      <c r="CC693" s="682"/>
      <c r="CD693" s="682"/>
      <c r="CE693" s="682"/>
      <c r="CF693" s="682"/>
      <c r="CG693" s="682"/>
      <c r="CH693" s="682"/>
      <c r="CI693" s="682"/>
      <c r="CJ693" s="682"/>
      <c r="CK693" s="682"/>
      <c r="CL693" s="682"/>
      <c r="CM693" s="682"/>
      <c r="CN693" s="682"/>
      <c r="CO693" s="682"/>
      <c r="CP693" s="682"/>
      <c r="CQ693" s="682"/>
      <c r="CR693" s="682"/>
      <c r="CS693" s="682"/>
      <c r="CT693" s="682"/>
      <c r="CU693" s="682"/>
      <c r="CV693" s="682"/>
      <c r="CW693" s="682"/>
      <c r="CX693" s="682"/>
      <c r="CY693" s="682"/>
      <c r="CZ693" s="682"/>
      <c r="DA693" s="682"/>
      <c r="DB693" s="682"/>
      <c r="DC693" s="682"/>
      <c r="DD693" s="682"/>
      <c r="DE693" s="682"/>
      <c r="DF693" s="682"/>
      <c r="DG693" s="682"/>
      <c r="DH693" s="682"/>
      <c r="DI693" s="682"/>
      <c r="DJ693" s="682"/>
      <c r="DK693" s="682"/>
      <c r="DL693" s="682"/>
      <c r="DM693" s="682"/>
      <c r="DN693" s="682"/>
      <c r="DO693" s="682"/>
      <c r="DP693" s="682"/>
      <c r="DQ693" s="682"/>
      <c r="DR693" s="682"/>
      <c r="DS693" s="682"/>
      <c r="DT693" s="682"/>
      <c r="DU693" s="682"/>
      <c r="DV693" s="682"/>
      <c r="DW693" s="682"/>
      <c r="DX693" s="682"/>
      <c r="DY693" s="682"/>
      <c r="DZ693" s="682"/>
      <c r="EA693" s="682"/>
      <c r="EB693" s="682"/>
      <c r="EC693" s="682"/>
      <c r="ED693" s="682"/>
      <c r="EE693" s="682"/>
      <c r="EF693" s="682"/>
      <c r="EG693" s="682"/>
      <c r="EH693" s="682"/>
      <c r="EI693" s="682"/>
      <c r="EJ693" s="682"/>
      <c r="EK693" s="682"/>
      <c r="EL693" s="682"/>
      <c r="EM693" s="682"/>
      <c r="EN693" s="682"/>
      <c r="EO693" s="682"/>
      <c r="EP693" s="682"/>
      <c r="EQ693" s="682"/>
      <c r="ER693" s="682"/>
      <c r="ES693" s="682"/>
      <c r="ET693" s="682"/>
      <c r="EU693" s="682"/>
      <c r="EV693" s="682"/>
      <c r="EW693" s="682"/>
      <c r="EX693" s="682"/>
      <c r="EY693" s="682"/>
      <c r="EZ693" s="682"/>
      <c r="FA693" s="682"/>
      <c r="FB693" s="682"/>
      <c r="FC693" s="682"/>
      <c r="FD693" s="682"/>
      <c r="FE693" s="682"/>
      <c r="FF693" s="682"/>
      <c r="FG693" s="682"/>
      <c r="FH693" s="682"/>
      <c r="FI693" s="682"/>
      <c r="FJ693" s="682"/>
      <c r="FK693" s="682"/>
      <c r="FL693" s="682"/>
      <c r="FM693" s="682"/>
      <c r="FN693" s="682"/>
      <c r="FO693" s="682"/>
      <c r="FP693" s="682"/>
      <c r="FQ693" s="682"/>
      <c r="FR693" s="682"/>
      <c r="FS693" s="682"/>
      <c r="FT693" s="682"/>
      <c r="FU693" s="682"/>
      <c r="FV693" s="682"/>
      <c r="FW693" s="682"/>
      <c r="FX693" s="682"/>
      <c r="FY693" s="682"/>
      <c r="FZ693" s="682"/>
      <c r="GA693" s="682"/>
      <c r="GB693" s="682"/>
      <c r="GC693" s="682"/>
      <c r="GD693" s="682"/>
      <c r="GE693" s="682"/>
      <c r="GF693" s="682"/>
      <c r="GG693" s="682"/>
      <c r="GH693" s="682"/>
      <c r="GI693" s="682"/>
      <c r="GJ693" s="682"/>
      <c r="GK693" s="682"/>
      <c r="GL693" s="682"/>
      <c r="GM693" s="682"/>
      <c r="GN693" s="682"/>
      <c r="GO693" s="682"/>
      <c r="GP693" s="682"/>
      <c r="GQ693" s="682"/>
      <c r="GR693" s="682"/>
      <c r="GS693" s="682"/>
      <c r="GT693" s="682"/>
      <c r="GU693" s="682"/>
      <c r="GV693" s="682"/>
      <c r="GW693" s="682"/>
      <c r="GX693" s="682"/>
      <c r="GY693" s="682"/>
      <c r="GZ693" s="682"/>
      <c r="HA693" s="682"/>
      <c r="HB693" s="682"/>
      <c r="HC693" s="682"/>
      <c r="HD693" s="682"/>
      <c r="HE693" s="682"/>
      <c r="HF693" s="682"/>
      <c r="HG693" s="682"/>
      <c r="HH693" s="682"/>
      <c r="HI693" s="682"/>
      <c r="HJ693" s="682"/>
      <c r="HK693" s="682"/>
      <c r="HL693" s="682"/>
      <c r="HM693" s="682"/>
      <c r="HN693" s="682"/>
      <c r="HO693" s="682"/>
      <c r="HP693" s="682"/>
      <c r="HQ693" s="682"/>
      <c r="HR693" s="682"/>
      <c r="HS693" s="682"/>
      <c r="HT693" s="682"/>
      <c r="HU693" s="682"/>
      <c r="HV693" s="682"/>
      <c r="HW693" s="682"/>
      <c r="HX693" s="682"/>
      <c r="HY693" s="682"/>
      <c r="HZ693" s="682"/>
      <c r="IA693" s="682"/>
      <c r="IB693" s="682"/>
      <c r="IC693" s="682"/>
      <c r="ID693" s="682"/>
      <c r="IE693" s="682"/>
      <c r="IF693" s="682"/>
      <c r="IG693" s="682"/>
      <c r="IH693" s="682"/>
      <c r="II693" s="682"/>
      <c r="IJ693" s="682"/>
      <c r="IK693" s="682"/>
      <c r="IL693" s="682"/>
      <c r="IM693" s="682"/>
      <c r="IN693" s="682"/>
      <c r="IO693" s="682"/>
      <c r="IP693" s="682"/>
      <c r="IQ693" s="682"/>
      <c r="IR693" s="682"/>
      <c r="IS693" s="682"/>
      <c r="IT693" s="682"/>
      <c r="IU693" s="682"/>
      <c r="IV693" s="682"/>
      <c r="IW693" s="682"/>
    </row>
    <row r="694" spans="1:257" s="582" customFormat="1">
      <c r="A694" s="699" t="s">
        <v>261</v>
      </c>
      <c r="B694" s="808" t="s">
        <v>262</v>
      </c>
      <c r="C694" s="699"/>
      <c r="D694" s="699"/>
      <c r="E694" s="700"/>
      <c r="F694" s="810"/>
      <c r="G694" s="700"/>
      <c r="H694" s="700"/>
      <c r="I694" s="700"/>
      <c r="J694" s="810"/>
      <c r="K694" s="810">
        <f>K695</f>
        <v>100900000</v>
      </c>
      <c r="L694" s="1313">
        <f>L695</f>
        <v>892900000</v>
      </c>
      <c r="M694" s="707"/>
      <c r="N694" s="934"/>
      <c r="O694" s="934"/>
      <c r="P694" s="820"/>
      <c r="Q694" s="820"/>
      <c r="R694" s="871"/>
      <c r="S694" s="871"/>
      <c r="T694" s="824"/>
      <c r="U694" s="806"/>
      <c r="V694" s="727"/>
      <c r="W694" s="581"/>
      <c r="X694" s="578"/>
    </row>
    <row r="695" spans="1:257" s="582" customFormat="1">
      <c r="A695" s="713"/>
      <c r="B695" s="668" t="s">
        <v>263</v>
      </c>
      <c r="C695" s="713"/>
      <c r="D695" s="713"/>
      <c r="E695" s="725"/>
      <c r="F695" s="669"/>
      <c r="G695" s="700"/>
      <c r="H695" s="700"/>
      <c r="I695" s="700"/>
      <c r="J695" s="669"/>
      <c r="K695" s="669">
        <f>(K662+K668+K677+K678+K687+K688)*10%</f>
        <v>100900000</v>
      </c>
      <c r="L695" s="1306">
        <f>(L662+L663-L665-L666-L667)*10%</f>
        <v>892900000</v>
      </c>
      <c r="M695" s="669"/>
      <c r="N695" s="837">
        <f>L695-'Tài nguyên Môi trường V'!D15</f>
        <v>0</v>
      </c>
      <c r="O695" s="837"/>
      <c r="P695" s="820"/>
      <c r="Q695" s="820"/>
      <c r="R695" s="871"/>
      <c r="S695" s="871"/>
      <c r="T695" s="824"/>
      <c r="U695" s="726"/>
      <c r="V695" s="727"/>
      <c r="W695" s="581"/>
      <c r="X695" s="578"/>
    </row>
    <row r="696" spans="1:257" s="682" customFormat="1" ht="16.5" customHeight="1">
      <c r="A696" s="713"/>
      <c r="B696" s="669"/>
      <c r="C696" s="713"/>
      <c r="D696" s="713"/>
      <c r="E696" s="725"/>
      <c r="F696" s="669"/>
      <c r="G696" s="725"/>
      <c r="H696" s="725"/>
      <c r="I696" s="725"/>
      <c r="J696" s="669"/>
      <c r="K696" s="669"/>
      <c r="L696" s="1306"/>
      <c r="M696" s="669"/>
      <c r="N696" s="837">
        <f>L697+4956000000</f>
        <v>6726808000</v>
      </c>
      <c r="O696" s="837"/>
      <c r="P696" s="868"/>
      <c r="Q696" s="868"/>
      <c r="R696" s="1128"/>
      <c r="S696" s="871"/>
      <c r="T696" s="824"/>
      <c r="U696" s="580"/>
      <c r="V696" s="581"/>
      <c r="W696" s="581"/>
      <c r="X696" s="578"/>
      <c r="Y696" s="582"/>
      <c r="Z696" s="582"/>
      <c r="AA696" s="582"/>
      <c r="AB696" s="582"/>
      <c r="AC696" s="582"/>
      <c r="AD696" s="582"/>
      <c r="AE696" s="582"/>
      <c r="AF696" s="582"/>
      <c r="AG696" s="582"/>
      <c r="AH696" s="582"/>
      <c r="AI696" s="582"/>
      <c r="AJ696" s="582"/>
      <c r="AK696" s="582"/>
      <c r="AL696" s="582"/>
      <c r="AM696" s="582"/>
      <c r="AN696" s="582"/>
      <c r="AO696" s="582"/>
      <c r="AP696" s="582"/>
      <c r="AQ696" s="582"/>
      <c r="AR696" s="582"/>
      <c r="AS696" s="582"/>
      <c r="AT696" s="582"/>
      <c r="AU696" s="582"/>
      <c r="AV696" s="582"/>
      <c r="AW696" s="582"/>
      <c r="AX696" s="582"/>
      <c r="AY696" s="582"/>
      <c r="AZ696" s="582"/>
      <c r="BA696" s="582"/>
      <c r="BB696" s="582"/>
      <c r="BC696" s="582"/>
      <c r="BD696" s="582"/>
      <c r="BE696" s="582"/>
      <c r="BF696" s="582"/>
      <c r="BG696" s="582"/>
      <c r="BH696" s="582"/>
      <c r="BI696" s="582"/>
      <c r="BJ696" s="582"/>
      <c r="BK696" s="582"/>
      <c r="BL696" s="582"/>
      <c r="BM696" s="582"/>
      <c r="BN696" s="582"/>
      <c r="BO696" s="582"/>
      <c r="BP696" s="582"/>
      <c r="BQ696" s="582"/>
      <c r="BR696" s="582"/>
      <c r="BS696" s="582"/>
      <c r="BT696" s="582"/>
      <c r="BU696" s="582"/>
      <c r="BV696" s="582"/>
      <c r="BW696" s="582"/>
      <c r="BX696" s="582"/>
      <c r="BY696" s="582"/>
      <c r="BZ696" s="582"/>
      <c r="CA696" s="582"/>
      <c r="CB696" s="582"/>
      <c r="CC696" s="582"/>
      <c r="CD696" s="582"/>
      <c r="CE696" s="582"/>
      <c r="CF696" s="582"/>
      <c r="CG696" s="582"/>
      <c r="CH696" s="582"/>
      <c r="CI696" s="582"/>
      <c r="CJ696" s="582"/>
      <c r="CK696" s="582"/>
      <c r="CL696" s="582"/>
      <c r="CM696" s="582"/>
      <c r="CN696" s="582"/>
      <c r="CO696" s="582"/>
      <c r="CP696" s="582"/>
      <c r="CQ696" s="582"/>
      <c r="CR696" s="582"/>
      <c r="CS696" s="582"/>
      <c r="CT696" s="582"/>
      <c r="CU696" s="582"/>
      <c r="CV696" s="582"/>
      <c r="CW696" s="582"/>
      <c r="CX696" s="582"/>
      <c r="CY696" s="582"/>
      <c r="CZ696" s="582"/>
      <c r="DA696" s="582"/>
      <c r="DB696" s="582"/>
      <c r="DC696" s="582"/>
      <c r="DD696" s="582"/>
      <c r="DE696" s="582"/>
      <c r="DF696" s="582"/>
      <c r="DG696" s="582"/>
      <c r="DH696" s="582"/>
      <c r="DI696" s="582"/>
      <c r="DJ696" s="582"/>
      <c r="DK696" s="582"/>
      <c r="DL696" s="582"/>
      <c r="DM696" s="582"/>
      <c r="DN696" s="582"/>
      <c r="DO696" s="582"/>
      <c r="DP696" s="582"/>
      <c r="DQ696" s="582"/>
      <c r="DR696" s="582"/>
      <c r="DS696" s="582"/>
      <c r="DT696" s="582"/>
      <c r="DU696" s="582"/>
      <c r="DV696" s="582"/>
      <c r="DW696" s="582"/>
      <c r="DX696" s="582"/>
      <c r="DY696" s="582"/>
      <c r="DZ696" s="582"/>
      <c r="EA696" s="582"/>
      <c r="EB696" s="582"/>
      <c r="EC696" s="582"/>
      <c r="ED696" s="582"/>
      <c r="EE696" s="582"/>
      <c r="EF696" s="582"/>
      <c r="EG696" s="582"/>
      <c r="EH696" s="582"/>
      <c r="EI696" s="582"/>
      <c r="EJ696" s="582"/>
      <c r="EK696" s="582"/>
      <c r="EL696" s="582"/>
      <c r="EM696" s="582"/>
      <c r="EN696" s="582"/>
      <c r="EO696" s="582"/>
      <c r="EP696" s="582"/>
      <c r="EQ696" s="582"/>
      <c r="ER696" s="582"/>
      <c r="ES696" s="582"/>
      <c r="ET696" s="582"/>
      <c r="EU696" s="582"/>
      <c r="EV696" s="582"/>
      <c r="EW696" s="582"/>
      <c r="EX696" s="582"/>
      <c r="EY696" s="582"/>
      <c r="EZ696" s="582"/>
      <c r="FA696" s="582"/>
      <c r="FB696" s="582"/>
      <c r="FC696" s="582"/>
      <c r="FD696" s="582"/>
      <c r="FE696" s="582"/>
      <c r="FF696" s="582"/>
      <c r="FG696" s="582"/>
      <c r="FH696" s="582"/>
      <c r="FI696" s="582"/>
      <c r="FJ696" s="582"/>
      <c r="FK696" s="582"/>
      <c r="FL696" s="582"/>
      <c r="FM696" s="582"/>
      <c r="FN696" s="582"/>
      <c r="FO696" s="582"/>
      <c r="FP696" s="582"/>
      <c r="FQ696" s="582"/>
      <c r="FR696" s="582"/>
      <c r="FS696" s="582"/>
      <c r="FT696" s="582"/>
      <c r="FU696" s="582"/>
      <c r="FV696" s="582"/>
      <c r="FW696" s="582"/>
      <c r="FX696" s="582"/>
      <c r="FY696" s="582"/>
      <c r="FZ696" s="582"/>
      <c r="GA696" s="582"/>
      <c r="GB696" s="582"/>
      <c r="GC696" s="582"/>
      <c r="GD696" s="582"/>
      <c r="GE696" s="582"/>
      <c r="GF696" s="582"/>
      <c r="GG696" s="582"/>
      <c r="GH696" s="582"/>
      <c r="GI696" s="582"/>
      <c r="GJ696" s="582"/>
      <c r="GK696" s="582"/>
      <c r="GL696" s="582"/>
      <c r="GM696" s="582"/>
      <c r="GN696" s="582"/>
      <c r="GO696" s="582"/>
      <c r="GP696" s="582"/>
      <c r="GQ696" s="582"/>
      <c r="GR696" s="582"/>
      <c r="GS696" s="582"/>
      <c r="GT696" s="582"/>
      <c r="GU696" s="582"/>
      <c r="GV696" s="582"/>
      <c r="GW696" s="582"/>
      <c r="GX696" s="582"/>
      <c r="GY696" s="582"/>
      <c r="GZ696" s="582"/>
      <c r="HA696" s="582"/>
      <c r="HB696" s="582"/>
      <c r="HC696" s="582"/>
      <c r="HD696" s="582"/>
      <c r="HE696" s="582"/>
      <c r="HF696" s="582"/>
      <c r="HG696" s="582"/>
      <c r="HH696" s="582"/>
      <c r="HI696" s="582"/>
      <c r="HJ696" s="582"/>
      <c r="HK696" s="582"/>
      <c r="HL696" s="582"/>
      <c r="HM696" s="582"/>
      <c r="HN696" s="582"/>
      <c r="HO696" s="582"/>
      <c r="HP696" s="582"/>
      <c r="HQ696" s="582"/>
      <c r="HR696" s="582"/>
      <c r="HS696" s="582"/>
      <c r="HT696" s="582"/>
      <c r="HU696" s="582"/>
      <c r="HV696" s="582"/>
      <c r="HW696" s="582"/>
      <c r="HX696" s="582"/>
      <c r="HY696" s="582"/>
      <c r="HZ696" s="582"/>
      <c r="IA696" s="582"/>
      <c r="IB696" s="582"/>
      <c r="IC696" s="582"/>
      <c r="ID696" s="582"/>
      <c r="IE696" s="582"/>
      <c r="IF696" s="582"/>
      <c r="IG696" s="582"/>
      <c r="IH696" s="582"/>
      <c r="II696" s="582"/>
      <c r="IJ696" s="582"/>
      <c r="IK696" s="582"/>
      <c r="IL696" s="582"/>
      <c r="IM696" s="582"/>
      <c r="IN696" s="582"/>
      <c r="IO696" s="582"/>
      <c r="IP696" s="582"/>
      <c r="IQ696" s="582"/>
      <c r="IR696" s="582"/>
      <c r="IS696" s="582"/>
      <c r="IT696" s="582"/>
      <c r="IU696" s="582"/>
      <c r="IV696" s="582"/>
      <c r="IW696" s="582"/>
    </row>
    <row r="697" spans="1:257" s="898" customFormat="1" ht="47.25">
      <c r="A697" s="1115">
        <v>7</v>
      </c>
      <c r="B697" s="840" t="s">
        <v>206</v>
      </c>
      <c r="C697" s="1115"/>
      <c r="D697" s="1115"/>
      <c r="E697" s="1117"/>
      <c r="F697" s="1117">
        <f>F698+F705</f>
        <v>1387000000</v>
      </c>
      <c r="G697" s="1118"/>
      <c r="H697" s="1118">
        <v>10</v>
      </c>
      <c r="I697" s="1118"/>
      <c r="J697" s="1117">
        <f>J698+J705</f>
        <v>1433300000</v>
      </c>
      <c r="K697" s="1117">
        <f>K698+K705</f>
        <v>1769000000</v>
      </c>
      <c r="L697" s="1310">
        <f>L698+L705</f>
        <v>1770808000</v>
      </c>
      <c r="M697" s="792" t="s">
        <v>1523</v>
      </c>
      <c r="N697" s="1119">
        <f>L697+'Kinh tế V'!F33</f>
        <v>6231808000</v>
      </c>
      <c r="O697" s="1119"/>
      <c r="P697" s="1120"/>
      <c r="Q697" s="1120"/>
      <c r="R697" s="894"/>
      <c r="S697" s="894"/>
      <c r="T697" s="845"/>
      <c r="U697" s="799"/>
      <c r="V697" s="800"/>
      <c r="W697" s="896"/>
      <c r="X697" s="897"/>
      <c r="Y697" s="846"/>
      <c r="Z697" s="846"/>
      <c r="AA697" s="846"/>
      <c r="AB697" s="846"/>
      <c r="AC697" s="846"/>
      <c r="AD697" s="846"/>
      <c r="AE697" s="846"/>
      <c r="AF697" s="846"/>
      <c r="AG697" s="846"/>
      <c r="AH697" s="846"/>
      <c r="AI697" s="846"/>
      <c r="AJ697" s="846"/>
      <c r="AK697" s="846"/>
      <c r="AL697" s="846"/>
      <c r="AM697" s="846"/>
      <c r="AN697" s="846"/>
      <c r="AO697" s="846"/>
      <c r="AP697" s="846"/>
      <c r="AQ697" s="846"/>
      <c r="AR697" s="846"/>
      <c r="AS697" s="846"/>
      <c r="AT697" s="846"/>
      <c r="AU697" s="846"/>
      <c r="AV697" s="846"/>
      <c r="AW697" s="846"/>
      <c r="AX697" s="846"/>
      <c r="AY697" s="846"/>
      <c r="AZ697" s="846"/>
      <c r="BA697" s="846"/>
      <c r="BB697" s="846"/>
      <c r="BC697" s="846"/>
      <c r="BD697" s="846"/>
      <c r="BE697" s="846"/>
      <c r="BF697" s="846"/>
      <c r="BG697" s="846"/>
      <c r="BH697" s="846"/>
      <c r="BI697" s="846"/>
      <c r="BJ697" s="846"/>
      <c r="BK697" s="846"/>
      <c r="BL697" s="846"/>
      <c r="BM697" s="846"/>
      <c r="BN697" s="846"/>
      <c r="BO697" s="846"/>
      <c r="BP697" s="846"/>
      <c r="BQ697" s="846"/>
      <c r="BR697" s="846"/>
      <c r="BS697" s="846"/>
      <c r="BT697" s="846"/>
      <c r="BU697" s="846"/>
      <c r="BV697" s="846"/>
      <c r="BW697" s="846"/>
      <c r="BX697" s="846"/>
      <c r="BY697" s="846"/>
      <c r="BZ697" s="846"/>
      <c r="CA697" s="846"/>
      <c r="CB697" s="846"/>
      <c r="CC697" s="846"/>
      <c r="CD697" s="846"/>
      <c r="CE697" s="846"/>
      <c r="CF697" s="846"/>
      <c r="CG697" s="846"/>
      <c r="CH697" s="846"/>
      <c r="CI697" s="846"/>
      <c r="CJ697" s="846"/>
      <c r="CK697" s="846"/>
      <c r="CL697" s="846"/>
      <c r="CM697" s="846"/>
      <c r="CN697" s="846"/>
      <c r="CO697" s="846"/>
      <c r="CP697" s="846"/>
      <c r="CQ697" s="846"/>
      <c r="CR697" s="846"/>
      <c r="CS697" s="846"/>
      <c r="CT697" s="846"/>
      <c r="CU697" s="846"/>
      <c r="CV697" s="846"/>
      <c r="CW697" s="846"/>
      <c r="CX697" s="846"/>
      <c r="CY697" s="846"/>
      <c r="CZ697" s="846"/>
      <c r="DA697" s="846"/>
      <c r="DB697" s="846"/>
      <c r="DC697" s="846"/>
      <c r="DD697" s="846"/>
      <c r="DE697" s="846"/>
      <c r="DF697" s="846"/>
      <c r="DG697" s="846"/>
      <c r="DH697" s="846"/>
      <c r="DI697" s="846"/>
      <c r="DJ697" s="846"/>
      <c r="DK697" s="846"/>
      <c r="DL697" s="846"/>
      <c r="DM697" s="846"/>
      <c r="DN697" s="846"/>
      <c r="DO697" s="846"/>
      <c r="DP697" s="846"/>
      <c r="DQ697" s="846"/>
      <c r="DR697" s="846"/>
      <c r="DS697" s="846"/>
      <c r="DT697" s="846"/>
      <c r="DU697" s="846"/>
      <c r="DV697" s="846"/>
      <c r="DW697" s="846"/>
      <c r="DX697" s="846"/>
      <c r="DY697" s="846"/>
      <c r="DZ697" s="846"/>
      <c r="EA697" s="846"/>
      <c r="EB697" s="846"/>
      <c r="EC697" s="846"/>
      <c r="ED697" s="846"/>
      <c r="EE697" s="846"/>
      <c r="EF697" s="846"/>
      <c r="EG697" s="846"/>
      <c r="EH697" s="846"/>
      <c r="EI697" s="846"/>
      <c r="EJ697" s="846"/>
      <c r="EK697" s="846"/>
      <c r="EL697" s="846"/>
      <c r="EM697" s="846"/>
      <c r="EN697" s="846"/>
      <c r="EO697" s="846"/>
      <c r="EP697" s="846"/>
      <c r="EQ697" s="846"/>
      <c r="ER697" s="846"/>
      <c r="ES697" s="846"/>
      <c r="ET697" s="846"/>
      <c r="EU697" s="846"/>
      <c r="EV697" s="846"/>
      <c r="EW697" s="846"/>
      <c r="EX697" s="846"/>
      <c r="EY697" s="846"/>
      <c r="EZ697" s="846"/>
      <c r="FA697" s="846"/>
      <c r="FB697" s="846"/>
      <c r="FC697" s="846"/>
      <c r="FD697" s="846"/>
      <c r="FE697" s="846"/>
      <c r="FF697" s="846"/>
      <c r="FG697" s="846"/>
      <c r="FH697" s="846"/>
      <c r="FI697" s="846"/>
      <c r="FJ697" s="846"/>
      <c r="FK697" s="846"/>
      <c r="FL697" s="846"/>
      <c r="FM697" s="846"/>
      <c r="FN697" s="846"/>
      <c r="FO697" s="846"/>
      <c r="FP697" s="846"/>
      <c r="FQ697" s="846"/>
      <c r="FR697" s="846"/>
      <c r="FS697" s="846"/>
      <c r="FT697" s="846"/>
      <c r="FU697" s="846"/>
      <c r="FV697" s="846"/>
      <c r="FW697" s="846"/>
      <c r="FX697" s="846"/>
      <c r="FY697" s="846"/>
      <c r="FZ697" s="846"/>
      <c r="GA697" s="846"/>
      <c r="GB697" s="846"/>
      <c r="GC697" s="846"/>
      <c r="GD697" s="846"/>
      <c r="GE697" s="846"/>
      <c r="GF697" s="846"/>
      <c r="GG697" s="846"/>
      <c r="GH697" s="846"/>
      <c r="GI697" s="846"/>
      <c r="GJ697" s="846"/>
      <c r="GK697" s="846"/>
      <c r="GL697" s="846"/>
      <c r="GM697" s="846"/>
      <c r="GN697" s="846"/>
      <c r="GO697" s="846"/>
      <c r="GP697" s="846"/>
      <c r="GQ697" s="846"/>
      <c r="GR697" s="846"/>
      <c r="GS697" s="846"/>
      <c r="GT697" s="846"/>
      <c r="GU697" s="846"/>
      <c r="GV697" s="846"/>
      <c r="GW697" s="846"/>
      <c r="GX697" s="846"/>
      <c r="GY697" s="846"/>
      <c r="GZ697" s="846"/>
      <c r="HA697" s="846"/>
      <c r="HB697" s="846"/>
      <c r="HC697" s="846"/>
      <c r="HD697" s="846"/>
      <c r="HE697" s="846"/>
      <c r="HF697" s="846"/>
      <c r="HG697" s="846"/>
      <c r="HH697" s="846"/>
      <c r="HI697" s="846"/>
      <c r="HJ697" s="846"/>
      <c r="HK697" s="846"/>
      <c r="HL697" s="846"/>
      <c r="HM697" s="846"/>
      <c r="HN697" s="846"/>
      <c r="HO697" s="846"/>
      <c r="HP697" s="846"/>
      <c r="HQ697" s="846"/>
      <c r="HR697" s="846"/>
      <c r="HS697" s="846"/>
      <c r="HT697" s="846"/>
      <c r="HU697" s="846"/>
      <c r="HV697" s="846"/>
      <c r="HW697" s="846"/>
      <c r="HX697" s="846"/>
      <c r="HY697" s="846"/>
      <c r="HZ697" s="846"/>
      <c r="IA697" s="846"/>
      <c r="IB697" s="846"/>
      <c r="IC697" s="846"/>
      <c r="ID697" s="846"/>
      <c r="IE697" s="846"/>
      <c r="IF697" s="846"/>
      <c r="IG697" s="846"/>
      <c r="IH697" s="846"/>
      <c r="II697" s="846"/>
      <c r="IJ697" s="846"/>
      <c r="IK697" s="846"/>
      <c r="IL697" s="846"/>
      <c r="IM697" s="846"/>
      <c r="IN697" s="846"/>
      <c r="IO697" s="846"/>
      <c r="IP697" s="846"/>
      <c r="IQ697" s="846"/>
      <c r="IR697" s="846"/>
      <c r="IS697" s="846"/>
      <c r="IT697" s="846"/>
      <c r="IU697" s="846"/>
      <c r="IV697" s="846"/>
      <c r="IW697" s="846"/>
    </row>
    <row r="698" spans="1:257" s="621" customFormat="1">
      <c r="A698" s="729" t="s">
        <v>222</v>
      </c>
      <c r="B698" s="833" t="s">
        <v>252</v>
      </c>
      <c r="C698" s="880"/>
      <c r="D698" s="880"/>
      <c r="E698" s="882"/>
      <c r="F698" s="882">
        <f>F699+F703</f>
        <v>1219000000</v>
      </c>
      <c r="G698" s="731"/>
      <c r="H698" s="731"/>
      <c r="I698" s="731"/>
      <c r="J698" s="882">
        <f>J699+J703</f>
        <v>1184300000</v>
      </c>
      <c r="K698" s="882">
        <f>K700+K702+K703</f>
        <v>1207000000</v>
      </c>
      <c r="L698" s="1316">
        <f>L700+L702+L703</f>
        <v>1604608000</v>
      </c>
      <c r="M698" s="625"/>
      <c r="N698" s="890">
        <f>N697+195000000</f>
        <v>6426808000</v>
      </c>
      <c r="O698" s="890"/>
      <c r="P698" s="829"/>
      <c r="Q698" s="829"/>
      <c r="R698" s="891"/>
      <c r="S698" s="891"/>
      <c r="T698" s="832"/>
      <c r="U698" s="721"/>
      <c r="V698" s="701"/>
      <c r="W698" s="722"/>
      <c r="X698" s="723"/>
      <c r="Y698" s="724"/>
      <c r="Z698" s="724"/>
      <c r="AA698" s="724"/>
      <c r="AB698" s="724"/>
      <c r="AC698" s="724"/>
      <c r="AD698" s="724"/>
      <c r="AE698" s="724"/>
      <c r="AF698" s="724"/>
      <c r="AG698" s="724"/>
      <c r="AH698" s="724"/>
      <c r="AI698" s="724"/>
      <c r="AJ698" s="724"/>
      <c r="AK698" s="724"/>
      <c r="AL698" s="724"/>
      <c r="AM698" s="724"/>
      <c r="AN698" s="724"/>
      <c r="AO698" s="724"/>
      <c r="AP698" s="724"/>
      <c r="AQ698" s="724"/>
      <c r="AR698" s="724"/>
      <c r="AS698" s="724"/>
      <c r="AT698" s="724"/>
      <c r="AU698" s="724"/>
      <c r="AV698" s="724"/>
      <c r="AW698" s="724"/>
      <c r="AX698" s="724"/>
      <c r="AY698" s="724"/>
      <c r="AZ698" s="724"/>
      <c r="BA698" s="724"/>
      <c r="BB698" s="724"/>
      <c r="BC698" s="724"/>
      <c r="BD698" s="724"/>
      <c r="BE698" s="724"/>
      <c r="BF698" s="724"/>
      <c r="BG698" s="724"/>
      <c r="BH698" s="724"/>
      <c r="BI698" s="724"/>
      <c r="BJ698" s="724"/>
      <c r="BK698" s="724"/>
      <c r="BL698" s="724"/>
      <c r="BM698" s="724"/>
      <c r="BN698" s="724"/>
      <c r="BO698" s="724"/>
      <c r="BP698" s="724"/>
      <c r="BQ698" s="724"/>
      <c r="BR698" s="724"/>
      <c r="BS698" s="724"/>
      <c r="BT698" s="724"/>
      <c r="BU698" s="724"/>
      <c r="BV698" s="724"/>
      <c r="BW698" s="724"/>
      <c r="BX698" s="724"/>
      <c r="BY698" s="724"/>
      <c r="BZ698" s="724"/>
      <c r="CA698" s="724"/>
      <c r="CB698" s="724"/>
      <c r="CC698" s="724"/>
      <c r="CD698" s="724"/>
      <c r="CE698" s="724"/>
      <c r="CF698" s="724"/>
      <c r="CG698" s="724"/>
      <c r="CH698" s="724"/>
      <c r="CI698" s="724"/>
      <c r="CJ698" s="724"/>
      <c r="CK698" s="724"/>
      <c r="CL698" s="724"/>
      <c r="CM698" s="724"/>
      <c r="CN698" s="724"/>
      <c r="CO698" s="724"/>
      <c r="CP698" s="724"/>
      <c r="CQ698" s="724"/>
      <c r="CR698" s="724"/>
      <c r="CS698" s="724"/>
      <c r="CT698" s="724"/>
      <c r="CU698" s="724"/>
      <c r="CV698" s="724"/>
      <c r="CW698" s="724"/>
      <c r="CX698" s="724"/>
      <c r="CY698" s="724"/>
      <c r="CZ698" s="724"/>
      <c r="DA698" s="724"/>
      <c r="DB698" s="724"/>
      <c r="DC698" s="724"/>
      <c r="DD698" s="724"/>
      <c r="DE698" s="724"/>
      <c r="DF698" s="724"/>
      <c r="DG698" s="724"/>
      <c r="DH698" s="724"/>
      <c r="DI698" s="724"/>
      <c r="DJ698" s="724"/>
      <c r="DK698" s="724"/>
      <c r="DL698" s="724"/>
      <c r="DM698" s="724"/>
      <c r="DN698" s="724"/>
      <c r="DO698" s="724"/>
      <c r="DP698" s="724"/>
      <c r="DQ698" s="724"/>
      <c r="DR698" s="724"/>
      <c r="DS698" s="724"/>
      <c r="DT698" s="724"/>
      <c r="DU698" s="724"/>
      <c r="DV698" s="724"/>
      <c r="DW698" s="724"/>
      <c r="DX698" s="724"/>
      <c r="DY698" s="724"/>
      <c r="DZ698" s="724"/>
      <c r="EA698" s="724"/>
      <c r="EB698" s="724"/>
      <c r="EC698" s="724"/>
      <c r="ED698" s="724"/>
      <c r="EE698" s="724"/>
      <c r="EF698" s="724"/>
      <c r="EG698" s="724"/>
      <c r="EH698" s="724"/>
      <c r="EI698" s="724"/>
      <c r="EJ698" s="724"/>
      <c r="EK698" s="724"/>
      <c r="EL698" s="724"/>
      <c r="EM698" s="724"/>
      <c r="EN698" s="724"/>
      <c r="EO698" s="724"/>
      <c r="EP698" s="724"/>
      <c r="EQ698" s="724"/>
      <c r="ER698" s="724"/>
      <c r="ES698" s="724"/>
      <c r="ET698" s="724"/>
      <c r="EU698" s="724"/>
      <c r="EV698" s="724"/>
      <c r="EW698" s="724"/>
      <c r="EX698" s="724"/>
      <c r="EY698" s="724"/>
      <c r="EZ698" s="724"/>
      <c r="FA698" s="724"/>
      <c r="FB698" s="724"/>
      <c r="FC698" s="724"/>
      <c r="FD698" s="724"/>
      <c r="FE698" s="724"/>
      <c r="FF698" s="724"/>
      <c r="FG698" s="724"/>
      <c r="FH698" s="724"/>
      <c r="FI698" s="724"/>
      <c r="FJ698" s="724"/>
      <c r="FK698" s="724"/>
      <c r="FL698" s="724"/>
      <c r="FM698" s="724"/>
      <c r="FN698" s="724"/>
      <c r="FO698" s="724"/>
      <c r="FP698" s="724"/>
      <c r="FQ698" s="724"/>
      <c r="FR698" s="724"/>
      <c r="FS698" s="724"/>
      <c r="FT698" s="724"/>
      <c r="FU698" s="724"/>
      <c r="FV698" s="724"/>
      <c r="FW698" s="724"/>
      <c r="FX698" s="724"/>
      <c r="FY698" s="724"/>
      <c r="FZ698" s="724"/>
      <c r="GA698" s="724"/>
      <c r="GB698" s="724"/>
      <c r="GC698" s="724"/>
      <c r="GD698" s="724"/>
      <c r="GE698" s="724"/>
      <c r="GF698" s="724"/>
      <c r="GG698" s="724"/>
      <c r="GH698" s="724"/>
      <c r="GI698" s="724"/>
      <c r="GJ698" s="724"/>
      <c r="GK698" s="724"/>
      <c r="GL698" s="724"/>
      <c r="GM698" s="724"/>
      <c r="GN698" s="724"/>
      <c r="GO698" s="724"/>
      <c r="GP698" s="724"/>
      <c r="GQ698" s="724"/>
      <c r="GR698" s="724"/>
      <c r="GS698" s="724"/>
      <c r="GT698" s="724"/>
      <c r="GU698" s="724"/>
      <c r="GV698" s="724"/>
      <c r="GW698" s="724"/>
      <c r="GX698" s="724"/>
      <c r="GY698" s="724"/>
      <c r="GZ698" s="724"/>
      <c r="HA698" s="724"/>
      <c r="HB698" s="724"/>
      <c r="HC698" s="724"/>
      <c r="HD698" s="724"/>
      <c r="HE698" s="724"/>
      <c r="HF698" s="724"/>
      <c r="HG698" s="724"/>
      <c r="HH698" s="724"/>
      <c r="HI698" s="724"/>
      <c r="HJ698" s="724"/>
      <c r="HK698" s="724"/>
      <c r="HL698" s="724"/>
      <c r="HM698" s="724"/>
      <c r="HN698" s="724"/>
      <c r="HO698" s="724"/>
      <c r="HP698" s="724"/>
      <c r="HQ698" s="724"/>
      <c r="HR698" s="724"/>
      <c r="HS698" s="724"/>
      <c r="HT698" s="724"/>
      <c r="HU698" s="724"/>
      <c r="HV698" s="724"/>
      <c r="HW698" s="724"/>
      <c r="HX698" s="724"/>
      <c r="HY698" s="724"/>
      <c r="HZ698" s="724"/>
      <c r="IA698" s="724"/>
      <c r="IB698" s="724"/>
      <c r="IC698" s="724"/>
      <c r="ID698" s="724"/>
      <c r="IE698" s="724"/>
      <c r="IF698" s="724"/>
      <c r="IG698" s="724"/>
      <c r="IH698" s="724"/>
      <c r="II698" s="724"/>
      <c r="IJ698" s="724"/>
      <c r="IK698" s="724"/>
      <c r="IL698" s="724"/>
      <c r="IM698" s="724"/>
      <c r="IN698" s="724"/>
      <c r="IO698" s="724"/>
      <c r="IP698" s="724"/>
      <c r="IQ698" s="724"/>
      <c r="IR698" s="724"/>
      <c r="IS698" s="724"/>
      <c r="IT698" s="724"/>
      <c r="IU698" s="724"/>
      <c r="IV698" s="724"/>
      <c r="IW698" s="724"/>
    </row>
    <row r="699" spans="1:257" s="621" customFormat="1" ht="26.25" customHeight="1">
      <c r="A699" s="713" t="s">
        <v>258</v>
      </c>
      <c r="B699" s="936" t="s">
        <v>962</v>
      </c>
      <c r="C699" s="713">
        <v>9</v>
      </c>
      <c r="D699" s="713"/>
      <c r="E699" s="725"/>
      <c r="F699" s="725">
        <v>976000000</v>
      </c>
      <c r="G699" s="725"/>
      <c r="H699" s="725"/>
      <c r="I699" s="725"/>
      <c r="J699" s="725">
        <v>941300000</v>
      </c>
      <c r="K699" s="725">
        <f>K700+K701</f>
        <v>1165000000</v>
      </c>
      <c r="L699" s="1311">
        <f>L700+L701</f>
        <v>1590408000</v>
      </c>
      <c r="M699" s="669"/>
      <c r="N699" s="868"/>
      <c r="O699" s="868"/>
      <c r="P699" s="868"/>
      <c r="Q699" s="868"/>
      <c r="R699" s="871"/>
      <c r="S699" s="866"/>
      <c r="T699" s="839"/>
      <c r="U699" s="726"/>
      <c r="V699" s="722"/>
      <c r="W699" s="722"/>
      <c r="X699" s="723"/>
      <c r="Y699" s="724"/>
      <c r="Z699" s="724"/>
      <c r="AA699" s="724"/>
      <c r="AB699" s="724"/>
      <c r="AC699" s="724"/>
      <c r="AD699" s="724"/>
      <c r="AE699" s="724"/>
      <c r="AF699" s="724"/>
      <c r="AG699" s="724"/>
      <c r="AH699" s="724"/>
      <c r="AI699" s="724"/>
      <c r="AJ699" s="724"/>
      <c r="AK699" s="724"/>
      <c r="AL699" s="724"/>
      <c r="AM699" s="724"/>
      <c r="AN699" s="724"/>
      <c r="AO699" s="724"/>
      <c r="AP699" s="724"/>
      <c r="AQ699" s="724"/>
      <c r="AR699" s="724"/>
      <c r="AS699" s="724"/>
      <c r="AT699" s="724"/>
      <c r="AU699" s="724"/>
      <c r="AV699" s="724"/>
      <c r="AW699" s="724"/>
      <c r="AX699" s="724"/>
      <c r="AY699" s="724"/>
      <c r="AZ699" s="724"/>
      <c r="BA699" s="724"/>
      <c r="BB699" s="724"/>
      <c r="BC699" s="724"/>
      <c r="BD699" s="724"/>
      <c r="BE699" s="724"/>
      <c r="BF699" s="724"/>
      <c r="BG699" s="724"/>
      <c r="BH699" s="724"/>
      <c r="BI699" s="724"/>
      <c r="BJ699" s="724"/>
      <c r="BK699" s="724"/>
      <c r="BL699" s="724"/>
      <c r="BM699" s="724"/>
      <c r="BN699" s="724"/>
      <c r="BO699" s="724"/>
      <c r="BP699" s="724"/>
      <c r="BQ699" s="724"/>
      <c r="BR699" s="724"/>
      <c r="BS699" s="724"/>
      <c r="BT699" s="724"/>
      <c r="BU699" s="724"/>
      <c r="BV699" s="724"/>
      <c r="BW699" s="724"/>
      <c r="BX699" s="724"/>
      <c r="BY699" s="724"/>
      <c r="BZ699" s="724"/>
      <c r="CA699" s="724"/>
      <c r="CB699" s="724"/>
      <c r="CC699" s="724"/>
      <c r="CD699" s="724"/>
      <c r="CE699" s="724"/>
      <c r="CF699" s="724"/>
      <c r="CG699" s="724"/>
      <c r="CH699" s="724"/>
      <c r="CI699" s="724"/>
      <c r="CJ699" s="724"/>
      <c r="CK699" s="724"/>
      <c r="CL699" s="724"/>
      <c r="CM699" s="724"/>
      <c r="CN699" s="724"/>
      <c r="CO699" s="724"/>
      <c r="CP699" s="724"/>
      <c r="CQ699" s="724"/>
      <c r="CR699" s="724"/>
      <c r="CS699" s="724"/>
      <c r="CT699" s="724"/>
      <c r="CU699" s="724"/>
      <c r="CV699" s="724"/>
      <c r="CW699" s="724"/>
      <c r="CX699" s="724"/>
      <c r="CY699" s="724"/>
      <c r="CZ699" s="724"/>
      <c r="DA699" s="724"/>
      <c r="DB699" s="724"/>
      <c r="DC699" s="724"/>
      <c r="DD699" s="724"/>
      <c r="DE699" s="724"/>
      <c r="DF699" s="724"/>
      <c r="DG699" s="724"/>
      <c r="DH699" s="724"/>
      <c r="DI699" s="724"/>
      <c r="DJ699" s="724"/>
      <c r="DK699" s="724"/>
      <c r="DL699" s="724"/>
      <c r="DM699" s="724"/>
      <c r="DN699" s="724"/>
      <c r="DO699" s="724"/>
      <c r="DP699" s="724"/>
      <c r="DQ699" s="724"/>
      <c r="DR699" s="724"/>
      <c r="DS699" s="724"/>
      <c r="DT699" s="724"/>
      <c r="DU699" s="724"/>
      <c r="DV699" s="724"/>
      <c r="DW699" s="724"/>
      <c r="DX699" s="724"/>
      <c r="DY699" s="724"/>
      <c r="DZ699" s="724"/>
      <c r="EA699" s="724"/>
      <c r="EB699" s="724"/>
      <c r="EC699" s="724"/>
      <c r="ED699" s="724"/>
      <c r="EE699" s="724"/>
      <c r="EF699" s="724"/>
      <c r="EG699" s="724"/>
      <c r="EH699" s="724"/>
      <c r="EI699" s="724"/>
      <c r="EJ699" s="724"/>
      <c r="EK699" s="724"/>
      <c r="EL699" s="724"/>
      <c r="EM699" s="724"/>
      <c r="EN699" s="724"/>
      <c r="EO699" s="724"/>
      <c r="EP699" s="724"/>
      <c r="EQ699" s="724"/>
      <c r="ER699" s="724"/>
      <c r="ES699" s="724"/>
      <c r="ET699" s="724"/>
      <c r="EU699" s="724"/>
      <c r="EV699" s="724"/>
      <c r="EW699" s="724"/>
      <c r="EX699" s="724"/>
      <c r="EY699" s="724"/>
      <c r="EZ699" s="724"/>
      <c r="FA699" s="724"/>
      <c r="FB699" s="724"/>
      <c r="FC699" s="724"/>
      <c r="FD699" s="724"/>
      <c r="FE699" s="724"/>
      <c r="FF699" s="724"/>
      <c r="FG699" s="724"/>
      <c r="FH699" s="724"/>
      <c r="FI699" s="724"/>
      <c r="FJ699" s="724"/>
      <c r="FK699" s="724"/>
      <c r="FL699" s="724"/>
      <c r="FM699" s="724"/>
      <c r="FN699" s="724"/>
      <c r="FO699" s="724"/>
      <c r="FP699" s="724"/>
      <c r="FQ699" s="724"/>
      <c r="FR699" s="724"/>
      <c r="FS699" s="724"/>
      <c r="FT699" s="724"/>
      <c r="FU699" s="724"/>
      <c r="FV699" s="724"/>
      <c r="FW699" s="724"/>
      <c r="FX699" s="724"/>
      <c r="FY699" s="724"/>
      <c r="FZ699" s="724"/>
      <c r="GA699" s="724"/>
      <c r="GB699" s="724"/>
      <c r="GC699" s="724"/>
      <c r="GD699" s="724"/>
      <c r="GE699" s="724"/>
      <c r="GF699" s="724"/>
      <c r="GG699" s="724"/>
      <c r="GH699" s="724"/>
      <c r="GI699" s="724"/>
      <c r="GJ699" s="724"/>
      <c r="GK699" s="724"/>
      <c r="GL699" s="724"/>
      <c r="GM699" s="724"/>
      <c r="GN699" s="724"/>
      <c r="GO699" s="724"/>
      <c r="GP699" s="724"/>
      <c r="GQ699" s="724"/>
      <c r="GR699" s="724"/>
      <c r="GS699" s="724"/>
      <c r="GT699" s="724"/>
      <c r="GU699" s="724"/>
      <c r="GV699" s="724"/>
      <c r="GW699" s="724"/>
      <c r="GX699" s="724"/>
      <c r="GY699" s="724"/>
      <c r="GZ699" s="724"/>
      <c r="HA699" s="724"/>
      <c r="HB699" s="724"/>
      <c r="HC699" s="724"/>
      <c r="HD699" s="724"/>
      <c r="HE699" s="724"/>
      <c r="HF699" s="724"/>
      <c r="HG699" s="724"/>
      <c r="HH699" s="724"/>
      <c r="HI699" s="724"/>
      <c r="HJ699" s="724"/>
      <c r="HK699" s="724"/>
      <c r="HL699" s="724"/>
      <c r="HM699" s="724"/>
      <c r="HN699" s="724"/>
      <c r="HO699" s="724"/>
      <c r="HP699" s="724"/>
      <c r="HQ699" s="724"/>
      <c r="HR699" s="724"/>
      <c r="HS699" s="724"/>
      <c r="HT699" s="724"/>
      <c r="HU699" s="724"/>
      <c r="HV699" s="724"/>
      <c r="HW699" s="724"/>
      <c r="HX699" s="724"/>
      <c r="HY699" s="724"/>
      <c r="HZ699" s="724"/>
      <c r="IA699" s="724"/>
      <c r="IB699" s="724"/>
      <c r="IC699" s="724"/>
      <c r="ID699" s="724"/>
      <c r="IE699" s="724"/>
      <c r="IF699" s="724"/>
      <c r="IG699" s="724"/>
      <c r="IH699" s="724"/>
      <c r="II699" s="724"/>
      <c r="IJ699" s="724"/>
      <c r="IK699" s="724"/>
      <c r="IL699" s="724"/>
      <c r="IM699" s="724"/>
      <c r="IN699" s="724"/>
      <c r="IO699" s="724"/>
      <c r="IP699" s="724"/>
      <c r="IQ699" s="724"/>
      <c r="IR699" s="724"/>
      <c r="IS699" s="724"/>
      <c r="IT699" s="724"/>
      <c r="IU699" s="724"/>
      <c r="IV699" s="724"/>
      <c r="IW699" s="724"/>
    </row>
    <row r="700" spans="1:257" s="621" customFormat="1" ht="26.25" customHeight="1">
      <c r="A700" s="713"/>
      <c r="B700" s="684" t="s">
        <v>1092</v>
      </c>
      <c r="C700" s="713"/>
      <c r="D700" s="713"/>
      <c r="E700" s="725"/>
      <c r="F700" s="725"/>
      <c r="G700" s="725"/>
      <c r="H700" s="725"/>
      <c r="I700" s="725"/>
      <c r="J700" s="725"/>
      <c r="K700" s="725">
        <v>964000000</v>
      </c>
      <c r="L700" s="1311">
        <f>84391000*12</f>
        <v>1012692000</v>
      </c>
      <c r="M700" s="669"/>
      <c r="N700" s="868"/>
      <c r="O700" s="868"/>
      <c r="P700" s="868"/>
      <c r="Q700" s="868"/>
      <c r="R700" s="871"/>
      <c r="S700" s="866"/>
      <c r="T700" s="839"/>
      <c r="U700" s="726"/>
      <c r="V700" s="722"/>
      <c r="W700" s="722"/>
      <c r="X700" s="723"/>
      <c r="Y700" s="724"/>
      <c r="Z700" s="724"/>
      <c r="AA700" s="724"/>
      <c r="AB700" s="724"/>
      <c r="AC700" s="724"/>
      <c r="AD700" s="724"/>
      <c r="AE700" s="724"/>
      <c r="AF700" s="724"/>
      <c r="AG700" s="724"/>
      <c r="AH700" s="724"/>
      <c r="AI700" s="724"/>
      <c r="AJ700" s="724"/>
      <c r="AK700" s="724"/>
      <c r="AL700" s="724"/>
      <c r="AM700" s="724"/>
      <c r="AN700" s="724"/>
      <c r="AO700" s="724"/>
      <c r="AP700" s="724"/>
      <c r="AQ700" s="724"/>
      <c r="AR700" s="724"/>
      <c r="AS700" s="724"/>
      <c r="AT700" s="724"/>
      <c r="AU700" s="724"/>
      <c r="AV700" s="724"/>
      <c r="AW700" s="724"/>
      <c r="AX700" s="724"/>
      <c r="AY700" s="724"/>
      <c r="AZ700" s="724"/>
      <c r="BA700" s="724"/>
      <c r="BB700" s="724"/>
      <c r="BC700" s="724"/>
      <c r="BD700" s="724"/>
      <c r="BE700" s="724"/>
      <c r="BF700" s="724"/>
      <c r="BG700" s="724"/>
      <c r="BH700" s="724"/>
      <c r="BI700" s="724"/>
      <c r="BJ700" s="724"/>
      <c r="BK700" s="724"/>
      <c r="BL700" s="724"/>
      <c r="BM700" s="724"/>
      <c r="BN700" s="724"/>
      <c r="BO700" s="724"/>
      <c r="BP700" s="724"/>
      <c r="BQ700" s="724"/>
      <c r="BR700" s="724"/>
      <c r="BS700" s="724"/>
      <c r="BT700" s="724"/>
      <c r="BU700" s="724"/>
      <c r="BV700" s="724"/>
      <c r="BW700" s="724"/>
      <c r="BX700" s="724"/>
      <c r="BY700" s="724"/>
      <c r="BZ700" s="724"/>
      <c r="CA700" s="724"/>
      <c r="CB700" s="724"/>
      <c r="CC700" s="724"/>
      <c r="CD700" s="724"/>
      <c r="CE700" s="724"/>
      <c r="CF700" s="724"/>
      <c r="CG700" s="724"/>
      <c r="CH700" s="724"/>
      <c r="CI700" s="724"/>
      <c r="CJ700" s="724"/>
      <c r="CK700" s="724"/>
      <c r="CL700" s="724"/>
      <c r="CM700" s="724"/>
      <c r="CN700" s="724"/>
      <c r="CO700" s="724"/>
      <c r="CP700" s="724"/>
      <c r="CQ700" s="724"/>
      <c r="CR700" s="724"/>
      <c r="CS700" s="724"/>
      <c r="CT700" s="724"/>
      <c r="CU700" s="724"/>
      <c r="CV700" s="724"/>
      <c r="CW700" s="724"/>
      <c r="CX700" s="724"/>
      <c r="CY700" s="724"/>
      <c r="CZ700" s="724"/>
      <c r="DA700" s="724"/>
      <c r="DB700" s="724"/>
      <c r="DC700" s="724"/>
      <c r="DD700" s="724"/>
      <c r="DE700" s="724"/>
      <c r="DF700" s="724"/>
      <c r="DG700" s="724"/>
      <c r="DH700" s="724"/>
      <c r="DI700" s="724"/>
      <c r="DJ700" s="724"/>
      <c r="DK700" s="724"/>
      <c r="DL700" s="724"/>
      <c r="DM700" s="724"/>
      <c r="DN700" s="724"/>
      <c r="DO700" s="724"/>
      <c r="DP700" s="724"/>
      <c r="DQ700" s="724"/>
      <c r="DR700" s="724"/>
      <c r="DS700" s="724"/>
      <c r="DT700" s="724"/>
      <c r="DU700" s="724"/>
      <c r="DV700" s="724"/>
      <c r="DW700" s="724"/>
      <c r="DX700" s="724"/>
      <c r="DY700" s="724"/>
      <c r="DZ700" s="724"/>
      <c r="EA700" s="724"/>
      <c r="EB700" s="724"/>
      <c r="EC700" s="724"/>
      <c r="ED700" s="724"/>
      <c r="EE700" s="724"/>
      <c r="EF700" s="724"/>
      <c r="EG700" s="724"/>
      <c r="EH700" s="724"/>
      <c r="EI700" s="724"/>
      <c r="EJ700" s="724"/>
      <c r="EK700" s="724"/>
      <c r="EL700" s="724"/>
      <c r="EM700" s="724"/>
      <c r="EN700" s="724"/>
      <c r="EO700" s="724"/>
      <c r="EP700" s="724"/>
      <c r="EQ700" s="724"/>
      <c r="ER700" s="724"/>
      <c r="ES700" s="724"/>
      <c r="ET700" s="724"/>
      <c r="EU700" s="724"/>
      <c r="EV700" s="724"/>
      <c r="EW700" s="724"/>
      <c r="EX700" s="724"/>
      <c r="EY700" s="724"/>
      <c r="EZ700" s="724"/>
      <c r="FA700" s="724"/>
      <c r="FB700" s="724"/>
      <c r="FC700" s="724"/>
      <c r="FD700" s="724"/>
      <c r="FE700" s="724"/>
      <c r="FF700" s="724"/>
      <c r="FG700" s="724"/>
      <c r="FH700" s="724"/>
      <c r="FI700" s="724"/>
      <c r="FJ700" s="724"/>
      <c r="FK700" s="724"/>
      <c r="FL700" s="724"/>
      <c r="FM700" s="724"/>
      <c r="FN700" s="724"/>
      <c r="FO700" s="724"/>
      <c r="FP700" s="724"/>
      <c r="FQ700" s="724"/>
      <c r="FR700" s="724"/>
      <c r="FS700" s="724"/>
      <c r="FT700" s="724"/>
      <c r="FU700" s="724"/>
      <c r="FV700" s="724"/>
      <c r="FW700" s="724"/>
      <c r="FX700" s="724"/>
      <c r="FY700" s="724"/>
      <c r="FZ700" s="724"/>
      <c r="GA700" s="724"/>
      <c r="GB700" s="724"/>
      <c r="GC700" s="724"/>
      <c r="GD700" s="724"/>
      <c r="GE700" s="724"/>
      <c r="GF700" s="724"/>
      <c r="GG700" s="724"/>
      <c r="GH700" s="724"/>
      <c r="GI700" s="724"/>
      <c r="GJ700" s="724"/>
      <c r="GK700" s="724"/>
      <c r="GL700" s="724"/>
      <c r="GM700" s="724"/>
      <c r="GN700" s="724"/>
      <c r="GO700" s="724"/>
      <c r="GP700" s="724"/>
      <c r="GQ700" s="724"/>
      <c r="GR700" s="724"/>
      <c r="GS700" s="724"/>
      <c r="GT700" s="724"/>
      <c r="GU700" s="724"/>
      <c r="GV700" s="724"/>
      <c r="GW700" s="724"/>
      <c r="GX700" s="724"/>
      <c r="GY700" s="724"/>
      <c r="GZ700" s="724"/>
      <c r="HA700" s="724"/>
      <c r="HB700" s="724"/>
      <c r="HC700" s="724"/>
      <c r="HD700" s="724"/>
      <c r="HE700" s="724"/>
      <c r="HF700" s="724"/>
      <c r="HG700" s="724"/>
      <c r="HH700" s="724"/>
      <c r="HI700" s="724"/>
      <c r="HJ700" s="724"/>
      <c r="HK700" s="724"/>
      <c r="HL700" s="724"/>
      <c r="HM700" s="724"/>
      <c r="HN700" s="724"/>
      <c r="HO700" s="724"/>
      <c r="HP700" s="724"/>
      <c r="HQ700" s="724"/>
      <c r="HR700" s="724"/>
      <c r="HS700" s="724"/>
      <c r="HT700" s="724"/>
      <c r="HU700" s="724"/>
      <c r="HV700" s="724"/>
      <c r="HW700" s="724"/>
      <c r="HX700" s="724"/>
      <c r="HY700" s="724"/>
      <c r="HZ700" s="724"/>
      <c r="IA700" s="724"/>
      <c r="IB700" s="724"/>
      <c r="IC700" s="724"/>
      <c r="ID700" s="724"/>
      <c r="IE700" s="724"/>
      <c r="IF700" s="724"/>
      <c r="IG700" s="724"/>
      <c r="IH700" s="724"/>
      <c r="II700" s="724"/>
      <c r="IJ700" s="724"/>
      <c r="IK700" s="724"/>
      <c r="IL700" s="724"/>
      <c r="IM700" s="724"/>
      <c r="IN700" s="724"/>
      <c r="IO700" s="724"/>
      <c r="IP700" s="724"/>
      <c r="IQ700" s="724"/>
      <c r="IR700" s="724"/>
      <c r="IS700" s="724"/>
      <c r="IT700" s="724"/>
      <c r="IU700" s="724"/>
      <c r="IV700" s="724"/>
      <c r="IW700" s="724"/>
    </row>
    <row r="701" spans="1:257" s="621" customFormat="1" ht="26.25" customHeight="1">
      <c r="A701" s="713"/>
      <c r="B701" s="684" t="s">
        <v>1351</v>
      </c>
      <c r="C701" s="713"/>
      <c r="D701" s="713"/>
      <c r="E701" s="725"/>
      <c r="F701" s="725"/>
      <c r="G701" s="725"/>
      <c r="H701" s="725"/>
      <c r="I701" s="725"/>
      <c r="J701" s="725"/>
      <c r="K701" s="725">
        <f>1165000000-K700</f>
        <v>201000000</v>
      </c>
      <c r="L701" s="1311">
        <f>(132534000-84391000)*12</f>
        <v>577716000</v>
      </c>
      <c r="M701" s="669"/>
      <c r="N701" s="868"/>
      <c r="O701" s="868"/>
      <c r="P701" s="868"/>
      <c r="Q701" s="868"/>
      <c r="R701" s="871"/>
      <c r="S701" s="866"/>
      <c r="T701" s="839"/>
      <c r="U701" s="726"/>
      <c r="V701" s="722"/>
      <c r="W701" s="722"/>
      <c r="X701" s="723"/>
      <c r="Y701" s="724"/>
      <c r="Z701" s="724"/>
      <c r="AA701" s="724"/>
      <c r="AB701" s="724"/>
      <c r="AC701" s="724"/>
      <c r="AD701" s="724"/>
      <c r="AE701" s="724"/>
      <c r="AF701" s="724"/>
      <c r="AG701" s="724"/>
      <c r="AH701" s="724"/>
      <c r="AI701" s="724"/>
      <c r="AJ701" s="724"/>
      <c r="AK701" s="724"/>
      <c r="AL701" s="724"/>
      <c r="AM701" s="724"/>
      <c r="AN701" s="724"/>
      <c r="AO701" s="724"/>
      <c r="AP701" s="724"/>
      <c r="AQ701" s="724"/>
      <c r="AR701" s="724"/>
      <c r="AS701" s="724"/>
      <c r="AT701" s="724"/>
      <c r="AU701" s="724"/>
      <c r="AV701" s="724"/>
      <c r="AW701" s="724"/>
      <c r="AX701" s="724"/>
      <c r="AY701" s="724"/>
      <c r="AZ701" s="724"/>
      <c r="BA701" s="724"/>
      <c r="BB701" s="724"/>
      <c r="BC701" s="724"/>
      <c r="BD701" s="724"/>
      <c r="BE701" s="724"/>
      <c r="BF701" s="724"/>
      <c r="BG701" s="724"/>
      <c r="BH701" s="724"/>
      <c r="BI701" s="724"/>
      <c r="BJ701" s="724"/>
      <c r="BK701" s="724"/>
      <c r="BL701" s="724"/>
      <c r="BM701" s="724"/>
      <c r="BN701" s="724"/>
      <c r="BO701" s="724"/>
      <c r="BP701" s="724"/>
      <c r="BQ701" s="724"/>
      <c r="BR701" s="724"/>
      <c r="BS701" s="724"/>
      <c r="BT701" s="724"/>
      <c r="BU701" s="724"/>
      <c r="BV701" s="724"/>
      <c r="BW701" s="724"/>
      <c r="BX701" s="724"/>
      <c r="BY701" s="724"/>
      <c r="BZ701" s="724"/>
      <c r="CA701" s="724"/>
      <c r="CB701" s="724"/>
      <c r="CC701" s="724"/>
      <c r="CD701" s="724"/>
      <c r="CE701" s="724"/>
      <c r="CF701" s="724"/>
      <c r="CG701" s="724"/>
      <c r="CH701" s="724"/>
      <c r="CI701" s="724"/>
      <c r="CJ701" s="724"/>
      <c r="CK701" s="724"/>
      <c r="CL701" s="724"/>
      <c r="CM701" s="724"/>
      <c r="CN701" s="724"/>
      <c r="CO701" s="724"/>
      <c r="CP701" s="724"/>
      <c r="CQ701" s="724"/>
      <c r="CR701" s="724"/>
      <c r="CS701" s="724"/>
      <c r="CT701" s="724"/>
      <c r="CU701" s="724"/>
      <c r="CV701" s="724"/>
      <c r="CW701" s="724"/>
      <c r="CX701" s="724"/>
      <c r="CY701" s="724"/>
      <c r="CZ701" s="724"/>
      <c r="DA701" s="724"/>
      <c r="DB701" s="724"/>
      <c r="DC701" s="724"/>
      <c r="DD701" s="724"/>
      <c r="DE701" s="724"/>
      <c r="DF701" s="724"/>
      <c r="DG701" s="724"/>
      <c r="DH701" s="724"/>
      <c r="DI701" s="724"/>
      <c r="DJ701" s="724"/>
      <c r="DK701" s="724"/>
      <c r="DL701" s="724"/>
      <c r="DM701" s="724"/>
      <c r="DN701" s="724"/>
      <c r="DO701" s="724"/>
      <c r="DP701" s="724"/>
      <c r="DQ701" s="724"/>
      <c r="DR701" s="724"/>
      <c r="DS701" s="724"/>
      <c r="DT701" s="724"/>
      <c r="DU701" s="724"/>
      <c r="DV701" s="724"/>
      <c r="DW701" s="724"/>
      <c r="DX701" s="724"/>
      <c r="DY701" s="724"/>
      <c r="DZ701" s="724"/>
      <c r="EA701" s="724"/>
      <c r="EB701" s="724"/>
      <c r="EC701" s="724"/>
      <c r="ED701" s="724"/>
      <c r="EE701" s="724"/>
      <c r="EF701" s="724"/>
      <c r="EG701" s="724"/>
      <c r="EH701" s="724"/>
      <c r="EI701" s="724"/>
      <c r="EJ701" s="724"/>
      <c r="EK701" s="724"/>
      <c r="EL701" s="724"/>
      <c r="EM701" s="724"/>
      <c r="EN701" s="724"/>
      <c r="EO701" s="724"/>
      <c r="EP701" s="724"/>
      <c r="EQ701" s="724"/>
      <c r="ER701" s="724"/>
      <c r="ES701" s="724"/>
      <c r="ET701" s="724"/>
      <c r="EU701" s="724"/>
      <c r="EV701" s="724"/>
      <c r="EW701" s="724"/>
      <c r="EX701" s="724"/>
      <c r="EY701" s="724"/>
      <c r="EZ701" s="724"/>
      <c r="FA701" s="724"/>
      <c r="FB701" s="724"/>
      <c r="FC701" s="724"/>
      <c r="FD701" s="724"/>
      <c r="FE701" s="724"/>
      <c r="FF701" s="724"/>
      <c r="FG701" s="724"/>
      <c r="FH701" s="724"/>
      <c r="FI701" s="724"/>
      <c r="FJ701" s="724"/>
      <c r="FK701" s="724"/>
      <c r="FL701" s="724"/>
      <c r="FM701" s="724"/>
      <c r="FN701" s="724"/>
      <c r="FO701" s="724"/>
      <c r="FP701" s="724"/>
      <c r="FQ701" s="724"/>
      <c r="FR701" s="724"/>
      <c r="FS701" s="724"/>
      <c r="FT701" s="724"/>
      <c r="FU701" s="724"/>
      <c r="FV701" s="724"/>
      <c r="FW701" s="724"/>
      <c r="FX701" s="724"/>
      <c r="FY701" s="724"/>
      <c r="FZ701" s="724"/>
      <c r="GA701" s="724"/>
      <c r="GB701" s="724"/>
      <c r="GC701" s="724"/>
      <c r="GD701" s="724"/>
      <c r="GE701" s="724"/>
      <c r="GF701" s="724"/>
      <c r="GG701" s="724"/>
      <c r="GH701" s="724"/>
      <c r="GI701" s="724"/>
      <c r="GJ701" s="724"/>
      <c r="GK701" s="724"/>
      <c r="GL701" s="724"/>
      <c r="GM701" s="724"/>
      <c r="GN701" s="724"/>
      <c r="GO701" s="724"/>
      <c r="GP701" s="724"/>
      <c r="GQ701" s="724"/>
      <c r="GR701" s="724"/>
      <c r="GS701" s="724"/>
      <c r="GT701" s="724"/>
      <c r="GU701" s="724"/>
      <c r="GV701" s="724"/>
      <c r="GW701" s="724"/>
      <c r="GX701" s="724"/>
      <c r="GY701" s="724"/>
      <c r="GZ701" s="724"/>
      <c r="HA701" s="724"/>
      <c r="HB701" s="724"/>
      <c r="HC701" s="724"/>
      <c r="HD701" s="724"/>
      <c r="HE701" s="724"/>
      <c r="HF701" s="724"/>
      <c r="HG701" s="724"/>
      <c r="HH701" s="724"/>
      <c r="HI701" s="724"/>
      <c r="HJ701" s="724"/>
      <c r="HK701" s="724"/>
      <c r="HL701" s="724"/>
      <c r="HM701" s="724"/>
      <c r="HN701" s="724"/>
      <c r="HO701" s="724"/>
      <c r="HP701" s="724"/>
      <c r="HQ701" s="724"/>
      <c r="HR701" s="724"/>
      <c r="HS701" s="724"/>
      <c r="HT701" s="724"/>
      <c r="HU701" s="724"/>
      <c r="HV701" s="724"/>
      <c r="HW701" s="724"/>
      <c r="HX701" s="724"/>
      <c r="HY701" s="724"/>
      <c r="HZ701" s="724"/>
      <c r="IA701" s="724"/>
      <c r="IB701" s="724"/>
      <c r="IC701" s="724"/>
      <c r="ID701" s="724"/>
      <c r="IE701" s="724"/>
      <c r="IF701" s="724"/>
      <c r="IG701" s="724"/>
      <c r="IH701" s="724"/>
      <c r="II701" s="724"/>
      <c r="IJ701" s="724"/>
      <c r="IK701" s="724"/>
      <c r="IL701" s="724"/>
      <c r="IM701" s="724"/>
      <c r="IN701" s="724"/>
      <c r="IO701" s="724"/>
      <c r="IP701" s="724"/>
      <c r="IQ701" s="724"/>
      <c r="IR701" s="724"/>
      <c r="IS701" s="724"/>
      <c r="IT701" s="724"/>
      <c r="IU701" s="724"/>
      <c r="IV701" s="724"/>
      <c r="IW701" s="724"/>
    </row>
    <row r="702" spans="1:257" s="621" customFormat="1" ht="26.25" customHeight="1">
      <c r="A702" s="713"/>
      <c r="B702" s="684" t="s">
        <v>1357</v>
      </c>
      <c r="C702" s="713"/>
      <c r="D702" s="713"/>
      <c r="E702" s="725"/>
      <c r="F702" s="725"/>
      <c r="G702" s="725"/>
      <c r="H702" s="725"/>
      <c r="I702" s="725"/>
      <c r="J702" s="725"/>
      <c r="K702" s="725"/>
      <c r="L702" s="1311">
        <f>L701-L728-L121</f>
        <v>348916000</v>
      </c>
      <c r="M702" s="669"/>
      <c r="N702" s="868"/>
      <c r="O702" s="868"/>
      <c r="P702" s="868"/>
      <c r="Q702" s="868"/>
      <c r="R702" s="871"/>
      <c r="S702" s="866"/>
      <c r="T702" s="839"/>
      <c r="U702" s="726"/>
      <c r="V702" s="722"/>
      <c r="W702" s="722"/>
      <c r="X702" s="723"/>
      <c r="Y702" s="724"/>
      <c r="Z702" s="724"/>
      <c r="AA702" s="724"/>
      <c r="AB702" s="724"/>
      <c r="AC702" s="724"/>
      <c r="AD702" s="724"/>
      <c r="AE702" s="724"/>
      <c r="AF702" s="724"/>
      <c r="AG702" s="724"/>
      <c r="AH702" s="724"/>
      <c r="AI702" s="724"/>
      <c r="AJ702" s="724"/>
      <c r="AK702" s="724"/>
      <c r="AL702" s="724"/>
      <c r="AM702" s="724"/>
      <c r="AN702" s="724"/>
      <c r="AO702" s="724"/>
      <c r="AP702" s="724"/>
      <c r="AQ702" s="724"/>
      <c r="AR702" s="724"/>
      <c r="AS702" s="724"/>
      <c r="AT702" s="724"/>
      <c r="AU702" s="724"/>
      <c r="AV702" s="724"/>
      <c r="AW702" s="724"/>
      <c r="AX702" s="724"/>
      <c r="AY702" s="724"/>
      <c r="AZ702" s="724"/>
      <c r="BA702" s="724"/>
      <c r="BB702" s="724"/>
      <c r="BC702" s="724"/>
      <c r="BD702" s="724"/>
      <c r="BE702" s="724"/>
      <c r="BF702" s="724"/>
      <c r="BG702" s="724"/>
      <c r="BH702" s="724"/>
      <c r="BI702" s="724"/>
      <c r="BJ702" s="724"/>
      <c r="BK702" s="724"/>
      <c r="BL702" s="724"/>
      <c r="BM702" s="724"/>
      <c r="BN702" s="724"/>
      <c r="BO702" s="724"/>
      <c r="BP702" s="724"/>
      <c r="BQ702" s="724"/>
      <c r="BR702" s="724"/>
      <c r="BS702" s="724"/>
      <c r="BT702" s="724"/>
      <c r="BU702" s="724"/>
      <c r="BV702" s="724"/>
      <c r="BW702" s="724"/>
      <c r="BX702" s="724"/>
      <c r="BY702" s="724"/>
      <c r="BZ702" s="724"/>
      <c r="CA702" s="724"/>
      <c r="CB702" s="724"/>
      <c r="CC702" s="724"/>
      <c r="CD702" s="724"/>
      <c r="CE702" s="724"/>
      <c r="CF702" s="724"/>
      <c r="CG702" s="724"/>
      <c r="CH702" s="724"/>
      <c r="CI702" s="724"/>
      <c r="CJ702" s="724"/>
      <c r="CK702" s="724"/>
      <c r="CL702" s="724"/>
      <c r="CM702" s="724"/>
      <c r="CN702" s="724"/>
      <c r="CO702" s="724"/>
      <c r="CP702" s="724"/>
      <c r="CQ702" s="724"/>
      <c r="CR702" s="724"/>
      <c r="CS702" s="724"/>
      <c r="CT702" s="724"/>
      <c r="CU702" s="724"/>
      <c r="CV702" s="724"/>
      <c r="CW702" s="724"/>
      <c r="CX702" s="724"/>
      <c r="CY702" s="724"/>
      <c r="CZ702" s="724"/>
      <c r="DA702" s="724"/>
      <c r="DB702" s="724"/>
      <c r="DC702" s="724"/>
      <c r="DD702" s="724"/>
      <c r="DE702" s="724"/>
      <c r="DF702" s="724"/>
      <c r="DG702" s="724"/>
      <c r="DH702" s="724"/>
      <c r="DI702" s="724"/>
      <c r="DJ702" s="724"/>
      <c r="DK702" s="724"/>
      <c r="DL702" s="724"/>
      <c r="DM702" s="724"/>
      <c r="DN702" s="724"/>
      <c r="DO702" s="724"/>
      <c r="DP702" s="724"/>
      <c r="DQ702" s="724"/>
      <c r="DR702" s="724"/>
      <c r="DS702" s="724"/>
      <c r="DT702" s="724"/>
      <c r="DU702" s="724"/>
      <c r="DV702" s="724"/>
      <c r="DW702" s="724"/>
      <c r="DX702" s="724"/>
      <c r="DY702" s="724"/>
      <c r="DZ702" s="724"/>
      <c r="EA702" s="724"/>
      <c r="EB702" s="724"/>
      <c r="EC702" s="724"/>
      <c r="ED702" s="724"/>
      <c r="EE702" s="724"/>
      <c r="EF702" s="724"/>
      <c r="EG702" s="724"/>
      <c r="EH702" s="724"/>
      <c r="EI702" s="724"/>
      <c r="EJ702" s="724"/>
      <c r="EK702" s="724"/>
      <c r="EL702" s="724"/>
      <c r="EM702" s="724"/>
      <c r="EN702" s="724"/>
      <c r="EO702" s="724"/>
      <c r="EP702" s="724"/>
      <c r="EQ702" s="724"/>
      <c r="ER702" s="724"/>
      <c r="ES702" s="724"/>
      <c r="ET702" s="724"/>
      <c r="EU702" s="724"/>
      <c r="EV702" s="724"/>
      <c r="EW702" s="724"/>
      <c r="EX702" s="724"/>
      <c r="EY702" s="724"/>
      <c r="EZ702" s="724"/>
      <c r="FA702" s="724"/>
      <c r="FB702" s="724"/>
      <c r="FC702" s="724"/>
      <c r="FD702" s="724"/>
      <c r="FE702" s="724"/>
      <c r="FF702" s="724"/>
      <c r="FG702" s="724"/>
      <c r="FH702" s="724"/>
      <c r="FI702" s="724"/>
      <c r="FJ702" s="724"/>
      <c r="FK702" s="724"/>
      <c r="FL702" s="724"/>
      <c r="FM702" s="724"/>
      <c r="FN702" s="724"/>
      <c r="FO702" s="724"/>
      <c r="FP702" s="724"/>
      <c r="FQ702" s="724"/>
      <c r="FR702" s="724"/>
      <c r="FS702" s="724"/>
      <c r="FT702" s="724"/>
      <c r="FU702" s="724"/>
      <c r="FV702" s="724"/>
      <c r="FW702" s="724"/>
      <c r="FX702" s="724"/>
      <c r="FY702" s="724"/>
      <c r="FZ702" s="724"/>
      <c r="GA702" s="724"/>
      <c r="GB702" s="724"/>
      <c r="GC702" s="724"/>
      <c r="GD702" s="724"/>
      <c r="GE702" s="724"/>
      <c r="GF702" s="724"/>
      <c r="GG702" s="724"/>
      <c r="GH702" s="724"/>
      <c r="GI702" s="724"/>
      <c r="GJ702" s="724"/>
      <c r="GK702" s="724"/>
      <c r="GL702" s="724"/>
      <c r="GM702" s="724"/>
      <c r="GN702" s="724"/>
      <c r="GO702" s="724"/>
      <c r="GP702" s="724"/>
      <c r="GQ702" s="724"/>
      <c r="GR702" s="724"/>
      <c r="GS702" s="724"/>
      <c r="GT702" s="724"/>
      <c r="GU702" s="724"/>
      <c r="GV702" s="724"/>
      <c r="GW702" s="724"/>
      <c r="GX702" s="724"/>
      <c r="GY702" s="724"/>
      <c r="GZ702" s="724"/>
      <c r="HA702" s="724"/>
      <c r="HB702" s="724"/>
      <c r="HC702" s="724"/>
      <c r="HD702" s="724"/>
      <c r="HE702" s="724"/>
      <c r="HF702" s="724"/>
      <c r="HG702" s="724"/>
      <c r="HH702" s="724"/>
      <c r="HI702" s="724"/>
      <c r="HJ702" s="724"/>
      <c r="HK702" s="724"/>
      <c r="HL702" s="724"/>
      <c r="HM702" s="724"/>
      <c r="HN702" s="724"/>
      <c r="HO702" s="724"/>
      <c r="HP702" s="724"/>
      <c r="HQ702" s="724"/>
      <c r="HR702" s="724"/>
      <c r="HS702" s="724"/>
      <c r="HT702" s="724"/>
      <c r="HU702" s="724"/>
      <c r="HV702" s="724"/>
      <c r="HW702" s="724"/>
      <c r="HX702" s="724"/>
      <c r="HY702" s="724"/>
      <c r="HZ702" s="724"/>
      <c r="IA702" s="724"/>
      <c r="IB702" s="724"/>
      <c r="IC702" s="724"/>
      <c r="ID702" s="724"/>
      <c r="IE702" s="724"/>
      <c r="IF702" s="724"/>
      <c r="IG702" s="724"/>
      <c r="IH702" s="724"/>
      <c r="II702" s="724"/>
      <c r="IJ702" s="724"/>
      <c r="IK702" s="724"/>
      <c r="IL702" s="724"/>
      <c r="IM702" s="724"/>
      <c r="IN702" s="724"/>
      <c r="IO702" s="724"/>
      <c r="IP702" s="724"/>
      <c r="IQ702" s="724"/>
      <c r="IR702" s="724"/>
      <c r="IS702" s="724"/>
      <c r="IT702" s="724"/>
      <c r="IU702" s="724"/>
      <c r="IV702" s="724"/>
      <c r="IW702" s="724"/>
    </row>
    <row r="703" spans="1:257" s="621" customFormat="1">
      <c r="A703" s="713" t="s">
        <v>258</v>
      </c>
      <c r="B703" s="936" t="s">
        <v>256</v>
      </c>
      <c r="C703" s="713"/>
      <c r="D703" s="713"/>
      <c r="E703" s="725">
        <v>27000000</v>
      </c>
      <c r="F703" s="725">
        <f>C699*E703</f>
        <v>243000000</v>
      </c>
      <c r="G703" s="725"/>
      <c r="H703" s="725"/>
      <c r="I703" s="725">
        <v>27000000</v>
      </c>
      <c r="J703" s="725">
        <v>243000000</v>
      </c>
      <c r="K703" s="725">
        <f>9*27000000</f>
        <v>243000000</v>
      </c>
      <c r="L703" s="1311">
        <f>9*27000000</f>
        <v>243000000</v>
      </c>
      <c r="M703" s="669" t="s">
        <v>1110</v>
      </c>
      <c r="N703" s="868"/>
      <c r="O703" s="868"/>
      <c r="P703" s="868"/>
      <c r="Q703" s="868"/>
      <c r="R703" s="871"/>
      <c r="S703" s="866"/>
      <c r="T703" s="839"/>
      <c r="U703" s="726"/>
      <c r="V703" s="722"/>
      <c r="W703" s="722"/>
      <c r="X703" s="723"/>
      <c r="Y703" s="724"/>
      <c r="Z703" s="724"/>
      <c r="AA703" s="724"/>
      <c r="AB703" s="724"/>
      <c r="AC703" s="724"/>
      <c r="AD703" s="724"/>
      <c r="AE703" s="724"/>
      <c r="AF703" s="724"/>
      <c r="AG703" s="724"/>
      <c r="AH703" s="724"/>
      <c r="AI703" s="724"/>
      <c r="AJ703" s="724"/>
      <c r="AK703" s="724"/>
      <c r="AL703" s="724"/>
      <c r="AM703" s="724"/>
      <c r="AN703" s="724"/>
      <c r="AO703" s="724"/>
      <c r="AP703" s="724"/>
      <c r="AQ703" s="724"/>
      <c r="AR703" s="724"/>
      <c r="AS703" s="724"/>
      <c r="AT703" s="724"/>
      <c r="AU703" s="724"/>
      <c r="AV703" s="724"/>
      <c r="AW703" s="724"/>
      <c r="AX703" s="724"/>
      <c r="AY703" s="724"/>
      <c r="AZ703" s="724"/>
      <c r="BA703" s="724"/>
      <c r="BB703" s="724"/>
      <c r="BC703" s="724"/>
      <c r="BD703" s="724"/>
      <c r="BE703" s="724"/>
      <c r="BF703" s="724"/>
      <c r="BG703" s="724"/>
      <c r="BH703" s="724"/>
      <c r="BI703" s="724"/>
      <c r="BJ703" s="724"/>
      <c r="BK703" s="724"/>
      <c r="BL703" s="724"/>
      <c r="BM703" s="724"/>
      <c r="BN703" s="724"/>
      <c r="BO703" s="724"/>
      <c r="BP703" s="724"/>
      <c r="BQ703" s="724"/>
      <c r="BR703" s="724"/>
      <c r="BS703" s="724"/>
      <c r="BT703" s="724"/>
      <c r="BU703" s="724"/>
      <c r="BV703" s="724"/>
      <c r="BW703" s="724"/>
      <c r="BX703" s="724"/>
      <c r="BY703" s="724"/>
      <c r="BZ703" s="724"/>
      <c r="CA703" s="724"/>
      <c r="CB703" s="724"/>
      <c r="CC703" s="724"/>
      <c r="CD703" s="724"/>
      <c r="CE703" s="724"/>
      <c r="CF703" s="724"/>
      <c r="CG703" s="724"/>
      <c r="CH703" s="724"/>
      <c r="CI703" s="724"/>
      <c r="CJ703" s="724"/>
      <c r="CK703" s="724"/>
      <c r="CL703" s="724"/>
      <c r="CM703" s="724"/>
      <c r="CN703" s="724"/>
      <c r="CO703" s="724"/>
      <c r="CP703" s="724"/>
      <c r="CQ703" s="724"/>
      <c r="CR703" s="724"/>
      <c r="CS703" s="724"/>
      <c r="CT703" s="724"/>
      <c r="CU703" s="724"/>
      <c r="CV703" s="724"/>
      <c r="CW703" s="724"/>
      <c r="CX703" s="724"/>
      <c r="CY703" s="724"/>
      <c r="CZ703" s="724"/>
      <c r="DA703" s="724"/>
      <c r="DB703" s="724"/>
      <c r="DC703" s="724"/>
      <c r="DD703" s="724"/>
      <c r="DE703" s="724"/>
      <c r="DF703" s="724"/>
      <c r="DG703" s="724"/>
      <c r="DH703" s="724"/>
      <c r="DI703" s="724"/>
      <c r="DJ703" s="724"/>
      <c r="DK703" s="724"/>
      <c r="DL703" s="724"/>
      <c r="DM703" s="724"/>
      <c r="DN703" s="724"/>
      <c r="DO703" s="724"/>
      <c r="DP703" s="724"/>
      <c r="DQ703" s="724"/>
      <c r="DR703" s="724"/>
      <c r="DS703" s="724"/>
      <c r="DT703" s="724"/>
      <c r="DU703" s="724"/>
      <c r="DV703" s="724"/>
      <c r="DW703" s="724"/>
      <c r="DX703" s="724"/>
      <c r="DY703" s="724"/>
      <c r="DZ703" s="724"/>
      <c r="EA703" s="724"/>
      <c r="EB703" s="724"/>
      <c r="EC703" s="724"/>
      <c r="ED703" s="724"/>
      <c r="EE703" s="724"/>
      <c r="EF703" s="724"/>
      <c r="EG703" s="724"/>
      <c r="EH703" s="724"/>
      <c r="EI703" s="724"/>
      <c r="EJ703" s="724"/>
      <c r="EK703" s="724"/>
      <c r="EL703" s="724"/>
      <c r="EM703" s="724"/>
      <c r="EN703" s="724"/>
      <c r="EO703" s="724"/>
      <c r="EP703" s="724"/>
      <c r="EQ703" s="724"/>
      <c r="ER703" s="724"/>
      <c r="ES703" s="724"/>
      <c r="ET703" s="724"/>
      <c r="EU703" s="724"/>
      <c r="EV703" s="724"/>
      <c r="EW703" s="724"/>
      <c r="EX703" s="724"/>
      <c r="EY703" s="724"/>
      <c r="EZ703" s="724"/>
      <c r="FA703" s="724"/>
      <c r="FB703" s="724"/>
      <c r="FC703" s="724"/>
      <c r="FD703" s="724"/>
      <c r="FE703" s="724"/>
      <c r="FF703" s="724"/>
      <c r="FG703" s="724"/>
      <c r="FH703" s="724"/>
      <c r="FI703" s="724"/>
      <c r="FJ703" s="724"/>
      <c r="FK703" s="724"/>
      <c r="FL703" s="724"/>
      <c r="FM703" s="724"/>
      <c r="FN703" s="724"/>
      <c r="FO703" s="724"/>
      <c r="FP703" s="724"/>
      <c r="FQ703" s="724"/>
      <c r="FR703" s="724"/>
      <c r="FS703" s="724"/>
      <c r="FT703" s="724"/>
      <c r="FU703" s="724"/>
      <c r="FV703" s="724"/>
      <c r="FW703" s="724"/>
      <c r="FX703" s="724"/>
      <c r="FY703" s="724"/>
      <c r="FZ703" s="724"/>
      <c r="GA703" s="724"/>
      <c r="GB703" s="724"/>
      <c r="GC703" s="724"/>
      <c r="GD703" s="724"/>
      <c r="GE703" s="724"/>
      <c r="GF703" s="724"/>
      <c r="GG703" s="724"/>
      <c r="GH703" s="724"/>
      <c r="GI703" s="724"/>
      <c r="GJ703" s="724"/>
      <c r="GK703" s="724"/>
      <c r="GL703" s="724"/>
      <c r="GM703" s="724"/>
      <c r="GN703" s="724"/>
      <c r="GO703" s="724"/>
      <c r="GP703" s="724"/>
      <c r="GQ703" s="724"/>
      <c r="GR703" s="724"/>
      <c r="GS703" s="724"/>
      <c r="GT703" s="724"/>
      <c r="GU703" s="724"/>
      <c r="GV703" s="724"/>
      <c r="GW703" s="724"/>
      <c r="GX703" s="724"/>
      <c r="GY703" s="724"/>
      <c r="GZ703" s="724"/>
      <c r="HA703" s="724"/>
      <c r="HB703" s="724"/>
      <c r="HC703" s="724"/>
      <c r="HD703" s="724"/>
      <c r="HE703" s="724"/>
      <c r="HF703" s="724"/>
      <c r="HG703" s="724"/>
      <c r="HH703" s="724"/>
      <c r="HI703" s="724"/>
      <c r="HJ703" s="724"/>
      <c r="HK703" s="724"/>
      <c r="HL703" s="724"/>
      <c r="HM703" s="724"/>
      <c r="HN703" s="724"/>
      <c r="HO703" s="724"/>
      <c r="HP703" s="724"/>
      <c r="HQ703" s="724"/>
      <c r="HR703" s="724"/>
      <c r="HS703" s="724"/>
      <c r="HT703" s="724"/>
      <c r="HU703" s="724"/>
      <c r="HV703" s="724"/>
      <c r="HW703" s="724"/>
      <c r="HX703" s="724"/>
      <c r="HY703" s="724"/>
      <c r="HZ703" s="724"/>
      <c r="IA703" s="724"/>
      <c r="IB703" s="724"/>
      <c r="IC703" s="724"/>
      <c r="ID703" s="724"/>
      <c r="IE703" s="724"/>
      <c r="IF703" s="724"/>
      <c r="IG703" s="724"/>
      <c r="IH703" s="724"/>
      <c r="II703" s="724"/>
      <c r="IJ703" s="724"/>
      <c r="IK703" s="724"/>
      <c r="IL703" s="724"/>
      <c r="IM703" s="724"/>
      <c r="IN703" s="724"/>
      <c r="IO703" s="724"/>
      <c r="IP703" s="724"/>
      <c r="IQ703" s="724"/>
      <c r="IR703" s="724"/>
      <c r="IS703" s="724"/>
      <c r="IT703" s="724"/>
      <c r="IU703" s="724"/>
      <c r="IV703" s="724"/>
      <c r="IW703" s="724"/>
    </row>
    <row r="704" spans="1:257" s="682" customFormat="1" ht="15.75" hidden="1" customHeight="1">
      <c r="A704" s="812" t="s">
        <v>91</v>
      </c>
      <c r="B704" s="813" t="s">
        <v>416</v>
      </c>
      <c r="C704" s="715"/>
      <c r="D704" s="715"/>
      <c r="E704" s="725"/>
      <c r="F704" s="725"/>
      <c r="G704" s="1101"/>
      <c r="H704" s="1101"/>
      <c r="I704" s="1101"/>
      <c r="J704" s="725"/>
      <c r="K704" s="725"/>
      <c r="L704" s="1311"/>
      <c r="M704" s="669"/>
      <c r="N704" s="868"/>
      <c r="O704" s="868"/>
      <c r="P704" s="1074"/>
      <c r="Q704" s="1074"/>
      <c r="R704" s="900"/>
      <c r="S704" s="900"/>
      <c r="T704" s="822"/>
      <c r="U704" s="577"/>
      <c r="V704" s="722"/>
      <c r="W704" s="581"/>
      <c r="X704" s="578"/>
      <c r="Y704" s="582"/>
      <c r="Z704" s="582"/>
      <c r="AA704" s="582"/>
      <c r="AB704" s="582"/>
      <c r="AC704" s="582"/>
      <c r="AD704" s="582"/>
      <c r="AE704" s="582"/>
      <c r="AF704" s="582"/>
      <c r="AG704" s="582"/>
      <c r="AH704" s="582"/>
      <c r="AI704" s="582"/>
      <c r="AJ704" s="582"/>
      <c r="AK704" s="582"/>
      <c r="AL704" s="582"/>
      <c r="AM704" s="582"/>
      <c r="AN704" s="582"/>
      <c r="AO704" s="582"/>
      <c r="AP704" s="582"/>
      <c r="AQ704" s="582"/>
      <c r="AR704" s="582"/>
      <c r="AS704" s="582"/>
      <c r="AT704" s="582"/>
      <c r="AU704" s="582"/>
      <c r="AV704" s="582"/>
      <c r="AW704" s="582"/>
      <c r="AX704" s="582"/>
      <c r="AY704" s="582"/>
      <c r="AZ704" s="582"/>
      <c r="BA704" s="582"/>
      <c r="BB704" s="582"/>
      <c r="BC704" s="582"/>
      <c r="BD704" s="582"/>
      <c r="BE704" s="582"/>
      <c r="BF704" s="582"/>
      <c r="BG704" s="582"/>
      <c r="BH704" s="582"/>
      <c r="BI704" s="582"/>
      <c r="BJ704" s="582"/>
      <c r="BK704" s="582"/>
      <c r="BL704" s="582"/>
      <c r="BM704" s="582"/>
      <c r="BN704" s="582"/>
      <c r="BO704" s="582"/>
      <c r="BP704" s="582"/>
      <c r="BQ704" s="582"/>
      <c r="BR704" s="582"/>
      <c r="BS704" s="582"/>
      <c r="BT704" s="582"/>
      <c r="BU704" s="582"/>
      <c r="BV704" s="582"/>
      <c r="BW704" s="582"/>
      <c r="BX704" s="582"/>
      <c r="BY704" s="582"/>
      <c r="BZ704" s="582"/>
      <c r="CA704" s="582"/>
      <c r="CB704" s="582"/>
      <c r="CC704" s="582"/>
      <c r="CD704" s="582"/>
      <c r="CE704" s="582"/>
      <c r="CF704" s="582"/>
      <c r="CG704" s="582"/>
      <c r="CH704" s="582"/>
      <c r="CI704" s="582"/>
      <c r="CJ704" s="582"/>
      <c r="CK704" s="582"/>
      <c r="CL704" s="582"/>
      <c r="CM704" s="582"/>
      <c r="CN704" s="582"/>
      <c r="CO704" s="582"/>
      <c r="CP704" s="582"/>
      <c r="CQ704" s="582"/>
      <c r="CR704" s="582"/>
      <c r="CS704" s="582"/>
      <c r="CT704" s="582"/>
      <c r="CU704" s="582"/>
      <c r="CV704" s="582"/>
      <c r="CW704" s="582"/>
      <c r="CX704" s="582"/>
      <c r="CY704" s="582"/>
      <c r="CZ704" s="582"/>
      <c r="DA704" s="582"/>
      <c r="DB704" s="582"/>
      <c r="DC704" s="582"/>
      <c r="DD704" s="582"/>
      <c r="DE704" s="582"/>
      <c r="DF704" s="582"/>
      <c r="DG704" s="582"/>
      <c r="DH704" s="582"/>
      <c r="DI704" s="582"/>
      <c r="DJ704" s="582"/>
      <c r="DK704" s="582"/>
      <c r="DL704" s="582"/>
      <c r="DM704" s="582"/>
      <c r="DN704" s="582"/>
      <c r="DO704" s="582"/>
      <c r="DP704" s="582"/>
      <c r="DQ704" s="582"/>
      <c r="DR704" s="582"/>
      <c r="DS704" s="582"/>
      <c r="DT704" s="582"/>
      <c r="DU704" s="582"/>
      <c r="DV704" s="582"/>
      <c r="DW704" s="582"/>
      <c r="DX704" s="582"/>
      <c r="DY704" s="582"/>
      <c r="DZ704" s="582"/>
      <c r="EA704" s="582"/>
      <c r="EB704" s="582"/>
      <c r="EC704" s="582"/>
      <c r="ED704" s="582"/>
      <c r="EE704" s="582"/>
      <c r="EF704" s="582"/>
      <c r="EG704" s="582"/>
      <c r="EH704" s="582"/>
      <c r="EI704" s="582"/>
      <c r="EJ704" s="582"/>
      <c r="EK704" s="582"/>
      <c r="EL704" s="582"/>
      <c r="EM704" s="582"/>
      <c r="EN704" s="582"/>
      <c r="EO704" s="582"/>
      <c r="EP704" s="582"/>
      <c r="EQ704" s="582"/>
      <c r="ER704" s="582"/>
      <c r="ES704" s="582"/>
      <c r="ET704" s="582"/>
      <c r="EU704" s="582"/>
      <c r="EV704" s="582"/>
      <c r="EW704" s="582"/>
      <c r="EX704" s="582"/>
      <c r="EY704" s="582"/>
      <c r="EZ704" s="582"/>
      <c r="FA704" s="582"/>
      <c r="FB704" s="582"/>
      <c r="FC704" s="582"/>
      <c r="FD704" s="582"/>
      <c r="FE704" s="582"/>
      <c r="FF704" s="582"/>
      <c r="FG704" s="582"/>
      <c r="FH704" s="582"/>
      <c r="FI704" s="582"/>
      <c r="FJ704" s="582"/>
      <c r="FK704" s="582"/>
      <c r="FL704" s="582"/>
      <c r="FM704" s="582"/>
      <c r="FN704" s="582"/>
      <c r="FO704" s="582"/>
      <c r="FP704" s="582"/>
      <c r="FQ704" s="582"/>
      <c r="FR704" s="582"/>
      <c r="FS704" s="582"/>
      <c r="FT704" s="582"/>
      <c r="FU704" s="582"/>
      <c r="FV704" s="582"/>
      <c r="FW704" s="582"/>
      <c r="FX704" s="582"/>
      <c r="FY704" s="582"/>
      <c r="FZ704" s="582"/>
      <c r="GA704" s="582"/>
      <c r="GB704" s="582"/>
      <c r="GC704" s="582"/>
      <c r="GD704" s="582"/>
      <c r="GE704" s="582"/>
      <c r="GF704" s="582"/>
      <c r="GG704" s="582"/>
      <c r="GH704" s="582"/>
      <c r="GI704" s="582"/>
      <c r="GJ704" s="582"/>
      <c r="GK704" s="582"/>
      <c r="GL704" s="582"/>
      <c r="GM704" s="582"/>
      <c r="GN704" s="582"/>
      <c r="GO704" s="582"/>
      <c r="GP704" s="582"/>
      <c r="GQ704" s="582"/>
      <c r="GR704" s="582"/>
      <c r="GS704" s="582"/>
      <c r="GT704" s="582"/>
      <c r="GU704" s="582"/>
      <c r="GV704" s="582"/>
      <c r="GW704" s="582"/>
      <c r="GX704" s="582"/>
      <c r="GY704" s="582"/>
      <c r="GZ704" s="582"/>
      <c r="HA704" s="582"/>
      <c r="HB704" s="582"/>
      <c r="HC704" s="582"/>
      <c r="HD704" s="582"/>
      <c r="HE704" s="582"/>
      <c r="HF704" s="582"/>
      <c r="HG704" s="582"/>
      <c r="HH704" s="582"/>
      <c r="HI704" s="582"/>
      <c r="HJ704" s="582"/>
      <c r="HK704" s="582"/>
      <c r="HL704" s="582"/>
      <c r="HM704" s="582"/>
      <c r="HN704" s="582"/>
      <c r="HO704" s="582"/>
      <c r="HP704" s="582"/>
      <c r="HQ704" s="582"/>
      <c r="HR704" s="582"/>
      <c r="HS704" s="582"/>
      <c r="HT704" s="582"/>
      <c r="HU704" s="582"/>
      <c r="HV704" s="582"/>
      <c r="HW704" s="582"/>
      <c r="HX704" s="582"/>
      <c r="HY704" s="582"/>
      <c r="HZ704" s="582"/>
      <c r="IA704" s="582"/>
      <c r="IB704" s="582"/>
      <c r="IC704" s="582"/>
      <c r="ID704" s="582"/>
      <c r="IE704" s="582"/>
      <c r="IF704" s="582"/>
      <c r="IG704" s="582"/>
      <c r="IH704" s="582"/>
      <c r="II704" s="582"/>
      <c r="IJ704" s="582"/>
      <c r="IK704" s="582"/>
      <c r="IL704" s="582"/>
      <c r="IM704" s="582"/>
      <c r="IN704" s="582"/>
      <c r="IO704" s="582"/>
      <c r="IP704" s="582"/>
      <c r="IQ704" s="582"/>
      <c r="IR704" s="582"/>
      <c r="IS704" s="582"/>
      <c r="IT704" s="582"/>
      <c r="IU704" s="582"/>
      <c r="IV704" s="582"/>
      <c r="IW704" s="582"/>
    </row>
    <row r="705" spans="1:257" s="724" customFormat="1">
      <c r="A705" s="589" t="s">
        <v>225</v>
      </c>
      <c r="B705" s="804" t="s">
        <v>257</v>
      </c>
      <c r="C705" s="589"/>
      <c r="D705" s="589"/>
      <c r="E705" s="704"/>
      <c r="F705" s="805">
        <f>SUM(F707:F718)</f>
        <v>168000000</v>
      </c>
      <c r="G705" s="716"/>
      <c r="H705" s="716"/>
      <c r="I705" s="716"/>
      <c r="J705" s="805">
        <f>SUM(J707:J718)</f>
        <v>249000000</v>
      </c>
      <c r="K705" s="805">
        <f>SUM(K707:K719)</f>
        <v>562000000</v>
      </c>
      <c r="L705" s="1312">
        <f>SUM(L707:L719)</f>
        <v>166200000</v>
      </c>
      <c r="M705" s="603"/>
      <c r="N705" s="835"/>
      <c r="O705" s="835"/>
      <c r="P705" s="890"/>
      <c r="Q705" s="890"/>
      <c r="R705" s="891"/>
      <c r="S705" s="900"/>
      <c r="T705" s="822"/>
      <c r="U705" s="577"/>
      <c r="V705" s="722"/>
      <c r="W705" s="701"/>
      <c r="X705" s="702"/>
      <c r="Y705" s="703"/>
      <c r="Z705" s="703"/>
      <c r="AA705" s="703"/>
      <c r="AB705" s="703"/>
      <c r="AC705" s="703"/>
      <c r="AD705" s="703"/>
      <c r="AE705" s="703"/>
      <c r="AF705" s="703"/>
      <c r="AG705" s="703"/>
      <c r="AH705" s="703"/>
      <c r="AI705" s="703"/>
      <c r="AJ705" s="703"/>
      <c r="AK705" s="703"/>
      <c r="AL705" s="703"/>
      <c r="AM705" s="703"/>
      <c r="AN705" s="703"/>
      <c r="AO705" s="703"/>
      <c r="AP705" s="703"/>
      <c r="AQ705" s="703"/>
      <c r="AR705" s="703"/>
      <c r="AS705" s="703"/>
      <c r="AT705" s="703"/>
      <c r="AU705" s="703"/>
      <c r="AV705" s="703"/>
      <c r="AW705" s="703"/>
      <c r="AX705" s="703"/>
      <c r="AY705" s="703"/>
      <c r="AZ705" s="703"/>
      <c r="BA705" s="703"/>
      <c r="BB705" s="703"/>
      <c r="BC705" s="703"/>
      <c r="BD705" s="703"/>
      <c r="BE705" s="703"/>
      <c r="BF705" s="703"/>
      <c r="BG705" s="703"/>
      <c r="BH705" s="703"/>
      <c r="BI705" s="703"/>
      <c r="BJ705" s="703"/>
      <c r="BK705" s="703"/>
      <c r="BL705" s="703"/>
      <c r="BM705" s="703"/>
      <c r="BN705" s="703"/>
      <c r="BO705" s="703"/>
      <c r="BP705" s="703"/>
      <c r="BQ705" s="703"/>
      <c r="BR705" s="703"/>
      <c r="BS705" s="703"/>
      <c r="BT705" s="703"/>
      <c r="BU705" s="703"/>
      <c r="BV705" s="703"/>
      <c r="BW705" s="703"/>
      <c r="BX705" s="703"/>
      <c r="BY705" s="703"/>
      <c r="BZ705" s="703"/>
      <c r="CA705" s="703"/>
      <c r="CB705" s="703"/>
      <c r="CC705" s="703"/>
      <c r="CD705" s="703"/>
      <c r="CE705" s="703"/>
      <c r="CF705" s="703"/>
      <c r="CG705" s="703"/>
      <c r="CH705" s="703"/>
      <c r="CI705" s="703"/>
      <c r="CJ705" s="703"/>
      <c r="CK705" s="703"/>
      <c r="CL705" s="703"/>
      <c r="CM705" s="703"/>
      <c r="CN705" s="703"/>
      <c r="CO705" s="703"/>
      <c r="CP705" s="703"/>
      <c r="CQ705" s="703"/>
      <c r="CR705" s="703"/>
      <c r="CS705" s="703"/>
      <c r="CT705" s="703"/>
      <c r="CU705" s="703"/>
      <c r="CV705" s="703"/>
      <c r="CW705" s="703"/>
      <c r="CX705" s="703"/>
      <c r="CY705" s="703"/>
      <c r="CZ705" s="703"/>
      <c r="DA705" s="703"/>
      <c r="DB705" s="703"/>
      <c r="DC705" s="703"/>
      <c r="DD705" s="703"/>
      <c r="DE705" s="703"/>
      <c r="DF705" s="703"/>
      <c r="DG705" s="703"/>
      <c r="DH705" s="703"/>
      <c r="DI705" s="703"/>
      <c r="DJ705" s="703"/>
      <c r="DK705" s="703"/>
      <c r="DL705" s="703"/>
      <c r="DM705" s="703"/>
      <c r="DN705" s="703"/>
      <c r="DO705" s="703"/>
      <c r="DP705" s="703"/>
      <c r="DQ705" s="703"/>
      <c r="DR705" s="703"/>
      <c r="DS705" s="703"/>
      <c r="DT705" s="703"/>
      <c r="DU705" s="703"/>
      <c r="DV705" s="703"/>
      <c r="DW705" s="703"/>
      <c r="DX705" s="703"/>
      <c r="DY705" s="703"/>
      <c r="DZ705" s="703"/>
      <c r="EA705" s="703"/>
      <c r="EB705" s="703"/>
      <c r="EC705" s="703"/>
      <c r="ED705" s="703"/>
      <c r="EE705" s="703"/>
      <c r="EF705" s="703"/>
      <c r="EG705" s="703"/>
      <c r="EH705" s="703"/>
      <c r="EI705" s="703"/>
      <c r="EJ705" s="703"/>
      <c r="EK705" s="703"/>
      <c r="EL705" s="703"/>
      <c r="EM705" s="703"/>
      <c r="EN705" s="703"/>
      <c r="EO705" s="703"/>
      <c r="EP705" s="703"/>
      <c r="EQ705" s="703"/>
      <c r="ER705" s="703"/>
      <c r="ES705" s="703"/>
      <c r="ET705" s="703"/>
      <c r="EU705" s="703"/>
      <c r="EV705" s="703"/>
      <c r="EW705" s="703"/>
      <c r="EX705" s="703"/>
      <c r="EY705" s="703"/>
      <c r="EZ705" s="703"/>
      <c r="FA705" s="703"/>
      <c r="FB705" s="703"/>
      <c r="FC705" s="703"/>
      <c r="FD705" s="703"/>
      <c r="FE705" s="703"/>
      <c r="FF705" s="703"/>
      <c r="FG705" s="703"/>
      <c r="FH705" s="703"/>
      <c r="FI705" s="703"/>
      <c r="FJ705" s="703"/>
      <c r="FK705" s="703"/>
      <c r="FL705" s="703"/>
      <c r="FM705" s="703"/>
      <c r="FN705" s="703"/>
      <c r="FO705" s="703"/>
      <c r="FP705" s="703"/>
      <c r="FQ705" s="703"/>
      <c r="FR705" s="703"/>
      <c r="FS705" s="703"/>
      <c r="FT705" s="703"/>
      <c r="FU705" s="703"/>
      <c r="FV705" s="703"/>
      <c r="FW705" s="703"/>
      <c r="FX705" s="703"/>
      <c r="FY705" s="703"/>
      <c r="FZ705" s="703"/>
      <c r="GA705" s="703"/>
      <c r="GB705" s="703"/>
      <c r="GC705" s="703"/>
      <c r="GD705" s="703"/>
      <c r="GE705" s="703"/>
      <c r="GF705" s="703"/>
      <c r="GG705" s="703"/>
      <c r="GH705" s="703"/>
      <c r="GI705" s="703"/>
      <c r="GJ705" s="703"/>
      <c r="GK705" s="703"/>
      <c r="GL705" s="703"/>
      <c r="GM705" s="703"/>
      <c r="GN705" s="703"/>
      <c r="GO705" s="703"/>
      <c r="GP705" s="703"/>
      <c r="GQ705" s="703"/>
      <c r="GR705" s="703"/>
      <c r="GS705" s="703"/>
      <c r="GT705" s="703"/>
      <c r="GU705" s="703"/>
      <c r="GV705" s="703"/>
      <c r="GW705" s="703"/>
      <c r="GX705" s="703"/>
      <c r="GY705" s="703"/>
      <c r="GZ705" s="703"/>
      <c r="HA705" s="703"/>
      <c r="HB705" s="703"/>
      <c r="HC705" s="703"/>
      <c r="HD705" s="703"/>
      <c r="HE705" s="703"/>
      <c r="HF705" s="703"/>
      <c r="HG705" s="703"/>
      <c r="HH705" s="703"/>
      <c r="HI705" s="703"/>
      <c r="HJ705" s="703"/>
      <c r="HK705" s="703"/>
      <c r="HL705" s="703"/>
      <c r="HM705" s="703"/>
      <c r="HN705" s="703"/>
      <c r="HO705" s="703"/>
      <c r="HP705" s="703"/>
      <c r="HQ705" s="703"/>
      <c r="HR705" s="703"/>
      <c r="HS705" s="703"/>
      <c r="HT705" s="703"/>
      <c r="HU705" s="703"/>
      <c r="HV705" s="703"/>
      <c r="HW705" s="703"/>
      <c r="HX705" s="703"/>
      <c r="HY705" s="703"/>
      <c r="HZ705" s="703"/>
      <c r="IA705" s="703"/>
      <c r="IB705" s="703"/>
      <c r="IC705" s="703"/>
      <c r="ID705" s="703"/>
      <c r="IE705" s="703"/>
      <c r="IF705" s="703"/>
      <c r="IG705" s="703"/>
      <c r="IH705" s="703"/>
      <c r="II705" s="703"/>
      <c r="IJ705" s="703"/>
      <c r="IK705" s="703"/>
      <c r="IL705" s="703"/>
      <c r="IM705" s="703"/>
      <c r="IN705" s="703"/>
      <c r="IO705" s="703"/>
      <c r="IP705" s="703"/>
      <c r="IQ705" s="703"/>
      <c r="IR705" s="703"/>
      <c r="IS705" s="703"/>
      <c r="IT705" s="703"/>
      <c r="IU705" s="703"/>
      <c r="IV705" s="703"/>
      <c r="IW705" s="703"/>
    </row>
    <row r="706" spans="1:257" s="724" customFormat="1">
      <c r="A706" s="589" t="s">
        <v>192</v>
      </c>
      <c r="B706" s="804" t="s">
        <v>1111</v>
      </c>
      <c r="C706" s="589"/>
      <c r="D706" s="589"/>
      <c r="E706" s="704"/>
      <c r="F706" s="805">
        <f t="shared" ref="F706:J706" si="80">SUM(F707:F719)</f>
        <v>168000000</v>
      </c>
      <c r="G706" s="805">
        <f t="shared" si="80"/>
        <v>69000000</v>
      </c>
      <c r="H706" s="805">
        <f t="shared" si="80"/>
        <v>0</v>
      </c>
      <c r="I706" s="805">
        <f t="shared" si="80"/>
        <v>0</v>
      </c>
      <c r="J706" s="805">
        <f t="shared" si="80"/>
        <v>249000000</v>
      </c>
      <c r="K706" s="805">
        <f>SUM(K707:K719)</f>
        <v>562000000</v>
      </c>
      <c r="L706" s="1312">
        <f>SUM(L707:L719)</f>
        <v>166200000</v>
      </c>
      <c r="M706" s="603"/>
      <c r="N706" s="835"/>
      <c r="O706" s="835"/>
      <c r="P706" s="890"/>
      <c r="Q706" s="890"/>
      <c r="R706" s="891"/>
      <c r="S706" s="900"/>
      <c r="T706" s="822"/>
      <c r="U706" s="577"/>
      <c r="V706" s="722"/>
      <c r="W706" s="701"/>
      <c r="X706" s="702"/>
      <c r="Y706" s="703"/>
      <c r="Z706" s="703"/>
      <c r="AA706" s="703"/>
      <c r="AB706" s="703"/>
      <c r="AC706" s="703"/>
      <c r="AD706" s="703"/>
      <c r="AE706" s="703"/>
      <c r="AF706" s="703"/>
      <c r="AG706" s="703"/>
      <c r="AH706" s="703"/>
      <c r="AI706" s="703"/>
      <c r="AJ706" s="703"/>
      <c r="AK706" s="703"/>
      <c r="AL706" s="703"/>
      <c r="AM706" s="703"/>
      <c r="AN706" s="703"/>
      <c r="AO706" s="703"/>
      <c r="AP706" s="703"/>
      <c r="AQ706" s="703"/>
      <c r="AR706" s="703"/>
      <c r="AS706" s="703"/>
      <c r="AT706" s="703"/>
      <c r="AU706" s="703"/>
      <c r="AV706" s="703"/>
      <c r="AW706" s="703"/>
      <c r="AX706" s="703"/>
      <c r="AY706" s="703"/>
      <c r="AZ706" s="703"/>
      <c r="BA706" s="703"/>
      <c r="BB706" s="703"/>
      <c r="BC706" s="703"/>
      <c r="BD706" s="703"/>
      <c r="BE706" s="703"/>
      <c r="BF706" s="703"/>
      <c r="BG706" s="703"/>
      <c r="BH706" s="703"/>
      <c r="BI706" s="703"/>
      <c r="BJ706" s="703"/>
      <c r="BK706" s="703"/>
      <c r="BL706" s="703"/>
      <c r="BM706" s="703"/>
      <c r="BN706" s="703"/>
      <c r="BO706" s="703"/>
      <c r="BP706" s="703"/>
      <c r="BQ706" s="703"/>
      <c r="BR706" s="703"/>
      <c r="BS706" s="703"/>
      <c r="BT706" s="703"/>
      <c r="BU706" s="703"/>
      <c r="BV706" s="703"/>
      <c r="BW706" s="703"/>
      <c r="BX706" s="703"/>
      <c r="BY706" s="703"/>
      <c r="BZ706" s="703"/>
      <c r="CA706" s="703"/>
      <c r="CB706" s="703"/>
      <c r="CC706" s="703"/>
      <c r="CD706" s="703"/>
      <c r="CE706" s="703"/>
      <c r="CF706" s="703"/>
      <c r="CG706" s="703"/>
      <c r="CH706" s="703"/>
      <c r="CI706" s="703"/>
      <c r="CJ706" s="703"/>
      <c r="CK706" s="703"/>
      <c r="CL706" s="703"/>
      <c r="CM706" s="703"/>
      <c r="CN706" s="703"/>
      <c r="CO706" s="703"/>
      <c r="CP706" s="703"/>
      <c r="CQ706" s="703"/>
      <c r="CR706" s="703"/>
      <c r="CS706" s="703"/>
      <c r="CT706" s="703"/>
      <c r="CU706" s="703"/>
      <c r="CV706" s="703"/>
      <c r="CW706" s="703"/>
      <c r="CX706" s="703"/>
      <c r="CY706" s="703"/>
      <c r="CZ706" s="703"/>
      <c r="DA706" s="703"/>
      <c r="DB706" s="703"/>
      <c r="DC706" s="703"/>
      <c r="DD706" s="703"/>
      <c r="DE706" s="703"/>
      <c r="DF706" s="703"/>
      <c r="DG706" s="703"/>
      <c r="DH706" s="703"/>
      <c r="DI706" s="703"/>
      <c r="DJ706" s="703"/>
      <c r="DK706" s="703"/>
      <c r="DL706" s="703"/>
      <c r="DM706" s="703"/>
      <c r="DN706" s="703"/>
      <c r="DO706" s="703"/>
      <c r="DP706" s="703"/>
      <c r="DQ706" s="703"/>
      <c r="DR706" s="703"/>
      <c r="DS706" s="703"/>
      <c r="DT706" s="703"/>
      <c r="DU706" s="703"/>
      <c r="DV706" s="703"/>
      <c r="DW706" s="703"/>
      <c r="DX706" s="703"/>
      <c r="DY706" s="703"/>
      <c r="DZ706" s="703"/>
      <c r="EA706" s="703"/>
      <c r="EB706" s="703"/>
      <c r="EC706" s="703"/>
      <c r="ED706" s="703"/>
      <c r="EE706" s="703"/>
      <c r="EF706" s="703"/>
      <c r="EG706" s="703"/>
      <c r="EH706" s="703"/>
      <c r="EI706" s="703"/>
      <c r="EJ706" s="703"/>
      <c r="EK706" s="703"/>
      <c r="EL706" s="703"/>
      <c r="EM706" s="703"/>
      <c r="EN706" s="703"/>
      <c r="EO706" s="703"/>
      <c r="EP706" s="703"/>
      <c r="EQ706" s="703"/>
      <c r="ER706" s="703"/>
      <c r="ES706" s="703"/>
      <c r="ET706" s="703"/>
      <c r="EU706" s="703"/>
      <c r="EV706" s="703"/>
      <c r="EW706" s="703"/>
      <c r="EX706" s="703"/>
      <c r="EY706" s="703"/>
      <c r="EZ706" s="703"/>
      <c r="FA706" s="703"/>
      <c r="FB706" s="703"/>
      <c r="FC706" s="703"/>
      <c r="FD706" s="703"/>
      <c r="FE706" s="703"/>
      <c r="FF706" s="703"/>
      <c r="FG706" s="703"/>
      <c r="FH706" s="703"/>
      <c r="FI706" s="703"/>
      <c r="FJ706" s="703"/>
      <c r="FK706" s="703"/>
      <c r="FL706" s="703"/>
      <c r="FM706" s="703"/>
      <c r="FN706" s="703"/>
      <c r="FO706" s="703"/>
      <c r="FP706" s="703"/>
      <c r="FQ706" s="703"/>
      <c r="FR706" s="703"/>
      <c r="FS706" s="703"/>
      <c r="FT706" s="703"/>
      <c r="FU706" s="703"/>
      <c r="FV706" s="703"/>
      <c r="FW706" s="703"/>
      <c r="FX706" s="703"/>
      <c r="FY706" s="703"/>
      <c r="FZ706" s="703"/>
      <c r="GA706" s="703"/>
      <c r="GB706" s="703"/>
      <c r="GC706" s="703"/>
      <c r="GD706" s="703"/>
      <c r="GE706" s="703"/>
      <c r="GF706" s="703"/>
      <c r="GG706" s="703"/>
      <c r="GH706" s="703"/>
      <c r="GI706" s="703"/>
      <c r="GJ706" s="703"/>
      <c r="GK706" s="703"/>
      <c r="GL706" s="703"/>
      <c r="GM706" s="703"/>
      <c r="GN706" s="703"/>
      <c r="GO706" s="703"/>
      <c r="GP706" s="703"/>
      <c r="GQ706" s="703"/>
      <c r="GR706" s="703"/>
      <c r="GS706" s="703"/>
      <c r="GT706" s="703"/>
      <c r="GU706" s="703"/>
      <c r="GV706" s="703"/>
      <c r="GW706" s="703"/>
      <c r="GX706" s="703"/>
      <c r="GY706" s="703"/>
      <c r="GZ706" s="703"/>
      <c r="HA706" s="703"/>
      <c r="HB706" s="703"/>
      <c r="HC706" s="703"/>
      <c r="HD706" s="703"/>
      <c r="HE706" s="703"/>
      <c r="HF706" s="703"/>
      <c r="HG706" s="703"/>
      <c r="HH706" s="703"/>
      <c r="HI706" s="703"/>
      <c r="HJ706" s="703"/>
      <c r="HK706" s="703"/>
      <c r="HL706" s="703"/>
      <c r="HM706" s="703"/>
      <c r="HN706" s="703"/>
      <c r="HO706" s="703"/>
      <c r="HP706" s="703"/>
      <c r="HQ706" s="703"/>
      <c r="HR706" s="703"/>
      <c r="HS706" s="703"/>
      <c r="HT706" s="703"/>
      <c r="HU706" s="703"/>
      <c r="HV706" s="703"/>
      <c r="HW706" s="703"/>
      <c r="HX706" s="703"/>
      <c r="HY706" s="703"/>
      <c r="HZ706" s="703"/>
      <c r="IA706" s="703"/>
      <c r="IB706" s="703"/>
      <c r="IC706" s="703"/>
      <c r="ID706" s="703"/>
      <c r="IE706" s="703"/>
      <c r="IF706" s="703"/>
      <c r="IG706" s="703"/>
      <c r="IH706" s="703"/>
      <c r="II706" s="703"/>
      <c r="IJ706" s="703"/>
      <c r="IK706" s="703"/>
      <c r="IL706" s="703"/>
      <c r="IM706" s="703"/>
      <c r="IN706" s="703"/>
      <c r="IO706" s="703"/>
      <c r="IP706" s="703"/>
      <c r="IQ706" s="703"/>
      <c r="IR706" s="703"/>
      <c r="IS706" s="703"/>
      <c r="IT706" s="703"/>
      <c r="IU706" s="703"/>
      <c r="IV706" s="703"/>
      <c r="IW706" s="703"/>
    </row>
    <row r="707" spans="1:257" s="682" customFormat="1">
      <c r="A707" s="713" t="s">
        <v>258</v>
      </c>
      <c r="B707" s="711" t="s">
        <v>399</v>
      </c>
      <c r="C707" s="1123"/>
      <c r="D707" s="1123"/>
      <c r="E707" s="1124"/>
      <c r="F707" s="1124">
        <v>30000000</v>
      </c>
      <c r="G707" s="725"/>
      <c r="H707" s="725"/>
      <c r="I707" s="725"/>
      <c r="J707" s="1124">
        <v>30000000</v>
      </c>
      <c r="K707" s="1124">
        <v>36000000</v>
      </c>
      <c r="L707" s="1326">
        <v>36000000</v>
      </c>
      <c r="M707" s="1125"/>
      <c r="N707" s="838"/>
      <c r="O707" s="838"/>
      <c r="P707" s="868"/>
      <c r="Q707" s="868"/>
      <c r="R707" s="871"/>
      <c r="S707" s="891"/>
      <c r="T707" s="832"/>
      <c r="U707" s="577"/>
      <c r="V707" s="581"/>
      <c r="W707" s="581"/>
      <c r="X707" s="578"/>
      <c r="Y707" s="582"/>
      <c r="Z707" s="582"/>
      <c r="AA707" s="582"/>
      <c r="AB707" s="582"/>
      <c r="AC707" s="582"/>
      <c r="AD707" s="582"/>
      <c r="AE707" s="582"/>
      <c r="AF707" s="582"/>
      <c r="AG707" s="582"/>
      <c r="AH707" s="582"/>
      <c r="AI707" s="582"/>
      <c r="AJ707" s="582"/>
      <c r="AK707" s="582"/>
      <c r="AL707" s="582"/>
      <c r="AM707" s="582"/>
      <c r="AN707" s="582"/>
      <c r="AO707" s="582"/>
      <c r="AP707" s="582"/>
      <c r="AQ707" s="582"/>
      <c r="AR707" s="582"/>
      <c r="AS707" s="582"/>
      <c r="AT707" s="582"/>
      <c r="AU707" s="582"/>
      <c r="AV707" s="582"/>
      <c r="AW707" s="582"/>
      <c r="AX707" s="582"/>
      <c r="AY707" s="582"/>
      <c r="AZ707" s="582"/>
      <c r="BA707" s="582"/>
      <c r="BB707" s="582"/>
      <c r="BC707" s="582"/>
      <c r="BD707" s="582"/>
      <c r="BE707" s="582"/>
      <c r="BF707" s="582"/>
      <c r="BG707" s="582"/>
      <c r="BH707" s="582"/>
      <c r="BI707" s="582"/>
      <c r="BJ707" s="582"/>
      <c r="BK707" s="582"/>
      <c r="BL707" s="582"/>
      <c r="BM707" s="582"/>
      <c r="BN707" s="582"/>
      <c r="BO707" s="582"/>
      <c r="BP707" s="582"/>
      <c r="BQ707" s="582"/>
      <c r="BR707" s="582"/>
      <c r="BS707" s="582"/>
      <c r="BT707" s="582"/>
      <c r="BU707" s="582"/>
      <c r="BV707" s="582"/>
      <c r="BW707" s="582"/>
      <c r="BX707" s="582"/>
      <c r="BY707" s="582"/>
      <c r="BZ707" s="582"/>
      <c r="CA707" s="582"/>
      <c r="CB707" s="582"/>
      <c r="CC707" s="582"/>
      <c r="CD707" s="582"/>
      <c r="CE707" s="582"/>
      <c r="CF707" s="582"/>
      <c r="CG707" s="582"/>
      <c r="CH707" s="582"/>
      <c r="CI707" s="582"/>
      <c r="CJ707" s="582"/>
      <c r="CK707" s="582"/>
      <c r="CL707" s="582"/>
      <c r="CM707" s="582"/>
      <c r="CN707" s="582"/>
      <c r="CO707" s="582"/>
      <c r="CP707" s="582"/>
      <c r="CQ707" s="582"/>
      <c r="CR707" s="582"/>
      <c r="CS707" s="582"/>
      <c r="CT707" s="582"/>
      <c r="CU707" s="582"/>
      <c r="CV707" s="582"/>
      <c r="CW707" s="582"/>
      <c r="CX707" s="582"/>
      <c r="CY707" s="582"/>
      <c r="CZ707" s="582"/>
      <c r="DA707" s="582"/>
      <c r="DB707" s="582"/>
      <c r="DC707" s="582"/>
      <c r="DD707" s="582"/>
      <c r="DE707" s="582"/>
      <c r="DF707" s="582"/>
      <c r="DG707" s="582"/>
      <c r="DH707" s="582"/>
      <c r="DI707" s="582"/>
      <c r="DJ707" s="582"/>
      <c r="DK707" s="582"/>
      <c r="DL707" s="582"/>
      <c r="DM707" s="582"/>
      <c r="DN707" s="582"/>
      <c r="DO707" s="582"/>
      <c r="DP707" s="582"/>
      <c r="DQ707" s="582"/>
      <c r="DR707" s="582"/>
      <c r="DS707" s="582"/>
      <c r="DT707" s="582"/>
      <c r="DU707" s="582"/>
      <c r="DV707" s="582"/>
      <c r="DW707" s="582"/>
      <c r="DX707" s="582"/>
      <c r="DY707" s="582"/>
      <c r="DZ707" s="582"/>
      <c r="EA707" s="582"/>
      <c r="EB707" s="582"/>
      <c r="EC707" s="582"/>
      <c r="ED707" s="582"/>
      <c r="EE707" s="582"/>
      <c r="EF707" s="582"/>
      <c r="EG707" s="582"/>
      <c r="EH707" s="582"/>
      <c r="EI707" s="582"/>
      <c r="EJ707" s="582"/>
      <c r="EK707" s="582"/>
      <c r="EL707" s="582"/>
      <c r="EM707" s="582"/>
      <c r="EN707" s="582"/>
      <c r="EO707" s="582"/>
      <c r="EP707" s="582"/>
      <c r="EQ707" s="582"/>
      <c r="ER707" s="582"/>
      <c r="ES707" s="582"/>
      <c r="ET707" s="582"/>
      <c r="EU707" s="582"/>
      <c r="EV707" s="582"/>
      <c r="EW707" s="582"/>
      <c r="EX707" s="582"/>
      <c r="EY707" s="582"/>
      <c r="EZ707" s="582"/>
      <c r="FA707" s="582"/>
      <c r="FB707" s="582"/>
      <c r="FC707" s="582"/>
      <c r="FD707" s="582"/>
      <c r="FE707" s="582"/>
      <c r="FF707" s="582"/>
      <c r="FG707" s="582"/>
      <c r="FH707" s="582"/>
      <c r="FI707" s="582"/>
      <c r="FJ707" s="582"/>
      <c r="FK707" s="582"/>
      <c r="FL707" s="582"/>
      <c r="FM707" s="582"/>
      <c r="FN707" s="582"/>
      <c r="FO707" s="582"/>
      <c r="FP707" s="582"/>
      <c r="FQ707" s="582"/>
      <c r="FR707" s="582"/>
      <c r="FS707" s="582"/>
      <c r="FT707" s="582"/>
      <c r="FU707" s="582"/>
      <c r="FV707" s="582"/>
      <c r="FW707" s="582"/>
      <c r="FX707" s="582"/>
      <c r="FY707" s="582"/>
      <c r="FZ707" s="582"/>
      <c r="GA707" s="582"/>
      <c r="GB707" s="582"/>
      <c r="GC707" s="582"/>
      <c r="GD707" s="582"/>
      <c r="GE707" s="582"/>
      <c r="GF707" s="582"/>
      <c r="GG707" s="582"/>
      <c r="GH707" s="582"/>
      <c r="GI707" s="582"/>
      <c r="GJ707" s="582"/>
      <c r="GK707" s="582"/>
      <c r="GL707" s="582"/>
      <c r="GM707" s="582"/>
      <c r="GN707" s="582"/>
      <c r="GO707" s="582"/>
      <c r="GP707" s="582"/>
      <c r="GQ707" s="582"/>
      <c r="GR707" s="582"/>
      <c r="GS707" s="582"/>
      <c r="GT707" s="582"/>
      <c r="GU707" s="582"/>
      <c r="GV707" s="582"/>
      <c r="GW707" s="582"/>
      <c r="GX707" s="582"/>
      <c r="GY707" s="582"/>
      <c r="GZ707" s="582"/>
      <c r="HA707" s="582"/>
      <c r="HB707" s="582"/>
      <c r="HC707" s="582"/>
      <c r="HD707" s="582"/>
      <c r="HE707" s="582"/>
      <c r="HF707" s="582"/>
      <c r="HG707" s="582"/>
      <c r="HH707" s="582"/>
      <c r="HI707" s="582"/>
      <c r="HJ707" s="582"/>
      <c r="HK707" s="582"/>
      <c r="HL707" s="582"/>
      <c r="HM707" s="582"/>
      <c r="HN707" s="582"/>
      <c r="HO707" s="582"/>
      <c r="HP707" s="582"/>
      <c r="HQ707" s="582"/>
      <c r="HR707" s="582"/>
      <c r="HS707" s="582"/>
      <c r="HT707" s="582"/>
      <c r="HU707" s="582"/>
      <c r="HV707" s="582"/>
      <c r="HW707" s="582"/>
      <c r="HX707" s="582"/>
      <c r="HY707" s="582"/>
      <c r="HZ707" s="582"/>
      <c r="IA707" s="582"/>
      <c r="IB707" s="582"/>
      <c r="IC707" s="582"/>
      <c r="ID707" s="582"/>
      <c r="IE707" s="582"/>
      <c r="IF707" s="582"/>
      <c r="IG707" s="582"/>
      <c r="IH707" s="582"/>
      <c r="II707" s="582"/>
      <c r="IJ707" s="582"/>
      <c r="IK707" s="582"/>
      <c r="IL707" s="582"/>
      <c r="IM707" s="582"/>
      <c r="IN707" s="582"/>
      <c r="IO707" s="582"/>
      <c r="IP707" s="582"/>
      <c r="IQ707" s="582"/>
      <c r="IR707" s="582"/>
      <c r="IS707" s="582"/>
      <c r="IT707" s="582"/>
      <c r="IU707" s="582"/>
      <c r="IV707" s="582"/>
      <c r="IW707" s="582"/>
    </row>
    <row r="708" spans="1:257" s="682" customFormat="1">
      <c r="A708" s="713" t="s">
        <v>258</v>
      </c>
      <c r="B708" s="711" t="s">
        <v>409</v>
      </c>
      <c r="C708" s="1123"/>
      <c r="D708" s="1123"/>
      <c r="E708" s="1124"/>
      <c r="F708" s="1124">
        <v>8000000</v>
      </c>
      <c r="G708" s="725"/>
      <c r="H708" s="725"/>
      <c r="I708" s="725"/>
      <c r="J708" s="1124">
        <v>15000000</v>
      </c>
      <c r="K708" s="1124">
        <v>18000000</v>
      </c>
      <c r="L708" s="1326">
        <v>21700000</v>
      </c>
      <c r="M708" s="1125"/>
      <c r="N708" s="838"/>
      <c r="O708" s="838"/>
      <c r="P708" s="868"/>
      <c r="Q708" s="868"/>
      <c r="R708" s="866"/>
      <c r="S708" s="891"/>
      <c r="T708" s="832"/>
      <c r="U708" s="577"/>
      <c r="V708" s="581"/>
      <c r="W708" s="727"/>
      <c r="X708" s="728"/>
    </row>
    <row r="709" spans="1:257" s="682" customFormat="1">
      <c r="A709" s="713"/>
      <c r="B709" s="711" t="str">
        <f>B667</f>
        <v>Kinh phí tổ chức Đại hội Chi bộ</v>
      </c>
      <c r="C709" s="1123"/>
      <c r="D709" s="1123"/>
      <c r="E709" s="1124"/>
      <c r="F709" s="1124"/>
      <c r="G709" s="725"/>
      <c r="H709" s="725"/>
      <c r="I709" s="725"/>
      <c r="J709" s="1124"/>
      <c r="K709" s="1124"/>
      <c r="L709" s="1326">
        <v>13500000</v>
      </c>
      <c r="M709" s="1125"/>
      <c r="N709" s="838"/>
      <c r="O709" s="838"/>
      <c r="P709" s="868"/>
      <c r="Q709" s="868"/>
      <c r="R709" s="866"/>
      <c r="S709" s="891"/>
      <c r="T709" s="832"/>
      <c r="U709" s="577"/>
      <c r="V709" s="581"/>
      <c r="W709" s="727"/>
      <c r="X709" s="728"/>
    </row>
    <row r="710" spans="1:257" s="682" customFormat="1" ht="31.5">
      <c r="A710" s="713" t="s">
        <v>258</v>
      </c>
      <c r="B710" s="711" t="s">
        <v>1112</v>
      </c>
      <c r="C710" s="1123"/>
      <c r="D710" s="1123"/>
      <c r="E710" s="1124"/>
      <c r="F710" s="1124"/>
      <c r="G710" s="1124">
        <v>54000000</v>
      </c>
      <c r="H710" s="1124"/>
      <c r="I710" s="1124"/>
      <c r="J710" s="1124"/>
      <c r="K710" s="1124">
        <f>27000000+17000000+15000000</f>
        <v>59000000</v>
      </c>
      <c r="L710" s="1326"/>
      <c r="M710" s="1125" t="s">
        <v>1520</v>
      </c>
      <c r="N710" s="838"/>
      <c r="O710" s="838"/>
      <c r="P710" s="838"/>
      <c r="Q710" s="838"/>
      <c r="R710" s="866"/>
      <c r="S710" s="891"/>
      <c r="T710" s="832"/>
      <c r="U710" s="577"/>
      <c r="V710" s="581"/>
      <c r="W710" s="727"/>
      <c r="X710" s="728"/>
    </row>
    <row r="711" spans="1:257" s="682" customFormat="1">
      <c r="A711" s="713" t="s">
        <v>258</v>
      </c>
      <c r="B711" s="711" t="s">
        <v>1113</v>
      </c>
      <c r="C711" s="1123"/>
      <c r="D711" s="1123"/>
      <c r="E711" s="1124"/>
      <c r="F711" s="1124"/>
      <c r="G711" s="1124">
        <v>15000000</v>
      </c>
      <c r="H711" s="1124"/>
      <c r="I711" s="1124"/>
      <c r="J711" s="1124"/>
      <c r="K711" s="1124">
        <v>14000000</v>
      </c>
      <c r="L711" s="1326">
        <v>10000000</v>
      </c>
      <c r="M711" s="1125" t="s">
        <v>1994</v>
      </c>
      <c r="N711" s="838"/>
      <c r="O711" s="838"/>
      <c r="P711" s="838"/>
      <c r="Q711" s="838"/>
      <c r="R711" s="866"/>
      <c r="S711" s="891"/>
      <c r="T711" s="832"/>
      <c r="U711" s="577"/>
      <c r="V711" s="581"/>
      <c r="W711" s="727"/>
      <c r="X711" s="728"/>
    </row>
    <row r="712" spans="1:257" s="682" customFormat="1">
      <c r="A712" s="713"/>
      <c r="B712" s="711" t="s">
        <v>1085</v>
      </c>
      <c r="C712" s="1123"/>
      <c r="D712" s="1123"/>
      <c r="E712" s="1124"/>
      <c r="F712" s="1124"/>
      <c r="G712" s="1124"/>
      <c r="H712" s="1124"/>
      <c r="I712" s="1124"/>
      <c r="J712" s="1124"/>
      <c r="K712" s="1124">
        <v>10000000</v>
      </c>
      <c r="L712" s="1326">
        <v>0</v>
      </c>
      <c r="M712" s="1125"/>
      <c r="N712" s="838"/>
      <c r="O712" s="838"/>
      <c r="P712" s="838"/>
      <c r="Q712" s="838"/>
      <c r="R712" s="866"/>
      <c r="S712" s="891"/>
      <c r="T712" s="832"/>
      <c r="U712" s="577"/>
      <c r="V712" s="581"/>
      <c r="W712" s="727"/>
      <c r="X712" s="728"/>
    </row>
    <row r="713" spans="1:257" s="682" customFormat="1">
      <c r="A713" s="713" t="s">
        <v>258</v>
      </c>
      <c r="B713" s="711" t="s">
        <v>419</v>
      </c>
      <c r="C713" s="1123"/>
      <c r="D713" s="1123"/>
      <c r="E713" s="1124"/>
      <c r="F713" s="1124"/>
      <c r="G713" s="1124"/>
      <c r="H713" s="1124"/>
      <c r="I713" s="1124"/>
      <c r="J713" s="1124">
        <v>60000000</v>
      </c>
      <c r="K713" s="1124"/>
      <c r="L713" s="1326"/>
      <c r="M713" s="1125"/>
      <c r="N713" s="838"/>
      <c r="O713" s="838"/>
      <c r="P713" s="838"/>
      <c r="Q713" s="838"/>
      <c r="R713" s="866"/>
      <c r="S713" s="891"/>
      <c r="T713" s="832"/>
      <c r="U713" s="577"/>
      <c r="V713" s="581"/>
      <c r="W713" s="727"/>
      <c r="X713" s="728"/>
    </row>
    <row r="714" spans="1:257" s="682" customFormat="1">
      <c r="A714" s="713" t="s">
        <v>258</v>
      </c>
      <c r="B714" s="711" t="s">
        <v>145</v>
      </c>
      <c r="C714" s="1123"/>
      <c r="D714" s="1123"/>
      <c r="E714" s="1124"/>
      <c r="F714" s="1124"/>
      <c r="G714" s="1124"/>
      <c r="H714" s="1124"/>
      <c r="I714" s="1124"/>
      <c r="J714" s="1124">
        <v>7000000</v>
      </c>
      <c r="K714" s="1124"/>
      <c r="L714" s="1326"/>
      <c r="M714" s="1125"/>
      <c r="N714" s="838"/>
      <c r="O714" s="838"/>
      <c r="P714" s="838"/>
      <c r="Q714" s="838"/>
      <c r="R714" s="866"/>
      <c r="S714" s="891"/>
      <c r="T714" s="832"/>
      <c r="U714" s="577"/>
      <c r="V714" s="581"/>
      <c r="W714" s="727"/>
      <c r="X714" s="728"/>
    </row>
    <row r="715" spans="1:257" s="682" customFormat="1">
      <c r="A715" s="713" t="s">
        <v>258</v>
      </c>
      <c r="B715" s="711" t="s">
        <v>420</v>
      </c>
      <c r="C715" s="1123"/>
      <c r="D715" s="1123"/>
      <c r="E715" s="1124"/>
      <c r="F715" s="1124"/>
      <c r="G715" s="1124"/>
      <c r="H715" s="1124"/>
      <c r="I715" s="1124"/>
      <c r="J715" s="1124">
        <v>7000000</v>
      </c>
      <c r="K715" s="1124"/>
      <c r="L715" s="1326"/>
      <c r="M715" s="1125"/>
      <c r="N715" s="838"/>
      <c r="O715" s="838"/>
      <c r="P715" s="838"/>
      <c r="Q715" s="838"/>
      <c r="R715" s="866"/>
      <c r="S715" s="891"/>
      <c r="T715" s="832"/>
      <c r="U715" s="577"/>
      <c r="V715" s="581"/>
      <c r="W715" s="727"/>
      <c r="X715" s="728"/>
    </row>
    <row r="716" spans="1:257" s="682" customFormat="1" ht="31.5">
      <c r="A716" s="713" t="s">
        <v>258</v>
      </c>
      <c r="B716" s="696" t="s">
        <v>1530</v>
      </c>
      <c r="C716" s="1123"/>
      <c r="D716" s="1123"/>
      <c r="E716" s="1124"/>
      <c r="F716" s="700">
        <v>100000000</v>
      </c>
      <c r="G716" s="725"/>
      <c r="H716" s="725"/>
      <c r="I716" s="725"/>
      <c r="J716" s="700">
        <v>100000000</v>
      </c>
      <c r="K716" s="700">
        <v>50000000</v>
      </c>
      <c r="L716" s="1315">
        <v>60000000</v>
      </c>
      <c r="M716" s="1125" t="s">
        <v>1522</v>
      </c>
      <c r="N716" s="838"/>
      <c r="O716" s="838"/>
      <c r="P716" s="868"/>
      <c r="Q716" s="868"/>
      <c r="R716" s="866"/>
      <c r="S716" s="891"/>
      <c r="T716" s="832"/>
      <c r="U716" s="577"/>
      <c r="V716" s="581"/>
      <c r="W716" s="727"/>
      <c r="X716" s="728"/>
    </row>
    <row r="717" spans="1:257" s="682" customFormat="1">
      <c r="A717" s="713"/>
      <c r="B717" s="696" t="s">
        <v>1114</v>
      </c>
      <c r="C717" s="1123"/>
      <c r="D717" s="1123"/>
      <c r="E717" s="1124"/>
      <c r="F717" s="700"/>
      <c r="G717" s="725"/>
      <c r="H717" s="725"/>
      <c r="I717" s="725"/>
      <c r="J717" s="700"/>
      <c r="K717" s="700">
        <v>350000000</v>
      </c>
      <c r="L717" s="1315">
        <v>0</v>
      </c>
      <c r="M717" s="1125"/>
      <c r="N717" s="838"/>
      <c r="O717" s="838"/>
      <c r="P717" s="868"/>
      <c r="Q717" s="868"/>
      <c r="R717" s="866"/>
      <c r="S717" s="891"/>
      <c r="T717" s="832"/>
      <c r="U717" s="577"/>
      <c r="V717" s="581"/>
      <c r="W717" s="727"/>
      <c r="X717" s="728"/>
    </row>
    <row r="718" spans="1:257" s="682" customFormat="1">
      <c r="A718" s="713" t="s">
        <v>258</v>
      </c>
      <c r="B718" s="696" t="s">
        <v>422</v>
      </c>
      <c r="C718" s="713"/>
      <c r="D718" s="713"/>
      <c r="E718" s="725"/>
      <c r="F718" s="725">
        <v>30000000</v>
      </c>
      <c r="G718" s="725"/>
      <c r="H718" s="725"/>
      <c r="I718" s="725"/>
      <c r="J718" s="725">
        <v>30000000</v>
      </c>
      <c r="K718" s="725"/>
      <c r="L718" s="1311"/>
      <c r="M718" s="669"/>
      <c r="N718" s="868"/>
      <c r="O718" s="868"/>
      <c r="P718" s="868"/>
      <c r="Q718" s="868"/>
      <c r="R718" s="866"/>
      <c r="S718" s="866"/>
      <c r="T718" s="839"/>
      <c r="U718" s="670"/>
      <c r="V718" s="727"/>
      <c r="W718" s="581"/>
      <c r="X718" s="578"/>
      <c r="Y718" s="582"/>
      <c r="Z718" s="582"/>
      <c r="AA718" s="582"/>
      <c r="AB718" s="582"/>
      <c r="AC718" s="582"/>
      <c r="AD718" s="582"/>
      <c r="AE718" s="582"/>
      <c r="AF718" s="582"/>
      <c r="AG718" s="582"/>
      <c r="AH718" s="582"/>
      <c r="AI718" s="582"/>
      <c r="AJ718" s="582"/>
      <c r="AK718" s="582"/>
      <c r="AL718" s="582"/>
      <c r="AM718" s="582"/>
      <c r="AN718" s="582"/>
      <c r="AO718" s="582"/>
      <c r="AP718" s="582"/>
      <c r="AQ718" s="582"/>
      <c r="AR718" s="582"/>
      <c r="AS718" s="582"/>
      <c r="AT718" s="582"/>
      <c r="AU718" s="582"/>
      <c r="AV718" s="582"/>
      <c r="AW718" s="582"/>
      <c r="AX718" s="582"/>
      <c r="AY718" s="582"/>
      <c r="AZ718" s="582"/>
      <c r="BA718" s="582"/>
      <c r="BB718" s="582"/>
      <c r="BC718" s="582"/>
      <c r="BD718" s="582"/>
      <c r="BE718" s="582"/>
      <c r="BF718" s="582"/>
      <c r="BG718" s="582"/>
      <c r="BH718" s="582"/>
      <c r="BI718" s="582"/>
      <c r="BJ718" s="582"/>
      <c r="BK718" s="582"/>
      <c r="BL718" s="582"/>
      <c r="BM718" s="582"/>
      <c r="BN718" s="582"/>
      <c r="BO718" s="582"/>
      <c r="BP718" s="582"/>
      <c r="BQ718" s="582"/>
      <c r="BR718" s="582"/>
      <c r="BS718" s="582"/>
      <c r="BT718" s="582"/>
      <c r="BU718" s="582"/>
      <c r="BV718" s="582"/>
      <c r="BW718" s="582"/>
      <c r="BX718" s="582"/>
      <c r="BY718" s="582"/>
      <c r="BZ718" s="582"/>
      <c r="CA718" s="582"/>
      <c r="CB718" s="582"/>
      <c r="CC718" s="582"/>
      <c r="CD718" s="582"/>
      <c r="CE718" s="582"/>
      <c r="CF718" s="582"/>
      <c r="CG718" s="582"/>
      <c r="CH718" s="582"/>
      <c r="CI718" s="582"/>
      <c r="CJ718" s="582"/>
      <c r="CK718" s="582"/>
      <c r="CL718" s="582"/>
      <c r="CM718" s="582"/>
      <c r="CN718" s="582"/>
      <c r="CO718" s="582"/>
      <c r="CP718" s="582"/>
      <c r="CQ718" s="582"/>
      <c r="CR718" s="582"/>
      <c r="CS718" s="582"/>
      <c r="CT718" s="582"/>
      <c r="CU718" s="582"/>
      <c r="CV718" s="582"/>
      <c r="CW718" s="582"/>
      <c r="CX718" s="582"/>
      <c r="CY718" s="582"/>
      <c r="CZ718" s="582"/>
      <c r="DA718" s="582"/>
      <c r="DB718" s="582"/>
      <c r="DC718" s="582"/>
      <c r="DD718" s="582"/>
      <c r="DE718" s="582"/>
      <c r="DF718" s="582"/>
      <c r="DG718" s="582"/>
      <c r="DH718" s="582"/>
      <c r="DI718" s="582"/>
      <c r="DJ718" s="582"/>
      <c r="DK718" s="582"/>
      <c r="DL718" s="582"/>
      <c r="DM718" s="582"/>
      <c r="DN718" s="582"/>
      <c r="DO718" s="582"/>
      <c r="DP718" s="582"/>
      <c r="DQ718" s="582"/>
      <c r="DR718" s="582"/>
      <c r="DS718" s="582"/>
      <c r="DT718" s="582"/>
      <c r="DU718" s="582"/>
      <c r="DV718" s="582"/>
      <c r="DW718" s="582"/>
      <c r="DX718" s="582"/>
      <c r="DY718" s="582"/>
      <c r="DZ718" s="582"/>
      <c r="EA718" s="582"/>
      <c r="EB718" s="582"/>
      <c r="EC718" s="582"/>
      <c r="ED718" s="582"/>
      <c r="EE718" s="582"/>
      <c r="EF718" s="582"/>
      <c r="EG718" s="582"/>
      <c r="EH718" s="582"/>
      <c r="EI718" s="582"/>
      <c r="EJ718" s="582"/>
      <c r="EK718" s="582"/>
      <c r="EL718" s="582"/>
      <c r="EM718" s="582"/>
      <c r="EN718" s="582"/>
      <c r="EO718" s="582"/>
      <c r="EP718" s="582"/>
      <c r="EQ718" s="582"/>
      <c r="ER718" s="582"/>
      <c r="ES718" s="582"/>
      <c r="ET718" s="582"/>
      <c r="EU718" s="582"/>
      <c r="EV718" s="582"/>
      <c r="EW718" s="582"/>
      <c r="EX718" s="582"/>
      <c r="EY718" s="582"/>
      <c r="EZ718" s="582"/>
      <c r="FA718" s="582"/>
      <c r="FB718" s="582"/>
      <c r="FC718" s="582"/>
      <c r="FD718" s="582"/>
      <c r="FE718" s="582"/>
      <c r="FF718" s="582"/>
      <c r="FG718" s="582"/>
      <c r="FH718" s="582"/>
      <c r="FI718" s="582"/>
      <c r="FJ718" s="582"/>
      <c r="FK718" s="582"/>
      <c r="FL718" s="582"/>
      <c r="FM718" s="582"/>
      <c r="FN718" s="582"/>
      <c r="FO718" s="582"/>
      <c r="FP718" s="582"/>
      <c r="FQ718" s="582"/>
      <c r="FR718" s="582"/>
      <c r="FS718" s="582"/>
      <c r="FT718" s="582"/>
      <c r="FU718" s="582"/>
      <c r="FV718" s="582"/>
      <c r="FW718" s="582"/>
      <c r="FX718" s="582"/>
      <c r="FY718" s="582"/>
      <c r="FZ718" s="582"/>
      <c r="GA718" s="582"/>
      <c r="GB718" s="582"/>
      <c r="GC718" s="582"/>
      <c r="GD718" s="582"/>
      <c r="GE718" s="582"/>
      <c r="GF718" s="582"/>
      <c r="GG718" s="582"/>
      <c r="GH718" s="582"/>
      <c r="GI718" s="582"/>
      <c r="GJ718" s="582"/>
      <c r="GK718" s="582"/>
      <c r="GL718" s="582"/>
      <c r="GM718" s="582"/>
      <c r="GN718" s="582"/>
      <c r="GO718" s="582"/>
      <c r="GP718" s="582"/>
      <c r="GQ718" s="582"/>
      <c r="GR718" s="582"/>
      <c r="GS718" s="582"/>
      <c r="GT718" s="582"/>
      <c r="GU718" s="582"/>
      <c r="GV718" s="582"/>
      <c r="GW718" s="582"/>
      <c r="GX718" s="582"/>
      <c r="GY718" s="582"/>
      <c r="GZ718" s="582"/>
      <c r="HA718" s="582"/>
      <c r="HB718" s="582"/>
      <c r="HC718" s="582"/>
      <c r="HD718" s="582"/>
      <c r="HE718" s="582"/>
      <c r="HF718" s="582"/>
      <c r="HG718" s="582"/>
      <c r="HH718" s="582"/>
      <c r="HI718" s="582"/>
      <c r="HJ718" s="582"/>
      <c r="HK718" s="582"/>
      <c r="HL718" s="582"/>
      <c r="HM718" s="582"/>
      <c r="HN718" s="582"/>
      <c r="HO718" s="582"/>
      <c r="HP718" s="582"/>
      <c r="HQ718" s="582"/>
      <c r="HR718" s="582"/>
      <c r="HS718" s="582"/>
      <c r="HT718" s="582"/>
      <c r="HU718" s="582"/>
      <c r="HV718" s="582"/>
      <c r="HW718" s="582"/>
      <c r="HX718" s="582"/>
      <c r="HY718" s="582"/>
      <c r="HZ718" s="582"/>
      <c r="IA718" s="582"/>
      <c r="IB718" s="582"/>
      <c r="IC718" s="582"/>
      <c r="ID718" s="582"/>
      <c r="IE718" s="582"/>
      <c r="IF718" s="582"/>
      <c r="IG718" s="582"/>
      <c r="IH718" s="582"/>
      <c r="II718" s="582"/>
      <c r="IJ718" s="582"/>
      <c r="IK718" s="582"/>
      <c r="IL718" s="582"/>
      <c r="IM718" s="582"/>
      <c r="IN718" s="582"/>
      <c r="IO718" s="582"/>
      <c r="IP718" s="582"/>
      <c r="IQ718" s="582"/>
      <c r="IR718" s="582"/>
      <c r="IS718" s="582"/>
      <c r="IT718" s="582"/>
      <c r="IU718" s="582"/>
      <c r="IV718" s="582"/>
      <c r="IW718" s="582"/>
    </row>
    <row r="719" spans="1:257" s="682" customFormat="1">
      <c r="A719" s="713"/>
      <c r="B719" s="696" t="s">
        <v>1115</v>
      </c>
      <c r="C719" s="713"/>
      <c r="D719" s="713"/>
      <c r="E719" s="725"/>
      <c r="F719" s="725"/>
      <c r="G719" s="725"/>
      <c r="H719" s="725"/>
      <c r="I719" s="725"/>
      <c r="J719" s="725"/>
      <c r="K719" s="725">
        <v>25000000</v>
      </c>
      <c r="L719" s="1311">
        <v>25000000</v>
      </c>
      <c r="M719" s="669"/>
      <c r="N719" s="868"/>
      <c r="O719" s="868"/>
      <c r="P719" s="868"/>
      <c r="Q719" s="868"/>
      <c r="R719" s="866"/>
      <c r="S719" s="866"/>
      <c r="T719" s="839"/>
      <c r="U719" s="670"/>
      <c r="V719" s="727"/>
      <c r="W719" s="581"/>
      <c r="X719" s="578"/>
      <c r="Y719" s="582"/>
      <c r="Z719" s="582"/>
      <c r="AA719" s="582"/>
      <c r="AB719" s="582"/>
      <c r="AC719" s="582"/>
      <c r="AD719" s="582"/>
      <c r="AE719" s="582"/>
      <c r="AF719" s="582"/>
      <c r="AG719" s="582"/>
      <c r="AH719" s="582"/>
      <c r="AI719" s="582"/>
      <c r="AJ719" s="582"/>
      <c r="AK719" s="582"/>
      <c r="AL719" s="582"/>
      <c r="AM719" s="582"/>
      <c r="AN719" s="582"/>
      <c r="AO719" s="582"/>
      <c r="AP719" s="582"/>
      <c r="AQ719" s="582"/>
      <c r="AR719" s="582"/>
      <c r="AS719" s="582"/>
      <c r="AT719" s="582"/>
      <c r="AU719" s="582"/>
      <c r="AV719" s="582"/>
      <c r="AW719" s="582"/>
      <c r="AX719" s="582"/>
      <c r="AY719" s="582"/>
      <c r="AZ719" s="582"/>
      <c r="BA719" s="582"/>
      <c r="BB719" s="582"/>
      <c r="BC719" s="582"/>
      <c r="BD719" s="582"/>
      <c r="BE719" s="582"/>
      <c r="BF719" s="582"/>
      <c r="BG719" s="582"/>
      <c r="BH719" s="582"/>
      <c r="BI719" s="582"/>
      <c r="BJ719" s="582"/>
      <c r="BK719" s="582"/>
      <c r="BL719" s="582"/>
      <c r="BM719" s="582"/>
      <c r="BN719" s="582"/>
      <c r="BO719" s="582"/>
      <c r="BP719" s="582"/>
      <c r="BQ719" s="582"/>
      <c r="BR719" s="582"/>
      <c r="BS719" s="582"/>
      <c r="BT719" s="582"/>
      <c r="BU719" s="582"/>
      <c r="BV719" s="582"/>
      <c r="BW719" s="582"/>
      <c r="BX719" s="582"/>
      <c r="BY719" s="582"/>
      <c r="BZ719" s="582"/>
      <c r="CA719" s="582"/>
      <c r="CB719" s="582"/>
      <c r="CC719" s="582"/>
      <c r="CD719" s="582"/>
      <c r="CE719" s="582"/>
      <c r="CF719" s="582"/>
      <c r="CG719" s="582"/>
      <c r="CH719" s="582"/>
      <c r="CI719" s="582"/>
      <c r="CJ719" s="582"/>
      <c r="CK719" s="582"/>
      <c r="CL719" s="582"/>
      <c r="CM719" s="582"/>
      <c r="CN719" s="582"/>
      <c r="CO719" s="582"/>
      <c r="CP719" s="582"/>
      <c r="CQ719" s="582"/>
      <c r="CR719" s="582"/>
      <c r="CS719" s="582"/>
      <c r="CT719" s="582"/>
      <c r="CU719" s="582"/>
      <c r="CV719" s="582"/>
      <c r="CW719" s="582"/>
      <c r="CX719" s="582"/>
      <c r="CY719" s="582"/>
      <c r="CZ719" s="582"/>
      <c r="DA719" s="582"/>
      <c r="DB719" s="582"/>
      <c r="DC719" s="582"/>
      <c r="DD719" s="582"/>
      <c r="DE719" s="582"/>
      <c r="DF719" s="582"/>
      <c r="DG719" s="582"/>
      <c r="DH719" s="582"/>
      <c r="DI719" s="582"/>
      <c r="DJ719" s="582"/>
      <c r="DK719" s="582"/>
      <c r="DL719" s="582"/>
      <c r="DM719" s="582"/>
      <c r="DN719" s="582"/>
      <c r="DO719" s="582"/>
      <c r="DP719" s="582"/>
      <c r="DQ719" s="582"/>
      <c r="DR719" s="582"/>
      <c r="DS719" s="582"/>
      <c r="DT719" s="582"/>
      <c r="DU719" s="582"/>
      <c r="DV719" s="582"/>
      <c r="DW719" s="582"/>
      <c r="DX719" s="582"/>
      <c r="DY719" s="582"/>
      <c r="DZ719" s="582"/>
      <c r="EA719" s="582"/>
      <c r="EB719" s="582"/>
      <c r="EC719" s="582"/>
      <c r="ED719" s="582"/>
      <c r="EE719" s="582"/>
      <c r="EF719" s="582"/>
      <c r="EG719" s="582"/>
      <c r="EH719" s="582"/>
      <c r="EI719" s="582"/>
      <c r="EJ719" s="582"/>
      <c r="EK719" s="582"/>
      <c r="EL719" s="582"/>
      <c r="EM719" s="582"/>
      <c r="EN719" s="582"/>
      <c r="EO719" s="582"/>
      <c r="EP719" s="582"/>
      <c r="EQ719" s="582"/>
      <c r="ER719" s="582"/>
      <c r="ES719" s="582"/>
      <c r="ET719" s="582"/>
      <c r="EU719" s="582"/>
      <c r="EV719" s="582"/>
      <c r="EW719" s="582"/>
      <c r="EX719" s="582"/>
      <c r="EY719" s="582"/>
      <c r="EZ719" s="582"/>
      <c r="FA719" s="582"/>
      <c r="FB719" s="582"/>
      <c r="FC719" s="582"/>
      <c r="FD719" s="582"/>
      <c r="FE719" s="582"/>
      <c r="FF719" s="582"/>
      <c r="FG719" s="582"/>
      <c r="FH719" s="582"/>
      <c r="FI719" s="582"/>
      <c r="FJ719" s="582"/>
      <c r="FK719" s="582"/>
      <c r="FL719" s="582"/>
      <c r="FM719" s="582"/>
      <c r="FN719" s="582"/>
      <c r="FO719" s="582"/>
      <c r="FP719" s="582"/>
      <c r="FQ719" s="582"/>
      <c r="FR719" s="582"/>
      <c r="FS719" s="582"/>
      <c r="FT719" s="582"/>
      <c r="FU719" s="582"/>
      <c r="FV719" s="582"/>
      <c r="FW719" s="582"/>
      <c r="FX719" s="582"/>
      <c r="FY719" s="582"/>
      <c r="FZ719" s="582"/>
      <c r="GA719" s="582"/>
      <c r="GB719" s="582"/>
      <c r="GC719" s="582"/>
      <c r="GD719" s="582"/>
      <c r="GE719" s="582"/>
      <c r="GF719" s="582"/>
      <c r="GG719" s="582"/>
      <c r="GH719" s="582"/>
      <c r="GI719" s="582"/>
      <c r="GJ719" s="582"/>
      <c r="GK719" s="582"/>
      <c r="GL719" s="582"/>
      <c r="GM719" s="582"/>
      <c r="GN719" s="582"/>
      <c r="GO719" s="582"/>
      <c r="GP719" s="582"/>
      <c r="GQ719" s="582"/>
      <c r="GR719" s="582"/>
      <c r="GS719" s="582"/>
      <c r="GT719" s="582"/>
      <c r="GU719" s="582"/>
      <c r="GV719" s="582"/>
      <c r="GW719" s="582"/>
      <c r="GX719" s="582"/>
      <c r="GY719" s="582"/>
      <c r="GZ719" s="582"/>
      <c r="HA719" s="582"/>
      <c r="HB719" s="582"/>
      <c r="HC719" s="582"/>
      <c r="HD719" s="582"/>
      <c r="HE719" s="582"/>
      <c r="HF719" s="582"/>
      <c r="HG719" s="582"/>
      <c r="HH719" s="582"/>
      <c r="HI719" s="582"/>
      <c r="HJ719" s="582"/>
      <c r="HK719" s="582"/>
      <c r="HL719" s="582"/>
      <c r="HM719" s="582"/>
      <c r="HN719" s="582"/>
      <c r="HO719" s="582"/>
      <c r="HP719" s="582"/>
      <c r="HQ719" s="582"/>
      <c r="HR719" s="582"/>
      <c r="HS719" s="582"/>
      <c r="HT719" s="582"/>
      <c r="HU719" s="582"/>
      <c r="HV719" s="582"/>
      <c r="HW719" s="582"/>
      <c r="HX719" s="582"/>
      <c r="HY719" s="582"/>
      <c r="HZ719" s="582"/>
      <c r="IA719" s="582"/>
      <c r="IB719" s="582"/>
      <c r="IC719" s="582"/>
      <c r="ID719" s="582"/>
      <c r="IE719" s="582"/>
      <c r="IF719" s="582"/>
      <c r="IG719" s="582"/>
      <c r="IH719" s="582"/>
      <c r="II719" s="582"/>
      <c r="IJ719" s="582"/>
      <c r="IK719" s="582"/>
      <c r="IL719" s="582"/>
      <c r="IM719" s="582"/>
      <c r="IN719" s="582"/>
      <c r="IO719" s="582"/>
      <c r="IP719" s="582"/>
      <c r="IQ719" s="582"/>
      <c r="IR719" s="582"/>
      <c r="IS719" s="582"/>
      <c r="IT719" s="582"/>
      <c r="IU719" s="582"/>
      <c r="IV719" s="582"/>
      <c r="IW719" s="582"/>
    </row>
    <row r="720" spans="1:257" s="724" customFormat="1">
      <c r="A720" s="715" t="s">
        <v>192</v>
      </c>
      <c r="B720" s="607" t="s">
        <v>1116</v>
      </c>
      <c r="C720" s="715"/>
      <c r="D720" s="715"/>
      <c r="E720" s="716"/>
      <c r="F720" s="716"/>
      <c r="G720" s="716"/>
      <c r="H720" s="716"/>
      <c r="I720" s="716"/>
      <c r="J720" s="716"/>
      <c r="K720" s="716">
        <f>SUM(K721:K726)</f>
        <v>0</v>
      </c>
      <c r="L720" s="1316">
        <f>SUM(L721:L726)</f>
        <v>0</v>
      </c>
      <c r="M720" s="618"/>
      <c r="N720" s="890"/>
      <c r="O720" s="890"/>
      <c r="P720" s="890"/>
      <c r="Q720" s="890"/>
      <c r="R720" s="900"/>
      <c r="S720" s="900"/>
      <c r="T720" s="822"/>
      <c r="U720" s="667"/>
      <c r="V720" s="722"/>
      <c r="W720" s="701"/>
      <c r="X720" s="702"/>
      <c r="Y720" s="703"/>
      <c r="Z720" s="703"/>
      <c r="AA720" s="703"/>
      <c r="AB720" s="703"/>
      <c r="AC720" s="703"/>
      <c r="AD720" s="703"/>
      <c r="AE720" s="703"/>
      <c r="AF720" s="703"/>
      <c r="AG720" s="703"/>
      <c r="AH720" s="703"/>
      <c r="AI720" s="703"/>
      <c r="AJ720" s="703"/>
      <c r="AK720" s="703"/>
      <c r="AL720" s="703"/>
      <c r="AM720" s="703"/>
      <c r="AN720" s="703"/>
      <c r="AO720" s="703"/>
      <c r="AP720" s="703"/>
      <c r="AQ720" s="703"/>
      <c r="AR720" s="703"/>
      <c r="AS720" s="703"/>
      <c r="AT720" s="703"/>
      <c r="AU720" s="703"/>
      <c r="AV720" s="703"/>
      <c r="AW720" s="703"/>
      <c r="AX720" s="703"/>
      <c r="AY720" s="703"/>
      <c r="AZ720" s="703"/>
      <c r="BA720" s="703"/>
      <c r="BB720" s="703"/>
      <c r="BC720" s="703"/>
      <c r="BD720" s="703"/>
      <c r="BE720" s="703"/>
      <c r="BF720" s="703"/>
      <c r="BG720" s="703"/>
      <c r="BH720" s="703"/>
      <c r="BI720" s="703"/>
      <c r="BJ720" s="703"/>
      <c r="BK720" s="703"/>
      <c r="BL720" s="703"/>
      <c r="BM720" s="703"/>
      <c r="BN720" s="703"/>
      <c r="BO720" s="703"/>
      <c r="BP720" s="703"/>
      <c r="BQ720" s="703"/>
      <c r="BR720" s="703"/>
      <c r="BS720" s="703"/>
      <c r="BT720" s="703"/>
      <c r="BU720" s="703"/>
      <c r="BV720" s="703"/>
      <c r="BW720" s="703"/>
      <c r="BX720" s="703"/>
      <c r="BY720" s="703"/>
      <c r="BZ720" s="703"/>
      <c r="CA720" s="703"/>
      <c r="CB720" s="703"/>
      <c r="CC720" s="703"/>
      <c r="CD720" s="703"/>
      <c r="CE720" s="703"/>
      <c r="CF720" s="703"/>
      <c r="CG720" s="703"/>
      <c r="CH720" s="703"/>
      <c r="CI720" s="703"/>
      <c r="CJ720" s="703"/>
      <c r="CK720" s="703"/>
      <c r="CL720" s="703"/>
      <c r="CM720" s="703"/>
      <c r="CN720" s="703"/>
      <c r="CO720" s="703"/>
      <c r="CP720" s="703"/>
      <c r="CQ720" s="703"/>
      <c r="CR720" s="703"/>
      <c r="CS720" s="703"/>
      <c r="CT720" s="703"/>
      <c r="CU720" s="703"/>
      <c r="CV720" s="703"/>
      <c r="CW720" s="703"/>
      <c r="CX720" s="703"/>
      <c r="CY720" s="703"/>
      <c r="CZ720" s="703"/>
      <c r="DA720" s="703"/>
      <c r="DB720" s="703"/>
      <c r="DC720" s="703"/>
      <c r="DD720" s="703"/>
      <c r="DE720" s="703"/>
      <c r="DF720" s="703"/>
      <c r="DG720" s="703"/>
      <c r="DH720" s="703"/>
      <c r="DI720" s="703"/>
      <c r="DJ720" s="703"/>
      <c r="DK720" s="703"/>
      <c r="DL720" s="703"/>
      <c r="DM720" s="703"/>
      <c r="DN720" s="703"/>
      <c r="DO720" s="703"/>
      <c r="DP720" s="703"/>
      <c r="DQ720" s="703"/>
      <c r="DR720" s="703"/>
      <c r="DS720" s="703"/>
      <c r="DT720" s="703"/>
      <c r="DU720" s="703"/>
      <c r="DV720" s="703"/>
      <c r="DW720" s="703"/>
      <c r="DX720" s="703"/>
      <c r="DY720" s="703"/>
      <c r="DZ720" s="703"/>
      <c r="EA720" s="703"/>
      <c r="EB720" s="703"/>
      <c r="EC720" s="703"/>
      <c r="ED720" s="703"/>
      <c r="EE720" s="703"/>
      <c r="EF720" s="703"/>
      <c r="EG720" s="703"/>
      <c r="EH720" s="703"/>
      <c r="EI720" s="703"/>
      <c r="EJ720" s="703"/>
      <c r="EK720" s="703"/>
      <c r="EL720" s="703"/>
      <c r="EM720" s="703"/>
      <c r="EN720" s="703"/>
      <c r="EO720" s="703"/>
      <c r="EP720" s="703"/>
      <c r="EQ720" s="703"/>
      <c r="ER720" s="703"/>
      <c r="ES720" s="703"/>
      <c r="ET720" s="703"/>
      <c r="EU720" s="703"/>
      <c r="EV720" s="703"/>
      <c r="EW720" s="703"/>
      <c r="EX720" s="703"/>
      <c r="EY720" s="703"/>
      <c r="EZ720" s="703"/>
      <c r="FA720" s="703"/>
      <c r="FB720" s="703"/>
      <c r="FC720" s="703"/>
      <c r="FD720" s="703"/>
      <c r="FE720" s="703"/>
      <c r="FF720" s="703"/>
      <c r="FG720" s="703"/>
      <c r="FH720" s="703"/>
      <c r="FI720" s="703"/>
      <c r="FJ720" s="703"/>
      <c r="FK720" s="703"/>
      <c r="FL720" s="703"/>
      <c r="FM720" s="703"/>
      <c r="FN720" s="703"/>
      <c r="FO720" s="703"/>
      <c r="FP720" s="703"/>
      <c r="FQ720" s="703"/>
      <c r="FR720" s="703"/>
      <c r="FS720" s="703"/>
      <c r="FT720" s="703"/>
      <c r="FU720" s="703"/>
      <c r="FV720" s="703"/>
      <c r="FW720" s="703"/>
      <c r="FX720" s="703"/>
      <c r="FY720" s="703"/>
      <c r="FZ720" s="703"/>
      <c r="GA720" s="703"/>
      <c r="GB720" s="703"/>
      <c r="GC720" s="703"/>
      <c r="GD720" s="703"/>
      <c r="GE720" s="703"/>
      <c r="GF720" s="703"/>
      <c r="GG720" s="703"/>
      <c r="GH720" s="703"/>
      <c r="GI720" s="703"/>
      <c r="GJ720" s="703"/>
      <c r="GK720" s="703"/>
      <c r="GL720" s="703"/>
      <c r="GM720" s="703"/>
      <c r="GN720" s="703"/>
      <c r="GO720" s="703"/>
      <c r="GP720" s="703"/>
      <c r="GQ720" s="703"/>
      <c r="GR720" s="703"/>
      <c r="GS720" s="703"/>
      <c r="GT720" s="703"/>
      <c r="GU720" s="703"/>
      <c r="GV720" s="703"/>
      <c r="GW720" s="703"/>
      <c r="GX720" s="703"/>
      <c r="GY720" s="703"/>
      <c r="GZ720" s="703"/>
      <c r="HA720" s="703"/>
      <c r="HB720" s="703"/>
      <c r="HC720" s="703"/>
      <c r="HD720" s="703"/>
      <c r="HE720" s="703"/>
      <c r="HF720" s="703"/>
      <c r="HG720" s="703"/>
      <c r="HH720" s="703"/>
      <c r="HI720" s="703"/>
      <c r="HJ720" s="703"/>
      <c r="HK720" s="703"/>
      <c r="HL720" s="703"/>
      <c r="HM720" s="703"/>
      <c r="HN720" s="703"/>
      <c r="HO720" s="703"/>
      <c r="HP720" s="703"/>
      <c r="HQ720" s="703"/>
      <c r="HR720" s="703"/>
      <c r="HS720" s="703"/>
      <c r="HT720" s="703"/>
      <c r="HU720" s="703"/>
      <c r="HV720" s="703"/>
      <c r="HW720" s="703"/>
      <c r="HX720" s="703"/>
      <c r="HY720" s="703"/>
      <c r="HZ720" s="703"/>
      <c r="IA720" s="703"/>
      <c r="IB720" s="703"/>
      <c r="IC720" s="703"/>
      <c r="ID720" s="703"/>
      <c r="IE720" s="703"/>
      <c r="IF720" s="703"/>
      <c r="IG720" s="703"/>
      <c r="IH720" s="703"/>
      <c r="II720" s="703"/>
      <c r="IJ720" s="703"/>
      <c r="IK720" s="703"/>
      <c r="IL720" s="703"/>
      <c r="IM720" s="703"/>
      <c r="IN720" s="703"/>
      <c r="IO720" s="703"/>
      <c r="IP720" s="703"/>
      <c r="IQ720" s="703"/>
      <c r="IR720" s="703"/>
      <c r="IS720" s="703"/>
      <c r="IT720" s="703"/>
      <c r="IU720" s="703"/>
      <c r="IV720" s="703"/>
      <c r="IW720" s="703"/>
    </row>
    <row r="721" spans="1:257" s="682" customFormat="1">
      <c r="A721" s="713" t="s">
        <v>91</v>
      </c>
      <c r="B721" s="696" t="s">
        <v>241</v>
      </c>
      <c r="C721" s="713"/>
      <c r="D721" s="713"/>
      <c r="E721" s="725"/>
      <c r="F721" s="725"/>
      <c r="G721" s="725"/>
      <c r="H721" s="725"/>
      <c r="I721" s="725"/>
      <c r="J721" s="725"/>
      <c r="K721" s="725"/>
      <c r="L721" s="1311"/>
      <c r="M721" s="725">
        <v>355000000</v>
      </c>
      <c r="N721" s="868"/>
      <c r="O721" s="868"/>
      <c r="P721" s="868"/>
      <c r="Q721" s="868"/>
      <c r="R721" s="866"/>
      <c r="S721" s="866"/>
      <c r="T721" s="839"/>
      <c r="U721" s="670"/>
      <c r="V721" s="727"/>
      <c r="W721" s="581"/>
      <c r="X721" s="578"/>
      <c r="Y721" s="582"/>
      <c r="Z721" s="582"/>
      <c r="AA721" s="582"/>
      <c r="AB721" s="582"/>
      <c r="AC721" s="582"/>
      <c r="AD721" s="582"/>
      <c r="AE721" s="582"/>
      <c r="AF721" s="582"/>
      <c r="AG721" s="582"/>
      <c r="AH721" s="582"/>
      <c r="AI721" s="582"/>
      <c r="AJ721" s="582"/>
      <c r="AK721" s="582"/>
      <c r="AL721" s="582"/>
      <c r="AM721" s="582"/>
      <c r="AN721" s="582"/>
      <c r="AO721" s="582"/>
      <c r="AP721" s="582"/>
      <c r="AQ721" s="582"/>
      <c r="AR721" s="582"/>
      <c r="AS721" s="582"/>
      <c r="AT721" s="582"/>
      <c r="AU721" s="582"/>
      <c r="AV721" s="582"/>
      <c r="AW721" s="582"/>
      <c r="AX721" s="582"/>
      <c r="AY721" s="582"/>
      <c r="AZ721" s="582"/>
      <c r="BA721" s="582"/>
      <c r="BB721" s="582"/>
      <c r="BC721" s="582"/>
      <c r="BD721" s="582"/>
      <c r="BE721" s="582"/>
      <c r="BF721" s="582"/>
      <c r="BG721" s="582"/>
      <c r="BH721" s="582"/>
      <c r="BI721" s="582"/>
      <c r="BJ721" s="582"/>
      <c r="BK721" s="582"/>
      <c r="BL721" s="582"/>
      <c r="BM721" s="582"/>
      <c r="BN721" s="582"/>
      <c r="BO721" s="582"/>
      <c r="BP721" s="582"/>
      <c r="BQ721" s="582"/>
      <c r="BR721" s="582"/>
      <c r="BS721" s="582"/>
      <c r="BT721" s="582"/>
      <c r="BU721" s="582"/>
      <c r="BV721" s="582"/>
      <c r="BW721" s="582"/>
      <c r="BX721" s="582"/>
      <c r="BY721" s="582"/>
      <c r="BZ721" s="582"/>
      <c r="CA721" s="582"/>
      <c r="CB721" s="582"/>
      <c r="CC721" s="582"/>
      <c r="CD721" s="582"/>
      <c r="CE721" s="582"/>
      <c r="CF721" s="582"/>
      <c r="CG721" s="582"/>
      <c r="CH721" s="582"/>
      <c r="CI721" s="582"/>
      <c r="CJ721" s="582"/>
      <c r="CK721" s="582"/>
      <c r="CL721" s="582"/>
      <c r="CM721" s="582"/>
      <c r="CN721" s="582"/>
      <c r="CO721" s="582"/>
      <c r="CP721" s="582"/>
      <c r="CQ721" s="582"/>
      <c r="CR721" s="582"/>
      <c r="CS721" s="582"/>
      <c r="CT721" s="582"/>
      <c r="CU721" s="582"/>
      <c r="CV721" s="582"/>
      <c r="CW721" s="582"/>
      <c r="CX721" s="582"/>
      <c r="CY721" s="582"/>
      <c r="CZ721" s="582"/>
      <c r="DA721" s="582"/>
      <c r="DB721" s="582"/>
      <c r="DC721" s="582"/>
      <c r="DD721" s="582"/>
      <c r="DE721" s="582"/>
      <c r="DF721" s="582"/>
      <c r="DG721" s="582"/>
      <c r="DH721" s="582"/>
      <c r="DI721" s="582"/>
      <c r="DJ721" s="582"/>
      <c r="DK721" s="582"/>
      <c r="DL721" s="582"/>
      <c r="DM721" s="582"/>
      <c r="DN721" s="582"/>
      <c r="DO721" s="582"/>
      <c r="DP721" s="582"/>
      <c r="DQ721" s="582"/>
      <c r="DR721" s="582"/>
      <c r="DS721" s="582"/>
      <c r="DT721" s="582"/>
      <c r="DU721" s="582"/>
      <c r="DV721" s="582"/>
      <c r="DW721" s="582"/>
      <c r="DX721" s="582"/>
      <c r="DY721" s="582"/>
      <c r="DZ721" s="582"/>
      <c r="EA721" s="582"/>
      <c r="EB721" s="582"/>
      <c r="EC721" s="582"/>
      <c r="ED721" s="582"/>
      <c r="EE721" s="582"/>
      <c r="EF721" s="582"/>
      <c r="EG721" s="582"/>
      <c r="EH721" s="582"/>
      <c r="EI721" s="582"/>
      <c r="EJ721" s="582"/>
      <c r="EK721" s="582"/>
      <c r="EL721" s="582"/>
      <c r="EM721" s="582"/>
      <c r="EN721" s="582"/>
      <c r="EO721" s="582"/>
      <c r="EP721" s="582"/>
      <c r="EQ721" s="582"/>
      <c r="ER721" s="582"/>
      <c r="ES721" s="582"/>
      <c r="ET721" s="582"/>
      <c r="EU721" s="582"/>
      <c r="EV721" s="582"/>
      <c r="EW721" s="582"/>
      <c r="EX721" s="582"/>
      <c r="EY721" s="582"/>
      <c r="EZ721" s="582"/>
      <c r="FA721" s="582"/>
      <c r="FB721" s="582"/>
      <c r="FC721" s="582"/>
      <c r="FD721" s="582"/>
      <c r="FE721" s="582"/>
      <c r="FF721" s="582"/>
      <c r="FG721" s="582"/>
      <c r="FH721" s="582"/>
      <c r="FI721" s="582"/>
      <c r="FJ721" s="582"/>
      <c r="FK721" s="582"/>
      <c r="FL721" s="582"/>
      <c r="FM721" s="582"/>
      <c r="FN721" s="582"/>
      <c r="FO721" s="582"/>
      <c r="FP721" s="582"/>
      <c r="FQ721" s="582"/>
      <c r="FR721" s="582"/>
      <c r="FS721" s="582"/>
      <c r="FT721" s="582"/>
      <c r="FU721" s="582"/>
      <c r="FV721" s="582"/>
      <c r="FW721" s="582"/>
      <c r="FX721" s="582"/>
      <c r="FY721" s="582"/>
      <c r="FZ721" s="582"/>
      <c r="GA721" s="582"/>
      <c r="GB721" s="582"/>
      <c r="GC721" s="582"/>
      <c r="GD721" s="582"/>
      <c r="GE721" s="582"/>
      <c r="GF721" s="582"/>
      <c r="GG721" s="582"/>
      <c r="GH721" s="582"/>
      <c r="GI721" s="582"/>
      <c r="GJ721" s="582"/>
      <c r="GK721" s="582"/>
      <c r="GL721" s="582"/>
      <c r="GM721" s="582"/>
      <c r="GN721" s="582"/>
      <c r="GO721" s="582"/>
      <c r="GP721" s="582"/>
      <c r="GQ721" s="582"/>
      <c r="GR721" s="582"/>
      <c r="GS721" s="582"/>
      <c r="GT721" s="582"/>
      <c r="GU721" s="582"/>
      <c r="GV721" s="582"/>
      <c r="GW721" s="582"/>
      <c r="GX721" s="582"/>
      <c r="GY721" s="582"/>
      <c r="GZ721" s="582"/>
      <c r="HA721" s="582"/>
      <c r="HB721" s="582"/>
      <c r="HC721" s="582"/>
      <c r="HD721" s="582"/>
      <c r="HE721" s="582"/>
      <c r="HF721" s="582"/>
      <c r="HG721" s="582"/>
      <c r="HH721" s="582"/>
      <c r="HI721" s="582"/>
      <c r="HJ721" s="582"/>
      <c r="HK721" s="582"/>
      <c r="HL721" s="582"/>
      <c r="HM721" s="582"/>
      <c r="HN721" s="582"/>
      <c r="HO721" s="582"/>
      <c r="HP721" s="582"/>
      <c r="HQ721" s="582"/>
      <c r="HR721" s="582"/>
      <c r="HS721" s="582"/>
      <c r="HT721" s="582"/>
      <c r="HU721" s="582"/>
      <c r="HV721" s="582"/>
      <c r="HW721" s="582"/>
      <c r="HX721" s="582"/>
      <c r="HY721" s="582"/>
      <c r="HZ721" s="582"/>
      <c r="IA721" s="582"/>
      <c r="IB721" s="582"/>
      <c r="IC721" s="582"/>
      <c r="ID721" s="582"/>
      <c r="IE721" s="582"/>
      <c r="IF721" s="582"/>
      <c r="IG721" s="582"/>
      <c r="IH721" s="582"/>
      <c r="II721" s="582"/>
      <c r="IJ721" s="582"/>
      <c r="IK721" s="582"/>
      <c r="IL721" s="582"/>
      <c r="IM721" s="582"/>
      <c r="IN721" s="582"/>
      <c r="IO721" s="582"/>
      <c r="IP721" s="582"/>
      <c r="IQ721" s="582"/>
      <c r="IR721" s="582"/>
      <c r="IS721" s="582"/>
      <c r="IT721" s="582"/>
      <c r="IU721" s="582"/>
      <c r="IV721" s="582"/>
      <c r="IW721" s="582"/>
    </row>
    <row r="722" spans="1:257" s="682" customFormat="1">
      <c r="A722" s="713" t="s">
        <v>91</v>
      </c>
      <c r="B722" s="696" t="s">
        <v>1117</v>
      </c>
      <c r="C722" s="713"/>
      <c r="D722" s="713"/>
      <c r="E722" s="725"/>
      <c r="F722" s="725"/>
      <c r="G722" s="725"/>
      <c r="H722" s="725"/>
      <c r="I722" s="725"/>
      <c r="J722" s="725"/>
      <c r="K722" s="725"/>
      <c r="L722" s="1311"/>
      <c r="M722" s="725">
        <v>60000000</v>
      </c>
      <c r="N722" s="868"/>
      <c r="O722" s="868"/>
      <c r="P722" s="868"/>
      <c r="Q722" s="868"/>
      <c r="R722" s="866"/>
      <c r="S722" s="866"/>
      <c r="T722" s="839"/>
      <c r="U722" s="670"/>
      <c r="V722" s="727"/>
      <c r="W722" s="581"/>
      <c r="X722" s="578"/>
      <c r="Y722" s="582"/>
      <c r="Z722" s="582"/>
      <c r="AA722" s="582"/>
      <c r="AB722" s="582"/>
      <c r="AC722" s="582"/>
      <c r="AD722" s="582"/>
      <c r="AE722" s="582"/>
      <c r="AF722" s="582"/>
      <c r="AG722" s="582"/>
      <c r="AH722" s="582"/>
      <c r="AI722" s="582"/>
      <c r="AJ722" s="582"/>
      <c r="AK722" s="582"/>
      <c r="AL722" s="582"/>
      <c r="AM722" s="582"/>
      <c r="AN722" s="582"/>
      <c r="AO722" s="582"/>
      <c r="AP722" s="582"/>
      <c r="AQ722" s="582"/>
      <c r="AR722" s="582"/>
      <c r="AS722" s="582"/>
      <c r="AT722" s="582"/>
      <c r="AU722" s="582"/>
      <c r="AV722" s="582"/>
      <c r="AW722" s="582"/>
      <c r="AX722" s="582"/>
      <c r="AY722" s="582"/>
      <c r="AZ722" s="582"/>
      <c r="BA722" s="582"/>
      <c r="BB722" s="582"/>
      <c r="BC722" s="582"/>
      <c r="BD722" s="582"/>
      <c r="BE722" s="582"/>
      <c r="BF722" s="582"/>
      <c r="BG722" s="582"/>
      <c r="BH722" s="582"/>
      <c r="BI722" s="582"/>
      <c r="BJ722" s="582"/>
      <c r="BK722" s="582"/>
      <c r="BL722" s="582"/>
      <c r="BM722" s="582"/>
      <c r="BN722" s="582"/>
      <c r="BO722" s="582"/>
      <c r="BP722" s="582"/>
      <c r="BQ722" s="582"/>
      <c r="BR722" s="582"/>
      <c r="BS722" s="582"/>
      <c r="BT722" s="582"/>
      <c r="BU722" s="582"/>
      <c r="BV722" s="582"/>
      <c r="BW722" s="582"/>
      <c r="BX722" s="582"/>
      <c r="BY722" s="582"/>
      <c r="BZ722" s="582"/>
      <c r="CA722" s="582"/>
      <c r="CB722" s="582"/>
      <c r="CC722" s="582"/>
      <c r="CD722" s="582"/>
      <c r="CE722" s="582"/>
      <c r="CF722" s="582"/>
      <c r="CG722" s="582"/>
      <c r="CH722" s="582"/>
      <c r="CI722" s="582"/>
      <c r="CJ722" s="582"/>
      <c r="CK722" s="582"/>
      <c r="CL722" s="582"/>
      <c r="CM722" s="582"/>
      <c r="CN722" s="582"/>
      <c r="CO722" s="582"/>
      <c r="CP722" s="582"/>
      <c r="CQ722" s="582"/>
      <c r="CR722" s="582"/>
      <c r="CS722" s="582"/>
      <c r="CT722" s="582"/>
      <c r="CU722" s="582"/>
      <c r="CV722" s="582"/>
      <c r="CW722" s="582"/>
      <c r="CX722" s="582"/>
      <c r="CY722" s="582"/>
      <c r="CZ722" s="582"/>
      <c r="DA722" s="582"/>
      <c r="DB722" s="582"/>
      <c r="DC722" s="582"/>
      <c r="DD722" s="582"/>
      <c r="DE722" s="582"/>
      <c r="DF722" s="582"/>
      <c r="DG722" s="582"/>
      <c r="DH722" s="582"/>
      <c r="DI722" s="582"/>
      <c r="DJ722" s="582"/>
      <c r="DK722" s="582"/>
      <c r="DL722" s="582"/>
      <c r="DM722" s="582"/>
      <c r="DN722" s="582"/>
      <c r="DO722" s="582"/>
      <c r="DP722" s="582"/>
      <c r="DQ722" s="582"/>
      <c r="DR722" s="582"/>
      <c r="DS722" s="582"/>
      <c r="DT722" s="582"/>
      <c r="DU722" s="582"/>
      <c r="DV722" s="582"/>
      <c r="DW722" s="582"/>
      <c r="DX722" s="582"/>
      <c r="DY722" s="582"/>
      <c r="DZ722" s="582"/>
      <c r="EA722" s="582"/>
      <c r="EB722" s="582"/>
      <c r="EC722" s="582"/>
      <c r="ED722" s="582"/>
      <c r="EE722" s="582"/>
      <c r="EF722" s="582"/>
      <c r="EG722" s="582"/>
      <c r="EH722" s="582"/>
      <c r="EI722" s="582"/>
      <c r="EJ722" s="582"/>
      <c r="EK722" s="582"/>
      <c r="EL722" s="582"/>
      <c r="EM722" s="582"/>
      <c r="EN722" s="582"/>
      <c r="EO722" s="582"/>
      <c r="EP722" s="582"/>
      <c r="EQ722" s="582"/>
      <c r="ER722" s="582"/>
      <c r="ES722" s="582"/>
      <c r="ET722" s="582"/>
      <c r="EU722" s="582"/>
      <c r="EV722" s="582"/>
      <c r="EW722" s="582"/>
      <c r="EX722" s="582"/>
      <c r="EY722" s="582"/>
      <c r="EZ722" s="582"/>
      <c r="FA722" s="582"/>
      <c r="FB722" s="582"/>
      <c r="FC722" s="582"/>
      <c r="FD722" s="582"/>
      <c r="FE722" s="582"/>
      <c r="FF722" s="582"/>
      <c r="FG722" s="582"/>
      <c r="FH722" s="582"/>
      <c r="FI722" s="582"/>
      <c r="FJ722" s="582"/>
      <c r="FK722" s="582"/>
      <c r="FL722" s="582"/>
      <c r="FM722" s="582"/>
      <c r="FN722" s="582"/>
      <c r="FO722" s="582"/>
      <c r="FP722" s="582"/>
      <c r="FQ722" s="582"/>
      <c r="FR722" s="582"/>
      <c r="FS722" s="582"/>
      <c r="FT722" s="582"/>
      <c r="FU722" s="582"/>
      <c r="FV722" s="582"/>
      <c r="FW722" s="582"/>
      <c r="FX722" s="582"/>
      <c r="FY722" s="582"/>
      <c r="FZ722" s="582"/>
      <c r="GA722" s="582"/>
      <c r="GB722" s="582"/>
      <c r="GC722" s="582"/>
      <c r="GD722" s="582"/>
      <c r="GE722" s="582"/>
      <c r="GF722" s="582"/>
      <c r="GG722" s="582"/>
      <c r="GH722" s="582"/>
      <c r="GI722" s="582"/>
      <c r="GJ722" s="582"/>
      <c r="GK722" s="582"/>
      <c r="GL722" s="582"/>
      <c r="GM722" s="582"/>
      <c r="GN722" s="582"/>
      <c r="GO722" s="582"/>
      <c r="GP722" s="582"/>
      <c r="GQ722" s="582"/>
      <c r="GR722" s="582"/>
      <c r="GS722" s="582"/>
      <c r="GT722" s="582"/>
      <c r="GU722" s="582"/>
      <c r="GV722" s="582"/>
      <c r="GW722" s="582"/>
      <c r="GX722" s="582"/>
      <c r="GY722" s="582"/>
      <c r="GZ722" s="582"/>
      <c r="HA722" s="582"/>
      <c r="HB722" s="582"/>
      <c r="HC722" s="582"/>
      <c r="HD722" s="582"/>
      <c r="HE722" s="582"/>
      <c r="HF722" s="582"/>
      <c r="HG722" s="582"/>
      <c r="HH722" s="582"/>
      <c r="HI722" s="582"/>
      <c r="HJ722" s="582"/>
      <c r="HK722" s="582"/>
      <c r="HL722" s="582"/>
      <c r="HM722" s="582"/>
      <c r="HN722" s="582"/>
      <c r="HO722" s="582"/>
      <c r="HP722" s="582"/>
      <c r="HQ722" s="582"/>
      <c r="HR722" s="582"/>
      <c r="HS722" s="582"/>
      <c r="HT722" s="582"/>
      <c r="HU722" s="582"/>
      <c r="HV722" s="582"/>
      <c r="HW722" s="582"/>
      <c r="HX722" s="582"/>
      <c r="HY722" s="582"/>
      <c r="HZ722" s="582"/>
      <c r="IA722" s="582"/>
      <c r="IB722" s="582"/>
      <c r="IC722" s="582"/>
      <c r="ID722" s="582"/>
      <c r="IE722" s="582"/>
      <c r="IF722" s="582"/>
      <c r="IG722" s="582"/>
      <c r="IH722" s="582"/>
      <c r="II722" s="582"/>
      <c r="IJ722" s="582"/>
      <c r="IK722" s="582"/>
      <c r="IL722" s="582"/>
      <c r="IM722" s="582"/>
      <c r="IN722" s="582"/>
      <c r="IO722" s="582"/>
      <c r="IP722" s="582"/>
      <c r="IQ722" s="582"/>
      <c r="IR722" s="582"/>
      <c r="IS722" s="582"/>
      <c r="IT722" s="582"/>
      <c r="IU722" s="582"/>
      <c r="IV722" s="582"/>
      <c r="IW722" s="582"/>
    </row>
    <row r="723" spans="1:257" s="682" customFormat="1">
      <c r="A723" s="713" t="s">
        <v>91</v>
      </c>
      <c r="B723" s="696" t="s">
        <v>242</v>
      </c>
      <c r="C723" s="713"/>
      <c r="D723" s="713"/>
      <c r="E723" s="725"/>
      <c r="F723" s="725"/>
      <c r="G723" s="725"/>
      <c r="H723" s="725"/>
      <c r="I723" s="725"/>
      <c r="J723" s="725"/>
      <c r="K723" s="725"/>
      <c r="L723" s="1311"/>
      <c r="M723" s="725">
        <v>535000000</v>
      </c>
      <c r="N723" s="868"/>
      <c r="O723" s="868"/>
      <c r="P723" s="868"/>
      <c r="Q723" s="868"/>
      <c r="R723" s="866"/>
      <c r="S723" s="866"/>
      <c r="T723" s="839"/>
      <c r="U723" s="670"/>
      <c r="V723" s="727"/>
      <c r="W723" s="581"/>
      <c r="X723" s="578"/>
      <c r="Y723" s="582"/>
      <c r="Z723" s="582"/>
      <c r="AA723" s="582"/>
      <c r="AB723" s="582"/>
      <c r="AC723" s="582"/>
      <c r="AD723" s="582"/>
      <c r="AE723" s="582"/>
      <c r="AF723" s="582"/>
      <c r="AG723" s="582"/>
      <c r="AH723" s="582"/>
      <c r="AI723" s="582"/>
      <c r="AJ723" s="582"/>
      <c r="AK723" s="582"/>
      <c r="AL723" s="582"/>
      <c r="AM723" s="582"/>
      <c r="AN723" s="582"/>
      <c r="AO723" s="582"/>
      <c r="AP723" s="582"/>
      <c r="AQ723" s="582"/>
      <c r="AR723" s="582"/>
      <c r="AS723" s="582"/>
      <c r="AT723" s="582"/>
      <c r="AU723" s="582"/>
      <c r="AV723" s="582"/>
      <c r="AW723" s="582"/>
      <c r="AX723" s="582"/>
      <c r="AY723" s="582"/>
      <c r="AZ723" s="582"/>
      <c r="BA723" s="582"/>
      <c r="BB723" s="582"/>
      <c r="BC723" s="582"/>
      <c r="BD723" s="582"/>
      <c r="BE723" s="582"/>
      <c r="BF723" s="582"/>
      <c r="BG723" s="582"/>
      <c r="BH723" s="582"/>
      <c r="BI723" s="582"/>
      <c r="BJ723" s="582"/>
      <c r="BK723" s="582"/>
      <c r="BL723" s="582"/>
      <c r="BM723" s="582"/>
      <c r="BN723" s="582"/>
      <c r="BO723" s="582"/>
      <c r="BP723" s="582"/>
      <c r="BQ723" s="582"/>
      <c r="BR723" s="582"/>
      <c r="BS723" s="582"/>
      <c r="BT723" s="582"/>
      <c r="BU723" s="582"/>
      <c r="BV723" s="582"/>
      <c r="BW723" s="582"/>
      <c r="BX723" s="582"/>
      <c r="BY723" s="582"/>
      <c r="BZ723" s="582"/>
      <c r="CA723" s="582"/>
      <c r="CB723" s="582"/>
      <c r="CC723" s="582"/>
      <c r="CD723" s="582"/>
      <c r="CE723" s="582"/>
      <c r="CF723" s="582"/>
      <c r="CG723" s="582"/>
      <c r="CH723" s="582"/>
      <c r="CI723" s="582"/>
      <c r="CJ723" s="582"/>
      <c r="CK723" s="582"/>
      <c r="CL723" s="582"/>
      <c r="CM723" s="582"/>
      <c r="CN723" s="582"/>
      <c r="CO723" s="582"/>
      <c r="CP723" s="582"/>
      <c r="CQ723" s="582"/>
      <c r="CR723" s="582"/>
      <c r="CS723" s="582"/>
      <c r="CT723" s="582"/>
      <c r="CU723" s="582"/>
      <c r="CV723" s="582"/>
      <c r="CW723" s="582"/>
      <c r="CX723" s="582"/>
      <c r="CY723" s="582"/>
      <c r="CZ723" s="582"/>
      <c r="DA723" s="582"/>
      <c r="DB723" s="582"/>
      <c r="DC723" s="582"/>
      <c r="DD723" s="582"/>
      <c r="DE723" s="582"/>
      <c r="DF723" s="582"/>
      <c r="DG723" s="582"/>
      <c r="DH723" s="582"/>
      <c r="DI723" s="582"/>
      <c r="DJ723" s="582"/>
      <c r="DK723" s="582"/>
      <c r="DL723" s="582"/>
      <c r="DM723" s="582"/>
      <c r="DN723" s="582"/>
      <c r="DO723" s="582"/>
      <c r="DP723" s="582"/>
      <c r="DQ723" s="582"/>
      <c r="DR723" s="582"/>
      <c r="DS723" s="582"/>
      <c r="DT723" s="582"/>
      <c r="DU723" s="582"/>
      <c r="DV723" s="582"/>
      <c r="DW723" s="582"/>
      <c r="DX723" s="582"/>
      <c r="DY723" s="582"/>
      <c r="DZ723" s="582"/>
      <c r="EA723" s="582"/>
      <c r="EB723" s="582"/>
      <c r="EC723" s="582"/>
      <c r="ED723" s="582"/>
      <c r="EE723" s="582"/>
      <c r="EF723" s="582"/>
      <c r="EG723" s="582"/>
      <c r="EH723" s="582"/>
      <c r="EI723" s="582"/>
      <c r="EJ723" s="582"/>
      <c r="EK723" s="582"/>
      <c r="EL723" s="582"/>
      <c r="EM723" s="582"/>
      <c r="EN723" s="582"/>
      <c r="EO723" s="582"/>
      <c r="EP723" s="582"/>
      <c r="EQ723" s="582"/>
      <c r="ER723" s="582"/>
      <c r="ES723" s="582"/>
      <c r="ET723" s="582"/>
      <c r="EU723" s="582"/>
      <c r="EV723" s="582"/>
      <c r="EW723" s="582"/>
      <c r="EX723" s="582"/>
      <c r="EY723" s="582"/>
      <c r="EZ723" s="582"/>
      <c r="FA723" s="582"/>
      <c r="FB723" s="582"/>
      <c r="FC723" s="582"/>
      <c r="FD723" s="582"/>
      <c r="FE723" s="582"/>
      <c r="FF723" s="582"/>
      <c r="FG723" s="582"/>
      <c r="FH723" s="582"/>
      <c r="FI723" s="582"/>
      <c r="FJ723" s="582"/>
      <c r="FK723" s="582"/>
      <c r="FL723" s="582"/>
      <c r="FM723" s="582"/>
      <c r="FN723" s="582"/>
      <c r="FO723" s="582"/>
      <c r="FP723" s="582"/>
      <c r="FQ723" s="582"/>
      <c r="FR723" s="582"/>
      <c r="FS723" s="582"/>
      <c r="FT723" s="582"/>
      <c r="FU723" s="582"/>
      <c r="FV723" s="582"/>
      <c r="FW723" s="582"/>
      <c r="FX723" s="582"/>
      <c r="FY723" s="582"/>
      <c r="FZ723" s="582"/>
      <c r="GA723" s="582"/>
      <c r="GB723" s="582"/>
      <c r="GC723" s="582"/>
      <c r="GD723" s="582"/>
      <c r="GE723" s="582"/>
      <c r="GF723" s="582"/>
      <c r="GG723" s="582"/>
      <c r="GH723" s="582"/>
      <c r="GI723" s="582"/>
      <c r="GJ723" s="582"/>
      <c r="GK723" s="582"/>
      <c r="GL723" s="582"/>
      <c r="GM723" s="582"/>
      <c r="GN723" s="582"/>
      <c r="GO723" s="582"/>
      <c r="GP723" s="582"/>
      <c r="GQ723" s="582"/>
      <c r="GR723" s="582"/>
      <c r="GS723" s="582"/>
      <c r="GT723" s="582"/>
      <c r="GU723" s="582"/>
      <c r="GV723" s="582"/>
      <c r="GW723" s="582"/>
      <c r="GX723" s="582"/>
      <c r="GY723" s="582"/>
      <c r="GZ723" s="582"/>
      <c r="HA723" s="582"/>
      <c r="HB723" s="582"/>
      <c r="HC723" s="582"/>
      <c r="HD723" s="582"/>
      <c r="HE723" s="582"/>
      <c r="HF723" s="582"/>
      <c r="HG723" s="582"/>
      <c r="HH723" s="582"/>
      <c r="HI723" s="582"/>
      <c r="HJ723" s="582"/>
      <c r="HK723" s="582"/>
      <c r="HL723" s="582"/>
      <c r="HM723" s="582"/>
      <c r="HN723" s="582"/>
      <c r="HO723" s="582"/>
      <c r="HP723" s="582"/>
      <c r="HQ723" s="582"/>
      <c r="HR723" s="582"/>
      <c r="HS723" s="582"/>
      <c r="HT723" s="582"/>
      <c r="HU723" s="582"/>
      <c r="HV723" s="582"/>
      <c r="HW723" s="582"/>
      <c r="HX723" s="582"/>
      <c r="HY723" s="582"/>
      <c r="HZ723" s="582"/>
      <c r="IA723" s="582"/>
      <c r="IB723" s="582"/>
      <c r="IC723" s="582"/>
      <c r="ID723" s="582"/>
      <c r="IE723" s="582"/>
      <c r="IF723" s="582"/>
      <c r="IG723" s="582"/>
      <c r="IH723" s="582"/>
      <c r="II723" s="582"/>
      <c r="IJ723" s="582"/>
      <c r="IK723" s="582"/>
      <c r="IL723" s="582"/>
      <c r="IM723" s="582"/>
      <c r="IN723" s="582"/>
      <c r="IO723" s="582"/>
      <c r="IP723" s="582"/>
      <c r="IQ723" s="582"/>
      <c r="IR723" s="582"/>
      <c r="IS723" s="582"/>
      <c r="IT723" s="582"/>
      <c r="IU723" s="582"/>
      <c r="IV723" s="582"/>
      <c r="IW723" s="582"/>
    </row>
    <row r="724" spans="1:257" s="682" customFormat="1">
      <c r="A724" s="713" t="s">
        <v>91</v>
      </c>
      <c r="B724" s="696" t="s">
        <v>1118</v>
      </c>
      <c r="C724" s="713"/>
      <c r="D724" s="713"/>
      <c r="E724" s="725"/>
      <c r="F724" s="725"/>
      <c r="G724" s="725"/>
      <c r="H724" s="725"/>
      <c r="I724" s="725"/>
      <c r="J724" s="725"/>
      <c r="K724" s="725"/>
      <c r="L724" s="1311"/>
      <c r="M724" s="725">
        <v>1000000000</v>
      </c>
      <c r="N724" s="868"/>
      <c r="O724" s="868"/>
      <c r="P724" s="868"/>
      <c r="Q724" s="868"/>
      <c r="R724" s="866"/>
      <c r="S724" s="866"/>
      <c r="T724" s="839"/>
      <c r="U724" s="670"/>
      <c r="V724" s="727"/>
      <c r="W724" s="581"/>
      <c r="X724" s="578"/>
      <c r="Y724" s="582"/>
      <c r="Z724" s="582"/>
      <c r="AA724" s="582"/>
      <c r="AB724" s="582"/>
      <c r="AC724" s="582"/>
      <c r="AD724" s="582"/>
      <c r="AE724" s="582"/>
      <c r="AF724" s="582"/>
      <c r="AG724" s="582"/>
      <c r="AH724" s="582"/>
      <c r="AI724" s="582"/>
      <c r="AJ724" s="582"/>
      <c r="AK724" s="582"/>
      <c r="AL724" s="582"/>
      <c r="AM724" s="582"/>
      <c r="AN724" s="582"/>
      <c r="AO724" s="582"/>
      <c r="AP724" s="582"/>
      <c r="AQ724" s="582"/>
      <c r="AR724" s="582"/>
      <c r="AS724" s="582"/>
      <c r="AT724" s="582"/>
      <c r="AU724" s="582"/>
      <c r="AV724" s="582"/>
      <c r="AW724" s="582"/>
      <c r="AX724" s="582"/>
      <c r="AY724" s="582"/>
      <c r="AZ724" s="582"/>
      <c r="BA724" s="582"/>
      <c r="BB724" s="582"/>
      <c r="BC724" s="582"/>
      <c r="BD724" s="582"/>
      <c r="BE724" s="582"/>
      <c r="BF724" s="582"/>
      <c r="BG724" s="582"/>
      <c r="BH724" s="582"/>
      <c r="BI724" s="582"/>
      <c r="BJ724" s="582"/>
      <c r="BK724" s="582"/>
      <c r="BL724" s="582"/>
      <c r="BM724" s="582"/>
      <c r="BN724" s="582"/>
      <c r="BO724" s="582"/>
      <c r="BP724" s="582"/>
      <c r="BQ724" s="582"/>
      <c r="BR724" s="582"/>
      <c r="BS724" s="582"/>
      <c r="BT724" s="582"/>
      <c r="BU724" s="582"/>
      <c r="BV724" s="582"/>
      <c r="BW724" s="582"/>
      <c r="BX724" s="582"/>
      <c r="BY724" s="582"/>
      <c r="BZ724" s="582"/>
      <c r="CA724" s="582"/>
      <c r="CB724" s="582"/>
      <c r="CC724" s="582"/>
      <c r="CD724" s="582"/>
      <c r="CE724" s="582"/>
      <c r="CF724" s="582"/>
      <c r="CG724" s="582"/>
      <c r="CH724" s="582"/>
      <c r="CI724" s="582"/>
      <c r="CJ724" s="582"/>
      <c r="CK724" s="582"/>
      <c r="CL724" s="582"/>
      <c r="CM724" s="582"/>
      <c r="CN724" s="582"/>
      <c r="CO724" s="582"/>
      <c r="CP724" s="582"/>
      <c r="CQ724" s="582"/>
      <c r="CR724" s="582"/>
      <c r="CS724" s="582"/>
      <c r="CT724" s="582"/>
      <c r="CU724" s="582"/>
      <c r="CV724" s="582"/>
      <c r="CW724" s="582"/>
      <c r="CX724" s="582"/>
      <c r="CY724" s="582"/>
      <c r="CZ724" s="582"/>
      <c r="DA724" s="582"/>
      <c r="DB724" s="582"/>
      <c r="DC724" s="582"/>
      <c r="DD724" s="582"/>
      <c r="DE724" s="582"/>
      <c r="DF724" s="582"/>
      <c r="DG724" s="582"/>
      <c r="DH724" s="582"/>
      <c r="DI724" s="582"/>
      <c r="DJ724" s="582"/>
      <c r="DK724" s="582"/>
      <c r="DL724" s="582"/>
      <c r="DM724" s="582"/>
      <c r="DN724" s="582"/>
      <c r="DO724" s="582"/>
      <c r="DP724" s="582"/>
      <c r="DQ724" s="582"/>
      <c r="DR724" s="582"/>
      <c r="DS724" s="582"/>
      <c r="DT724" s="582"/>
      <c r="DU724" s="582"/>
      <c r="DV724" s="582"/>
      <c r="DW724" s="582"/>
      <c r="DX724" s="582"/>
      <c r="DY724" s="582"/>
      <c r="DZ724" s="582"/>
      <c r="EA724" s="582"/>
      <c r="EB724" s="582"/>
      <c r="EC724" s="582"/>
      <c r="ED724" s="582"/>
      <c r="EE724" s="582"/>
      <c r="EF724" s="582"/>
      <c r="EG724" s="582"/>
      <c r="EH724" s="582"/>
      <c r="EI724" s="582"/>
      <c r="EJ724" s="582"/>
      <c r="EK724" s="582"/>
      <c r="EL724" s="582"/>
      <c r="EM724" s="582"/>
      <c r="EN724" s="582"/>
      <c r="EO724" s="582"/>
      <c r="EP724" s="582"/>
      <c r="EQ724" s="582"/>
      <c r="ER724" s="582"/>
      <c r="ES724" s="582"/>
      <c r="ET724" s="582"/>
      <c r="EU724" s="582"/>
      <c r="EV724" s="582"/>
      <c r="EW724" s="582"/>
      <c r="EX724" s="582"/>
      <c r="EY724" s="582"/>
      <c r="EZ724" s="582"/>
      <c r="FA724" s="582"/>
      <c r="FB724" s="582"/>
      <c r="FC724" s="582"/>
      <c r="FD724" s="582"/>
      <c r="FE724" s="582"/>
      <c r="FF724" s="582"/>
      <c r="FG724" s="582"/>
      <c r="FH724" s="582"/>
      <c r="FI724" s="582"/>
      <c r="FJ724" s="582"/>
      <c r="FK724" s="582"/>
      <c r="FL724" s="582"/>
      <c r="FM724" s="582"/>
      <c r="FN724" s="582"/>
      <c r="FO724" s="582"/>
      <c r="FP724" s="582"/>
      <c r="FQ724" s="582"/>
      <c r="FR724" s="582"/>
      <c r="FS724" s="582"/>
      <c r="FT724" s="582"/>
      <c r="FU724" s="582"/>
      <c r="FV724" s="582"/>
      <c r="FW724" s="582"/>
      <c r="FX724" s="582"/>
      <c r="FY724" s="582"/>
      <c r="FZ724" s="582"/>
      <c r="GA724" s="582"/>
      <c r="GB724" s="582"/>
      <c r="GC724" s="582"/>
      <c r="GD724" s="582"/>
      <c r="GE724" s="582"/>
      <c r="GF724" s="582"/>
      <c r="GG724" s="582"/>
      <c r="GH724" s="582"/>
      <c r="GI724" s="582"/>
      <c r="GJ724" s="582"/>
      <c r="GK724" s="582"/>
      <c r="GL724" s="582"/>
      <c r="GM724" s="582"/>
      <c r="GN724" s="582"/>
      <c r="GO724" s="582"/>
      <c r="GP724" s="582"/>
      <c r="GQ724" s="582"/>
      <c r="GR724" s="582"/>
      <c r="GS724" s="582"/>
      <c r="GT724" s="582"/>
      <c r="GU724" s="582"/>
      <c r="GV724" s="582"/>
      <c r="GW724" s="582"/>
      <c r="GX724" s="582"/>
      <c r="GY724" s="582"/>
      <c r="GZ724" s="582"/>
      <c r="HA724" s="582"/>
      <c r="HB724" s="582"/>
      <c r="HC724" s="582"/>
      <c r="HD724" s="582"/>
      <c r="HE724" s="582"/>
      <c r="HF724" s="582"/>
      <c r="HG724" s="582"/>
      <c r="HH724" s="582"/>
      <c r="HI724" s="582"/>
      <c r="HJ724" s="582"/>
      <c r="HK724" s="582"/>
      <c r="HL724" s="582"/>
      <c r="HM724" s="582"/>
      <c r="HN724" s="582"/>
      <c r="HO724" s="582"/>
      <c r="HP724" s="582"/>
      <c r="HQ724" s="582"/>
      <c r="HR724" s="582"/>
      <c r="HS724" s="582"/>
      <c r="HT724" s="582"/>
      <c r="HU724" s="582"/>
      <c r="HV724" s="582"/>
      <c r="HW724" s="582"/>
      <c r="HX724" s="582"/>
      <c r="HY724" s="582"/>
      <c r="HZ724" s="582"/>
      <c r="IA724" s="582"/>
      <c r="IB724" s="582"/>
      <c r="IC724" s="582"/>
      <c r="ID724" s="582"/>
      <c r="IE724" s="582"/>
      <c r="IF724" s="582"/>
      <c r="IG724" s="582"/>
      <c r="IH724" s="582"/>
      <c r="II724" s="582"/>
      <c r="IJ724" s="582"/>
      <c r="IK724" s="582"/>
      <c r="IL724" s="582"/>
      <c r="IM724" s="582"/>
      <c r="IN724" s="582"/>
      <c r="IO724" s="582"/>
      <c r="IP724" s="582"/>
      <c r="IQ724" s="582"/>
      <c r="IR724" s="582"/>
      <c r="IS724" s="582"/>
      <c r="IT724" s="582"/>
      <c r="IU724" s="582"/>
      <c r="IV724" s="582"/>
      <c r="IW724" s="582"/>
    </row>
    <row r="725" spans="1:257" s="682" customFormat="1">
      <c r="A725" s="713" t="s">
        <v>91</v>
      </c>
      <c r="B725" s="696" t="s">
        <v>1119</v>
      </c>
      <c r="C725" s="713"/>
      <c r="D725" s="713"/>
      <c r="E725" s="725"/>
      <c r="F725" s="725"/>
      <c r="G725" s="725"/>
      <c r="H725" s="725"/>
      <c r="I725" s="725"/>
      <c r="J725" s="725"/>
      <c r="K725" s="725"/>
      <c r="L725" s="1311"/>
      <c r="M725" s="725">
        <v>300000000</v>
      </c>
      <c r="N725" s="868"/>
      <c r="O725" s="868"/>
      <c r="P725" s="868"/>
      <c r="Q725" s="868"/>
      <c r="R725" s="866"/>
      <c r="S725" s="866"/>
      <c r="T725" s="839"/>
      <c r="U725" s="670"/>
      <c r="V725" s="727"/>
      <c r="W725" s="581"/>
      <c r="X725" s="578"/>
      <c r="Y725" s="582"/>
      <c r="Z725" s="582"/>
      <c r="AA725" s="582"/>
      <c r="AB725" s="582"/>
      <c r="AC725" s="582"/>
      <c r="AD725" s="582"/>
      <c r="AE725" s="582"/>
      <c r="AF725" s="582"/>
      <c r="AG725" s="582"/>
      <c r="AH725" s="582"/>
      <c r="AI725" s="582"/>
      <c r="AJ725" s="582"/>
      <c r="AK725" s="582"/>
      <c r="AL725" s="582"/>
      <c r="AM725" s="582"/>
      <c r="AN725" s="582"/>
      <c r="AO725" s="582"/>
      <c r="AP725" s="582"/>
      <c r="AQ725" s="582"/>
      <c r="AR725" s="582"/>
      <c r="AS725" s="582"/>
      <c r="AT725" s="582"/>
      <c r="AU725" s="582"/>
      <c r="AV725" s="582"/>
      <c r="AW725" s="582"/>
      <c r="AX725" s="582"/>
      <c r="AY725" s="582"/>
      <c r="AZ725" s="582"/>
      <c r="BA725" s="582"/>
      <c r="BB725" s="582"/>
      <c r="BC725" s="582"/>
      <c r="BD725" s="582"/>
      <c r="BE725" s="582"/>
      <c r="BF725" s="582"/>
      <c r="BG725" s="582"/>
      <c r="BH725" s="582"/>
      <c r="BI725" s="582"/>
      <c r="BJ725" s="582"/>
      <c r="BK725" s="582"/>
      <c r="BL725" s="582"/>
      <c r="BM725" s="582"/>
      <c r="BN725" s="582"/>
      <c r="BO725" s="582"/>
      <c r="BP725" s="582"/>
      <c r="BQ725" s="582"/>
      <c r="BR725" s="582"/>
      <c r="BS725" s="582"/>
      <c r="BT725" s="582"/>
      <c r="BU725" s="582"/>
      <c r="BV725" s="582"/>
      <c r="BW725" s="582"/>
      <c r="BX725" s="582"/>
      <c r="BY725" s="582"/>
      <c r="BZ725" s="582"/>
      <c r="CA725" s="582"/>
      <c r="CB725" s="582"/>
      <c r="CC725" s="582"/>
      <c r="CD725" s="582"/>
      <c r="CE725" s="582"/>
      <c r="CF725" s="582"/>
      <c r="CG725" s="582"/>
      <c r="CH725" s="582"/>
      <c r="CI725" s="582"/>
      <c r="CJ725" s="582"/>
      <c r="CK725" s="582"/>
      <c r="CL725" s="582"/>
      <c r="CM725" s="582"/>
      <c r="CN725" s="582"/>
      <c r="CO725" s="582"/>
      <c r="CP725" s="582"/>
      <c r="CQ725" s="582"/>
      <c r="CR725" s="582"/>
      <c r="CS725" s="582"/>
      <c r="CT725" s="582"/>
      <c r="CU725" s="582"/>
      <c r="CV725" s="582"/>
      <c r="CW725" s="582"/>
      <c r="CX725" s="582"/>
      <c r="CY725" s="582"/>
      <c r="CZ725" s="582"/>
      <c r="DA725" s="582"/>
      <c r="DB725" s="582"/>
      <c r="DC725" s="582"/>
      <c r="DD725" s="582"/>
      <c r="DE725" s="582"/>
      <c r="DF725" s="582"/>
      <c r="DG725" s="582"/>
      <c r="DH725" s="582"/>
      <c r="DI725" s="582"/>
      <c r="DJ725" s="582"/>
      <c r="DK725" s="582"/>
      <c r="DL725" s="582"/>
      <c r="DM725" s="582"/>
      <c r="DN725" s="582"/>
      <c r="DO725" s="582"/>
      <c r="DP725" s="582"/>
      <c r="DQ725" s="582"/>
      <c r="DR725" s="582"/>
      <c r="DS725" s="582"/>
      <c r="DT725" s="582"/>
      <c r="DU725" s="582"/>
      <c r="DV725" s="582"/>
      <c r="DW725" s="582"/>
      <c r="DX725" s="582"/>
      <c r="DY725" s="582"/>
      <c r="DZ725" s="582"/>
      <c r="EA725" s="582"/>
      <c r="EB725" s="582"/>
      <c r="EC725" s="582"/>
      <c r="ED725" s="582"/>
      <c r="EE725" s="582"/>
      <c r="EF725" s="582"/>
      <c r="EG725" s="582"/>
      <c r="EH725" s="582"/>
      <c r="EI725" s="582"/>
      <c r="EJ725" s="582"/>
      <c r="EK725" s="582"/>
      <c r="EL725" s="582"/>
      <c r="EM725" s="582"/>
      <c r="EN725" s="582"/>
      <c r="EO725" s="582"/>
      <c r="EP725" s="582"/>
      <c r="EQ725" s="582"/>
      <c r="ER725" s="582"/>
      <c r="ES725" s="582"/>
      <c r="ET725" s="582"/>
      <c r="EU725" s="582"/>
      <c r="EV725" s="582"/>
      <c r="EW725" s="582"/>
      <c r="EX725" s="582"/>
      <c r="EY725" s="582"/>
      <c r="EZ725" s="582"/>
      <c r="FA725" s="582"/>
      <c r="FB725" s="582"/>
      <c r="FC725" s="582"/>
      <c r="FD725" s="582"/>
      <c r="FE725" s="582"/>
      <c r="FF725" s="582"/>
      <c r="FG725" s="582"/>
      <c r="FH725" s="582"/>
      <c r="FI725" s="582"/>
      <c r="FJ725" s="582"/>
      <c r="FK725" s="582"/>
      <c r="FL725" s="582"/>
      <c r="FM725" s="582"/>
      <c r="FN725" s="582"/>
      <c r="FO725" s="582"/>
      <c r="FP725" s="582"/>
      <c r="FQ725" s="582"/>
      <c r="FR725" s="582"/>
      <c r="FS725" s="582"/>
      <c r="FT725" s="582"/>
      <c r="FU725" s="582"/>
      <c r="FV725" s="582"/>
      <c r="FW725" s="582"/>
      <c r="FX725" s="582"/>
      <c r="FY725" s="582"/>
      <c r="FZ725" s="582"/>
      <c r="GA725" s="582"/>
      <c r="GB725" s="582"/>
      <c r="GC725" s="582"/>
      <c r="GD725" s="582"/>
      <c r="GE725" s="582"/>
      <c r="GF725" s="582"/>
      <c r="GG725" s="582"/>
      <c r="GH725" s="582"/>
      <c r="GI725" s="582"/>
      <c r="GJ725" s="582"/>
      <c r="GK725" s="582"/>
      <c r="GL725" s="582"/>
      <c r="GM725" s="582"/>
      <c r="GN725" s="582"/>
      <c r="GO725" s="582"/>
      <c r="GP725" s="582"/>
      <c r="GQ725" s="582"/>
      <c r="GR725" s="582"/>
      <c r="GS725" s="582"/>
      <c r="GT725" s="582"/>
      <c r="GU725" s="582"/>
      <c r="GV725" s="582"/>
      <c r="GW725" s="582"/>
      <c r="GX725" s="582"/>
      <c r="GY725" s="582"/>
      <c r="GZ725" s="582"/>
      <c r="HA725" s="582"/>
      <c r="HB725" s="582"/>
      <c r="HC725" s="582"/>
      <c r="HD725" s="582"/>
      <c r="HE725" s="582"/>
      <c r="HF725" s="582"/>
      <c r="HG725" s="582"/>
      <c r="HH725" s="582"/>
      <c r="HI725" s="582"/>
      <c r="HJ725" s="582"/>
      <c r="HK725" s="582"/>
      <c r="HL725" s="582"/>
      <c r="HM725" s="582"/>
      <c r="HN725" s="582"/>
      <c r="HO725" s="582"/>
      <c r="HP725" s="582"/>
      <c r="HQ725" s="582"/>
      <c r="HR725" s="582"/>
      <c r="HS725" s="582"/>
      <c r="HT725" s="582"/>
      <c r="HU725" s="582"/>
      <c r="HV725" s="582"/>
      <c r="HW725" s="582"/>
      <c r="HX725" s="582"/>
      <c r="HY725" s="582"/>
      <c r="HZ725" s="582"/>
      <c r="IA725" s="582"/>
      <c r="IB725" s="582"/>
      <c r="IC725" s="582"/>
      <c r="ID725" s="582"/>
      <c r="IE725" s="582"/>
      <c r="IF725" s="582"/>
      <c r="IG725" s="582"/>
      <c r="IH725" s="582"/>
      <c r="II725" s="582"/>
      <c r="IJ725" s="582"/>
      <c r="IK725" s="582"/>
      <c r="IL725" s="582"/>
      <c r="IM725" s="582"/>
      <c r="IN725" s="582"/>
      <c r="IO725" s="582"/>
      <c r="IP725" s="582"/>
      <c r="IQ725" s="582"/>
      <c r="IR725" s="582"/>
      <c r="IS725" s="582"/>
      <c r="IT725" s="582"/>
      <c r="IU725" s="582"/>
      <c r="IV725" s="582"/>
      <c r="IW725" s="582"/>
    </row>
    <row r="726" spans="1:257" s="682" customFormat="1">
      <c r="A726" s="713" t="s">
        <v>91</v>
      </c>
      <c r="B726" s="696" t="s">
        <v>1120</v>
      </c>
      <c r="C726" s="713"/>
      <c r="D726" s="713"/>
      <c r="E726" s="725"/>
      <c r="F726" s="725"/>
      <c r="G726" s="725"/>
      <c r="H726" s="725"/>
      <c r="I726" s="725"/>
      <c r="J726" s="725"/>
      <c r="K726" s="725"/>
      <c r="L726" s="1311"/>
      <c r="M726" s="725">
        <v>2706000000</v>
      </c>
      <c r="N726" s="868"/>
      <c r="O726" s="868"/>
      <c r="P726" s="868"/>
      <c r="Q726" s="868"/>
      <c r="R726" s="866"/>
      <c r="S726" s="866"/>
      <c r="T726" s="839"/>
      <c r="U726" s="670"/>
      <c r="V726" s="727"/>
      <c r="W726" s="581"/>
      <c r="X726" s="578"/>
      <c r="Y726" s="582"/>
      <c r="Z726" s="582"/>
      <c r="AA726" s="582"/>
      <c r="AB726" s="582"/>
      <c r="AC726" s="582"/>
      <c r="AD726" s="582"/>
      <c r="AE726" s="582"/>
      <c r="AF726" s="582"/>
      <c r="AG726" s="582"/>
      <c r="AH726" s="582"/>
      <c r="AI726" s="582"/>
      <c r="AJ726" s="582"/>
      <c r="AK726" s="582"/>
      <c r="AL726" s="582"/>
      <c r="AM726" s="582"/>
      <c r="AN726" s="582"/>
      <c r="AO726" s="582"/>
      <c r="AP726" s="582"/>
      <c r="AQ726" s="582"/>
      <c r="AR726" s="582"/>
      <c r="AS726" s="582"/>
      <c r="AT726" s="582"/>
      <c r="AU726" s="582"/>
      <c r="AV726" s="582"/>
      <c r="AW726" s="582"/>
      <c r="AX726" s="582"/>
      <c r="AY726" s="582"/>
      <c r="AZ726" s="582"/>
      <c r="BA726" s="582"/>
      <c r="BB726" s="582"/>
      <c r="BC726" s="582"/>
      <c r="BD726" s="582"/>
      <c r="BE726" s="582"/>
      <c r="BF726" s="582"/>
      <c r="BG726" s="582"/>
      <c r="BH726" s="582"/>
      <c r="BI726" s="582"/>
      <c r="BJ726" s="582"/>
      <c r="BK726" s="582"/>
      <c r="BL726" s="582"/>
      <c r="BM726" s="582"/>
      <c r="BN726" s="582"/>
      <c r="BO726" s="582"/>
      <c r="BP726" s="582"/>
      <c r="BQ726" s="582"/>
      <c r="BR726" s="582"/>
      <c r="BS726" s="582"/>
      <c r="BT726" s="582"/>
      <c r="BU726" s="582"/>
      <c r="BV726" s="582"/>
      <c r="BW726" s="582"/>
      <c r="BX726" s="582"/>
      <c r="BY726" s="582"/>
      <c r="BZ726" s="582"/>
      <c r="CA726" s="582"/>
      <c r="CB726" s="582"/>
      <c r="CC726" s="582"/>
      <c r="CD726" s="582"/>
      <c r="CE726" s="582"/>
      <c r="CF726" s="582"/>
      <c r="CG726" s="582"/>
      <c r="CH726" s="582"/>
      <c r="CI726" s="582"/>
      <c r="CJ726" s="582"/>
      <c r="CK726" s="582"/>
      <c r="CL726" s="582"/>
      <c r="CM726" s="582"/>
      <c r="CN726" s="582"/>
      <c r="CO726" s="582"/>
      <c r="CP726" s="582"/>
      <c r="CQ726" s="582"/>
      <c r="CR726" s="582"/>
      <c r="CS726" s="582"/>
      <c r="CT726" s="582"/>
      <c r="CU726" s="582"/>
      <c r="CV726" s="582"/>
      <c r="CW726" s="582"/>
      <c r="CX726" s="582"/>
      <c r="CY726" s="582"/>
      <c r="CZ726" s="582"/>
      <c r="DA726" s="582"/>
      <c r="DB726" s="582"/>
      <c r="DC726" s="582"/>
      <c r="DD726" s="582"/>
      <c r="DE726" s="582"/>
      <c r="DF726" s="582"/>
      <c r="DG726" s="582"/>
      <c r="DH726" s="582"/>
      <c r="DI726" s="582"/>
      <c r="DJ726" s="582"/>
      <c r="DK726" s="582"/>
      <c r="DL726" s="582"/>
      <c r="DM726" s="582"/>
      <c r="DN726" s="582"/>
      <c r="DO726" s="582"/>
      <c r="DP726" s="582"/>
      <c r="DQ726" s="582"/>
      <c r="DR726" s="582"/>
      <c r="DS726" s="582"/>
      <c r="DT726" s="582"/>
      <c r="DU726" s="582"/>
      <c r="DV726" s="582"/>
      <c r="DW726" s="582"/>
      <c r="DX726" s="582"/>
      <c r="DY726" s="582"/>
      <c r="DZ726" s="582"/>
      <c r="EA726" s="582"/>
      <c r="EB726" s="582"/>
      <c r="EC726" s="582"/>
      <c r="ED726" s="582"/>
      <c r="EE726" s="582"/>
      <c r="EF726" s="582"/>
      <c r="EG726" s="582"/>
      <c r="EH726" s="582"/>
      <c r="EI726" s="582"/>
      <c r="EJ726" s="582"/>
      <c r="EK726" s="582"/>
      <c r="EL726" s="582"/>
      <c r="EM726" s="582"/>
      <c r="EN726" s="582"/>
      <c r="EO726" s="582"/>
      <c r="EP726" s="582"/>
      <c r="EQ726" s="582"/>
      <c r="ER726" s="582"/>
      <c r="ES726" s="582"/>
      <c r="ET726" s="582"/>
      <c r="EU726" s="582"/>
      <c r="EV726" s="582"/>
      <c r="EW726" s="582"/>
      <c r="EX726" s="582"/>
      <c r="EY726" s="582"/>
      <c r="EZ726" s="582"/>
      <c r="FA726" s="582"/>
      <c r="FB726" s="582"/>
      <c r="FC726" s="582"/>
      <c r="FD726" s="582"/>
      <c r="FE726" s="582"/>
      <c r="FF726" s="582"/>
      <c r="FG726" s="582"/>
      <c r="FH726" s="582"/>
      <c r="FI726" s="582"/>
      <c r="FJ726" s="582"/>
      <c r="FK726" s="582"/>
      <c r="FL726" s="582"/>
      <c r="FM726" s="582"/>
      <c r="FN726" s="582"/>
      <c r="FO726" s="582"/>
      <c r="FP726" s="582"/>
      <c r="FQ726" s="582"/>
      <c r="FR726" s="582"/>
      <c r="FS726" s="582"/>
      <c r="FT726" s="582"/>
      <c r="FU726" s="582"/>
      <c r="FV726" s="582"/>
      <c r="FW726" s="582"/>
      <c r="FX726" s="582"/>
      <c r="FY726" s="582"/>
      <c r="FZ726" s="582"/>
      <c r="GA726" s="582"/>
      <c r="GB726" s="582"/>
      <c r="GC726" s="582"/>
      <c r="GD726" s="582"/>
      <c r="GE726" s="582"/>
      <c r="GF726" s="582"/>
      <c r="GG726" s="582"/>
      <c r="GH726" s="582"/>
      <c r="GI726" s="582"/>
      <c r="GJ726" s="582"/>
      <c r="GK726" s="582"/>
      <c r="GL726" s="582"/>
      <c r="GM726" s="582"/>
      <c r="GN726" s="582"/>
      <c r="GO726" s="582"/>
      <c r="GP726" s="582"/>
      <c r="GQ726" s="582"/>
      <c r="GR726" s="582"/>
      <c r="GS726" s="582"/>
      <c r="GT726" s="582"/>
      <c r="GU726" s="582"/>
      <c r="GV726" s="582"/>
      <c r="GW726" s="582"/>
      <c r="GX726" s="582"/>
      <c r="GY726" s="582"/>
      <c r="GZ726" s="582"/>
      <c r="HA726" s="582"/>
      <c r="HB726" s="582"/>
      <c r="HC726" s="582"/>
      <c r="HD726" s="582"/>
      <c r="HE726" s="582"/>
      <c r="HF726" s="582"/>
      <c r="HG726" s="582"/>
      <c r="HH726" s="582"/>
      <c r="HI726" s="582"/>
      <c r="HJ726" s="582"/>
      <c r="HK726" s="582"/>
      <c r="HL726" s="582"/>
      <c r="HM726" s="582"/>
      <c r="HN726" s="582"/>
      <c r="HO726" s="582"/>
      <c r="HP726" s="582"/>
      <c r="HQ726" s="582"/>
      <c r="HR726" s="582"/>
      <c r="HS726" s="582"/>
      <c r="HT726" s="582"/>
      <c r="HU726" s="582"/>
      <c r="HV726" s="582"/>
      <c r="HW726" s="582"/>
      <c r="HX726" s="582"/>
      <c r="HY726" s="582"/>
      <c r="HZ726" s="582"/>
      <c r="IA726" s="582"/>
      <c r="IB726" s="582"/>
      <c r="IC726" s="582"/>
      <c r="ID726" s="582"/>
      <c r="IE726" s="582"/>
      <c r="IF726" s="582"/>
      <c r="IG726" s="582"/>
      <c r="IH726" s="582"/>
      <c r="II726" s="582"/>
      <c r="IJ726" s="582"/>
      <c r="IK726" s="582"/>
      <c r="IL726" s="582"/>
      <c r="IM726" s="582"/>
      <c r="IN726" s="582"/>
      <c r="IO726" s="582"/>
      <c r="IP726" s="582"/>
      <c r="IQ726" s="582"/>
      <c r="IR726" s="582"/>
      <c r="IS726" s="582"/>
      <c r="IT726" s="582"/>
      <c r="IU726" s="582"/>
      <c r="IV726" s="582"/>
      <c r="IW726" s="582"/>
    </row>
    <row r="727" spans="1:257" s="682" customFormat="1">
      <c r="A727" s="699" t="s">
        <v>261</v>
      </c>
      <c r="B727" s="808" t="s">
        <v>262</v>
      </c>
      <c r="C727" s="699"/>
      <c r="D727" s="699"/>
      <c r="E727" s="700"/>
      <c r="F727" s="810">
        <f>F728+F729</f>
        <v>37300000</v>
      </c>
      <c r="G727" s="700"/>
      <c r="H727" s="700"/>
      <c r="I727" s="700"/>
      <c r="J727" s="810">
        <f>J728+J729</f>
        <v>44700000</v>
      </c>
      <c r="K727" s="810">
        <f>K728+K729</f>
        <v>40100000</v>
      </c>
      <c r="L727" s="1313">
        <f>L728+L729</f>
        <v>33800000</v>
      </c>
      <c r="M727" s="707"/>
      <c r="N727" s="934"/>
      <c r="O727" s="934"/>
      <c r="P727" s="820"/>
      <c r="Q727" s="820"/>
      <c r="R727" s="871"/>
      <c r="S727" s="871"/>
      <c r="T727" s="824"/>
      <c r="U727" s="814"/>
      <c r="V727" s="727"/>
      <c r="W727" s="727"/>
      <c r="X727" s="728"/>
    </row>
    <row r="728" spans="1:257" s="682" customFormat="1">
      <c r="A728" s="713"/>
      <c r="B728" s="668" t="s">
        <v>263</v>
      </c>
      <c r="C728" s="713"/>
      <c r="D728" s="713"/>
      <c r="E728" s="725"/>
      <c r="F728" s="725">
        <f>(F703+F710+F711+F716+F718)*10%</f>
        <v>37300000</v>
      </c>
      <c r="G728" s="700"/>
      <c r="H728" s="700"/>
      <c r="I728" s="700"/>
      <c r="J728" s="725">
        <f>(J703+J710+J711+J713+J714+J715+J716+J718)*10%</f>
        <v>44700000</v>
      </c>
      <c r="K728" s="725">
        <f>(K703+K710+K711+K712+K716+K719+K720)*10%</f>
        <v>40100000</v>
      </c>
      <c r="L728" s="1311">
        <f>(L703+L705-L707-L708-L709)*10%</f>
        <v>33800000</v>
      </c>
      <c r="M728" s="669"/>
      <c r="N728" s="868"/>
      <c r="O728" s="868"/>
      <c r="P728" s="820"/>
      <c r="Q728" s="820"/>
      <c r="R728" s="871"/>
      <c r="S728" s="871"/>
      <c r="T728" s="824"/>
      <c r="U728" s="580"/>
      <c r="V728" s="727"/>
      <c r="W728" s="727"/>
      <c r="X728" s="728"/>
    </row>
    <row r="729" spans="1:257" s="682" customFormat="1">
      <c r="A729" s="713"/>
      <c r="B729" s="669"/>
      <c r="C729" s="713"/>
      <c r="D729" s="713"/>
      <c r="E729" s="725"/>
      <c r="F729" s="725"/>
      <c r="G729" s="700"/>
      <c r="H729" s="700"/>
      <c r="I729" s="700"/>
      <c r="J729" s="725"/>
      <c r="K729" s="725"/>
      <c r="L729" s="1311"/>
      <c r="M729" s="669"/>
      <c r="N729" s="868"/>
      <c r="O729" s="868"/>
      <c r="P729" s="820"/>
      <c r="Q729" s="820"/>
      <c r="R729" s="945"/>
      <c r="S729" s="871"/>
      <c r="T729" s="824"/>
      <c r="U729" s="726"/>
      <c r="V729" s="727"/>
      <c r="W729" s="727"/>
      <c r="X729" s="728"/>
    </row>
    <row r="730" spans="1:257" s="1094" customFormat="1">
      <c r="A730" s="791">
        <v>8</v>
      </c>
      <c r="B730" s="840" t="s">
        <v>423</v>
      </c>
      <c r="C730" s="791"/>
      <c r="D730" s="791"/>
      <c r="E730" s="792"/>
      <c r="F730" s="793">
        <f t="shared" ref="F730:J730" si="81">F731+F737</f>
        <v>1766000000</v>
      </c>
      <c r="G730" s="793">
        <f t="shared" si="81"/>
        <v>0</v>
      </c>
      <c r="H730" s="793">
        <f t="shared" si="81"/>
        <v>8</v>
      </c>
      <c r="I730" s="793">
        <f t="shared" si="81"/>
        <v>27000000</v>
      </c>
      <c r="J730" s="793">
        <f t="shared" si="81"/>
        <v>1659015000</v>
      </c>
      <c r="K730" s="793">
        <f>K731+K737</f>
        <v>1867000000</v>
      </c>
      <c r="L730" s="1302">
        <f>L731+L737</f>
        <v>2281400000</v>
      </c>
      <c r="M730" s="793"/>
      <c r="N730" s="946"/>
      <c r="O730" s="946"/>
      <c r="P730" s="892"/>
      <c r="Q730" s="892"/>
      <c r="R730" s="947"/>
      <c r="S730" s="894"/>
      <c r="T730" s="845"/>
      <c r="U730" s="799"/>
      <c r="V730" s="895"/>
      <c r="W730" s="895"/>
      <c r="X730" s="1092"/>
      <c r="Y730" s="1093"/>
      <c r="Z730" s="1093"/>
      <c r="AA730" s="1093"/>
      <c r="AB730" s="1093"/>
      <c r="AC730" s="1093"/>
      <c r="AD730" s="1093"/>
      <c r="AE730" s="1093"/>
      <c r="AF730" s="1093"/>
      <c r="AG730" s="1093"/>
      <c r="AH730" s="1093"/>
      <c r="AI730" s="1093"/>
      <c r="AJ730" s="1093"/>
      <c r="AK730" s="1093"/>
      <c r="AL730" s="1093"/>
      <c r="AM730" s="1093"/>
      <c r="AN730" s="1093"/>
      <c r="AO730" s="1093"/>
      <c r="AP730" s="1093"/>
      <c r="AQ730" s="1093"/>
      <c r="AR730" s="1093"/>
      <c r="AS730" s="1093"/>
      <c r="AT730" s="1093"/>
      <c r="AU730" s="1093"/>
      <c r="AV730" s="1093"/>
      <c r="AW730" s="1093"/>
      <c r="AX730" s="1093"/>
      <c r="AY730" s="1093"/>
      <c r="AZ730" s="1093"/>
      <c r="BA730" s="1093"/>
      <c r="BB730" s="1093"/>
      <c r="BC730" s="1093"/>
      <c r="BD730" s="1093"/>
      <c r="BE730" s="1093"/>
      <c r="BF730" s="1093"/>
      <c r="BG730" s="1093"/>
      <c r="BH730" s="1093"/>
      <c r="BI730" s="1093"/>
      <c r="BJ730" s="1093"/>
      <c r="BK730" s="1093"/>
      <c r="BL730" s="1093"/>
      <c r="BM730" s="1093"/>
      <c r="BN730" s="1093"/>
      <c r="BO730" s="1093"/>
      <c r="BP730" s="1093"/>
      <c r="BQ730" s="1093"/>
      <c r="BR730" s="1093"/>
      <c r="BS730" s="1093"/>
      <c r="BT730" s="1093"/>
      <c r="BU730" s="1093"/>
      <c r="BV730" s="1093"/>
      <c r="BW730" s="1093"/>
      <c r="BX730" s="1093"/>
      <c r="BY730" s="1093"/>
      <c r="BZ730" s="1093"/>
      <c r="CA730" s="1093"/>
      <c r="CB730" s="1093"/>
      <c r="CC730" s="1093"/>
      <c r="CD730" s="1093"/>
      <c r="CE730" s="1093"/>
      <c r="CF730" s="1093"/>
      <c r="CG730" s="1093"/>
      <c r="CH730" s="1093"/>
      <c r="CI730" s="1093"/>
      <c r="CJ730" s="1093"/>
      <c r="CK730" s="1093"/>
      <c r="CL730" s="1093"/>
      <c r="CM730" s="1093"/>
      <c r="CN730" s="1093"/>
      <c r="CO730" s="1093"/>
      <c r="CP730" s="1093"/>
      <c r="CQ730" s="1093"/>
      <c r="CR730" s="1093"/>
      <c r="CS730" s="1093"/>
      <c r="CT730" s="1093"/>
      <c r="CU730" s="1093"/>
      <c r="CV730" s="1093"/>
      <c r="CW730" s="1093"/>
      <c r="CX730" s="1093"/>
      <c r="CY730" s="1093"/>
      <c r="CZ730" s="1093"/>
      <c r="DA730" s="1093"/>
      <c r="DB730" s="1093"/>
      <c r="DC730" s="1093"/>
      <c r="DD730" s="1093"/>
      <c r="DE730" s="1093"/>
      <c r="DF730" s="1093"/>
      <c r="DG730" s="1093"/>
      <c r="DH730" s="1093"/>
      <c r="DI730" s="1093"/>
      <c r="DJ730" s="1093"/>
      <c r="DK730" s="1093"/>
      <c r="DL730" s="1093"/>
      <c r="DM730" s="1093"/>
      <c r="DN730" s="1093"/>
      <c r="DO730" s="1093"/>
      <c r="DP730" s="1093"/>
      <c r="DQ730" s="1093"/>
      <c r="DR730" s="1093"/>
      <c r="DS730" s="1093"/>
      <c r="DT730" s="1093"/>
      <c r="DU730" s="1093"/>
      <c r="DV730" s="1093"/>
      <c r="DW730" s="1093"/>
      <c r="DX730" s="1093"/>
      <c r="DY730" s="1093"/>
      <c r="DZ730" s="1093"/>
      <c r="EA730" s="1093"/>
      <c r="EB730" s="1093"/>
      <c r="EC730" s="1093"/>
      <c r="ED730" s="1093"/>
      <c r="EE730" s="1093"/>
      <c r="EF730" s="1093"/>
      <c r="EG730" s="1093"/>
      <c r="EH730" s="1093"/>
      <c r="EI730" s="1093"/>
      <c r="EJ730" s="1093"/>
      <c r="EK730" s="1093"/>
      <c r="EL730" s="1093"/>
      <c r="EM730" s="1093"/>
      <c r="EN730" s="1093"/>
      <c r="EO730" s="1093"/>
      <c r="EP730" s="1093"/>
      <c r="EQ730" s="1093"/>
      <c r="ER730" s="1093"/>
      <c r="ES730" s="1093"/>
      <c r="ET730" s="1093"/>
      <c r="EU730" s="1093"/>
      <c r="EV730" s="1093"/>
      <c r="EW730" s="1093"/>
      <c r="EX730" s="1093"/>
      <c r="EY730" s="1093"/>
      <c r="EZ730" s="1093"/>
      <c r="FA730" s="1093"/>
      <c r="FB730" s="1093"/>
      <c r="FC730" s="1093"/>
      <c r="FD730" s="1093"/>
      <c r="FE730" s="1093"/>
      <c r="FF730" s="1093"/>
      <c r="FG730" s="1093"/>
      <c r="FH730" s="1093"/>
      <c r="FI730" s="1093"/>
      <c r="FJ730" s="1093"/>
      <c r="FK730" s="1093"/>
      <c r="FL730" s="1093"/>
      <c r="FM730" s="1093"/>
      <c r="FN730" s="1093"/>
      <c r="FO730" s="1093"/>
      <c r="FP730" s="1093"/>
      <c r="FQ730" s="1093"/>
      <c r="FR730" s="1093"/>
      <c r="FS730" s="1093"/>
      <c r="FT730" s="1093"/>
      <c r="FU730" s="1093"/>
      <c r="FV730" s="1093"/>
      <c r="FW730" s="1093"/>
      <c r="FX730" s="1093"/>
      <c r="FY730" s="1093"/>
      <c r="FZ730" s="1093"/>
      <c r="GA730" s="1093"/>
      <c r="GB730" s="1093"/>
      <c r="GC730" s="1093"/>
      <c r="GD730" s="1093"/>
      <c r="GE730" s="1093"/>
      <c r="GF730" s="1093"/>
      <c r="GG730" s="1093"/>
      <c r="GH730" s="1093"/>
      <c r="GI730" s="1093"/>
      <c r="GJ730" s="1093"/>
      <c r="GK730" s="1093"/>
      <c r="GL730" s="1093"/>
      <c r="GM730" s="1093"/>
      <c r="GN730" s="1093"/>
      <c r="GO730" s="1093"/>
      <c r="GP730" s="1093"/>
      <c r="GQ730" s="1093"/>
      <c r="GR730" s="1093"/>
      <c r="GS730" s="1093"/>
      <c r="GT730" s="1093"/>
      <c r="GU730" s="1093"/>
      <c r="GV730" s="1093"/>
      <c r="GW730" s="1093"/>
      <c r="GX730" s="1093"/>
      <c r="GY730" s="1093"/>
      <c r="GZ730" s="1093"/>
      <c r="HA730" s="1093"/>
      <c r="HB730" s="1093"/>
      <c r="HC730" s="1093"/>
      <c r="HD730" s="1093"/>
      <c r="HE730" s="1093"/>
      <c r="HF730" s="1093"/>
      <c r="HG730" s="1093"/>
      <c r="HH730" s="1093"/>
      <c r="HI730" s="1093"/>
      <c r="HJ730" s="1093"/>
      <c r="HK730" s="1093"/>
      <c r="HL730" s="1093"/>
      <c r="HM730" s="1093"/>
      <c r="HN730" s="1093"/>
      <c r="HO730" s="1093"/>
      <c r="HP730" s="1093"/>
      <c r="HQ730" s="1093"/>
      <c r="HR730" s="1093"/>
      <c r="HS730" s="1093"/>
      <c r="HT730" s="1093"/>
      <c r="HU730" s="1093"/>
      <c r="HV730" s="1093"/>
      <c r="HW730" s="1093"/>
      <c r="HX730" s="1093"/>
      <c r="HY730" s="1093"/>
      <c r="HZ730" s="1093"/>
      <c r="IA730" s="1093"/>
      <c r="IB730" s="1093"/>
      <c r="IC730" s="1093"/>
      <c r="ID730" s="1093"/>
      <c r="IE730" s="1093"/>
      <c r="IF730" s="1093"/>
      <c r="IG730" s="1093"/>
      <c r="IH730" s="1093"/>
      <c r="II730" s="1093"/>
      <c r="IJ730" s="1093"/>
      <c r="IK730" s="1093"/>
      <c r="IL730" s="1093"/>
      <c r="IM730" s="1093"/>
      <c r="IN730" s="1093"/>
      <c r="IO730" s="1093"/>
      <c r="IP730" s="1093"/>
      <c r="IQ730" s="1093"/>
      <c r="IR730" s="1093"/>
      <c r="IS730" s="1093"/>
      <c r="IT730" s="1093"/>
      <c r="IU730" s="1093"/>
      <c r="IV730" s="1093"/>
      <c r="IW730" s="1093"/>
    </row>
    <row r="731" spans="1:257" s="621" customFormat="1">
      <c r="A731" s="729" t="s">
        <v>222</v>
      </c>
      <c r="B731" s="833" t="s">
        <v>252</v>
      </c>
      <c r="C731" s="880"/>
      <c r="D731" s="880"/>
      <c r="E731" s="882"/>
      <c r="F731" s="882">
        <f>F732+F736</f>
        <v>1181000000</v>
      </c>
      <c r="G731" s="882">
        <f>G732+G736</f>
        <v>0</v>
      </c>
      <c r="H731" s="882">
        <v>8</v>
      </c>
      <c r="I731" s="882">
        <f>I732+I736</f>
        <v>27000000</v>
      </c>
      <c r="J731" s="882">
        <f>J732+J736</f>
        <v>948015000</v>
      </c>
      <c r="K731" s="882">
        <f>K733+K735+K736</f>
        <v>1323000000</v>
      </c>
      <c r="L731" s="1316">
        <f>L733+L735+L736</f>
        <v>1759400000</v>
      </c>
      <c r="M731" s="625"/>
      <c r="N731" s="890">
        <f>L733+L734+L736</f>
        <v>1805700000</v>
      </c>
      <c r="O731" s="890"/>
      <c r="P731" s="829"/>
      <c r="Q731" s="829"/>
      <c r="R731" s="900"/>
      <c r="S731" s="891"/>
      <c r="T731" s="832"/>
      <c r="U731" s="721"/>
      <c r="V731" s="722"/>
      <c r="W731" s="722"/>
      <c r="X731" s="723"/>
      <c r="Y731" s="724"/>
      <c r="Z731" s="724"/>
      <c r="AA731" s="724"/>
      <c r="AB731" s="724"/>
      <c r="AC731" s="724"/>
      <c r="AD731" s="724"/>
      <c r="AE731" s="724"/>
      <c r="AF731" s="724"/>
      <c r="AG731" s="724"/>
      <c r="AH731" s="724"/>
      <c r="AI731" s="724"/>
      <c r="AJ731" s="724"/>
      <c r="AK731" s="724"/>
      <c r="AL731" s="724"/>
      <c r="AM731" s="724"/>
      <c r="AN731" s="724"/>
      <c r="AO731" s="724"/>
      <c r="AP731" s="724"/>
      <c r="AQ731" s="724"/>
      <c r="AR731" s="724"/>
      <c r="AS731" s="724"/>
      <c r="AT731" s="724"/>
      <c r="AU731" s="724"/>
      <c r="AV731" s="724"/>
      <c r="AW731" s="724"/>
      <c r="AX731" s="724"/>
      <c r="AY731" s="724"/>
      <c r="AZ731" s="724"/>
      <c r="BA731" s="724"/>
      <c r="BB731" s="724"/>
      <c r="BC731" s="724"/>
      <c r="BD731" s="724"/>
      <c r="BE731" s="724"/>
      <c r="BF731" s="724"/>
      <c r="BG731" s="724"/>
      <c r="BH731" s="724"/>
      <c r="BI731" s="724"/>
      <c r="BJ731" s="724"/>
      <c r="BK731" s="724"/>
      <c r="BL731" s="724"/>
      <c r="BM731" s="724"/>
      <c r="BN731" s="724"/>
      <c r="BO731" s="724"/>
      <c r="BP731" s="724"/>
      <c r="BQ731" s="724"/>
      <c r="BR731" s="724"/>
      <c r="BS731" s="724"/>
      <c r="BT731" s="724"/>
      <c r="BU731" s="724"/>
      <c r="BV731" s="724"/>
      <c r="BW731" s="724"/>
      <c r="BX731" s="724"/>
      <c r="BY731" s="724"/>
      <c r="BZ731" s="724"/>
      <c r="CA731" s="724"/>
      <c r="CB731" s="724"/>
      <c r="CC731" s="724"/>
      <c r="CD731" s="724"/>
      <c r="CE731" s="724"/>
      <c r="CF731" s="724"/>
      <c r="CG731" s="724"/>
      <c r="CH731" s="724"/>
      <c r="CI731" s="724"/>
      <c r="CJ731" s="724"/>
      <c r="CK731" s="724"/>
      <c r="CL731" s="724"/>
      <c r="CM731" s="724"/>
      <c r="CN731" s="724"/>
      <c r="CO731" s="724"/>
      <c r="CP731" s="724"/>
      <c r="CQ731" s="724"/>
      <c r="CR731" s="724"/>
      <c r="CS731" s="724"/>
      <c r="CT731" s="724"/>
      <c r="CU731" s="724"/>
      <c r="CV731" s="724"/>
      <c r="CW731" s="724"/>
      <c r="CX731" s="724"/>
      <c r="CY731" s="724"/>
      <c r="CZ731" s="724"/>
      <c r="DA731" s="724"/>
      <c r="DB731" s="724"/>
      <c r="DC731" s="724"/>
      <c r="DD731" s="724"/>
      <c r="DE731" s="724"/>
      <c r="DF731" s="724"/>
      <c r="DG731" s="724"/>
      <c r="DH731" s="724"/>
      <c r="DI731" s="724"/>
      <c r="DJ731" s="724"/>
      <c r="DK731" s="724"/>
      <c r="DL731" s="724"/>
      <c r="DM731" s="724"/>
      <c r="DN731" s="724"/>
      <c r="DO731" s="724"/>
      <c r="DP731" s="724"/>
      <c r="DQ731" s="724"/>
      <c r="DR731" s="724"/>
      <c r="DS731" s="724"/>
      <c r="DT731" s="724"/>
      <c r="DU731" s="724"/>
      <c r="DV731" s="724"/>
      <c r="DW731" s="724"/>
      <c r="DX731" s="724"/>
      <c r="DY731" s="724"/>
      <c r="DZ731" s="724"/>
      <c r="EA731" s="724"/>
      <c r="EB731" s="724"/>
      <c r="EC731" s="724"/>
      <c r="ED731" s="724"/>
      <c r="EE731" s="724"/>
      <c r="EF731" s="724"/>
      <c r="EG731" s="724"/>
      <c r="EH731" s="724"/>
      <c r="EI731" s="724"/>
      <c r="EJ731" s="724"/>
      <c r="EK731" s="724"/>
      <c r="EL731" s="724"/>
      <c r="EM731" s="724"/>
      <c r="EN731" s="724"/>
      <c r="EO731" s="724"/>
      <c r="EP731" s="724"/>
      <c r="EQ731" s="724"/>
      <c r="ER731" s="724"/>
      <c r="ES731" s="724"/>
      <c r="ET731" s="724"/>
      <c r="EU731" s="724"/>
      <c r="EV731" s="724"/>
      <c r="EW731" s="724"/>
      <c r="EX731" s="724"/>
      <c r="EY731" s="724"/>
      <c r="EZ731" s="724"/>
      <c r="FA731" s="724"/>
      <c r="FB731" s="724"/>
      <c r="FC731" s="724"/>
      <c r="FD731" s="724"/>
      <c r="FE731" s="724"/>
      <c r="FF731" s="724"/>
      <c r="FG731" s="724"/>
      <c r="FH731" s="724"/>
      <c r="FI731" s="724"/>
      <c r="FJ731" s="724"/>
      <c r="FK731" s="724"/>
      <c r="FL731" s="724"/>
      <c r="FM731" s="724"/>
      <c r="FN731" s="724"/>
      <c r="FO731" s="724"/>
      <c r="FP731" s="724"/>
      <c r="FQ731" s="724"/>
      <c r="FR731" s="724"/>
      <c r="FS731" s="724"/>
      <c r="FT731" s="724"/>
      <c r="FU731" s="724"/>
      <c r="FV731" s="724"/>
      <c r="FW731" s="724"/>
      <c r="FX731" s="724"/>
      <c r="FY731" s="724"/>
      <c r="FZ731" s="724"/>
      <c r="GA731" s="724"/>
      <c r="GB731" s="724"/>
      <c r="GC731" s="724"/>
      <c r="GD731" s="724"/>
      <c r="GE731" s="724"/>
      <c r="GF731" s="724"/>
      <c r="GG731" s="724"/>
      <c r="GH731" s="724"/>
      <c r="GI731" s="724"/>
      <c r="GJ731" s="724"/>
      <c r="GK731" s="724"/>
      <c r="GL731" s="724"/>
      <c r="GM731" s="724"/>
      <c r="GN731" s="724"/>
      <c r="GO731" s="724"/>
      <c r="GP731" s="724"/>
      <c r="GQ731" s="724"/>
      <c r="GR731" s="724"/>
      <c r="GS731" s="724"/>
      <c r="GT731" s="724"/>
      <c r="GU731" s="724"/>
      <c r="GV731" s="724"/>
      <c r="GW731" s="724"/>
      <c r="GX731" s="724"/>
      <c r="GY731" s="724"/>
      <c r="GZ731" s="724"/>
      <c r="HA731" s="724"/>
      <c r="HB731" s="724"/>
      <c r="HC731" s="724"/>
      <c r="HD731" s="724"/>
      <c r="HE731" s="724"/>
      <c r="HF731" s="724"/>
      <c r="HG731" s="724"/>
      <c r="HH731" s="724"/>
      <c r="HI731" s="724"/>
      <c r="HJ731" s="724"/>
      <c r="HK731" s="724"/>
      <c r="HL731" s="724"/>
      <c r="HM731" s="724"/>
      <c r="HN731" s="724"/>
      <c r="HO731" s="724"/>
      <c r="HP731" s="724"/>
      <c r="HQ731" s="724"/>
      <c r="HR731" s="724"/>
      <c r="HS731" s="724"/>
      <c r="HT731" s="724"/>
      <c r="HU731" s="724"/>
      <c r="HV731" s="724"/>
      <c r="HW731" s="724"/>
      <c r="HX731" s="724"/>
      <c r="HY731" s="724"/>
      <c r="HZ731" s="724"/>
      <c r="IA731" s="724"/>
      <c r="IB731" s="724"/>
      <c r="IC731" s="724"/>
      <c r="ID731" s="724"/>
      <c r="IE731" s="724"/>
      <c r="IF731" s="724"/>
      <c r="IG731" s="724"/>
      <c r="IH731" s="724"/>
      <c r="II731" s="724"/>
      <c r="IJ731" s="724"/>
      <c r="IK731" s="724"/>
      <c r="IL731" s="724"/>
      <c r="IM731" s="724"/>
      <c r="IN731" s="724"/>
      <c r="IO731" s="724"/>
      <c r="IP731" s="724"/>
      <c r="IQ731" s="724"/>
      <c r="IR731" s="724"/>
      <c r="IS731" s="724"/>
      <c r="IT731" s="724"/>
      <c r="IU731" s="724"/>
      <c r="IV731" s="724"/>
      <c r="IW731" s="724"/>
    </row>
    <row r="732" spans="1:257" s="621" customFormat="1" ht="27" customHeight="1">
      <c r="A732" s="713" t="s">
        <v>258</v>
      </c>
      <c r="B732" s="936" t="s">
        <v>962</v>
      </c>
      <c r="C732" s="713">
        <v>9</v>
      </c>
      <c r="D732" s="713"/>
      <c r="E732" s="725"/>
      <c r="F732" s="725">
        <f>920500000+17500000</f>
        <v>938000000</v>
      </c>
      <c r="G732" s="725"/>
      <c r="H732" s="725"/>
      <c r="I732" s="725"/>
      <c r="J732" s="725">
        <f>537294000+194721000</f>
        <v>732015000</v>
      </c>
      <c r="K732" s="725">
        <f>K733+K734</f>
        <v>1153000000</v>
      </c>
      <c r="L732" s="1311">
        <f>L733+L734</f>
        <v>1562700000</v>
      </c>
      <c r="M732" s="669"/>
      <c r="N732" s="868">
        <f>L737+N731</f>
        <v>2327700000</v>
      </c>
      <c r="O732" s="868"/>
      <c r="P732" s="868"/>
      <c r="Q732" s="868"/>
      <c r="R732" s="871"/>
      <c r="S732" s="871"/>
      <c r="T732" s="824"/>
      <c r="U732" s="726"/>
      <c r="V732" s="727"/>
      <c r="W732" s="722"/>
      <c r="X732" s="723"/>
      <c r="Y732" s="724"/>
      <c r="Z732" s="724"/>
      <c r="AA732" s="724"/>
      <c r="AB732" s="724"/>
      <c r="AC732" s="724"/>
      <c r="AD732" s="724"/>
      <c r="AE732" s="724"/>
      <c r="AF732" s="724"/>
      <c r="AG732" s="724"/>
      <c r="AH732" s="724"/>
      <c r="AI732" s="724"/>
      <c r="AJ732" s="724"/>
      <c r="AK732" s="724"/>
      <c r="AL732" s="724"/>
      <c r="AM732" s="724"/>
      <c r="AN732" s="724"/>
      <c r="AO732" s="724"/>
      <c r="AP732" s="724"/>
      <c r="AQ732" s="724"/>
      <c r="AR732" s="724"/>
      <c r="AS732" s="724"/>
      <c r="AT732" s="724"/>
      <c r="AU732" s="724"/>
      <c r="AV732" s="724"/>
      <c r="AW732" s="724"/>
      <c r="AX732" s="724"/>
      <c r="AY732" s="724"/>
      <c r="AZ732" s="724"/>
      <c r="BA732" s="724"/>
      <c r="BB732" s="724"/>
      <c r="BC732" s="724"/>
      <c r="BD732" s="724"/>
      <c r="BE732" s="724"/>
      <c r="BF732" s="724"/>
      <c r="BG732" s="724"/>
      <c r="BH732" s="724"/>
      <c r="BI732" s="724"/>
      <c r="BJ732" s="724"/>
      <c r="BK732" s="724"/>
      <c r="BL732" s="724"/>
      <c r="BM732" s="724"/>
      <c r="BN732" s="724"/>
      <c r="BO732" s="724"/>
      <c r="BP732" s="724"/>
      <c r="BQ732" s="724"/>
      <c r="BR732" s="724"/>
      <c r="BS732" s="724"/>
      <c r="BT732" s="724"/>
      <c r="BU732" s="724"/>
      <c r="BV732" s="724"/>
      <c r="BW732" s="724"/>
      <c r="BX732" s="724"/>
      <c r="BY732" s="724"/>
      <c r="BZ732" s="724"/>
      <c r="CA732" s="724"/>
      <c r="CB732" s="724"/>
      <c r="CC732" s="724"/>
      <c r="CD732" s="724"/>
      <c r="CE732" s="724"/>
      <c r="CF732" s="724"/>
      <c r="CG732" s="724"/>
      <c r="CH732" s="724"/>
      <c r="CI732" s="724"/>
      <c r="CJ732" s="724"/>
      <c r="CK732" s="724"/>
      <c r="CL732" s="724"/>
      <c r="CM732" s="724"/>
      <c r="CN732" s="724"/>
      <c r="CO732" s="724"/>
      <c r="CP732" s="724"/>
      <c r="CQ732" s="724"/>
      <c r="CR732" s="724"/>
      <c r="CS732" s="724"/>
      <c r="CT732" s="724"/>
      <c r="CU732" s="724"/>
      <c r="CV732" s="724"/>
      <c r="CW732" s="724"/>
      <c r="CX732" s="724"/>
      <c r="CY732" s="724"/>
      <c r="CZ732" s="724"/>
      <c r="DA732" s="724"/>
      <c r="DB732" s="724"/>
      <c r="DC732" s="724"/>
      <c r="DD732" s="724"/>
      <c r="DE732" s="724"/>
      <c r="DF732" s="724"/>
      <c r="DG732" s="724"/>
      <c r="DH732" s="724"/>
      <c r="DI732" s="724"/>
      <c r="DJ732" s="724"/>
      <c r="DK732" s="724"/>
      <c r="DL732" s="724"/>
      <c r="DM732" s="724"/>
      <c r="DN732" s="724"/>
      <c r="DO732" s="724"/>
      <c r="DP732" s="724"/>
      <c r="DQ732" s="724"/>
      <c r="DR732" s="724"/>
      <c r="DS732" s="724"/>
      <c r="DT732" s="724"/>
      <c r="DU732" s="724"/>
      <c r="DV732" s="724"/>
      <c r="DW732" s="724"/>
      <c r="DX732" s="724"/>
      <c r="DY732" s="724"/>
      <c r="DZ732" s="724"/>
      <c r="EA732" s="724"/>
      <c r="EB732" s="724"/>
      <c r="EC732" s="724"/>
      <c r="ED732" s="724"/>
      <c r="EE732" s="724"/>
      <c r="EF732" s="724"/>
      <c r="EG732" s="724"/>
      <c r="EH732" s="724"/>
      <c r="EI732" s="724"/>
      <c r="EJ732" s="724"/>
      <c r="EK732" s="724"/>
      <c r="EL732" s="724"/>
      <c r="EM732" s="724"/>
      <c r="EN732" s="724"/>
      <c r="EO732" s="724"/>
      <c r="EP732" s="724"/>
      <c r="EQ732" s="724"/>
      <c r="ER732" s="724"/>
      <c r="ES732" s="724"/>
      <c r="ET732" s="724"/>
      <c r="EU732" s="724"/>
      <c r="EV732" s="724"/>
      <c r="EW732" s="724"/>
      <c r="EX732" s="724"/>
      <c r="EY732" s="724"/>
      <c r="EZ732" s="724"/>
      <c r="FA732" s="724"/>
      <c r="FB732" s="724"/>
      <c r="FC732" s="724"/>
      <c r="FD732" s="724"/>
      <c r="FE732" s="724"/>
      <c r="FF732" s="724"/>
      <c r="FG732" s="724"/>
      <c r="FH732" s="724"/>
      <c r="FI732" s="724"/>
      <c r="FJ732" s="724"/>
      <c r="FK732" s="724"/>
      <c r="FL732" s="724"/>
      <c r="FM732" s="724"/>
      <c r="FN732" s="724"/>
      <c r="FO732" s="724"/>
      <c r="FP732" s="724"/>
      <c r="FQ732" s="724"/>
      <c r="FR732" s="724"/>
      <c r="FS732" s="724"/>
      <c r="FT732" s="724"/>
      <c r="FU732" s="724"/>
      <c r="FV732" s="724"/>
      <c r="FW732" s="724"/>
      <c r="FX732" s="724"/>
      <c r="FY732" s="724"/>
      <c r="FZ732" s="724"/>
      <c r="GA732" s="724"/>
      <c r="GB732" s="724"/>
      <c r="GC732" s="724"/>
      <c r="GD732" s="724"/>
      <c r="GE732" s="724"/>
      <c r="GF732" s="724"/>
      <c r="GG732" s="724"/>
      <c r="GH732" s="724"/>
      <c r="GI732" s="724"/>
      <c r="GJ732" s="724"/>
      <c r="GK732" s="724"/>
      <c r="GL732" s="724"/>
      <c r="GM732" s="724"/>
      <c r="GN732" s="724"/>
      <c r="GO732" s="724"/>
      <c r="GP732" s="724"/>
      <c r="GQ732" s="724"/>
      <c r="GR732" s="724"/>
      <c r="GS732" s="724"/>
      <c r="GT732" s="724"/>
      <c r="GU732" s="724"/>
      <c r="GV732" s="724"/>
      <c r="GW732" s="724"/>
      <c r="GX732" s="724"/>
      <c r="GY732" s="724"/>
      <c r="GZ732" s="724"/>
      <c r="HA732" s="724"/>
      <c r="HB732" s="724"/>
      <c r="HC732" s="724"/>
      <c r="HD732" s="724"/>
      <c r="HE732" s="724"/>
      <c r="HF732" s="724"/>
      <c r="HG732" s="724"/>
      <c r="HH732" s="724"/>
      <c r="HI732" s="724"/>
      <c r="HJ732" s="724"/>
      <c r="HK732" s="724"/>
      <c r="HL732" s="724"/>
      <c r="HM732" s="724"/>
      <c r="HN732" s="724"/>
      <c r="HO732" s="724"/>
      <c r="HP732" s="724"/>
      <c r="HQ732" s="724"/>
      <c r="HR732" s="724"/>
      <c r="HS732" s="724"/>
      <c r="HT732" s="724"/>
      <c r="HU732" s="724"/>
      <c r="HV732" s="724"/>
      <c r="HW732" s="724"/>
      <c r="HX732" s="724"/>
      <c r="HY732" s="724"/>
      <c r="HZ732" s="724"/>
      <c r="IA732" s="724"/>
      <c r="IB732" s="724"/>
      <c r="IC732" s="724"/>
      <c r="ID732" s="724"/>
      <c r="IE732" s="724"/>
      <c r="IF732" s="724"/>
      <c r="IG732" s="724"/>
      <c r="IH732" s="724"/>
      <c r="II732" s="724"/>
      <c r="IJ732" s="724"/>
      <c r="IK732" s="724"/>
      <c r="IL732" s="724"/>
      <c r="IM732" s="724"/>
      <c r="IN732" s="724"/>
      <c r="IO732" s="724"/>
      <c r="IP732" s="724"/>
      <c r="IQ732" s="724"/>
      <c r="IR732" s="724"/>
      <c r="IS732" s="724"/>
      <c r="IT732" s="724"/>
      <c r="IU732" s="724"/>
      <c r="IV732" s="724"/>
      <c r="IW732" s="724"/>
    </row>
    <row r="733" spans="1:257" s="621" customFormat="1" ht="27" customHeight="1">
      <c r="A733" s="713"/>
      <c r="B733" s="684" t="s">
        <v>1092</v>
      </c>
      <c r="C733" s="713"/>
      <c r="D733" s="713"/>
      <c r="E733" s="725"/>
      <c r="F733" s="725"/>
      <c r="G733" s="725"/>
      <c r="H733" s="725"/>
      <c r="I733" s="725"/>
      <c r="J733" s="725"/>
      <c r="K733" s="725">
        <f>ROUND(1153000000*1.49/1.8,-6)</f>
        <v>954000000</v>
      </c>
      <c r="L733" s="1311">
        <f>82921000*12</f>
        <v>995052000</v>
      </c>
      <c r="M733" s="669"/>
      <c r="N733" s="868">
        <f>L730</f>
        <v>2281400000</v>
      </c>
      <c r="O733" s="868"/>
      <c r="P733" s="868"/>
      <c r="Q733" s="868"/>
      <c r="R733" s="871"/>
      <c r="S733" s="871"/>
      <c r="T733" s="824"/>
      <c r="U733" s="726"/>
      <c r="V733" s="727"/>
      <c r="W733" s="722"/>
      <c r="X733" s="723"/>
      <c r="Y733" s="724"/>
      <c r="Z733" s="724"/>
      <c r="AA733" s="724"/>
      <c r="AB733" s="724"/>
      <c r="AC733" s="724"/>
      <c r="AD733" s="724"/>
      <c r="AE733" s="724"/>
      <c r="AF733" s="724"/>
      <c r="AG733" s="724"/>
      <c r="AH733" s="724"/>
      <c r="AI733" s="724"/>
      <c r="AJ733" s="724"/>
      <c r="AK733" s="724"/>
      <c r="AL733" s="724"/>
      <c r="AM733" s="724"/>
      <c r="AN733" s="724"/>
      <c r="AO733" s="724"/>
      <c r="AP733" s="724"/>
      <c r="AQ733" s="724"/>
      <c r="AR733" s="724"/>
      <c r="AS733" s="724"/>
      <c r="AT733" s="724"/>
      <c r="AU733" s="724"/>
      <c r="AV733" s="724"/>
      <c r="AW733" s="724"/>
      <c r="AX733" s="724"/>
      <c r="AY733" s="724"/>
      <c r="AZ733" s="724"/>
      <c r="BA733" s="724"/>
      <c r="BB733" s="724"/>
      <c r="BC733" s="724"/>
      <c r="BD733" s="724"/>
      <c r="BE733" s="724"/>
      <c r="BF733" s="724"/>
      <c r="BG733" s="724"/>
      <c r="BH733" s="724"/>
      <c r="BI733" s="724"/>
      <c r="BJ733" s="724"/>
      <c r="BK733" s="724"/>
      <c r="BL733" s="724"/>
      <c r="BM733" s="724"/>
      <c r="BN733" s="724"/>
      <c r="BO733" s="724"/>
      <c r="BP733" s="724"/>
      <c r="BQ733" s="724"/>
      <c r="BR733" s="724"/>
      <c r="BS733" s="724"/>
      <c r="BT733" s="724"/>
      <c r="BU733" s="724"/>
      <c r="BV733" s="724"/>
      <c r="BW733" s="724"/>
      <c r="BX733" s="724"/>
      <c r="BY733" s="724"/>
      <c r="BZ733" s="724"/>
      <c r="CA733" s="724"/>
      <c r="CB733" s="724"/>
      <c r="CC733" s="724"/>
      <c r="CD733" s="724"/>
      <c r="CE733" s="724"/>
      <c r="CF733" s="724"/>
      <c r="CG733" s="724"/>
      <c r="CH733" s="724"/>
      <c r="CI733" s="724"/>
      <c r="CJ733" s="724"/>
      <c r="CK733" s="724"/>
      <c r="CL733" s="724"/>
      <c r="CM733" s="724"/>
      <c r="CN733" s="724"/>
      <c r="CO733" s="724"/>
      <c r="CP733" s="724"/>
      <c r="CQ733" s="724"/>
      <c r="CR733" s="724"/>
      <c r="CS733" s="724"/>
      <c r="CT733" s="724"/>
      <c r="CU733" s="724"/>
      <c r="CV733" s="724"/>
      <c r="CW733" s="724"/>
      <c r="CX733" s="724"/>
      <c r="CY733" s="724"/>
      <c r="CZ733" s="724"/>
      <c r="DA733" s="724"/>
      <c r="DB733" s="724"/>
      <c r="DC733" s="724"/>
      <c r="DD733" s="724"/>
      <c r="DE733" s="724"/>
      <c r="DF733" s="724"/>
      <c r="DG733" s="724"/>
      <c r="DH733" s="724"/>
      <c r="DI733" s="724"/>
      <c r="DJ733" s="724"/>
      <c r="DK733" s="724"/>
      <c r="DL733" s="724"/>
      <c r="DM733" s="724"/>
      <c r="DN733" s="724"/>
      <c r="DO733" s="724"/>
      <c r="DP733" s="724"/>
      <c r="DQ733" s="724"/>
      <c r="DR733" s="724"/>
      <c r="DS733" s="724"/>
      <c r="DT733" s="724"/>
      <c r="DU733" s="724"/>
      <c r="DV733" s="724"/>
      <c r="DW733" s="724"/>
      <c r="DX733" s="724"/>
      <c r="DY733" s="724"/>
      <c r="DZ733" s="724"/>
      <c r="EA733" s="724"/>
      <c r="EB733" s="724"/>
      <c r="EC733" s="724"/>
      <c r="ED733" s="724"/>
      <c r="EE733" s="724"/>
      <c r="EF733" s="724"/>
      <c r="EG733" s="724"/>
      <c r="EH733" s="724"/>
      <c r="EI733" s="724"/>
      <c r="EJ733" s="724"/>
      <c r="EK733" s="724"/>
      <c r="EL733" s="724"/>
      <c r="EM733" s="724"/>
      <c r="EN733" s="724"/>
      <c r="EO733" s="724"/>
      <c r="EP733" s="724"/>
      <c r="EQ733" s="724"/>
      <c r="ER733" s="724"/>
      <c r="ES733" s="724"/>
      <c r="ET733" s="724"/>
      <c r="EU733" s="724"/>
      <c r="EV733" s="724"/>
      <c r="EW733" s="724"/>
      <c r="EX733" s="724"/>
      <c r="EY733" s="724"/>
      <c r="EZ733" s="724"/>
      <c r="FA733" s="724"/>
      <c r="FB733" s="724"/>
      <c r="FC733" s="724"/>
      <c r="FD733" s="724"/>
      <c r="FE733" s="724"/>
      <c r="FF733" s="724"/>
      <c r="FG733" s="724"/>
      <c r="FH733" s="724"/>
      <c r="FI733" s="724"/>
      <c r="FJ733" s="724"/>
      <c r="FK733" s="724"/>
      <c r="FL733" s="724"/>
      <c r="FM733" s="724"/>
      <c r="FN733" s="724"/>
      <c r="FO733" s="724"/>
      <c r="FP733" s="724"/>
      <c r="FQ733" s="724"/>
      <c r="FR733" s="724"/>
      <c r="FS733" s="724"/>
      <c r="FT733" s="724"/>
      <c r="FU733" s="724"/>
      <c r="FV733" s="724"/>
      <c r="FW733" s="724"/>
      <c r="FX733" s="724"/>
      <c r="FY733" s="724"/>
      <c r="FZ733" s="724"/>
      <c r="GA733" s="724"/>
      <c r="GB733" s="724"/>
      <c r="GC733" s="724"/>
      <c r="GD733" s="724"/>
      <c r="GE733" s="724"/>
      <c r="GF733" s="724"/>
      <c r="GG733" s="724"/>
      <c r="GH733" s="724"/>
      <c r="GI733" s="724"/>
      <c r="GJ733" s="724"/>
      <c r="GK733" s="724"/>
      <c r="GL733" s="724"/>
      <c r="GM733" s="724"/>
      <c r="GN733" s="724"/>
      <c r="GO733" s="724"/>
      <c r="GP733" s="724"/>
      <c r="GQ733" s="724"/>
      <c r="GR733" s="724"/>
      <c r="GS733" s="724"/>
      <c r="GT733" s="724"/>
      <c r="GU733" s="724"/>
      <c r="GV733" s="724"/>
      <c r="GW733" s="724"/>
      <c r="GX733" s="724"/>
      <c r="GY733" s="724"/>
      <c r="GZ733" s="724"/>
      <c r="HA733" s="724"/>
      <c r="HB733" s="724"/>
      <c r="HC733" s="724"/>
      <c r="HD733" s="724"/>
      <c r="HE733" s="724"/>
      <c r="HF733" s="724"/>
      <c r="HG733" s="724"/>
      <c r="HH733" s="724"/>
      <c r="HI733" s="724"/>
      <c r="HJ733" s="724"/>
      <c r="HK733" s="724"/>
      <c r="HL733" s="724"/>
      <c r="HM733" s="724"/>
      <c r="HN733" s="724"/>
      <c r="HO733" s="724"/>
      <c r="HP733" s="724"/>
      <c r="HQ733" s="724"/>
      <c r="HR733" s="724"/>
      <c r="HS733" s="724"/>
      <c r="HT733" s="724"/>
      <c r="HU733" s="724"/>
      <c r="HV733" s="724"/>
      <c r="HW733" s="724"/>
      <c r="HX733" s="724"/>
      <c r="HY733" s="724"/>
      <c r="HZ733" s="724"/>
      <c r="IA733" s="724"/>
      <c r="IB733" s="724"/>
      <c r="IC733" s="724"/>
      <c r="ID733" s="724"/>
      <c r="IE733" s="724"/>
      <c r="IF733" s="724"/>
      <c r="IG733" s="724"/>
      <c r="IH733" s="724"/>
      <c r="II733" s="724"/>
      <c r="IJ733" s="724"/>
      <c r="IK733" s="724"/>
      <c r="IL733" s="724"/>
      <c r="IM733" s="724"/>
      <c r="IN733" s="724"/>
      <c r="IO733" s="724"/>
      <c r="IP733" s="724"/>
      <c r="IQ733" s="724"/>
      <c r="IR733" s="724"/>
      <c r="IS733" s="724"/>
      <c r="IT733" s="724"/>
      <c r="IU733" s="724"/>
      <c r="IV733" s="724"/>
      <c r="IW733" s="724"/>
    </row>
    <row r="734" spans="1:257" s="621" customFormat="1" ht="27" customHeight="1">
      <c r="A734" s="713"/>
      <c r="B734" s="684" t="s">
        <v>1351</v>
      </c>
      <c r="C734" s="713"/>
      <c r="D734" s="713"/>
      <c r="E734" s="725"/>
      <c r="F734" s="725"/>
      <c r="G734" s="725"/>
      <c r="H734" s="725"/>
      <c r="I734" s="725"/>
      <c r="J734" s="725"/>
      <c r="K734" s="725">
        <f>1153000000-K733</f>
        <v>199000000</v>
      </c>
      <c r="L734" s="1311">
        <f>(130225000-82921000)*12</f>
        <v>567648000</v>
      </c>
      <c r="M734" s="669"/>
      <c r="N734" s="868">
        <f>N732-N733</f>
        <v>46300000</v>
      </c>
      <c r="O734" s="868"/>
      <c r="P734" s="868"/>
      <c r="Q734" s="868"/>
      <c r="R734" s="871"/>
      <c r="S734" s="871"/>
      <c r="T734" s="824"/>
      <c r="U734" s="726"/>
      <c r="V734" s="727"/>
      <c r="W734" s="722"/>
      <c r="X734" s="723"/>
      <c r="Y734" s="724"/>
      <c r="Z734" s="724"/>
      <c r="AA734" s="724"/>
      <c r="AB734" s="724"/>
      <c r="AC734" s="724"/>
      <c r="AD734" s="724"/>
      <c r="AE734" s="724"/>
      <c r="AF734" s="724"/>
      <c r="AG734" s="724"/>
      <c r="AH734" s="724"/>
      <c r="AI734" s="724"/>
      <c r="AJ734" s="724"/>
      <c r="AK734" s="724"/>
      <c r="AL734" s="724"/>
      <c r="AM734" s="724"/>
      <c r="AN734" s="724"/>
      <c r="AO734" s="724"/>
      <c r="AP734" s="724"/>
      <c r="AQ734" s="724"/>
      <c r="AR734" s="724"/>
      <c r="AS734" s="724"/>
      <c r="AT734" s="724"/>
      <c r="AU734" s="724"/>
      <c r="AV734" s="724"/>
      <c r="AW734" s="724"/>
      <c r="AX734" s="724"/>
      <c r="AY734" s="724"/>
      <c r="AZ734" s="724"/>
      <c r="BA734" s="724"/>
      <c r="BB734" s="724"/>
      <c r="BC734" s="724"/>
      <c r="BD734" s="724"/>
      <c r="BE734" s="724"/>
      <c r="BF734" s="724"/>
      <c r="BG734" s="724"/>
      <c r="BH734" s="724"/>
      <c r="BI734" s="724"/>
      <c r="BJ734" s="724"/>
      <c r="BK734" s="724"/>
      <c r="BL734" s="724"/>
      <c r="BM734" s="724"/>
      <c r="BN734" s="724"/>
      <c r="BO734" s="724"/>
      <c r="BP734" s="724"/>
      <c r="BQ734" s="724"/>
      <c r="BR734" s="724"/>
      <c r="BS734" s="724"/>
      <c r="BT734" s="724"/>
      <c r="BU734" s="724"/>
      <c r="BV734" s="724"/>
      <c r="BW734" s="724"/>
      <c r="BX734" s="724"/>
      <c r="BY734" s="724"/>
      <c r="BZ734" s="724"/>
      <c r="CA734" s="724"/>
      <c r="CB734" s="724"/>
      <c r="CC734" s="724"/>
      <c r="CD734" s="724"/>
      <c r="CE734" s="724"/>
      <c r="CF734" s="724"/>
      <c r="CG734" s="724"/>
      <c r="CH734" s="724"/>
      <c r="CI734" s="724"/>
      <c r="CJ734" s="724"/>
      <c r="CK734" s="724"/>
      <c r="CL734" s="724"/>
      <c r="CM734" s="724"/>
      <c r="CN734" s="724"/>
      <c r="CO734" s="724"/>
      <c r="CP734" s="724"/>
      <c r="CQ734" s="724"/>
      <c r="CR734" s="724"/>
      <c r="CS734" s="724"/>
      <c r="CT734" s="724"/>
      <c r="CU734" s="724"/>
      <c r="CV734" s="724"/>
      <c r="CW734" s="724"/>
      <c r="CX734" s="724"/>
      <c r="CY734" s="724"/>
      <c r="CZ734" s="724"/>
      <c r="DA734" s="724"/>
      <c r="DB734" s="724"/>
      <c r="DC734" s="724"/>
      <c r="DD734" s="724"/>
      <c r="DE734" s="724"/>
      <c r="DF734" s="724"/>
      <c r="DG734" s="724"/>
      <c r="DH734" s="724"/>
      <c r="DI734" s="724"/>
      <c r="DJ734" s="724"/>
      <c r="DK734" s="724"/>
      <c r="DL734" s="724"/>
      <c r="DM734" s="724"/>
      <c r="DN734" s="724"/>
      <c r="DO734" s="724"/>
      <c r="DP734" s="724"/>
      <c r="DQ734" s="724"/>
      <c r="DR734" s="724"/>
      <c r="DS734" s="724"/>
      <c r="DT734" s="724"/>
      <c r="DU734" s="724"/>
      <c r="DV734" s="724"/>
      <c r="DW734" s="724"/>
      <c r="DX734" s="724"/>
      <c r="DY734" s="724"/>
      <c r="DZ734" s="724"/>
      <c r="EA734" s="724"/>
      <c r="EB734" s="724"/>
      <c r="EC734" s="724"/>
      <c r="ED734" s="724"/>
      <c r="EE734" s="724"/>
      <c r="EF734" s="724"/>
      <c r="EG734" s="724"/>
      <c r="EH734" s="724"/>
      <c r="EI734" s="724"/>
      <c r="EJ734" s="724"/>
      <c r="EK734" s="724"/>
      <c r="EL734" s="724"/>
      <c r="EM734" s="724"/>
      <c r="EN734" s="724"/>
      <c r="EO734" s="724"/>
      <c r="EP734" s="724"/>
      <c r="EQ734" s="724"/>
      <c r="ER734" s="724"/>
      <c r="ES734" s="724"/>
      <c r="ET734" s="724"/>
      <c r="EU734" s="724"/>
      <c r="EV734" s="724"/>
      <c r="EW734" s="724"/>
      <c r="EX734" s="724"/>
      <c r="EY734" s="724"/>
      <c r="EZ734" s="724"/>
      <c r="FA734" s="724"/>
      <c r="FB734" s="724"/>
      <c r="FC734" s="724"/>
      <c r="FD734" s="724"/>
      <c r="FE734" s="724"/>
      <c r="FF734" s="724"/>
      <c r="FG734" s="724"/>
      <c r="FH734" s="724"/>
      <c r="FI734" s="724"/>
      <c r="FJ734" s="724"/>
      <c r="FK734" s="724"/>
      <c r="FL734" s="724"/>
      <c r="FM734" s="724"/>
      <c r="FN734" s="724"/>
      <c r="FO734" s="724"/>
      <c r="FP734" s="724"/>
      <c r="FQ734" s="724"/>
      <c r="FR734" s="724"/>
      <c r="FS734" s="724"/>
      <c r="FT734" s="724"/>
      <c r="FU734" s="724"/>
      <c r="FV734" s="724"/>
      <c r="FW734" s="724"/>
      <c r="FX734" s="724"/>
      <c r="FY734" s="724"/>
      <c r="FZ734" s="724"/>
      <c r="GA734" s="724"/>
      <c r="GB734" s="724"/>
      <c r="GC734" s="724"/>
      <c r="GD734" s="724"/>
      <c r="GE734" s="724"/>
      <c r="GF734" s="724"/>
      <c r="GG734" s="724"/>
      <c r="GH734" s="724"/>
      <c r="GI734" s="724"/>
      <c r="GJ734" s="724"/>
      <c r="GK734" s="724"/>
      <c r="GL734" s="724"/>
      <c r="GM734" s="724"/>
      <c r="GN734" s="724"/>
      <c r="GO734" s="724"/>
      <c r="GP734" s="724"/>
      <c r="GQ734" s="724"/>
      <c r="GR734" s="724"/>
      <c r="GS734" s="724"/>
      <c r="GT734" s="724"/>
      <c r="GU734" s="724"/>
      <c r="GV734" s="724"/>
      <c r="GW734" s="724"/>
      <c r="GX734" s="724"/>
      <c r="GY734" s="724"/>
      <c r="GZ734" s="724"/>
      <c r="HA734" s="724"/>
      <c r="HB734" s="724"/>
      <c r="HC734" s="724"/>
      <c r="HD734" s="724"/>
      <c r="HE734" s="724"/>
      <c r="HF734" s="724"/>
      <c r="HG734" s="724"/>
      <c r="HH734" s="724"/>
      <c r="HI734" s="724"/>
      <c r="HJ734" s="724"/>
      <c r="HK734" s="724"/>
      <c r="HL734" s="724"/>
      <c r="HM734" s="724"/>
      <c r="HN734" s="724"/>
      <c r="HO734" s="724"/>
      <c r="HP734" s="724"/>
      <c r="HQ734" s="724"/>
      <c r="HR734" s="724"/>
      <c r="HS734" s="724"/>
      <c r="HT734" s="724"/>
      <c r="HU734" s="724"/>
      <c r="HV734" s="724"/>
      <c r="HW734" s="724"/>
      <c r="HX734" s="724"/>
      <c r="HY734" s="724"/>
      <c r="HZ734" s="724"/>
      <c r="IA734" s="724"/>
      <c r="IB734" s="724"/>
      <c r="IC734" s="724"/>
      <c r="ID734" s="724"/>
      <c r="IE734" s="724"/>
      <c r="IF734" s="724"/>
      <c r="IG734" s="724"/>
      <c r="IH734" s="724"/>
      <c r="II734" s="724"/>
      <c r="IJ734" s="724"/>
      <c r="IK734" s="724"/>
      <c r="IL734" s="724"/>
      <c r="IM734" s="724"/>
      <c r="IN734" s="724"/>
      <c r="IO734" s="724"/>
      <c r="IP734" s="724"/>
      <c r="IQ734" s="724"/>
      <c r="IR734" s="724"/>
      <c r="IS734" s="724"/>
      <c r="IT734" s="724"/>
      <c r="IU734" s="724"/>
      <c r="IV734" s="724"/>
      <c r="IW734" s="724"/>
    </row>
    <row r="735" spans="1:257" s="621" customFormat="1" ht="27" customHeight="1">
      <c r="A735" s="713"/>
      <c r="B735" s="684" t="s">
        <v>1350</v>
      </c>
      <c r="C735" s="713"/>
      <c r="D735" s="713"/>
      <c r="E735" s="725"/>
      <c r="F735" s="725"/>
      <c r="G735" s="725"/>
      <c r="H735" s="725"/>
      <c r="I735" s="725"/>
      <c r="J735" s="725"/>
      <c r="K735" s="725">
        <f>ROUND(K734-K750,-6)</f>
        <v>126000000</v>
      </c>
      <c r="L735" s="1311">
        <f>L734-L750</f>
        <v>521348000</v>
      </c>
      <c r="M735" s="669"/>
      <c r="N735" s="868"/>
      <c r="O735" s="868"/>
      <c r="P735" s="868"/>
      <c r="Q735" s="868"/>
      <c r="R735" s="871"/>
      <c r="S735" s="871"/>
      <c r="T735" s="824"/>
      <c r="U735" s="726"/>
      <c r="V735" s="727"/>
      <c r="W735" s="722"/>
      <c r="X735" s="723"/>
      <c r="Y735" s="724"/>
      <c r="Z735" s="724"/>
      <c r="AA735" s="724"/>
      <c r="AB735" s="724"/>
      <c r="AC735" s="724"/>
      <c r="AD735" s="724"/>
      <c r="AE735" s="724"/>
      <c r="AF735" s="724"/>
      <c r="AG735" s="724"/>
      <c r="AH735" s="724"/>
      <c r="AI735" s="724"/>
      <c r="AJ735" s="724"/>
      <c r="AK735" s="724"/>
      <c r="AL735" s="724"/>
      <c r="AM735" s="724"/>
      <c r="AN735" s="724"/>
      <c r="AO735" s="724"/>
      <c r="AP735" s="724"/>
      <c r="AQ735" s="724"/>
      <c r="AR735" s="724"/>
      <c r="AS735" s="724"/>
      <c r="AT735" s="724"/>
      <c r="AU735" s="724"/>
      <c r="AV735" s="724"/>
      <c r="AW735" s="724"/>
      <c r="AX735" s="724"/>
      <c r="AY735" s="724"/>
      <c r="AZ735" s="724"/>
      <c r="BA735" s="724"/>
      <c r="BB735" s="724"/>
      <c r="BC735" s="724"/>
      <c r="BD735" s="724"/>
      <c r="BE735" s="724"/>
      <c r="BF735" s="724"/>
      <c r="BG735" s="724"/>
      <c r="BH735" s="724"/>
      <c r="BI735" s="724"/>
      <c r="BJ735" s="724"/>
      <c r="BK735" s="724"/>
      <c r="BL735" s="724"/>
      <c r="BM735" s="724"/>
      <c r="BN735" s="724"/>
      <c r="BO735" s="724"/>
      <c r="BP735" s="724"/>
      <c r="BQ735" s="724"/>
      <c r="BR735" s="724"/>
      <c r="BS735" s="724"/>
      <c r="BT735" s="724"/>
      <c r="BU735" s="724"/>
      <c r="BV735" s="724"/>
      <c r="BW735" s="724"/>
      <c r="BX735" s="724"/>
      <c r="BY735" s="724"/>
      <c r="BZ735" s="724"/>
      <c r="CA735" s="724"/>
      <c r="CB735" s="724"/>
      <c r="CC735" s="724"/>
      <c r="CD735" s="724"/>
      <c r="CE735" s="724"/>
      <c r="CF735" s="724"/>
      <c r="CG735" s="724"/>
      <c r="CH735" s="724"/>
      <c r="CI735" s="724"/>
      <c r="CJ735" s="724"/>
      <c r="CK735" s="724"/>
      <c r="CL735" s="724"/>
      <c r="CM735" s="724"/>
      <c r="CN735" s="724"/>
      <c r="CO735" s="724"/>
      <c r="CP735" s="724"/>
      <c r="CQ735" s="724"/>
      <c r="CR735" s="724"/>
      <c r="CS735" s="724"/>
      <c r="CT735" s="724"/>
      <c r="CU735" s="724"/>
      <c r="CV735" s="724"/>
      <c r="CW735" s="724"/>
      <c r="CX735" s="724"/>
      <c r="CY735" s="724"/>
      <c r="CZ735" s="724"/>
      <c r="DA735" s="724"/>
      <c r="DB735" s="724"/>
      <c r="DC735" s="724"/>
      <c r="DD735" s="724"/>
      <c r="DE735" s="724"/>
      <c r="DF735" s="724"/>
      <c r="DG735" s="724"/>
      <c r="DH735" s="724"/>
      <c r="DI735" s="724"/>
      <c r="DJ735" s="724"/>
      <c r="DK735" s="724"/>
      <c r="DL735" s="724"/>
      <c r="DM735" s="724"/>
      <c r="DN735" s="724"/>
      <c r="DO735" s="724"/>
      <c r="DP735" s="724"/>
      <c r="DQ735" s="724"/>
      <c r="DR735" s="724"/>
      <c r="DS735" s="724"/>
      <c r="DT735" s="724"/>
      <c r="DU735" s="724"/>
      <c r="DV735" s="724"/>
      <c r="DW735" s="724"/>
      <c r="DX735" s="724"/>
      <c r="DY735" s="724"/>
      <c r="DZ735" s="724"/>
      <c r="EA735" s="724"/>
      <c r="EB735" s="724"/>
      <c r="EC735" s="724"/>
      <c r="ED735" s="724"/>
      <c r="EE735" s="724"/>
      <c r="EF735" s="724"/>
      <c r="EG735" s="724"/>
      <c r="EH735" s="724"/>
      <c r="EI735" s="724"/>
      <c r="EJ735" s="724"/>
      <c r="EK735" s="724"/>
      <c r="EL735" s="724"/>
      <c r="EM735" s="724"/>
      <c r="EN735" s="724"/>
      <c r="EO735" s="724"/>
      <c r="EP735" s="724"/>
      <c r="EQ735" s="724"/>
      <c r="ER735" s="724"/>
      <c r="ES735" s="724"/>
      <c r="ET735" s="724"/>
      <c r="EU735" s="724"/>
      <c r="EV735" s="724"/>
      <c r="EW735" s="724"/>
      <c r="EX735" s="724"/>
      <c r="EY735" s="724"/>
      <c r="EZ735" s="724"/>
      <c r="FA735" s="724"/>
      <c r="FB735" s="724"/>
      <c r="FC735" s="724"/>
      <c r="FD735" s="724"/>
      <c r="FE735" s="724"/>
      <c r="FF735" s="724"/>
      <c r="FG735" s="724"/>
      <c r="FH735" s="724"/>
      <c r="FI735" s="724"/>
      <c r="FJ735" s="724"/>
      <c r="FK735" s="724"/>
      <c r="FL735" s="724"/>
      <c r="FM735" s="724"/>
      <c r="FN735" s="724"/>
      <c r="FO735" s="724"/>
      <c r="FP735" s="724"/>
      <c r="FQ735" s="724"/>
      <c r="FR735" s="724"/>
      <c r="FS735" s="724"/>
      <c r="FT735" s="724"/>
      <c r="FU735" s="724"/>
      <c r="FV735" s="724"/>
      <c r="FW735" s="724"/>
      <c r="FX735" s="724"/>
      <c r="FY735" s="724"/>
      <c r="FZ735" s="724"/>
      <c r="GA735" s="724"/>
      <c r="GB735" s="724"/>
      <c r="GC735" s="724"/>
      <c r="GD735" s="724"/>
      <c r="GE735" s="724"/>
      <c r="GF735" s="724"/>
      <c r="GG735" s="724"/>
      <c r="GH735" s="724"/>
      <c r="GI735" s="724"/>
      <c r="GJ735" s="724"/>
      <c r="GK735" s="724"/>
      <c r="GL735" s="724"/>
      <c r="GM735" s="724"/>
      <c r="GN735" s="724"/>
      <c r="GO735" s="724"/>
      <c r="GP735" s="724"/>
      <c r="GQ735" s="724"/>
      <c r="GR735" s="724"/>
      <c r="GS735" s="724"/>
      <c r="GT735" s="724"/>
      <c r="GU735" s="724"/>
      <c r="GV735" s="724"/>
      <c r="GW735" s="724"/>
      <c r="GX735" s="724"/>
      <c r="GY735" s="724"/>
      <c r="GZ735" s="724"/>
      <c r="HA735" s="724"/>
      <c r="HB735" s="724"/>
      <c r="HC735" s="724"/>
      <c r="HD735" s="724"/>
      <c r="HE735" s="724"/>
      <c r="HF735" s="724"/>
      <c r="HG735" s="724"/>
      <c r="HH735" s="724"/>
      <c r="HI735" s="724"/>
      <c r="HJ735" s="724"/>
      <c r="HK735" s="724"/>
      <c r="HL735" s="724"/>
      <c r="HM735" s="724"/>
      <c r="HN735" s="724"/>
      <c r="HO735" s="724"/>
      <c r="HP735" s="724"/>
      <c r="HQ735" s="724"/>
      <c r="HR735" s="724"/>
      <c r="HS735" s="724"/>
      <c r="HT735" s="724"/>
      <c r="HU735" s="724"/>
      <c r="HV735" s="724"/>
      <c r="HW735" s="724"/>
      <c r="HX735" s="724"/>
      <c r="HY735" s="724"/>
      <c r="HZ735" s="724"/>
      <c r="IA735" s="724"/>
      <c r="IB735" s="724"/>
      <c r="IC735" s="724"/>
      <c r="ID735" s="724"/>
      <c r="IE735" s="724"/>
      <c r="IF735" s="724"/>
      <c r="IG735" s="724"/>
      <c r="IH735" s="724"/>
      <c r="II735" s="724"/>
      <c r="IJ735" s="724"/>
      <c r="IK735" s="724"/>
      <c r="IL735" s="724"/>
      <c r="IM735" s="724"/>
      <c r="IN735" s="724"/>
      <c r="IO735" s="724"/>
      <c r="IP735" s="724"/>
      <c r="IQ735" s="724"/>
      <c r="IR735" s="724"/>
      <c r="IS735" s="724"/>
      <c r="IT735" s="724"/>
      <c r="IU735" s="724"/>
      <c r="IV735" s="724"/>
      <c r="IW735" s="724"/>
    </row>
    <row r="736" spans="1:257" s="621" customFormat="1">
      <c r="A736" s="713" t="s">
        <v>258</v>
      </c>
      <c r="B736" s="936" t="s">
        <v>256</v>
      </c>
      <c r="C736" s="713"/>
      <c r="D736" s="713"/>
      <c r="E736" s="725">
        <v>27000000</v>
      </c>
      <c r="F736" s="725">
        <f>C732*E736</f>
        <v>243000000</v>
      </c>
      <c r="G736" s="725"/>
      <c r="H736" s="725"/>
      <c r="I736" s="725">
        <v>27000000</v>
      </c>
      <c r="J736" s="725">
        <f>H731*I736</f>
        <v>216000000</v>
      </c>
      <c r="K736" s="725">
        <f>9*27000000</f>
        <v>243000000</v>
      </c>
      <c r="L736" s="1311">
        <f>9*27000000</f>
        <v>243000000</v>
      </c>
      <c r="M736" s="669" t="s">
        <v>1110</v>
      </c>
      <c r="N736" s="868"/>
      <c r="O736" s="868"/>
      <c r="P736" s="868"/>
      <c r="Q736" s="868"/>
      <c r="R736" s="871"/>
      <c r="S736" s="871"/>
      <c r="T736" s="824"/>
      <c r="U736" s="726"/>
      <c r="V736" s="727"/>
      <c r="W736" s="722"/>
      <c r="X736" s="723"/>
      <c r="Y736" s="724"/>
      <c r="Z736" s="724"/>
      <c r="AA736" s="724"/>
      <c r="AB736" s="724"/>
      <c r="AC736" s="724"/>
      <c r="AD736" s="724"/>
      <c r="AE736" s="724"/>
      <c r="AF736" s="724"/>
      <c r="AG736" s="724"/>
      <c r="AH736" s="724"/>
      <c r="AI736" s="724"/>
      <c r="AJ736" s="724"/>
      <c r="AK736" s="724"/>
      <c r="AL736" s="724"/>
      <c r="AM736" s="724"/>
      <c r="AN736" s="724"/>
      <c r="AO736" s="724"/>
      <c r="AP736" s="724"/>
      <c r="AQ736" s="724"/>
      <c r="AR736" s="724"/>
      <c r="AS736" s="724"/>
      <c r="AT736" s="724"/>
      <c r="AU736" s="724"/>
      <c r="AV736" s="724"/>
      <c r="AW736" s="724"/>
      <c r="AX736" s="724"/>
      <c r="AY736" s="724"/>
      <c r="AZ736" s="724"/>
      <c r="BA736" s="724"/>
      <c r="BB736" s="724"/>
      <c r="BC736" s="724"/>
      <c r="BD736" s="724"/>
      <c r="BE736" s="724"/>
      <c r="BF736" s="724"/>
      <c r="BG736" s="724"/>
      <c r="BH736" s="724"/>
      <c r="BI736" s="724"/>
      <c r="BJ736" s="724"/>
      <c r="BK736" s="724"/>
      <c r="BL736" s="724"/>
      <c r="BM736" s="724"/>
      <c r="BN736" s="724"/>
      <c r="BO736" s="724"/>
      <c r="BP736" s="724"/>
      <c r="BQ736" s="724"/>
      <c r="BR736" s="724"/>
      <c r="BS736" s="724"/>
      <c r="BT736" s="724"/>
      <c r="BU736" s="724"/>
      <c r="BV736" s="724"/>
      <c r="BW736" s="724"/>
      <c r="BX736" s="724"/>
      <c r="BY736" s="724"/>
      <c r="BZ736" s="724"/>
      <c r="CA736" s="724"/>
      <c r="CB736" s="724"/>
      <c r="CC736" s="724"/>
      <c r="CD736" s="724"/>
      <c r="CE736" s="724"/>
      <c r="CF736" s="724"/>
      <c r="CG736" s="724"/>
      <c r="CH736" s="724"/>
      <c r="CI736" s="724"/>
      <c r="CJ736" s="724"/>
      <c r="CK736" s="724"/>
      <c r="CL736" s="724"/>
      <c r="CM736" s="724"/>
      <c r="CN736" s="724"/>
      <c r="CO736" s="724"/>
      <c r="CP736" s="724"/>
      <c r="CQ736" s="724"/>
      <c r="CR736" s="724"/>
      <c r="CS736" s="724"/>
      <c r="CT736" s="724"/>
      <c r="CU736" s="724"/>
      <c r="CV736" s="724"/>
      <c r="CW736" s="724"/>
      <c r="CX736" s="724"/>
      <c r="CY736" s="724"/>
      <c r="CZ736" s="724"/>
      <c r="DA736" s="724"/>
      <c r="DB736" s="724"/>
      <c r="DC736" s="724"/>
      <c r="DD736" s="724"/>
      <c r="DE736" s="724"/>
      <c r="DF736" s="724"/>
      <c r="DG736" s="724"/>
      <c r="DH736" s="724"/>
      <c r="DI736" s="724"/>
      <c r="DJ736" s="724"/>
      <c r="DK736" s="724"/>
      <c r="DL736" s="724"/>
      <c r="DM736" s="724"/>
      <c r="DN736" s="724"/>
      <c r="DO736" s="724"/>
      <c r="DP736" s="724"/>
      <c r="DQ736" s="724"/>
      <c r="DR736" s="724"/>
      <c r="DS736" s="724"/>
      <c r="DT736" s="724"/>
      <c r="DU736" s="724"/>
      <c r="DV736" s="724"/>
      <c r="DW736" s="724"/>
      <c r="DX736" s="724"/>
      <c r="DY736" s="724"/>
      <c r="DZ736" s="724"/>
      <c r="EA736" s="724"/>
      <c r="EB736" s="724"/>
      <c r="EC736" s="724"/>
      <c r="ED736" s="724"/>
      <c r="EE736" s="724"/>
      <c r="EF736" s="724"/>
      <c r="EG736" s="724"/>
      <c r="EH736" s="724"/>
      <c r="EI736" s="724"/>
      <c r="EJ736" s="724"/>
      <c r="EK736" s="724"/>
      <c r="EL736" s="724"/>
      <c r="EM736" s="724"/>
      <c r="EN736" s="724"/>
      <c r="EO736" s="724"/>
      <c r="EP736" s="724"/>
      <c r="EQ736" s="724"/>
      <c r="ER736" s="724"/>
      <c r="ES736" s="724"/>
      <c r="ET736" s="724"/>
      <c r="EU736" s="724"/>
      <c r="EV736" s="724"/>
      <c r="EW736" s="724"/>
      <c r="EX736" s="724"/>
      <c r="EY736" s="724"/>
      <c r="EZ736" s="724"/>
      <c r="FA736" s="724"/>
      <c r="FB736" s="724"/>
      <c r="FC736" s="724"/>
      <c r="FD736" s="724"/>
      <c r="FE736" s="724"/>
      <c r="FF736" s="724"/>
      <c r="FG736" s="724"/>
      <c r="FH736" s="724"/>
      <c r="FI736" s="724"/>
      <c r="FJ736" s="724"/>
      <c r="FK736" s="724"/>
      <c r="FL736" s="724"/>
      <c r="FM736" s="724"/>
      <c r="FN736" s="724"/>
      <c r="FO736" s="724"/>
      <c r="FP736" s="724"/>
      <c r="FQ736" s="724"/>
      <c r="FR736" s="724"/>
      <c r="FS736" s="724"/>
      <c r="FT736" s="724"/>
      <c r="FU736" s="724"/>
      <c r="FV736" s="724"/>
      <c r="FW736" s="724"/>
      <c r="FX736" s="724"/>
      <c r="FY736" s="724"/>
      <c r="FZ736" s="724"/>
      <c r="GA736" s="724"/>
      <c r="GB736" s="724"/>
      <c r="GC736" s="724"/>
      <c r="GD736" s="724"/>
      <c r="GE736" s="724"/>
      <c r="GF736" s="724"/>
      <c r="GG736" s="724"/>
      <c r="GH736" s="724"/>
      <c r="GI736" s="724"/>
      <c r="GJ736" s="724"/>
      <c r="GK736" s="724"/>
      <c r="GL736" s="724"/>
      <c r="GM736" s="724"/>
      <c r="GN736" s="724"/>
      <c r="GO736" s="724"/>
      <c r="GP736" s="724"/>
      <c r="GQ736" s="724"/>
      <c r="GR736" s="724"/>
      <c r="GS736" s="724"/>
      <c r="GT736" s="724"/>
      <c r="GU736" s="724"/>
      <c r="GV736" s="724"/>
      <c r="GW736" s="724"/>
      <c r="GX736" s="724"/>
      <c r="GY736" s="724"/>
      <c r="GZ736" s="724"/>
      <c r="HA736" s="724"/>
      <c r="HB736" s="724"/>
      <c r="HC736" s="724"/>
      <c r="HD736" s="724"/>
      <c r="HE736" s="724"/>
      <c r="HF736" s="724"/>
      <c r="HG736" s="724"/>
      <c r="HH736" s="724"/>
      <c r="HI736" s="724"/>
      <c r="HJ736" s="724"/>
      <c r="HK736" s="724"/>
      <c r="HL736" s="724"/>
      <c r="HM736" s="724"/>
      <c r="HN736" s="724"/>
      <c r="HO736" s="724"/>
      <c r="HP736" s="724"/>
      <c r="HQ736" s="724"/>
      <c r="HR736" s="724"/>
      <c r="HS736" s="724"/>
      <c r="HT736" s="724"/>
      <c r="HU736" s="724"/>
      <c r="HV736" s="724"/>
      <c r="HW736" s="724"/>
      <c r="HX736" s="724"/>
      <c r="HY736" s="724"/>
      <c r="HZ736" s="724"/>
      <c r="IA736" s="724"/>
      <c r="IB736" s="724"/>
      <c r="IC736" s="724"/>
      <c r="ID736" s="724"/>
      <c r="IE736" s="724"/>
      <c r="IF736" s="724"/>
      <c r="IG736" s="724"/>
      <c r="IH736" s="724"/>
      <c r="II736" s="724"/>
      <c r="IJ736" s="724"/>
      <c r="IK736" s="724"/>
      <c r="IL736" s="724"/>
      <c r="IM736" s="724"/>
      <c r="IN736" s="724"/>
      <c r="IO736" s="724"/>
      <c r="IP736" s="724"/>
      <c r="IQ736" s="724"/>
      <c r="IR736" s="724"/>
      <c r="IS736" s="724"/>
      <c r="IT736" s="724"/>
      <c r="IU736" s="724"/>
      <c r="IV736" s="724"/>
      <c r="IW736" s="724"/>
    </row>
    <row r="737" spans="1:257" s="682" customFormat="1" ht="25.5" customHeight="1">
      <c r="A737" s="589" t="s">
        <v>225</v>
      </c>
      <c r="B737" s="804" t="s">
        <v>257</v>
      </c>
      <c r="C737" s="589"/>
      <c r="D737" s="589"/>
      <c r="E737" s="704"/>
      <c r="F737" s="1129">
        <f t="shared" ref="F737:J737" si="82">SUM(F738:F746)</f>
        <v>585000000</v>
      </c>
      <c r="G737" s="1129">
        <f t="shared" si="82"/>
        <v>0</v>
      </c>
      <c r="H737" s="1129">
        <f t="shared" si="82"/>
        <v>0</v>
      </c>
      <c r="I737" s="1129">
        <f t="shared" si="82"/>
        <v>0</v>
      </c>
      <c r="J737" s="1129">
        <f t="shared" si="82"/>
        <v>711000000</v>
      </c>
      <c r="K737" s="1129">
        <f>SUM(K738:K746)</f>
        <v>544000000</v>
      </c>
      <c r="L737" s="1327">
        <f>SUM(L738:L746)</f>
        <v>522000000</v>
      </c>
      <c r="M737" s="1130"/>
      <c r="N737" s="1131"/>
      <c r="O737" s="1131"/>
      <c r="P737" s="890"/>
      <c r="Q737" s="890"/>
      <c r="R737" s="908"/>
      <c r="S737" s="900"/>
      <c r="T737" s="822"/>
      <c r="U737" s="580"/>
      <c r="V737" s="722"/>
      <c r="W737" s="619"/>
      <c r="X737" s="620"/>
      <c r="Y737" s="621"/>
      <c r="Z737" s="621"/>
      <c r="AA737" s="621"/>
      <c r="AB737" s="621"/>
      <c r="AC737" s="621"/>
      <c r="AD737" s="621"/>
      <c r="AE737" s="621"/>
      <c r="AF737" s="621"/>
      <c r="AG737" s="621"/>
      <c r="AH737" s="621"/>
      <c r="AI737" s="621"/>
      <c r="AJ737" s="621"/>
      <c r="AK737" s="621"/>
      <c r="AL737" s="621"/>
      <c r="AM737" s="621"/>
      <c r="AN737" s="621"/>
      <c r="AO737" s="621"/>
      <c r="AP737" s="621"/>
      <c r="AQ737" s="621"/>
      <c r="AR737" s="621"/>
      <c r="AS737" s="621"/>
      <c r="AT737" s="621"/>
      <c r="AU737" s="621"/>
      <c r="AV737" s="621"/>
      <c r="AW737" s="621"/>
      <c r="AX737" s="621"/>
      <c r="AY737" s="621"/>
      <c r="AZ737" s="621"/>
      <c r="BA737" s="621"/>
      <c r="BB737" s="621"/>
      <c r="BC737" s="621"/>
      <c r="BD737" s="621"/>
      <c r="BE737" s="621"/>
      <c r="BF737" s="621"/>
      <c r="BG737" s="621"/>
      <c r="BH737" s="621"/>
      <c r="BI737" s="621"/>
      <c r="BJ737" s="621"/>
      <c r="BK737" s="621"/>
      <c r="BL737" s="621"/>
      <c r="BM737" s="621"/>
      <c r="BN737" s="621"/>
      <c r="BO737" s="621"/>
      <c r="BP737" s="621"/>
      <c r="BQ737" s="621"/>
      <c r="BR737" s="621"/>
      <c r="BS737" s="621"/>
      <c r="BT737" s="621"/>
      <c r="BU737" s="621"/>
      <c r="BV737" s="621"/>
      <c r="BW737" s="621"/>
      <c r="BX737" s="621"/>
      <c r="BY737" s="621"/>
      <c r="BZ737" s="621"/>
      <c r="CA737" s="621"/>
      <c r="CB737" s="621"/>
      <c r="CC737" s="621"/>
      <c r="CD737" s="621"/>
      <c r="CE737" s="621"/>
      <c r="CF737" s="621"/>
      <c r="CG737" s="621"/>
      <c r="CH737" s="621"/>
      <c r="CI737" s="621"/>
      <c r="CJ737" s="621"/>
      <c r="CK737" s="621"/>
      <c r="CL737" s="621"/>
      <c r="CM737" s="621"/>
      <c r="CN737" s="621"/>
      <c r="CO737" s="621"/>
      <c r="CP737" s="621"/>
      <c r="CQ737" s="621"/>
      <c r="CR737" s="621"/>
      <c r="CS737" s="621"/>
      <c r="CT737" s="621"/>
      <c r="CU737" s="621"/>
      <c r="CV737" s="621"/>
      <c r="CW737" s="621"/>
      <c r="CX737" s="621"/>
      <c r="CY737" s="621"/>
      <c r="CZ737" s="621"/>
      <c r="DA737" s="621"/>
      <c r="DB737" s="621"/>
      <c r="DC737" s="621"/>
      <c r="DD737" s="621"/>
      <c r="DE737" s="621"/>
      <c r="DF737" s="621"/>
      <c r="DG737" s="621"/>
      <c r="DH737" s="621"/>
      <c r="DI737" s="621"/>
      <c r="DJ737" s="621"/>
      <c r="DK737" s="621"/>
      <c r="DL737" s="621"/>
      <c r="DM737" s="621"/>
      <c r="DN737" s="621"/>
      <c r="DO737" s="621"/>
      <c r="DP737" s="621"/>
      <c r="DQ737" s="621"/>
      <c r="DR737" s="621"/>
      <c r="DS737" s="621"/>
      <c r="DT737" s="621"/>
      <c r="DU737" s="621"/>
      <c r="DV737" s="621"/>
      <c r="DW737" s="621"/>
      <c r="DX737" s="621"/>
      <c r="DY737" s="621"/>
      <c r="DZ737" s="621"/>
      <c r="EA737" s="621"/>
      <c r="EB737" s="621"/>
      <c r="EC737" s="621"/>
      <c r="ED737" s="621"/>
      <c r="EE737" s="621"/>
      <c r="EF737" s="621"/>
      <c r="EG737" s="621"/>
      <c r="EH737" s="621"/>
      <c r="EI737" s="621"/>
      <c r="EJ737" s="621"/>
      <c r="EK737" s="621"/>
      <c r="EL737" s="621"/>
      <c r="EM737" s="621"/>
      <c r="EN737" s="621"/>
      <c r="EO737" s="621"/>
      <c r="EP737" s="621"/>
      <c r="EQ737" s="621"/>
      <c r="ER737" s="621"/>
      <c r="ES737" s="621"/>
      <c r="ET737" s="621"/>
      <c r="EU737" s="621"/>
      <c r="EV737" s="621"/>
      <c r="EW737" s="621"/>
      <c r="EX737" s="621"/>
      <c r="EY737" s="621"/>
      <c r="EZ737" s="621"/>
      <c r="FA737" s="621"/>
      <c r="FB737" s="621"/>
      <c r="FC737" s="621"/>
      <c r="FD737" s="621"/>
      <c r="FE737" s="621"/>
      <c r="FF737" s="621"/>
      <c r="FG737" s="621"/>
      <c r="FH737" s="621"/>
      <c r="FI737" s="621"/>
      <c r="FJ737" s="621"/>
      <c r="FK737" s="621"/>
      <c r="FL737" s="621"/>
      <c r="FM737" s="621"/>
      <c r="FN737" s="621"/>
      <c r="FO737" s="621"/>
      <c r="FP737" s="621"/>
      <c r="FQ737" s="621"/>
      <c r="FR737" s="621"/>
      <c r="FS737" s="621"/>
      <c r="FT737" s="621"/>
      <c r="FU737" s="621"/>
      <c r="FV737" s="621"/>
      <c r="FW737" s="621"/>
      <c r="FX737" s="621"/>
      <c r="FY737" s="621"/>
      <c r="FZ737" s="621"/>
      <c r="GA737" s="621"/>
      <c r="GB737" s="621"/>
      <c r="GC737" s="621"/>
      <c r="GD737" s="621"/>
      <c r="GE737" s="621"/>
      <c r="GF737" s="621"/>
      <c r="GG737" s="621"/>
      <c r="GH737" s="621"/>
      <c r="GI737" s="621"/>
      <c r="GJ737" s="621"/>
      <c r="GK737" s="621"/>
      <c r="GL737" s="621"/>
      <c r="GM737" s="621"/>
      <c r="GN737" s="621"/>
      <c r="GO737" s="621"/>
      <c r="GP737" s="621"/>
      <c r="GQ737" s="621"/>
      <c r="GR737" s="621"/>
      <c r="GS737" s="621"/>
      <c r="GT737" s="621"/>
      <c r="GU737" s="621"/>
      <c r="GV737" s="621"/>
      <c r="GW737" s="621"/>
      <c r="GX737" s="621"/>
      <c r="GY737" s="621"/>
      <c r="GZ737" s="621"/>
      <c r="HA737" s="621"/>
      <c r="HB737" s="621"/>
      <c r="HC737" s="621"/>
      <c r="HD737" s="621"/>
      <c r="HE737" s="621"/>
      <c r="HF737" s="621"/>
      <c r="HG737" s="621"/>
      <c r="HH737" s="621"/>
      <c r="HI737" s="621"/>
      <c r="HJ737" s="621"/>
      <c r="HK737" s="621"/>
      <c r="HL737" s="621"/>
      <c r="HM737" s="621"/>
      <c r="HN737" s="621"/>
      <c r="HO737" s="621"/>
      <c r="HP737" s="621"/>
      <c r="HQ737" s="621"/>
      <c r="HR737" s="621"/>
      <c r="HS737" s="621"/>
      <c r="HT737" s="621"/>
      <c r="HU737" s="621"/>
      <c r="HV737" s="621"/>
      <c r="HW737" s="621"/>
      <c r="HX737" s="621"/>
      <c r="HY737" s="621"/>
      <c r="HZ737" s="621"/>
      <c r="IA737" s="621"/>
      <c r="IB737" s="621"/>
      <c r="IC737" s="621"/>
      <c r="ID737" s="621"/>
      <c r="IE737" s="621"/>
      <c r="IF737" s="621"/>
      <c r="IG737" s="621"/>
      <c r="IH737" s="621"/>
      <c r="II737" s="621"/>
      <c r="IJ737" s="621"/>
      <c r="IK737" s="621"/>
      <c r="IL737" s="621"/>
      <c r="IM737" s="621"/>
      <c r="IN737" s="621"/>
      <c r="IO737" s="621"/>
      <c r="IP737" s="621"/>
      <c r="IQ737" s="621"/>
      <c r="IR737" s="621"/>
      <c r="IS737" s="621"/>
      <c r="IT737" s="621"/>
      <c r="IU737" s="621"/>
      <c r="IV737" s="621"/>
      <c r="IW737" s="621"/>
    </row>
    <row r="738" spans="1:257" s="682" customFormat="1">
      <c r="A738" s="683" t="s">
        <v>258</v>
      </c>
      <c r="B738" s="696" t="s">
        <v>424</v>
      </c>
      <c r="C738" s="635"/>
      <c r="D738" s="635"/>
      <c r="E738" s="651"/>
      <c r="F738" s="669">
        <v>30000000</v>
      </c>
      <c r="G738" s="669"/>
      <c r="H738" s="669"/>
      <c r="I738" s="669"/>
      <c r="J738" s="669">
        <v>36000000</v>
      </c>
      <c r="K738" s="669">
        <v>36000000</v>
      </c>
      <c r="L738" s="1306">
        <v>36000000</v>
      </c>
      <c r="M738" s="669"/>
      <c r="N738" s="837"/>
      <c r="O738" s="837"/>
      <c r="P738" s="837"/>
      <c r="Q738" s="837"/>
      <c r="R738" s="869"/>
      <c r="S738" s="900"/>
      <c r="T738" s="822"/>
      <c r="U738" s="580"/>
      <c r="V738" s="727"/>
      <c r="W738" s="581"/>
      <c r="X738" s="578"/>
      <c r="Y738" s="582"/>
      <c r="Z738" s="582"/>
      <c r="AA738" s="582"/>
      <c r="AB738" s="582"/>
      <c r="AC738" s="582"/>
      <c r="AD738" s="582"/>
      <c r="AE738" s="582"/>
      <c r="AF738" s="582"/>
      <c r="AG738" s="582"/>
      <c r="AH738" s="582"/>
      <c r="AI738" s="582"/>
      <c r="AJ738" s="582"/>
      <c r="AK738" s="582"/>
      <c r="AL738" s="582"/>
      <c r="AM738" s="582"/>
      <c r="AN738" s="582"/>
      <c r="AO738" s="582"/>
      <c r="AP738" s="582"/>
      <c r="AQ738" s="582"/>
      <c r="AR738" s="582"/>
      <c r="AS738" s="582"/>
      <c r="AT738" s="582"/>
      <c r="AU738" s="582"/>
      <c r="AV738" s="582"/>
      <c r="AW738" s="582"/>
      <c r="AX738" s="582"/>
      <c r="AY738" s="582"/>
      <c r="AZ738" s="582"/>
      <c r="BA738" s="582"/>
      <c r="BB738" s="582"/>
      <c r="BC738" s="582"/>
      <c r="BD738" s="582"/>
      <c r="BE738" s="582"/>
      <c r="BF738" s="582"/>
      <c r="BG738" s="582"/>
      <c r="BH738" s="582"/>
      <c r="BI738" s="582"/>
      <c r="BJ738" s="582"/>
      <c r="BK738" s="582"/>
      <c r="BL738" s="582"/>
      <c r="BM738" s="582"/>
      <c r="BN738" s="582"/>
      <c r="BO738" s="582"/>
      <c r="BP738" s="582"/>
      <c r="BQ738" s="582"/>
      <c r="BR738" s="582"/>
      <c r="BS738" s="582"/>
      <c r="BT738" s="582"/>
      <c r="BU738" s="582"/>
      <c r="BV738" s="582"/>
      <c r="BW738" s="582"/>
      <c r="BX738" s="582"/>
      <c r="BY738" s="582"/>
      <c r="BZ738" s="582"/>
      <c r="CA738" s="582"/>
      <c r="CB738" s="582"/>
      <c r="CC738" s="582"/>
      <c r="CD738" s="582"/>
      <c r="CE738" s="582"/>
      <c r="CF738" s="582"/>
      <c r="CG738" s="582"/>
      <c r="CH738" s="582"/>
      <c r="CI738" s="582"/>
      <c r="CJ738" s="582"/>
      <c r="CK738" s="582"/>
      <c r="CL738" s="582"/>
      <c r="CM738" s="582"/>
      <c r="CN738" s="582"/>
      <c r="CO738" s="582"/>
      <c r="CP738" s="582"/>
      <c r="CQ738" s="582"/>
      <c r="CR738" s="582"/>
      <c r="CS738" s="582"/>
      <c r="CT738" s="582"/>
      <c r="CU738" s="582"/>
      <c r="CV738" s="582"/>
      <c r="CW738" s="582"/>
      <c r="CX738" s="582"/>
      <c r="CY738" s="582"/>
      <c r="CZ738" s="582"/>
      <c r="DA738" s="582"/>
      <c r="DB738" s="582"/>
      <c r="DC738" s="582"/>
      <c r="DD738" s="582"/>
      <c r="DE738" s="582"/>
      <c r="DF738" s="582"/>
      <c r="DG738" s="582"/>
      <c r="DH738" s="582"/>
      <c r="DI738" s="582"/>
      <c r="DJ738" s="582"/>
      <c r="DK738" s="582"/>
      <c r="DL738" s="582"/>
      <c r="DM738" s="582"/>
      <c r="DN738" s="582"/>
      <c r="DO738" s="582"/>
      <c r="DP738" s="582"/>
      <c r="DQ738" s="582"/>
      <c r="DR738" s="582"/>
      <c r="DS738" s="582"/>
      <c r="DT738" s="582"/>
      <c r="DU738" s="582"/>
      <c r="DV738" s="582"/>
      <c r="DW738" s="582"/>
      <c r="DX738" s="582"/>
      <c r="DY738" s="582"/>
      <c r="DZ738" s="582"/>
      <c r="EA738" s="582"/>
      <c r="EB738" s="582"/>
      <c r="EC738" s="582"/>
      <c r="ED738" s="582"/>
      <c r="EE738" s="582"/>
      <c r="EF738" s="582"/>
      <c r="EG738" s="582"/>
      <c r="EH738" s="582"/>
      <c r="EI738" s="582"/>
      <c r="EJ738" s="582"/>
      <c r="EK738" s="582"/>
      <c r="EL738" s="582"/>
      <c r="EM738" s="582"/>
      <c r="EN738" s="582"/>
      <c r="EO738" s="582"/>
      <c r="EP738" s="582"/>
      <c r="EQ738" s="582"/>
      <c r="ER738" s="582"/>
      <c r="ES738" s="582"/>
      <c r="ET738" s="582"/>
      <c r="EU738" s="582"/>
      <c r="EV738" s="582"/>
      <c r="EW738" s="582"/>
      <c r="EX738" s="582"/>
      <c r="EY738" s="582"/>
      <c r="EZ738" s="582"/>
      <c r="FA738" s="582"/>
      <c r="FB738" s="582"/>
      <c r="FC738" s="582"/>
      <c r="FD738" s="582"/>
      <c r="FE738" s="582"/>
      <c r="FF738" s="582"/>
      <c r="FG738" s="582"/>
      <c r="FH738" s="582"/>
      <c r="FI738" s="582"/>
      <c r="FJ738" s="582"/>
      <c r="FK738" s="582"/>
      <c r="FL738" s="582"/>
      <c r="FM738" s="582"/>
      <c r="FN738" s="582"/>
      <c r="FO738" s="582"/>
      <c r="FP738" s="582"/>
      <c r="FQ738" s="582"/>
      <c r="FR738" s="582"/>
      <c r="FS738" s="582"/>
      <c r="FT738" s="582"/>
      <c r="FU738" s="582"/>
      <c r="FV738" s="582"/>
      <c r="FW738" s="582"/>
      <c r="FX738" s="582"/>
      <c r="FY738" s="582"/>
      <c r="FZ738" s="582"/>
      <c r="GA738" s="582"/>
      <c r="GB738" s="582"/>
      <c r="GC738" s="582"/>
      <c r="GD738" s="582"/>
      <c r="GE738" s="582"/>
      <c r="GF738" s="582"/>
      <c r="GG738" s="582"/>
      <c r="GH738" s="582"/>
      <c r="GI738" s="582"/>
      <c r="GJ738" s="582"/>
      <c r="GK738" s="582"/>
      <c r="GL738" s="582"/>
      <c r="GM738" s="582"/>
      <c r="GN738" s="582"/>
      <c r="GO738" s="582"/>
      <c r="GP738" s="582"/>
      <c r="GQ738" s="582"/>
      <c r="GR738" s="582"/>
      <c r="GS738" s="582"/>
      <c r="GT738" s="582"/>
      <c r="GU738" s="582"/>
      <c r="GV738" s="582"/>
      <c r="GW738" s="582"/>
      <c r="GX738" s="582"/>
      <c r="GY738" s="582"/>
      <c r="GZ738" s="582"/>
      <c r="HA738" s="582"/>
      <c r="HB738" s="582"/>
      <c r="HC738" s="582"/>
      <c r="HD738" s="582"/>
      <c r="HE738" s="582"/>
      <c r="HF738" s="582"/>
      <c r="HG738" s="582"/>
      <c r="HH738" s="582"/>
      <c r="HI738" s="582"/>
      <c r="HJ738" s="582"/>
      <c r="HK738" s="582"/>
      <c r="HL738" s="582"/>
      <c r="HM738" s="582"/>
      <c r="HN738" s="582"/>
      <c r="HO738" s="582"/>
      <c r="HP738" s="582"/>
      <c r="HQ738" s="582"/>
      <c r="HR738" s="582"/>
      <c r="HS738" s="582"/>
      <c r="HT738" s="582"/>
      <c r="HU738" s="582"/>
      <c r="HV738" s="582"/>
      <c r="HW738" s="582"/>
      <c r="HX738" s="582"/>
      <c r="HY738" s="582"/>
      <c r="HZ738" s="582"/>
      <c r="IA738" s="582"/>
      <c r="IB738" s="582"/>
      <c r="IC738" s="582"/>
      <c r="ID738" s="582"/>
      <c r="IE738" s="582"/>
      <c r="IF738" s="582"/>
      <c r="IG738" s="582"/>
      <c r="IH738" s="582"/>
      <c r="II738" s="582"/>
      <c r="IJ738" s="582"/>
      <c r="IK738" s="582"/>
      <c r="IL738" s="582"/>
      <c r="IM738" s="582"/>
      <c r="IN738" s="582"/>
      <c r="IO738" s="582"/>
      <c r="IP738" s="582"/>
      <c r="IQ738" s="582"/>
      <c r="IR738" s="582"/>
      <c r="IS738" s="582"/>
      <c r="IT738" s="582"/>
      <c r="IU738" s="582"/>
      <c r="IV738" s="582"/>
      <c r="IW738" s="582"/>
    </row>
    <row r="739" spans="1:257" s="682" customFormat="1">
      <c r="A739" s="683" t="s">
        <v>258</v>
      </c>
      <c r="B739" s="711" t="s">
        <v>409</v>
      </c>
      <c r="C739" s="683"/>
      <c r="D739" s="683"/>
      <c r="E739" s="669"/>
      <c r="F739" s="669">
        <v>15000000</v>
      </c>
      <c r="G739" s="1038"/>
      <c r="H739" s="1038"/>
      <c r="I739" s="1038"/>
      <c r="J739" s="1038">
        <v>15000000</v>
      </c>
      <c r="K739" s="1038">
        <v>25000000</v>
      </c>
      <c r="L739" s="1328">
        <v>20200000</v>
      </c>
      <c r="M739" s="1038"/>
      <c r="N739" s="1132"/>
      <c r="O739" s="1132"/>
      <c r="P739" s="1132"/>
      <c r="Q739" s="1132"/>
      <c r="R739" s="869"/>
      <c r="S739" s="891"/>
      <c r="T739" s="832"/>
      <c r="U739" s="577"/>
      <c r="V739" s="619"/>
      <c r="W739" s="727"/>
      <c r="X739" s="728"/>
    </row>
    <row r="740" spans="1:257" s="682" customFormat="1">
      <c r="A740" s="683"/>
      <c r="B740" s="711" t="s">
        <v>1121</v>
      </c>
      <c r="C740" s="683"/>
      <c r="D740" s="683"/>
      <c r="E740" s="669"/>
      <c r="F740" s="669"/>
      <c r="G740" s="1038"/>
      <c r="H740" s="1038"/>
      <c r="I740" s="1038"/>
      <c r="J740" s="1038"/>
      <c r="K740" s="1038">
        <f>ROUND(2*15000000*1.1+7000000+75000000*1.1,-6)</f>
        <v>123000000</v>
      </c>
      <c r="L740" s="1328">
        <v>0</v>
      </c>
      <c r="M740" s="709" t="s">
        <v>1552</v>
      </c>
      <c r="N740" s="1132"/>
      <c r="O740" s="1132"/>
      <c r="P740" s="1132"/>
      <c r="Q740" s="1132"/>
      <c r="R740" s="869"/>
      <c r="S740" s="891"/>
      <c r="T740" s="832"/>
      <c r="U740" s="577"/>
      <c r="V740" s="619"/>
      <c r="W740" s="727"/>
      <c r="X740" s="728"/>
    </row>
    <row r="741" spans="1:257" s="682" customFormat="1">
      <c r="A741" s="683" t="s">
        <v>258</v>
      </c>
      <c r="B741" s="696" t="s">
        <v>1555</v>
      </c>
      <c r="C741" s="683"/>
      <c r="D741" s="683"/>
      <c r="E741" s="669"/>
      <c r="F741" s="669">
        <v>150000000</v>
      </c>
      <c r="G741" s="1038" t="s">
        <v>1122</v>
      </c>
      <c r="H741" s="1038"/>
      <c r="I741" s="1038"/>
      <c r="J741" s="1038">
        <v>150000000</v>
      </c>
      <c r="K741" s="1038">
        <v>160000000</v>
      </c>
      <c r="L741" s="1328">
        <v>230000000</v>
      </c>
      <c r="M741" s="709" t="s">
        <v>1553</v>
      </c>
      <c r="N741" s="1132"/>
      <c r="O741" s="1132"/>
      <c r="P741" s="1132"/>
      <c r="Q741" s="1132"/>
      <c r="R741" s="869"/>
      <c r="S741" s="891"/>
      <c r="T741" s="832"/>
      <c r="U741" s="577"/>
      <c r="V741" s="581"/>
      <c r="W741" s="727"/>
      <c r="X741" s="728"/>
    </row>
    <row r="742" spans="1:257" s="682" customFormat="1" ht="31.5">
      <c r="A742" s="683"/>
      <c r="B742" s="696" t="s">
        <v>1554</v>
      </c>
      <c r="C742" s="683"/>
      <c r="D742" s="683"/>
      <c r="E742" s="669"/>
      <c r="F742" s="669">
        <v>30000000</v>
      </c>
      <c r="G742" s="1038"/>
      <c r="H742" s="1038"/>
      <c r="I742" s="1038"/>
      <c r="J742" s="1038">
        <v>45000000</v>
      </c>
      <c r="K742" s="1038"/>
      <c r="L742" s="1328">
        <v>20000000</v>
      </c>
      <c r="M742" s="1038"/>
      <c r="N742" s="1132"/>
      <c r="O742" s="1132"/>
      <c r="P742" s="1132"/>
      <c r="Q742" s="1132"/>
      <c r="R742" s="869"/>
      <c r="S742" s="891"/>
      <c r="T742" s="832"/>
      <c r="U742" s="577"/>
      <c r="V742" s="581"/>
      <c r="W742" s="727"/>
      <c r="X742" s="728"/>
    </row>
    <row r="743" spans="1:257" s="682" customFormat="1">
      <c r="A743" s="683" t="s">
        <v>258</v>
      </c>
      <c r="B743" s="696" t="s">
        <v>1412</v>
      </c>
      <c r="C743" s="683"/>
      <c r="D743" s="683"/>
      <c r="E743" s="669"/>
      <c r="F743" s="669">
        <v>10000000</v>
      </c>
      <c r="G743" s="1038"/>
      <c r="H743" s="1038"/>
      <c r="I743" s="1038"/>
      <c r="J743" s="1038"/>
      <c r="K743" s="1038"/>
      <c r="L743" s="1328">
        <v>15800000</v>
      </c>
      <c r="M743" s="1038"/>
      <c r="N743" s="1132"/>
      <c r="O743" s="1132"/>
      <c r="P743" s="1132"/>
      <c r="Q743" s="1132"/>
      <c r="R743" s="869"/>
      <c r="S743" s="891"/>
      <c r="T743" s="832"/>
      <c r="U743" s="577"/>
      <c r="V743" s="581"/>
      <c r="W743" s="727"/>
      <c r="X743" s="728"/>
    </row>
    <row r="744" spans="1:257" s="682" customFormat="1" ht="45" customHeight="1">
      <c r="A744" s="683" t="s">
        <v>91</v>
      </c>
      <c r="B744" s="651"/>
      <c r="C744" s="683"/>
      <c r="D744" s="683"/>
      <c r="E744" s="669"/>
      <c r="F744" s="669"/>
      <c r="G744" s="1038"/>
      <c r="H744" s="1038"/>
      <c r="I744" s="1038"/>
      <c r="J744" s="1038">
        <v>60000000</v>
      </c>
      <c r="K744" s="1038"/>
      <c r="L744" s="1328"/>
      <c r="M744" s="1038"/>
      <c r="N744" s="1132"/>
      <c r="O744" s="1132"/>
      <c r="P744" s="1132"/>
      <c r="Q744" s="1132"/>
      <c r="R744" s="869"/>
      <c r="S744" s="891"/>
      <c r="T744" s="832"/>
      <c r="U744" s="577"/>
      <c r="V744" s="581"/>
      <c r="W744" s="727"/>
      <c r="X744" s="728"/>
    </row>
    <row r="745" spans="1:257" s="682" customFormat="1">
      <c r="A745" s="683" t="s">
        <v>91</v>
      </c>
      <c r="B745" s="696" t="s">
        <v>427</v>
      </c>
      <c r="C745" s="683"/>
      <c r="D745" s="683"/>
      <c r="E745" s="669"/>
      <c r="F745" s="669"/>
      <c r="G745" s="1038"/>
      <c r="H745" s="1038"/>
      <c r="I745" s="1038"/>
      <c r="J745" s="1038">
        <v>30000000</v>
      </c>
      <c r="K745" s="1038"/>
      <c r="L745" s="1328"/>
      <c r="M745" s="1038"/>
      <c r="N745" s="1132"/>
      <c r="O745" s="1132"/>
      <c r="P745" s="1132"/>
      <c r="Q745" s="1132"/>
      <c r="R745" s="869"/>
      <c r="S745" s="891"/>
      <c r="T745" s="832"/>
      <c r="U745" s="577"/>
      <c r="V745" s="581"/>
      <c r="W745" s="727"/>
      <c r="X745" s="728"/>
    </row>
    <row r="746" spans="1:257" s="1228" customFormat="1" ht="52.5" customHeight="1">
      <c r="A746" s="1204" t="s">
        <v>258</v>
      </c>
      <c r="B746" s="1203" t="s">
        <v>1123</v>
      </c>
      <c r="C746" s="1204"/>
      <c r="D746" s="1204"/>
      <c r="E746" s="1205"/>
      <c r="F746" s="1206">
        <v>350000000</v>
      </c>
      <c r="G746" s="1205"/>
      <c r="H746" s="1205"/>
      <c r="I746" s="1205"/>
      <c r="J746" s="1205">
        <f>SUM(J747:J749)</f>
        <v>375000000</v>
      </c>
      <c r="K746" s="1205">
        <v>200000000</v>
      </c>
      <c r="L746" s="1306">
        <v>200000000</v>
      </c>
      <c r="M746" s="1205"/>
      <c r="N746" s="1208"/>
      <c r="O746" s="1208"/>
      <c r="P746" s="1208"/>
      <c r="Q746" s="1208"/>
      <c r="R746" s="1209"/>
      <c r="S746" s="1221"/>
      <c r="T746" s="1254"/>
      <c r="U746" s="1255"/>
      <c r="V746" s="1226"/>
      <c r="W746" s="1226"/>
      <c r="X746" s="1227"/>
    </row>
    <row r="747" spans="1:257" s="682" customFormat="1">
      <c r="A747" s="683"/>
      <c r="B747" s="1102" t="s">
        <v>429</v>
      </c>
      <c r="C747" s="683"/>
      <c r="D747" s="683"/>
      <c r="E747" s="669"/>
      <c r="F747" s="651"/>
      <c r="G747" s="669"/>
      <c r="H747" s="669"/>
      <c r="I747" s="669"/>
      <c r="J747" s="669">
        <v>40000000</v>
      </c>
      <c r="K747" s="669"/>
      <c r="L747" s="1306"/>
      <c r="M747" s="669"/>
      <c r="N747" s="837"/>
      <c r="O747" s="837"/>
      <c r="P747" s="837"/>
      <c r="Q747" s="837"/>
      <c r="R747" s="869"/>
      <c r="S747" s="871"/>
      <c r="T747" s="824"/>
      <c r="U747" s="670"/>
      <c r="V747" s="727"/>
      <c r="W747" s="727"/>
      <c r="X747" s="728"/>
    </row>
    <row r="748" spans="1:257" s="682" customFormat="1">
      <c r="A748" s="683"/>
      <c r="B748" s="1102" t="s">
        <v>430</v>
      </c>
      <c r="C748" s="683"/>
      <c r="D748" s="683"/>
      <c r="E748" s="669"/>
      <c r="F748" s="651"/>
      <c r="G748" s="669"/>
      <c r="H748" s="669"/>
      <c r="I748" s="669"/>
      <c r="J748" s="669">
        <v>175000000</v>
      </c>
      <c r="K748" s="669"/>
      <c r="L748" s="1306"/>
      <c r="M748" s="669"/>
      <c r="N748" s="837"/>
      <c r="O748" s="837"/>
      <c r="P748" s="837"/>
      <c r="Q748" s="837"/>
      <c r="R748" s="869"/>
      <c r="S748" s="871"/>
      <c r="T748" s="824"/>
      <c r="U748" s="670"/>
      <c r="V748" s="727"/>
      <c r="W748" s="727"/>
      <c r="X748" s="728"/>
    </row>
    <row r="749" spans="1:257" s="682" customFormat="1">
      <c r="A749" s="683"/>
      <c r="B749" s="1102" t="s">
        <v>431</v>
      </c>
      <c r="C749" s="683"/>
      <c r="D749" s="683"/>
      <c r="E749" s="669"/>
      <c r="F749" s="651"/>
      <c r="G749" s="669"/>
      <c r="H749" s="669"/>
      <c r="I749" s="669"/>
      <c r="J749" s="669">
        <v>160000000</v>
      </c>
      <c r="K749" s="669"/>
      <c r="L749" s="1306"/>
      <c r="M749" s="669"/>
      <c r="N749" s="837"/>
      <c r="O749" s="837"/>
      <c r="P749" s="837"/>
      <c r="Q749" s="837"/>
      <c r="R749" s="869"/>
      <c r="S749" s="871"/>
      <c r="T749" s="824"/>
      <c r="U749" s="670"/>
      <c r="V749" s="727"/>
      <c r="W749" s="727"/>
      <c r="X749" s="728"/>
    </row>
    <row r="750" spans="1:257" s="682" customFormat="1" ht="27.75" customHeight="1">
      <c r="A750" s="699" t="s">
        <v>261</v>
      </c>
      <c r="B750" s="808" t="s">
        <v>262</v>
      </c>
      <c r="C750" s="699"/>
      <c r="D750" s="699"/>
      <c r="E750" s="700"/>
      <c r="F750" s="810"/>
      <c r="G750" s="725"/>
      <c r="H750" s="725"/>
      <c r="I750" s="725"/>
      <c r="J750" s="810">
        <f>J751</f>
        <v>87600000</v>
      </c>
      <c r="K750" s="810">
        <f>ROUND((K736+K740+K741+K742+K746)*10%,-6)</f>
        <v>73000000</v>
      </c>
      <c r="L750" s="1313">
        <f>ROUND((L736+L737-L738-L739-L743-L741)*10%,)</f>
        <v>46300000</v>
      </c>
      <c r="M750" s="707"/>
      <c r="N750" s="934"/>
      <c r="O750" s="934"/>
      <c r="P750" s="868"/>
      <c r="Q750" s="868"/>
      <c r="R750" s="866"/>
      <c r="S750" s="871"/>
      <c r="T750" s="824"/>
      <c r="U750" s="670"/>
      <c r="V750" s="727"/>
      <c r="W750" s="727"/>
      <c r="X750" s="728" t="e">
        <f>#REF!*1150000</f>
        <v>#REF!</v>
      </c>
    </row>
    <row r="751" spans="1:257" s="682" customFormat="1" ht="27.75" hidden="1" customHeight="1">
      <c r="A751" s="738"/>
      <c r="B751" s="965" t="s">
        <v>262</v>
      </c>
      <c r="C751" s="738"/>
      <c r="D751" s="738"/>
      <c r="E751" s="740"/>
      <c r="F751" s="966"/>
      <c r="G751" s="760"/>
      <c r="H751" s="760"/>
      <c r="I751" s="760"/>
      <c r="J751" s="966">
        <f>(J736+J741+J742+J743+J746+J744+J745)*10%</f>
        <v>87600000</v>
      </c>
      <c r="K751" s="966"/>
      <c r="L751" s="1313"/>
      <c r="M751" s="741"/>
      <c r="N751" s="934"/>
      <c r="O751" s="934"/>
      <c r="P751" s="868"/>
      <c r="Q751" s="868"/>
      <c r="R751" s="866"/>
      <c r="S751" s="871"/>
      <c r="T751" s="824"/>
      <c r="U751" s="670"/>
      <c r="V751" s="727"/>
      <c r="W751" s="727"/>
      <c r="X751" s="728" t="e">
        <f>#REF!*1150000</f>
        <v>#REF!</v>
      </c>
    </row>
    <row r="752" spans="1:257" s="1087" customFormat="1" ht="18.75" customHeight="1">
      <c r="A752" s="791">
        <v>9</v>
      </c>
      <c r="B752" s="840" t="s">
        <v>208</v>
      </c>
      <c r="C752" s="791"/>
      <c r="D752" s="791"/>
      <c r="E752" s="792"/>
      <c r="F752" s="792">
        <f t="shared" ref="F752:J752" si="83">F753+F759</f>
        <v>1673000000</v>
      </c>
      <c r="G752" s="792">
        <f t="shared" si="83"/>
        <v>37000000</v>
      </c>
      <c r="H752" s="792">
        <f t="shared" si="83"/>
        <v>0</v>
      </c>
      <c r="I752" s="792">
        <f t="shared" si="83"/>
        <v>0</v>
      </c>
      <c r="J752" s="792">
        <f t="shared" si="83"/>
        <v>1913214000</v>
      </c>
      <c r="K752" s="792">
        <f>K753+K759</f>
        <v>2140000000</v>
      </c>
      <c r="L752" s="1303">
        <f>L753+L759</f>
        <v>2423152000</v>
      </c>
      <c r="M752" s="792"/>
      <c r="N752" s="841"/>
      <c r="O752" s="841"/>
      <c r="P752" s="892"/>
      <c r="Q752" s="892"/>
      <c r="R752" s="947"/>
      <c r="S752" s="894"/>
      <c r="T752" s="845"/>
      <c r="U752" s="1073"/>
      <c r="V752" s="895"/>
      <c r="W752" s="895"/>
      <c r="X752" s="1092"/>
      <c r="Y752" s="1093"/>
      <c r="Z752" s="1093"/>
      <c r="AA752" s="1093"/>
      <c r="AB752" s="1093"/>
      <c r="AC752" s="1093"/>
      <c r="AD752" s="1093"/>
      <c r="AE752" s="1093"/>
      <c r="AF752" s="1093"/>
      <c r="AG752" s="1093"/>
      <c r="AH752" s="1093"/>
      <c r="AI752" s="1093"/>
      <c r="AJ752" s="1093"/>
      <c r="AK752" s="1093"/>
      <c r="AL752" s="1093"/>
      <c r="AM752" s="1093"/>
      <c r="AN752" s="1093"/>
      <c r="AO752" s="1093"/>
      <c r="AP752" s="1093"/>
      <c r="AQ752" s="1093"/>
      <c r="AR752" s="1093"/>
      <c r="AS752" s="1093"/>
      <c r="AT752" s="1093"/>
      <c r="AU752" s="1093"/>
      <c r="AV752" s="1093"/>
      <c r="AW752" s="1093"/>
      <c r="AX752" s="1093"/>
      <c r="AY752" s="1093"/>
      <c r="AZ752" s="1093"/>
      <c r="BA752" s="1093"/>
      <c r="BB752" s="1093"/>
      <c r="BC752" s="1093"/>
      <c r="BD752" s="1093"/>
      <c r="BE752" s="1093"/>
      <c r="BF752" s="1093"/>
      <c r="BG752" s="1093"/>
      <c r="BH752" s="1093"/>
      <c r="BI752" s="1093"/>
      <c r="BJ752" s="1093"/>
      <c r="BK752" s="1093"/>
      <c r="BL752" s="1093"/>
      <c r="BM752" s="1093"/>
      <c r="BN752" s="1093"/>
      <c r="BO752" s="1093"/>
      <c r="BP752" s="1093"/>
      <c r="BQ752" s="1093"/>
      <c r="BR752" s="1093"/>
      <c r="BS752" s="1093"/>
      <c r="BT752" s="1093"/>
      <c r="BU752" s="1093"/>
      <c r="BV752" s="1093"/>
      <c r="BW752" s="1093"/>
      <c r="BX752" s="1093"/>
      <c r="BY752" s="1093"/>
      <c r="BZ752" s="1093"/>
      <c r="CA752" s="1093"/>
      <c r="CB752" s="1093"/>
      <c r="CC752" s="1093"/>
      <c r="CD752" s="1093"/>
      <c r="CE752" s="1093"/>
      <c r="CF752" s="1093"/>
      <c r="CG752" s="1093"/>
      <c r="CH752" s="1093"/>
      <c r="CI752" s="1093"/>
      <c r="CJ752" s="1093"/>
      <c r="CK752" s="1093"/>
      <c r="CL752" s="1093"/>
      <c r="CM752" s="1093"/>
      <c r="CN752" s="1093"/>
      <c r="CO752" s="1093"/>
      <c r="CP752" s="1093"/>
      <c r="CQ752" s="1093"/>
      <c r="CR752" s="1093"/>
      <c r="CS752" s="1093"/>
      <c r="CT752" s="1093"/>
      <c r="CU752" s="1093"/>
      <c r="CV752" s="1093"/>
      <c r="CW752" s="1093"/>
      <c r="CX752" s="1093"/>
      <c r="CY752" s="1093"/>
      <c r="CZ752" s="1093"/>
      <c r="DA752" s="1093"/>
      <c r="DB752" s="1093"/>
      <c r="DC752" s="1093"/>
      <c r="DD752" s="1093"/>
      <c r="DE752" s="1093"/>
      <c r="DF752" s="1093"/>
      <c r="DG752" s="1093"/>
      <c r="DH752" s="1093"/>
      <c r="DI752" s="1093"/>
      <c r="DJ752" s="1093"/>
      <c r="DK752" s="1093"/>
      <c r="DL752" s="1093"/>
      <c r="DM752" s="1093"/>
      <c r="DN752" s="1093"/>
      <c r="DO752" s="1093"/>
      <c r="DP752" s="1093"/>
      <c r="DQ752" s="1093"/>
      <c r="DR752" s="1093"/>
      <c r="DS752" s="1093"/>
      <c r="DT752" s="1093"/>
      <c r="DU752" s="1093"/>
      <c r="DV752" s="1093"/>
      <c r="DW752" s="1093"/>
      <c r="DX752" s="1093"/>
      <c r="DY752" s="1093"/>
      <c r="DZ752" s="1093"/>
      <c r="EA752" s="1093"/>
      <c r="EB752" s="1093"/>
      <c r="EC752" s="1093"/>
      <c r="ED752" s="1093"/>
      <c r="EE752" s="1093"/>
      <c r="EF752" s="1093"/>
      <c r="EG752" s="1093"/>
      <c r="EH752" s="1093"/>
      <c r="EI752" s="1093"/>
      <c r="EJ752" s="1093"/>
      <c r="EK752" s="1093"/>
      <c r="EL752" s="1093"/>
      <c r="EM752" s="1093"/>
      <c r="EN752" s="1093"/>
      <c r="EO752" s="1093"/>
      <c r="EP752" s="1093"/>
      <c r="EQ752" s="1093"/>
      <c r="ER752" s="1093"/>
      <c r="ES752" s="1093"/>
      <c r="ET752" s="1093"/>
      <c r="EU752" s="1093"/>
      <c r="EV752" s="1093"/>
      <c r="EW752" s="1093"/>
      <c r="EX752" s="1093"/>
      <c r="EY752" s="1093"/>
      <c r="EZ752" s="1093"/>
      <c r="FA752" s="1093"/>
      <c r="FB752" s="1093"/>
      <c r="FC752" s="1093"/>
      <c r="FD752" s="1093"/>
      <c r="FE752" s="1093"/>
      <c r="FF752" s="1093"/>
      <c r="FG752" s="1093"/>
      <c r="FH752" s="1093"/>
      <c r="FI752" s="1093"/>
      <c r="FJ752" s="1093"/>
      <c r="FK752" s="1093"/>
      <c r="FL752" s="1093"/>
      <c r="FM752" s="1093"/>
      <c r="FN752" s="1093"/>
      <c r="FO752" s="1093"/>
      <c r="FP752" s="1093"/>
      <c r="FQ752" s="1093"/>
      <c r="FR752" s="1093"/>
      <c r="FS752" s="1093"/>
      <c r="FT752" s="1093"/>
      <c r="FU752" s="1093"/>
      <c r="FV752" s="1093"/>
      <c r="FW752" s="1093"/>
      <c r="FX752" s="1093"/>
      <c r="FY752" s="1093"/>
      <c r="FZ752" s="1093"/>
      <c r="GA752" s="1093"/>
      <c r="GB752" s="1093"/>
      <c r="GC752" s="1093"/>
      <c r="GD752" s="1093"/>
      <c r="GE752" s="1093"/>
      <c r="GF752" s="1093"/>
      <c r="GG752" s="1093"/>
      <c r="GH752" s="1093"/>
      <c r="GI752" s="1093"/>
      <c r="GJ752" s="1093"/>
      <c r="GK752" s="1093"/>
      <c r="GL752" s="1093"/>
      <c r="GM752" s="1093"/>
      <c r="GN752" s="1093"/>
      <c r="GO752" s="1093"/>
      <c r="GP752" s="1093"/>
      <c r="GQ752" s="1093"/>
      <c r="GR752" s="1093"/>
      <c r="GS752" s="1093"/>
      <c r="GT752" s="1093"/>
      <c r="GU752" s="1093"/>
      <c r="GV752" s="1093"/>
      <c r="GW752" s="1093"/>
      <c r="GX752" s="1093"/>
      <c r="GY752" s="1093"/>
      <c r="GZ752" s="1093"/>
      <c r="HA752" s="1093"/>
      <c r="HB752" s="1093"/>
      <c r="HC752" s="1093"/>
      <c r="HD752" s="1093"/>
      <c r="HE752" s="1093"/>
      <c r="HF752" s="1093"/>
      <c r="HG752" s="1093"/>
      <c r="HH752" s="1093"/>
      <c r="HI752" s="1093"/>
      <c r="HJ752" s="1093"/>
      <c r="HK752" s="1093"/>
      <c r="HL752" s="1093"/>
      <c r="HM752" s="1093"/>
      <c r="HN752" s="1093"/>
      <c r="HO752" s="1093"/>
      <c r="HP752" s="1093"/>
      <c r="HQ752" s="1093"/>
      <c r="HR752" s="1093"/>
      <c r="HS752" s="1093"/>
      <c r="HT752" s="1093"/>
      <c r="HU752" s="1093"/>
      <c r="HV752" s="1093"/>
      <c r="HW752" s="1093"/>
      <c r="HX752" s="1093"/>
      <c r="HY752" s="1093"/>
      <c r="HZ752" s="1093"/>
      <c r="IA752" s="1093"/>
      <c r="IB752" s="1093"/>
      <c r="IC752" s="1093"/>
      <c r="ID752" s="1093"/>
      <c r="IE752" s="1093"/>
      <c r="IF752" s="1093"/>
      <c r="IG752" s="1093"/>
      <c r="IH752" s="1093"/>
      <c r="II752" s="1093"/>
      <c r="IJ752" s="1093"/>
      <c r="IK752" s="1093"/>
      <c r="IL752" s="1093"/>
      <c r="IM752" s="1093"/>
      <c r="IN752" s="1093"/>
      <c r="IO752" s="1093"/>
      <c r="IP752" s="1093"/>
      <c r="IQ752" s="1093"/>
      <c r="IR752" s="1093"/>
      <c r="IS752" s="1093"/>
      <c r="IT752" s="1093"/>
      <c r="IU752" s="1093"/>
      <c r="IV752" s="1093"/>
      <c r="IW752" s="1093"/>
    </row>
    <row r="753" spans="1:257" s="614" customFormat="1" ht="18.75" customHeight="1">
      <c r="A753" s="589" t="s">
        <v>222</v>
      </c>
      <c r="B753" s="804" t="s">
        <v>252</v>
      </c>
      <c r="C753" s="715"/>
      <c r="D753" s="715"/>
      <c r="E753" s="716"/>
      <c r="F753" s="704">
        <f t="shared" ref="F753:J753" si="84">F755+F758</f>
        <v>403000000</v>
      </c>
      <c r="G753" s="704">
        <f t="shared" si="84"/>
        <v>0</v>
      </c>
      <c r="H753" s="704">
        <f t="shared" si="84"/>
        <v>0</v>
      </c>
      <c r="I753" s="704">
        <f t="shared" si="84"/>
        <v>0</v>
      </c>
      <c r="J753" s="704">
        <f t="shared" si="84"/>
        <v>408114000</v>
      </c>
      <c r="K753" s="704">
        <f>K755+K757+K758</f>
        <v>540000000</v>
      </c>
      <c r="L753" s="1310">
        <f>L755+L757+L758</f>
        <v>793452000</v>
      </c>
      <c r="M753" s="609"/>
      <c r="N753" s="829"/>
      <c r="O753" s="829"/>
      <c r="P753" s="829"/>
      <c r="Q753" s="829"/>
      <c r="R753" s="900"/>
      <c r="S753" s="891"/>
      <c r="T753" s="832"/>
      <c r="U753" s="667"/>
      <c r="V753" s="722"/>
      <c r="W753" s="722"/>
      <c r="X753" s="723"/>
      <c r="Y753" s="724"/>
      <c r="Z753" s="724"/>
      <c r="AA753" s="724"/>
      <c r="AB753" s="724"/>
      <c r="AC753" s="724"/>
      <c r="AD753" s="724"/>
      <c r="AE753" s="724"/>
      <c r="AF753" s="724"/>
      <c r="AG753" s="724"/>
      <c r="AH753" s="724"/>
      <c r="AI753" s="724"/>
      <c r="AJ753" s="724"/>
      <c r="AK753" s="724"/>
      <c r="AL753" s="724"/>
      <c r="AM753" s="724"/>
      <c r="AN753" s="724"/>
      <c r="AO753" s="724"/>
      <c r="AP753" s="724"/>
      <c r="AQ753" s="724"/>
      <c r="AR753" s="724"/>
      <c r="AS753" s="724"/>
      <c r="AT753" s="724"/>
      <c r="AU753" s="724"/>
      <c r="AV753" s="724"/>
      <c r="AW753" s="724"/>
      <c r="AX753" s="724"/>
      <c r="AY753" s="724"/>
      <c r="AZ753" s="724"/>
      <c r="BA753" s="724"/>
      <c r="BB753" s="724"/>
      <c r="BC753" s="724"/>
      <c r="BD753" s="724"/>
      <c r="BE753" s="724"/>
      <c r="BF753" s="724"/>
      <c r="BG753" s="724"/>
      <c r="BH753" s="724"/>
      <c r="BI753" s="724"/>
      <c r="BJ753" s="724"/>
      <c r="BK753" s="724"/>
      <c r="BL753" s="724"/>
      <c r="BM753" s="724"/>
      <c r="BN753" s="724"/>
      <c r="BO753" s="724"/>
      <c r="BP753" s="724"/>
      <c r="BQ753" s="724"/>
      <c r="BR753" s="724"/>
      <c r="BS753" s="724"/>
      <c r="BT753" s="724"/>
      <c r="BU753" s="724"/>
      <c r="BV753" s="724"/>
      <c r="BW753" s="724"/>
      <c r="BX753" s="724"/>
      <c r="BY753" s="724"/>
      <c r="BZ753" s="724"/>
      <c r="CA753" s="724"/>
      <c r="CB753" s="724"/>
      <c r="CC753" s="724"/>
      <c r="CD753" s="724"/>
      <c r="CE753" s="724"/>
      <c r="CF753" s="724"/>
      <c r="CG753" s="724"/>
      <c r="CH753" s="724"/>
      <c r="CI753" s="724"/>
      <c r="CJ753" s="724"/>
      <c r="CK753" s="724"/>
      <c r="CL753" s="724"/>
      <c r="CM753" s="724"/>
      <c r="CN753" s="724"/>
      <c r="CO753" s="724"/>
      <c r="CP753" s="724"/>
      <c r="CQ753" s="724"/>
      <c r="CR753" s="724"/>
      <c r="CS753" s="724"/>
      <c r="CT753" s="724"/>
      <c r="CU753" s="724"/>
      <c r="CV753" s="724"/>
      <c r="CW753" s="724"/>
      <c r="CX753" s="724"/>
      <c r="CY753" s="724"/>
      <c r="CZ753" s="724"/>
      <c r="DA753" s="724"/>
      <c r="DB753" s="724"/>
      <c r="DC753" s="724"/>
      <c r="DD753" s="724"/>
      <c r="DE753" s="724"/>
      <c r="DF753" s="724"/>
      <c r="DG753" s="724"/>
      <c r="DH753" s="724"/>
      <c r="DI753" s="724"/>
      <c r="DJ753" s="724"/>
      <c r="DK753" s="724"/>
      <c r="DL753" s="724"/>
      <c r="DM753" s="724"/>
      <c r="DN753" s="724"/>
      <c r="DO753" s="724"/>
      <c r="DP753" s="724"/>
      <c r="DQ753" s="724"/>
      <c r="DR753" s="724"/>
      <c r="DS753" s="724"/>
      <c r="DT753" s="724"/>
      <c r="DU753" s="724"/>
      <c r="DV753" s="724"/>
      <c r="DW753" s="724"/>
      <c r="DX753" s="724"/>
      <c r="DY753" s="724"/>
      <c r="DZ753" s="724"/>
      <c r="EA753" s="724"/>
      <c r="EB753" s="724"/>
      <c r="EC753" s="724"/>
      <c r="ED753" s="724"/>
      <c r="EE753" s="724"/>
      <c r="EF753" s="724"/>
      <c r="EG753" s="724"/>
      <c r="EH753" s="724"/>
      <c r="EI753" s="724"/>
      <c r="EJ753" s="724"/>
      <c r="EK753" s="724"/>
      <c r="EL753" s="724"/>
      <c r="EM753" s="724"/>
      <c r="EN753" s="724"/>
      <c r="EO753" s="724"/>
      <c r="EP753" s="724"/>
      <c r="EQ753" s="724"/>
      <c r="ER753" s="724"/>
      <c r="ES753" s="724"/>
      <c r="ET753" s="724"/>
      <c r="EU753" s="724"/>
      <c r="EV753" s="724"/>
      <c r="EW753" s="724"/>
      <c r="EX753" s="724"/>
      <c r="EY753" s="724"/>
      <c r="EZ753" s="724"/>
      <c r="FA753" s="724"/>
      <c r="FB753" s="724"/>
      <c r="FC753" s="724"/>
      <c r="FD753" s="724"/>
      <c r="FE753" s="724"/>
      <c r="FF753" s="724"/>
      <c r="FG753" s="724"/>
      <c r="FH753" s="724"/>
      <c r="FI753" s="724"/>
      <c r="FJ753" s="724"/>
      <c r="FK753" s="724"/>
      <c r="FL753" s="724"/>
      <c r="FM753" s="724"/>
      <c r="FN753" s="724"/>
      <c r="FO753" s="724"/>
      <c r="FP753" s="724"/>
      <c r="FQ753" s="724"/>
      <c r="FR753" s="724"/>
      <c r="FS753" s="724"/>
      <c r="FT753" s="724"/>
      <c r="FU753" s="724"/>
      <c r="FV753" s="724"/>
      <c r="FW753" s="724"/>
      <c r="FX753" s="724"/>
      <c r="FY753" s="724"/>
      <c r="FZ753" s="724"/>
      <c r="GA753" s="724"/>
      <c r="GB753" s="724"/>
      <c r="GC753" s="724"/>
      <c r="GD753" s="724"/>
      <c r="GE753" s="724"/>
      <c r="GF753" s="724"/>
      <c r="GG753" s="724"/>
      <c r="GH753" s="724"/>
      <c r="GI753" s="724"/>
      <c r="GJ753" s="724"/>
      <c r="GK753" s="724"/>
      <c r="GL753" s="724"/>
      <c r="GM753" s="724"/>
      <c r="GN753" s="724"/>
      <c r="GO753" s="724"/>
      <c r="GP753" s="724"/>
      <c r="GQ753" s="724"/>
      <c r="GR753" s="724"/>
      <c r="GS753" s="724"/>
      <c r="GT753" s="724"/>
      <c r="GU753" s="724"/>
      <c r="GV753" s="724"/>
      <c r="GW753" s="724"/>
      <c r="GX753" s="724"/>
      <c r="GY753" s="724"/>
      <c r="GZ753" s="724"/>
      <c r="HA753" s="724"/>
      <c r="HB753" s="724"/>
      <c r="HC753" s="724"/>
      <c r="HD753" s="724"/>
      <c r="HE753" s="724"/>
      <c r="HF753" s="724"/>
      <c r="HG753" s="724"/>
      <c r="HH753" s="724"/>
      <c r="HI753" s="724"/>
      <c r="HJ753" s="724"/>
      <c r="HK753" s="724"/>
      <c r="HL753" s="724"/>
      <c r="HM753" s="724"/>
      <c r="HN753" s="724"/>
      <c r="HO753" s="724"/>
      <c r="HP753" s="724"/>
      <c r="HQ753" s="724"/>
      <c r="HR753" s="724"/>
      <c r="HS753" s="724"/>
      <c r="HT753" s="724"/>
      <c r="HU753" s="724"/>
      <c r="HV753" s="724"/>
      <c r="HW753" s="724"/>
      <c r="HX753" s="724"/>
      <c r="HY753" s="724"/>
      <c r="HZ753" s="724"/>
      <c r="IA753" s="724"/>
      <c r="IB753" s="724"/>
      <c r="IC753" s="724"/>
      <c r="ID753" s="724"/>
      <c r="IE753" s="724"/>
      <c r="IF753" s="724"/>
      <c r="IG753" s="724"/>
      <c r="IH753" s="724"/>
      <c r="II753" s="724"/>
      <c r="IJ753" s="724"/>
      <c r="IK753" s="724"/>
      <c r="IL753" s="724"/>
      <c r="IM753" s="724"/>
      <c r="IN753" s="724"/>
      <c r="IO753" s="724"/>
      <c r="IP753" s="724"/>
      <c r="IQ753" s="724"/>
      <c r="IR753" s="724"/>
      <c r="IS753" s="724"/>
      <c r="IT753" s="724"/>
      <c r="IU753" s="724"/>
      <c r="IV753" s="724"/>
      <c r="IW753" s="724"/>
    </row>
    <row r="754" spans="1:257" s="614" customFormat="1" ht="18.75" customHeight="1">
      <c r="A754" s="589" t="s">
        <v>91</v>
      </c>
      <c r="B754" s="1122" t="s">
        <v>1090</v>
      </c>
      <c r="C754" s="715"/>
      <c r="D754" s="715"/>
      <c r="E754" s="716"/>
      <c r="F754" s="704"/>
      <c r="G754" s="704"/>
      <c r="H754" s="704"/>
      <c r="I754" s="704"/>
      <c r="J754" s="704"/>
      <c r="K754" s="704">
        <f>K755+K756</f>
        <v>522000000</v>
      </c>
      <c r="L754" s="1310">
        <f>L755+L756</f>
        <v>848252000</v>
      </c>
      <c r="M754" s="651" t="s">
        <v>1124</v>
      </c>
      <c r="N754" s="829"/>
      <c r="O754" s="829"/>
      <c r="P754" s="829"/>
      <c r="Q754" s="829"/>
      <c r="R754" s="900"/>
      <c r="S754" s="891"/>
      <c r="T754" s="832"/>
      <c r="U754" s="667"/>
      <c r="V754" s="722"/>
      <c r="W754" s="722"/>
      <c r="X754" s="723"/>
      <c r="Y754" s="724"/>
      <c r="Z754" s="724"/>
      <c r="AA754" s="724"/>
      <c r="AB754" s="724"/>
      <c r="AC754" s="724"/>
      <c r="AD754" s="724"/>
      <c r="AE754" s="724"/>
      <c r="AF754" s="724"/>
      <c r="AG754" s="724"/>
      <c r="AH754" s="724"/>
      <c r="AI754" s="724"/>
      <c r="AJ754" s="724"/>
      <c r="AK754" s="724"/>
      <c r="AL754" s="724"/>
      <c r="AM754" s="724"/>
      <c r="AN754" s="724"/>
      <c r="AO754" s="724"/>
      <c r="AP754" s="724"/>
      <c r="AQ754" s="724"/>
      <c r="AR754" s="724"/>
      <c r="AS754" s="724"/>
      <c r="AT754" s="724"/>
      <c r="AU754" s="724"/>
      <c r="AV754" s="724"/>
      <c r="AW754" s="724"/>
      <c r="AX754" s="724"/>
      <c r="AY754" s="724"/>
      <c r="AZ754" s="724"/>
      <c r="BA754" s="724"/>
      <c r="BB754" s="724"/>
      <c r="BC754" s="724"/>
      <c r="BD754" s="724"/>
      <c r="BE754" s="724"/>
      <c r="BF754" s="724"/>
      <c r="BG754" s="724"/>
      <c r="BH754" s="724"/>
      <c r="BI754" s="724"/>
      <c r="BJ754" s="724"/>
      <c r="BK754" s="724"/>
      <c r="BL754" s="724"/>
      <c r="BM754" s="724"/>
      <c r="BN754" s="724"/>
      <c r="BO754" s="724"/>
      <c r="BP754" s="724"/>
      <c r="BQ754" s="724"/>
      <c r="BR754" s="724"/>
      <c r="BS754" s="724"/>
      <c r="BT754" s="724"/>
      <c r="BU754" s="724"/>
      <c r="BV754" s="724"/>
      <c r="BW754" s="724"/>
      <c r="BX754" s="724"/>
      <c r="BY754" s="724"/>
      <c r="BZ754" s="724"/>
      <c r="CA754" s="724"/>
      <c r="CB754" s="724"/>
      <c r="CC754" s="724"/>
      <c r="CD754" s="724"/>
      <c r="CE754" s="724"/>
      <c r="CF754" s="724"/>
      <c r="CG754" s="724"/>
      <c r="CH754" s="724"/>
      <c r="CI754" s="724"/>
      <c r="CJ754" s="724"/>
      <c r="CK754" s="724"/>
      <c r="CL754" s="724"/>
      <c r="CM754" s="724"/>
      <c r="CN754" s="724"/>
      <c r="CO754" s="724"/>
      <c r="CP754" s="724"/>
      <c r="CQ754" s="724"/>
      <c r="CR754" s="724"/>
      <c r="CS754" s="724"/>
      <c r="CT754" s="724"/>
      <c r="CU754" s="724"/>
      <c r="CV754" s="724"/>
      <c r="CW754" s="724"/>
      <c r="CX754" s="724"/>
      <c r="CY754" s="724"/>
      <c r="CZ754" s="724"/>
      <c r="DA754" s="724"/>
      <c r="DB754" s="724"/>
      <c r="DC754" s="724"/>
      <c r="DD754" s="724"/>
      <c r="DE754" s="724"/>
      <c r="DF754" s="724"/>
      <c r="DG754" s="724"/>
      <c r="DH754" s="724"/>
      <c r="DI754" s="724"/>
      <c r="DJ754" s="724"/>
      <c r="DK754" s="724"/>
      <c r="DL754" s="724"/>
      <c r="DM754" s="724"/>
      <c r="DN754" s="724"/>
      <c r="DO754" s="724"/>
      <c r="DP754" s="724"/>
      <c r="DQ754" s="724"/>
      <c r="DR754" s="724"/>
      <c r="DS754" s="724"/>
      <c r="DT754" s="724"/>
      <c r="DU754" s="724"/>
      <c r="DV754" s="724"/>
      <c r="DW754" s="724"/>
      <c r="DX754" s="724"/>
      <c r="DY754" s="724"/>
      <c r="DZ754" s="724"/>
      <c r="EA754" s="724"/>
      <c r="EB754" s="724"/>
      <c r="EC754" s="724"/>
      <c r="ED754" s="724"/>
      <c r="EE754" s="724"/>
      <c r="EF754" s="724"/>
      <c r="EG754" s="724"/>
      <c r="EH754" s="724"/>
      <c r="EI754" s="724"/>
      <c r="EJ754" s="724"/>
      <c r="EK754" s="724"/>
      <c r="EL754" s="724"/>
      <c r="EM754" s="724"/>
      <c r="EN754" s="724"/>
      <c r="EO754" s="724"/>
      <c r="EP754" s="724"/>
      <c r="EQ754" s="724"/>
      <c r="ER754" s="724"/>
      <c r="ES754" s="724"/>
      <c r="ET754" s="724"/>
      <c r="EU754" s="724"/>
      <c r="EV754" s="724"/>
      <c r="EW754" s="724"/>
      <c r="EX754" s="724"/>
      <c r="EY754" s="724"/>
      <c r="EZ754" s="724"/>
      <c r="FA754" s="724"/>
      <c r="FB754" s="724"/>
      <c r="FC754" s="724"/>
      <c r="FD754" s="724"/>
      <c r="FE754" s="724"/>
      <c r="FF754" s="724"/>
      <c r="FG754" s="724"/>
      <c r="FH754" s="724"/>
      <c r="FI754" s="724"/>
      <c r="FJ754" s="724"/>
      <c r="FK754" s="724"/>
      <c r="FL754" s="724"/>
      <c r="FM754" s="724"/>
      <c r="FN754" s="724"/>
      <c r="FO754" s="724"/>
      <c r="FP754" s="724"/>
      <c r="FQ754" s="724"/>
      <c r="FR754" s="724"/>
      <c r="FS754" s="724"/>
      <c r="FT754" s="724"/>
      <c r="FU754" s="724"/>
      <c r="FV754" s="724"/>
      <c r="FW754" s="724"/>
      <c r="FX754" s="724"/>
      <c r="FY754" s="724"/>
      <c r="FZ754" s="724"/>
      <c r="GA754" s="724"/>
      <c r="GB754" s="724"/>
      <c r="GC754" s="724"/>
      <c r="GD754" s="724"/>
      <c r="GE754" s="724"/>
      <c r="GF754" s="724"/>
      <c r="GG754" s="724"/>
      <c r="GH754" s="724"/>
      <c r="GI754" s="724"/>
      <c r="GJ754" s="724"/>
      <c r="GK754" s="724"/>
      <c r="GL754" s="724"/>
      <c r="GM754" s="724"/>
      <c r="GN754" s="724"/>
      <c r="GO754" s="724"/>
      <c r="GP754" s="724"/>
      <c r="GQ754" s="724"/>
      <c r="GR754" s="724"/>
      <c r="GS754" s="724"/>
      <c r="GT754" s="724"/>
      <c r="GU754" s="724"/>
      <c r="GV754" s="724"/>
      <c r="GW754" s="724"/>
      <c r="GX754" s="724"/>
      <c r="GY754" s="724"/>
      <c r="GZ754" s="724"/>
      <c r="HA754" s="724"/>
      <c r="HB754" s="724"/>
      <c r="HC754" s="724"/>
      <c r="HD754" s="724"/>
      <c r="HE754" s="724"/>
      <c r="HF754" s="724"/>
      <c r="HG754" s="724"/>
      <c r="HH754" s="724"/>
      <c r="HI754" s="724"/>
      <c r="HJ754" s="724"/>
      <c r="HK754" s="724"/>
      <c r="HL754" s="724"/>
      <c r="HM754" s="724"/>
      <c r="HN754" s="724"/>
      <c r="HO754" s="724"/>
      <c r="HP754" s="724"/>
      <c r="HQ754" s="724"/>
      <c r="HR754" s="724"/>
      <c r="HS754" s="724"/>
      <c r="HT754" s="724"/>
      <c r="HU754" s="724"/>
      <c r="HV754" s="724"/>
      <c r="HW754" s="724"/>
      <c r="HX754" s="724"/>
      <c r="HY754" s="724"/>
      <c r="HZ754" s="724"/>
      <c r="IA754" s="724"/>
      <c r="IB754" s="724"/>
      <c r="IC754" s="724"/>
      <c r="ID754" s="724"/>
      <c r="IE754" s="724"/>
      <c r="IF754" s="724"/>
      <c r="IG754" s="724"/>
      <c r="IH754" s="724"/>
      <c r="II754" s="724"/>
      <c r="IJ754" s="724"/>
      <c r="IK754" s="724"/>
      <c r="IL754" s="724"/>
      <c r="IM754" s="724"/>
      <c r="IN754" s="724"/>
      <c r="IO754" s="724"/>
      <c r="IP754" s="724"/>
      <c r="IQ754" s="724"/>
      <c r="IR754" s="724"/>
      <c r="IS754" s="724"/>
      <c r="IT754" s="724"/>
      <c r="IU754" s="724"/>
      <c r="IV754" s="724"/>
      <c r="IW754" s="724"/>
    </row>
    <row r="755" spans="1:257" s="681" customFormat="1">
      <c r="A755" s="713"/>
      <c r="B755" s="684" t="s">
        <v>1092</v>
      </c>
      <c r="C755" s="713">
        <v>3</v>
      </c>
      <c r="D755" s="713"/>
      <c r="E755" s="725">
        <v>27000000</v>
      </c>
      <c r="F755" s="725">
        <v>322000000</v>
      </c>
      <c r="G755" s="725"/>
      <c r="H755" s="725"/>
      <c r="I755" s="725"/>
      <c r="J755" s="725">
        <v>327114000</v>
      </c>
      <c r="K755" s="725">
        <v>432000000</v>
      </c>
      <c r="L755" s="1311">
        <f>(460000000+(0.3*1490000*12*3))</f>
        <v>476092000</v>
      </c>
      <c r="M755" s="669"/>
      <c r="N755" s="868">
        <f>0.3*1490000*12</f>
        <v>5364000</v>
      </c>
      <c r="O755" s="868"/>
      <c r="P755" s="868"/>
      <c r="Q755" s="868"/>
      <c r="R755" s="871"/>
      <c r="S755" s="871"/>
      <c r="T755" s="824"/>
      <c r="U755" s="726"/>
      <c r="V755" s="727"/>
      <c r="W755" s="727"/>
      <c r="X755" s="728"/>
      <c r="Y755" s="682"/>
      <c r="Z755" s="682"/>
      <c r="AA755" s="682"/>
      <c r="AB755" s="682"/>
      <c r="AC755" s="682"/>
      <c r="AD755" s="682"/>
      <c r="AE755" s="682"/>
      <c r="AF755" s="682"/>
      <c r="AG755" s="682"/>
      <c r="AH755" s="682"/>
      <c r="AI755" s="682"/>
      <c r="AJ755" s="682"/>
      <c r="AK755" s="682"/>
      <c r="AL755" s="682"/>
      <c r="AM755" s="682"/>
      <c r="AN755" s="682"/>
      <c r="AO755" s="682"/>
      <c r="AP755" s="682"/>
      <c r="AQ755" s="682"/>
      <c r="AR755" s="682"/>
      <c r="AS755" s="682"/>
      <c r="AT755" s="682"/>
      <c r="AU755" s="682"/>
      <c r="AV755" s="682"/>
      <c r="AW755" s="682"/>
      <c r="AX755" s="682"/>
      <c r="AY755" s="682"/>
      <c r="AZ755" s="682"/>
      <c r="BA755" s="682"/>
      <c r="BB755" s="682"/>
      <c r="BC755" s="682"/>
      <c r="BD755" s="682"/>
      <c r="BE755" s="682"/>
      <c r="BF755" s="682"/>
      <c r="BG755" s="682"/>
      <c r="BH755" s="682"/>
      <c r="BI755" s="682"/>
      <c r="BJ755" s="682"/>
      <c r="BK755" s="682"/>
      <c r="BL755" s="682"/>
      <c r="BM755" s="682"/>
      <c r="BN755" s="682"/>
      <c r="BO755" s="682"/>
      <c r="BP755" s="682"/>
      <c r="BQ755" s="682"/>
      <c r="BR755" s="682"/>
      <c r="BS755" s="682"/>
      <c r="BT755" s="682"/>
      <c r="BU755" s="682"/>
      <c r="BV755" s="682"/>
      <c r="BW755" s="682"/>
      <c r="BX755" s="682"/>
      <c r="BY755" s="682"/>
      <c r="BZ755" s="682"/>
      <c r="CA755" s="682"/>
      <c r="CB755" s="682"/>
      <c r="CC755" s="682"/>
      <c r="CD755" s="682"/>
      <c r="CE755" s="682"/>
      <c r="CF755" s="682"/>
      <c r="CG755" s="682"/>
      <c r="CH755" s="682"/>
      <c r="CI755" s="682"/>
      <c r="CJ755" s="682"/>
      <c r="CK755" s="682"/>
      <c r="CL755" s="682"/>
      <c r="CM755" s="682"/>
      <c r="CN755" s="682"/>
      <c r="CO755" s="682"/>
      <c r="CP755" s="682"/>
      <c r="CQ755" s="682"/>
      <c r="CR755" s="682"/>
      <c r="CS755" s="682"/>
      <c r="CT755" s="682"/>
      <c r="CU755" s="682"/>
      <c r="CV755" s="682"/>
      <c r="CW755" s="682"/>
      <c r="CX755" s="682"/>
      <c r="CY755" s="682"/>
      <c r="CZ755" s="682"/>
      <c r="DA755" s="682"/>
      <c r="DB755" s="682"/>
      <c r="DC755" s="682"/>
      <c r="DD755" s="682"/>
      <c r="DE755" s="682"/>
      <c r="DF755" s="682"/>
      <c r="DG755" s="682"/>
      <c r="DH755" s="682"/>
      <c r="DI755" s="682"/>
      <c r="DJ755" s="682"/>
      <c r="DK755" s="682"/>
      <c r="DL755" s="682"/>
      <c r="DM755" s="682"/>
      <c r="DN755" s="682"/>
      <c r="DO755" s="682"/>
      <c r="DP755" s="682"/>
      <c r="DQ755" s="682"/>
      <c r="DR755" s="682"/>
      <c r="DS755" s="682"/>
      <c r="DT755" s="682"/>
      <c r="DU755" s="682"/>
      <c r="DV755" s="682"/>
      <c r="DW755" s="682"/>
      <c r="DX755" s="682"/>
      <c r="DY755" s="682"/>
      <c r="DZ755" s="682"/>
      <c r="EA755" s="682"/>
      <c r="EB755" s="682"/>
      <c r="EC755" s="682"/>
      <c r="ED755" s="682"/>
      <c r="EE755" s="682"/>
      <c r="EF755" s="682"/>
      <c r="EG755" s="682"/>
      <c r="EH755" s="682"/>
      <c r="EI755" s="682"/>
      <c r="EJ755" s="682"/>
      <c r="EK755" s="682"/>
      <c r="EL755" s="682"/>
      <c r="EM755" s="682"/>
      <c r="EN755" s="682"/>
      <c r="EO755" s="682"/>
      <c r="EP755" s="682"/>
      <c r="EQ755" s="682"/>
      <c r="ER755" s="682"/>
      <c r="ES755" s="682"/>
      <c r="ET755" s="682"/>
      <c r="EU755" s="682"/>
      <c r="EV755" s="682"/>
      <c r="EW755" s="682"/>
      <c r="EX755" s="682"/>
      <c r="EY755" s="682"/>
      <c r="EZ755" s="682"/>
      <c r="FA755" s="682"/>
      <c r="FB755" s="682"/>
      <c r="FC755" s="682"/>
      <c r="FD755" s="682"/>
      <c r="FE755" s="682"/>
      <c r="FF755" s="682"/>
      <c r="FG755" s="682"/>
      <c r="FH755" s="682"/>
      <c r="FI755" s="682"/>
      <c r="FJ755" s="682"/>
      <c r="FK755" s="682"/>
      <c r="FL755" s="682"/>
      <c r="FM755" s="682"/>
      <c r="FN755" s="682"/>
      <c r="FO755" s="682"/>
      <c r="FP755" s="682"/>
      <c r="FQ755" s="682"/>
      <c r="FR755" s="682"/>
      <c r="FS755" s="682"/>
      <c r="FT755" s="682"/>
      <c r="FU755" s="682"/>
      <c r="FV755" s="682"/>
      <c r="FW755" s="682"/>
      <c r="FX755" s="682"/>
      <c r="FY755" s="682"/>
      <c r="FZ755" s="682"/>
      <c r="GA755" s="682"/>
      <c r="GB755" s="682"/>
      <c r="GC755" s="682"/>
      <c r="GD755" s="682"/>
      <c r="GE755" s="682"/>
      <c r="GF755" s="682"/>
      <c r="GG755" s="682"/>
      <c r="GH755" s="682"/>
      <c r="GI755" s="682"/>
      <c r="GJ755" s="682"/>
      <c r="GK755" s="682"/>
      <c r="GL755" s="682"/>
      <c r="GM755" s="682"/>
      <c r="GN755" s="682"/>
      <c r="GO755" s="682"/>
      <c r="GP755" s="682"/>
      <c r="GQ755" s="682"/>
      <c r="GR755" s="682"/>
      <c r="GS755" s="682"/>
      <c r="GT755" s="682"/>
      <c r="GU755" s="682"/>
      <c r="GV755" s="682"/>
      <c r="GW755" s="682"/>
      <c r="GX755" s="682"/>
      <c r="GY755" s="682"/>
      <c r="GZ755" s="682"/>
      <c r="HA755" s="682"/>
      <c r="HB755" s="682"/>
      <c r="HC755" s="682"/>
      <c r="HD755" s="682"/>
      <c r="HE755" s="682"/>
      <c r="HF755" s="682"/>
      <c r="HG755" s="682"/>
      <c r="HH755" s="682"/>
      <c r="HI755" s="682"/>
      <c r="HJ755" s="682"/>
      <c r="HK755" s="682"/>
      <c r="HL755" s="682"/>
      <c r="HM755" s="682"/>
      <c r="HN755" s="682"/>
      <c r="HO755" s="682"/>
      <c r="HP755" s="682"/>
      <c r="HQ755" s="682"/>
      <c r="HR755" s="682"/>
      <c r="HS755" s="682"/>
      <c r="HT755" s="682"/>
      <c r="HU755" s="682"/>
      <c r="HV755" s="682"/>
      <c r="HW755" s="682"/>
      <c r="HX755" s="682"/>
      <c r="HY755" s="682"/>
      <c r="HZ755" s="682"/>
      <c r="IA755" s="682"/>
      <c r="IB755" s="682"/>
      <c r="IC755" s="682"/>
      <c r="ID755" s="682"/>
      <c r="IE755" s="682"/>
      <c r="IF755" s="682"/>
      <c r="IG755" s="682"/>
      <c r="IH755" s="682"/>
      <c r="II755" s="682"/>
      <c r="IJ755" s="682"/>
      <c r="IK755" s="682"/>
      <c r="IL755" s="682"/>
      <c r="IM755" s="682"/>
      <c r="IN755" s="682"/>
      <c r="IO755" s="682"/>
      <c r="IP755" s="682"/>
      <c r="IQ755" s="682"/>
      <c r="IR755" s="682"/>
      <c r="IS755" s="682"/>
      <c r="IT755" s="682"/>
      <c r="IU755" s="682"/>
      <c r="IV755" s="682"/>
      <c r="IW755" s="682"/>
    </row>
    <row r="756" spans="1:257" s="681" customFormat="1">
      <c r="A756" s="713"/>
      <c r="B756" s="684" t="s">
        <v>1351</v>
      </c>
      <c r="C756" s="713"/>
      <c r="D756" s="713"/>
      <c r="E756" s="725"/>
      <c r="F756" s="725"/>
      <c r="G756" s="725"/>
      <c r="H756" s="725"/>
      <c r="I756" s="725"/>
      <c r="J756" s="725"/>
      <c r="K756" s="725">
        <v>90000000</v>
      </c>
      <c r="L756" s="1311">
        <f>(262000000+((0.3*2340000*12-0.3*1490000*12)*3*12))</f>
        <v>372160000</v>
      </c>
      <c r="M756" s="669"/>
      <c r="N756" s="868">
        <f>0.3*2340000*12</f>
        <v>8424000</v>
      </c>
      <c r="O756" s="868"/>
      <c r="P756" s="868"/>
      <c r="Q756" s="868"/>
      <c r="R756" s="871"/>
      <c r="S756" s="871"/>
      <c r="T756" s="824"/>
      <c r="U756" s="726"/>
      <c r="V756" s="727"/>
      <c r="W756" s="727"/>
      <c r="X756" s="728"/>
      <c r="Y756" s="682"/>
      <c r="Z756" s="682"/>
      <c r="AA756" s="682"/>
      <c r="AB756" s="682"/>
      <c r="AC756" s="682"/>
      <c r="AD756" s="682"/>
      <c r="AE756" s="682"/>
      <c r="AF756" s="682"/>
      <c r="AG756" s="682"/>
      <c r="AH756" s="682"/>
      <c r="AI756" s="682"/>
      <c r="AJ756" s="682"/>
      <c r="AK756" s="682"/>
      <c r="AL756" s="682"/>
      <c r="AM756" s="682"/>
      <c r="AN756" s="682"/>
      <c r="AO756" s="682"/>
      <c r="AP756" s="682"/>
      <c r="AQ756" s="682"/>
      <c r="AR756" s="682"/>
      <c r="AS756" s="682"/>
      <c r="AT756" s="682"/>
      <c r="AU756" s="682"/>
      <c r="AV756" s="682"/>
      <c r="AW756" s="682"/>
      <c r="AX756" s="682"/>
      <c r="AY756" s="682"/>
      <c r="AZ756" s="682"/>
      <c r="BA756" s="682"/>
      <c r="BB756" s="682"/>
      <c r="BC756" s="682"/>
      <c r="BD756" s="682"/>
      <c r="BE756" s="682"/>
      <c r="BF756" s="682"/>
      <c r="BG756" s="682"/>
      <c r="BH756" s="682"/>
      <c r="BI756" s="682"/>
      <c r="BJ756" s="682"/>
      <c r="BK756" s="682"/>
      <c r="BL756" s="682"/>
      <c r="BM756" s="682"/>
      <c r="BN756" s="682"/>
      <c r="BO756" s="682"/>
      <c r="BP756" s="682"/>
      <c r="BQ756" s="682"/>
      <c r="BR756" s="682"/>
      <c r="BS756" s="682"/>
      <c r="BT756" s="682"/>
      <c r="BU756" s="682"/>
      <c r="BV756" s="682"/>
      <c r="BW756" s="682"/>
      <c r="BX756" s="682"/>
      <c r="BY756" s="682"/>
      <c r="BZ756" s="682"/>
      <c r="CA756" s="682"/>
      <c r="CB756" s="682"/>
      <c r="CC756" s="682"/>
      <c r="CD756" s="682"/>
      <c r="CE756" s="682"/>
      <c r="CF756" s="682"/>
      <c r="CG756" s="682"/>
      <c r="CH756" s="682"/>
      <c r="CI756" s="682"/>
      <c r="CJ756" s="682"/>
      <c r="CK756" s="682"/>
      <c r="CL756" s="682"/>
      <c r="CM756" s="682"/>
      <c r="CN756" s="682"/>
      <c r="CO756" s="682"/>
      <c r="CP756" s="682"/>
      <c r="CQ756" s="682"/>
      <c r="CR756" s="682"/>
      <c r="CS756" s="682"/>
      <c r="CT756" s="682"/>
      <c r="CU756" s="682"/>
      <c r="CV756" s="682"/>
      <c r="CW756" s="682"/>
      <c r="CX756" s="682"/>
      <c r="CY756" s="682"/>
      <c r="CZ756" s="682"/>
      <c r="DA756" s="682"/>
      <c r="DB756" s="682"/>
      <c r="DC756" s="682"/>
      <c r="DD756" s="682"/>
      <c r="DE756" s="682"/>
      <c r="DF756" s="682"/>
      <c r="DG756" s="682"/>
      <c r="DH756" s="682"/>
      <c r="DI756" s="682"/>
      <c r="DJ756" s="682"/>
      <c r="DK756" s="682"/>
      <c r="DL756" s="682"/>
      <c r="DM756" s="682"/>
      <c r="DN756" s="682"/>
      <c r="DO756" s="682"/>
      <c r="DP756" s="682"/>
      <c r="DQ756" s="682"/>
      <c r="DR756" s="682"/>
      <c r="DS756" s="682"/>
      <c r="DT756" s="682"/>
      <c r="DU756" s="682"/>
      <c r="DV756" s="682"/>
      <c r="DW756" s="682"/>
      <c r="DX756" s="682"/>
      <c r="DY756" s="682"/>
      <c r="DZ756" s="682"/>
      <c r="EA756" s="682"/>
      <c r="EB756" s="682"/>
      <c r="EC756" s="682"/>
      <c r="ED756" s="682"/>
      <c r="EE756" s="682"/>
      <c r="EF756" s="682"/>
      <c r="EG756" s="682"/>
      <c r="EH756" s="682"/>
      <c r="EI756" s="682"/>
      <c r="EJ756" s="682"/>
      <c r="EK756" s="682"/>
      <c r="EL756" s="682"/>
      <c r="EM756" s="682"/>
      <c r="EN756" s="682"/>
      <c r="EO756" s="682"/>
      <c r="EP756" s="682"/>
      <c r="EQ756" s="682"/>
      <c r="ER756" s="682"/>
      <c r="ES756" s="682"/>
      <c r="ET756" s="682"/>
      <c r="EU756" s="682"/>
      <c r="EV756" s="682"/>
      <c r="EW756" s="682"/>
      <c r="EX756" s="682"/>
      <c r="EY756" s="682"/>
      <c r="EZ756" s="682"/>
      <c r="FA756" s="682"/>
      <c r="FB756" s="682"/>
      <c r="FC756" s="682"/>
      <c r="FD756" s="682"/>
      <c r="FE756" s="682"/>
      <c r="FF756" s="682"/>
      <c r="FG756" s="682"/>
      <c r="FH756" s="682"/>
      <c r="FI756" s="682"/>
      <c r="FJ756" s="682"/>
      <c r="FK756" s="682"/>
      <c r="FL756" s="682"/>
      <c r="FM756" s="682"/>
      <c r="FN756" s="682"/>
      <c r="FO756" s="682"/>
      <c r="FP756" s="682"/>
      <c r="FQ756" s="682"/>
      <c r="FR756" s="682"/>
      <c r="FS756" s="682"/>
      <c r="FT756" s="682"/>
      <c r="FU756" s="682"/>
      <c r="FV756" s="682"/>
      <c r="FW756" s="682"/>
      <c r="FX756" s="682"/>
      <c r="FY756" s="682"/>
      <c r="FZ756" s="682"/>
      <c r="GA756" s="682"/>
      <c r="GB756" s="682"/>
      <c r="GC756" s="682"/>
      <c r="GD756" s="682"/>
      <c r="GE756" s="682"/>
      <c r="GF756" s="682"/>
      <c r="GG756" s="682"/>
      <c r="GH756" s="682"/>
      <c r="GI756" s="682"/>
      <c r="GJ756" s="682"/>
      <c r="GK756" s="682"/>
      <c r="GL756" s="682"/>
      <c r="GM756" s="682"/>
      <c r="GN756" s="682"/>
      <c r="GO756" s="682"/>
      <c r="GP756" s="682"/>
      <c r="GQ756" s="682"/>
      <c r="GR756" s="682"/>
      <c r="GS756" s="682"/>
      <c r="GT756" s="682"/>
      <c r="GU756" s="682"/>
      <c r="GV756" s="682"/>
      <c r="GW756" s="682"/>
      <c r="GX756" s="682"/>
      <c r="GY756" s="682"/>
      <c r="GZ756" s="682"/>
      <c r="HA756" s="682"/>
      <c r="HB756" s="682"/>
      <c r="HC756" s="682"/>
      <c r="HD756" s="682"/>
      <c r="HE756" s="682"/>
      <c r="HF756" s="682"/>
      <c r="HG756" s="682"/>
      <c r="HH756" s="682"/>
      <c r="HI756" s="682"/>
      <c r="HJ756" s="682"/>
      <c r="HK756" s="682"/>
      <c r="HL756" s="682"/>
      <c r="HM756" s="682"/>
      <c r="HN756" s="682"/>
      <c r="HO756" s="682"/>
      <c r="HP756" s="682"/>
      <c r="HQ756" s="682"/>
      <c r="HR756" s="682"/>
      <c r="HS756" s="682"/>
      <c r="HT756" s="682"/>
      <c r="HU756" s="682"/>
      <c r="HV756" s="682"/>
      <c r="HW756" s="682"/>
      <c r="HX756" s="682"/>
      <c r="HY756" s="682"/>
      <c r="HZ756" s="682"/>
      <c r="IA756" s="682"/>
      <c r="IB756" s="682"/>
      <c r="IC756" s="682"/>
      <c r="ID756" s="682"/>
      <c r="IE756" s="682"/>
      <c r="IF756" s="682"/>
      <c r="IG756" s="682"/>
      <c r="IH756" s="682"/>
      <c r="II756" s="682"/>
      <c r="IJ756" s="682"/>
      <c r="IK756" s="682"/>
      <c r="IL756" s="682"/>
      <c r="IM756" s="682"/>
      <c r="IN756" s="682"/>
      <c r="IO756" s="682"/>
      <c r="IP756" s="682"/>
      <c r="IQ756" s="682"/>
      <c r="IR756" s="682"/>
      <c r="IS756" s="682"/>
      <c r="IT756" s="682"/>
      <c r="IU756" s="682"/>
      <c r="IV756" s="682"/>
      <c r="IW756" s="682"/>
    </row>
    <row r="757" spans="1:257" s="681" customFormat="1">
      <c r="A757" s="713"/>
      <c r="B757" s="684" t="s">
        <v>1350</v>
      </c>
      <c r="C757" s="713"/>
      <c r="D757" s="713"/>
      <c r="E757" s="725"/>
      <c r="F757" s="725"/>
      <c r="G757" s="725"/>
      <c r="H757" s="725"/>
      <c r="I757" s="725"/>
      <c r="J757" s="725"/>
      <c r="K757" s="725"/>
      <c r="L757" s="1311">
        <f>L756-L786</f>
        <v>209360000</v>
      </c>
      <c r="M757" s="669"/>
      <c r="N757" s="868">
        <f>(N756-N755)*3*12</f>
        <v>110160000</v>
      </c>
      <c r="O757" s="868"/>
      <c r="P757" s="868"/>
      <c r="Q757" s="868"/>
      <c r="R757" s="871"/>
      <c r="S757" s="871"/>
      <c r="T757" s="824"/>
      <c r="U757" s="726"/>
      <c r="V757" s="727"/>
      <c r="W757" s="727"/>
      <c r="X757" s="728"/>
      <c r="Y757" s="682"/>
      <c r="Z757" s="682"/>
      <c r="AA757" s="682"/>
      <c r="AB757" s="682"/>
      <c r="AC757" s="682"/>
      <c r="AD757" s="682"/>
      <c r="AE757" s="682"/>
      <c r="AF757" s="682"/>
      <c r="AG757" s="682"/>
      <c r="AH757" s="682"/>
      <c r="AI757" s="682"/>
      <c r="AJ757" s="682"/>
      <c r="AK757" s="682"/>
      <c r="AL757" s="682"/>
      <c r="AM757" s="682"/>
      <c r="AN757" s="682"/>
      <c r="AO757" s="682"/>
      <c r="AP757" s="682"/>
      <c r="AQ757" s="682"/>
      <c r="AR757" s="682"/>
      <c r="AS757" s="682"/>
      <c r="AT757" s="682"/>
      <c r="AU757" s="682"/>
      <c r="AV757" s="682"/>
      <c r="AW757" s="682"/>
      <c r="AX757" s="682"/>
      <c r="AY757" s="682"/>
      <c r="AZ757" s="682"/>
      <c r="BA757" s="682"/>
      <c r="BB757" s="682"/>
      <c r="BC757" s="682"/>
      <c r="BD757" s="682"/>
      <c r="BE757" s="682"/>
      <c r="BF757" s="682"/>
      <c r="BG757" s="682"/>
      <c r="BH757" s="682"/>
      <c r="BI757" s="682"/>
      <c r="BJ757" s="682"/>
      <c r="BK757" s="682"/>
      <c r="BL757" s="682"/>
      <c r="BM757" s="682"/>
      <c r="BN757" s="682"/>
      <c r="BO757" s="682"/>
      <c r="BP757" s="682"/>
      <c r="BQ757" s="682"/>
      <c r="BR757" s="682"/>
      <c r="BS757" s="682"/>
      <c r="BT757" s="682"/>
      <c r="BU757" s="682"/>
      <c r="BV757" s="682"/>
      <c r="BW757" s="682"/>
      <c r="BX757" s="682"/>
      <c r="BY757" s="682"/>
      <c r="BZ757" s="682"/>
      <c r="CA757" s="682"/>
      <c r="CB757" s="682"/>
      <c r="CC757" s="682"/>
      <c r="CD757" s="682"/>
      <c r="CE757" s="682"/>
      <c r="CF757" s="682"/>
      <c r="CG757" s="682"/>
      <c r="CH757" s="682"/>
      <c r="CI757" s="682"/>
      <c r="CJ757" s="682"/>
      <c r="CK757" s="682"/>
      <c r="CL757" s="682"/>
      <c r="CM757" s="682"/>
      <c r="CN757" s="682"/>
      <c r="CO757" s="682"/>
      <c r="CP757" s="682"/>
      <c r="CQ757" s="682"/>
      <c r="CR757" s="682"/>
      <c r="CS757" s="682"/>
      <c r="CT757" s="682"/>
      <c r="CU757" s="682"/>
      <c r="CV757" s="682"/>
      <c r="CW757" s="682"/>
      <c r="CX757" s="682"/>
      <c r="CY757" s="682"/>
      <c r="CZ757" s="682"/>
      <c r="DA757" s="682"/>
      <c r="DB757" s="682"/>
      <c r="DC757" s="682"/>
      <c r="DD757" s="682"/>
      <c r="DE757" s="682"/>
      <c r="DF757" s="682"/>
      <c r="DG757" s="682"/>
      <c r="DH757" s="682"/>
      <c r="DI757" s="682"/>
      <c r="DJ757" s="682"/>
      <c r="DK757" s="682"/>
      <c r="DL757" s="682"/>
      <c r="DM757" s="682"/>
      <c r="DN757" s="682"/>
      <c r="DO757" s="682"/>
      <c r="DP757" s="682"/>
      <c r="DQ757" s="682"/>
      <c r="DR757" s="682"/>
      <c r="DS757" s="682"/>
      <c r="DT757" s="682"/>
      <c r="DU757" s="682"/>
      <c r="DV757" s="682"/>
      <c r="DW757" s="682"/>
      <c r="DX757" s="682"/>
      <c r="DY757" s="682"/>
      <c r="DZ757" s="682"/>
      <c r="EA757" s="682"/>
      <c r="EB757" s="682"/>
      <c r="EC757" s="682"/>
      <c r="ED757" s="682"/>
      <c r="EE757" s="682"/>
      <c r="EF757" s="682"/>
      <c r="EG757" s="682"/>
      <c r="EH757" s="682"/>
      <c r="EI757" s="682"/>
      <c r="EJ757" s="682"/>
      <c r="EK757" s="682"/>
      <c r="EL757" s="682"/>
      <c r="EM757" s="682"/>
      <c r="EN757" s="682"/>
      <c r="EO757" s="682"/>
      <c r="EP757" s="682"/>
      <c r="EQ757" s="682"/>
      <c r="ER757" s="682"/>
      <c r="ES757" s="682"/>
      <c r="ET757" s="682"/>
      <c r="EU757" s="682"/>
      <c r="EV757" s="682"/>
      <c r="EW757" s="682"/>
      <c r="EX757" s="682"/>
      <c r="EY757" s="682"/>
      <c r="EZ757" s="682"/>
      <c r="FA757" s="682"/>
      <c r="FB757" s="682"/>
      <c r="FC757" s="682"/>
      <c r="FD757" s="682"/>
      <c r="FE757" s="682"/>
      <c r="FF757" s="682"/>
      <c r="FG757" s="682"/>
      <c r="FH757" s="682"/>
      <c r="FI757" s="682"/>
      <c r="FJ757" s="682"/>
      <c r="FK757" s="682"/>
      <c r="FL757" s="682"/>
      <c r="FM757" s="682"/>
      <c r="FN757" s="682"/>
      <c r="FO757" s="682"/>
      <c r="FP757" s="682"/>
      <c r="FQ757" s="682"/>
      <c r="FR757" s="682"/>
      <c r="FS757" s="682"/>
      <c r="FT757" s="682"/>
      <c r="FU757" s="682"/>
      <c r="FV757" s="682"/>
      <c r="FW757" s="682"/>
      <c r="FX757" s="682"/>
      <c r="FY757" s="682"/>
      <c r="FZ757" s="682"/>
      <c r="GA757" s="682"/>
      <c r="GB757" s="682"/>
      <c r="GC757" s="682"/>
      <c r="GD757" s="682"/>
      <c r="GE757" s="682"/>
      <c r="GF757" s="682"/>
      <c r="GG757" s="682"/>
      <c r="GH757" s="682"/>
      <c r="GI757" s="682"/>
      <c r="GJ757" s="682"/>
      <c r="GK757" s="682"/>
      <c r="GL757" s="682"/>
      <c r="GM757" s="682"/>
      <c r="GN757" s="682"/>
      <c r="GO757" s="682"/>
      <c r="GP757" s="682"/>
      <c r="GQ757" s="682"/>
      <c r="GR757" s="682"/>
      <c r="GS757" s="682"/>
      <c r="GT757" s="682"/>
      <c r="GU757" s="682"/>
      <c r="GV757" s="682"/>
      <c r="GW757" s="682"/>
      <c r="GX757" s="682"/>
      <c r="GY757" s="682"/>
      <c r="GZ757" s="682"/>
      <c r="HA757" s="682"/>
      <c r="HB757" s="682"/>
      <c r="HC757" s="682"/>
      <c r="HD757" s="682"/>
      <c r="HE757" s="682"/>
      <c r="HF757" s="682"/>
      <c r="HG757" s="682"/>
      <c r="HH757" s="682"/>
      <c r="HI757" s="682"/>
      <c r="HJ757" s="682"/>
      <c r="HK757" s="682"/>
      <c r="HL757" s="682"/>
      <c r="HM757" s="682"/>
      <c r="HN757" s="682"/>
      <c r="HO757" s="682"/>
      <c r="HP757" s="682"/>
      <c r="HQ757" s="682"/>
      <c r="HR757" s="682"/>
      <c r="HS757" s="682"/>
      <c r="HT757" s="682"/>
      <c r="HU757" s="682"/>
      <c r="HV757" s="682"/>
      <c r="HW757" s="682"/>
      <c r="HX757" s="682"/>
      <c r="HY757" s="682"/>
      <c r="HZ757" s="682"/>
      <c r="IA757" s="682"/>
      <c r="IB757" s="682"/>
      <c r="IC757" s="682"/>
      <c r="ID757" s="682"/>
      <c r="IE757" s="682"/>
      <c r="IF757" s="682"/>
      <c r="IG757" s="682"/>
      <c r="IH757" s="682"/>
      <c r="II757" s="682"/>
      <c r="IJ757" s="682"/>
      <c r="IK757" s="682"/>
      <c r="IL757" s="682"/>
      <c r="IM757" s="682"/>
      <c r="IN757" s="682"/>
      <c r="IO757" s="682"/>
      <c r="IP757" s="682"/>
      <c r="IQ757" s="682"/>
      <c r="IR757" s="682"/>
      <c r="IS757" s="682"/>
      <c r="IT757" s="682"/>
      <c r="IU757" s="682"/>
      <c r="IV757" s="682"/>
      <c r="IW757" s="682"/>
    </row>
    <row r="758" spans="1:257" s="621" customFormat="1">
      <c r="A758" s="713" t="s">
        <v>258</v>
      </c>
      <c r="B758" s="936" t="s">
        <v>256</v>
      </c>
      <c r="C758" s="713"/>
      <c r="D758" s="713"/>
      <c r="E758" s="725"/>
      <c r="F758" s="725">
        <f>(C755*E755)</f>
        <v>81000000</v>
      </c>
      <c r="G758" s="700"/>
      <c r="H758" s="700"/>
      <c r="I758" s="700"/>
      <c r="J758" s="725">
        <v>81000000</v>
      </c>
      <c r="K758" s="725">
        <f>4*27000000</f>
        <v>108000000</v>
      </c>
      <c r="L758" s="1311">
        <f>4*27000000</f>
        <v>108000000</v>
      </c>
      <c r="M758" s="669" t="s">
        <v>1124</v>
      </c>
      <c r="N758" s="868">
        <f>L756-N757</f>
        <v>262000000</v>
      </c>
      <c r="O758" s="868"/>
      <c r="P758" s="820"/>
      <c r="Q758" s="820"/>
      <c r="R758" s="871"/>
      <c r="S758" s="871"/>
      <c r="T758" s="824"/>
      <c r="U758" s="726"/>
      <c r="V758" s="727"/>
      <c r="W758" s="722"/>
      <c r="X758" s="723"/>
      <c r="Y758" s="724"/>
      <c r="Z758" s="724"/>
      <c r="AA758" s="724"/>
      <c r="AB758" s="724"/>
      <c r="AC758" s="724"/>
      <c r="AD758" s="724"/>
      <c r="AE758" s="724"/>
      <c r="AF758" s="724"/>
      <c r="AG758" s="724"/>
      <c r="AH758" s="724"/>
      <c r="AI758" s="724"/>
      <c r="AJ758" s="724"/>
      <c r="AK758" s="724"/>
      <c r="AL758" s="724"/>
      <c r="AM758" s="724"/>
      <c r="AN758" s="724"/>
      <c r="AO758" s="724"/>
      <c r="AP758" s="724"/>
      <c r="AQ758" s="724"/>
      <c r="AR758" s="724"/>
      <c r="AS758" s="724"/>
      <c r="AT758" s="724"/>
      <c r="AU758" s="724"/>
      <c r="AV758" s="724"/>
      <c r="AW758" s="724"/>
      <c r="AX758" s="724"/>
      <c r="AY758" s="724"/>
      <c r="AZ758" s="724"/>
      <c r="BA758" s="724"/>
      <c r="BB758" s="724"/>
      <c r="BC758" s="724"/>
      <c r="BD758" s="724"/>
      <c r="BE758" s="724"/>
      <c r="BF758" s="724"/>
      <c r="BG758" s="724"/>
      <c r="BH758" s="724"/>
      <c r="BI758" s="724"/>
      <c r="BJ758" s="724"/>
      <c r="BK758" s="724"/>
      <c r="BL758" s="724"/>
      <c r="BM758" s="724"/>
      <c r="BN758" s="724"/>
      <c r="BO758" s="724"/>
      <c r="BP758" s="724"/>
      <c r="BQ758" s="724"/>
      <c r="BR758" s="724"/>
      <c r="BS758" s="724"/>
      <c r="BT758" s="724"/>
      <c r="BU758" s="724"/>
      <c r="BV758" s="724"/>
      <c r="BW758" s="724"/>
      <c r="BX758" s="724"/>
      <c r="BY758" s="724"/>
      <c r="BZ758" s="724"/>
      <c r="CA758" s="724"/>
      <c r="CB758" s="724"/>
      <c r="CC758" s="724"/>
      <c r="CD758" s="724"/>
      <c r="CE758" s="724"/>
      <c r="CF758" s="724"/>
      <c r="CG758" s="724"/>
      <c r="CH758" s="724"/>
      <c r="CI758" s="724"/>
      <c r="CJ758" s="724"/>
      <c r="CK758" s="724"/>
      <c r="CL758" s="724"/>
      <c r="CM758" s="724"/>
      <c r="CN758" s="724"/>
      <c r="CO758" s="724"/>
      <c r="CP758" s="724"/>
      <c r="CQ758" s="724"/>
      <c r="CR758" s="724"/>
      <c r="CS758" s="724"/>
      <c r="CT758" s="724"/>
      <c r="CU758" s="724"/>
      <c r="CV758" s="724"/>
      <c r="CW758" s="724"/>
      <c r="CX758" s="724"/>
      <c r="CY758" s="724"/>
      <c r="CZ758" s="724"/>
      <c r="DA758" s="724"/>
      <c r="DB758" s="724"/>
      <c r="DC758" s="724"/>
      <c r="DD758" s="724"/>
      <c r="DE758" s="724"/>
      <c r="DF758" s="724"/>
      <c r="DG758" s="724"/>
      <c r="DH758" s="724"/>
      <c r="DI758" s="724"/>
      <c r="DJ758" s="724"/>
      <c r="DK758" s="724"/>
      <c r="DL758" s="724"/>
      <c r="DM758" s="724"/>
      <c r="DN758" s="724"/>
      <c r="DO758" s="724"/>
      <c r="DP758" s="724"/>
      <c r="DQ758" s="724"/>
      <c r="DR758" s="724"/>
      <c r="DS758" s="724"/>
      <c r="DT758" s="724"/>
      <c r="DU758" s="724"/>
      <c r="DV758" s="724"/>
      <c r="DW758" s="724"/>
      <c r="DX758" s="724"/>
      <c r="DY758" s="724"/>
      <c r="DZ758" s="724"/>
      <c r="EA758" s="724"/>
      <c r="EB758" s="724"/>
      <c r="EC758" s="724"/>
      <c r="ED758" s="724"/>
      <c r="EE758" s="724"/>
      <c r="EF758" s="724"/>
      <c r="EG758" s="724"/>
      <c r="EH758" s="724"/>
      <c r="EI758" s="724"/>
      <c r="EJ758" s="724"/>
      <c r="EK758" s="724"/>
      <c r="EL758" s="724"/>
      <c r="EM758" s="724"/>
      <c r="EN758" s="724"/>
      <c r="EO758" s="724"/>
      <c r="EP758" s="724"/>
      <c r="EQ758" s="724"/>
      <c r="ER758" s="724"/>
      <c r="ES758" s="724"/>
      <c r="ET758" s="724"/>
      <c r="EU758" s="724"/>
      <c r="EV758" s="724"/>
      <c r="EW758" s="724"/>
      <c r="EX758" s="724"/>
      <c r="EY758" s="724"/>
      <c r="EZ758" s="724"/>
      <c r="FA758" s="724"/>
      <c r="FB758" s="724"/>
      <c r="FC758" s="724"/>
      <c r="FD758" s="724"/>
      <c r="FE758" s="724"/>
      <c r="FF758" s="724"/>
      <c r="FG758" s="724"/>
      <c r="FH758" s="724"/>
      <c r="FI758" s="724"/>
      <c r="FJ758" s="724"/>
      <c r="FK758" s="724"/>
      <c r="FL758" s="724"/>
      <c r="FM758" s="724"/>
      <c r="FN758" s="724"/>
      <c r="FO758" s="724"/>
      <c r="FP758" s="724"/>
      <c r="FQ758" s="724"/>
      <c r="FR758" s="724"/>
      <c r="FS758" s="724"/>
      <c r="FT758" s="724"/>
      <c r="FU758" s="724"/>
      <c r="FV758" s="724"/>
      <c r="FW758" s="724"/>
      <c r="FX758" s="724"/>
      <c r="FY758" s="724"/>
      <c r="FZ758" s="724"/>
      <c r="GA758" s="724"/>
      <c r="GB758" s="724"/>
      <c r="GC758" s="724"/>
      <c r="GD758" s="724"/>
      <c r="GE758" s="724"/>
      <c r="GF758" s="724"/>
      <c r="GG758" s="724"/>
      <c r="GH758" s="724"/>
      <c r="GI758" s="724"/>
      <c r="GJ758" s="724"/>
      <c r="GK758" s="724"/>
      <c r="GL758" s="724"/>
      <c r="GM758" s="724"/>
      <c r="GN758" s="724"/>
      <c r="GO758" s="724"/>
      <c r="GP758" s="724"/>
      <c r="GQ758" s="724"/>
      <c r="GR758" s="724"/>
      <c r="GS758" s="724"/>
      <c r="GT758" s="724"/>
      <c r="GU758" s="724"/>
      <c r="GV758" s="724"/>
      <c r="GW758" s="724"/>
      <c r="GX758" s="724"/>
      <c r="GY758" s="724"/>
      <c r="GZ758" s="724"/>
      <c r="HA758" s="724"/>
      <c r="HB758" s="724"/>
      <c r="HC758" s="724"/>
      <c r="HD758" s="724"/>
      <c r="HE758" s="724"/>
      <c r="HF758" s="724"/>
      <c r="HG758" s="724"/>
      <c r="HH758" s="724"/>
      <c r="HI758" s="724"/>
      <c r="HJ758" s="724"/>
      <c r="HK758" s="724"/>
      <c r="HL758" s="724"/>
      <c r="HM758" s="724"/>
      <c r="HN758" s="724"/>
      <c r="HO758" s="724"/>
      <c r="HP758" s="724"/>
      <c r="HQ758" s="724"/>
      <c r="HR758" s="724"/>
      <c r="HS758" s="724"/>
      <c r="HT758" s="724"/>
      <c r="HU758" s="724"/>
      <c r="HV758" s="724"/>
      <c r="HW758" s="724"/>
      <c r="HX758" s="724"/>
      <c r="HY758" s="724"/>
      <c r="HZ758" s="724"/>
      <c r="IA758" s="724"/>
      <c r="IB758" s="724"/>
      <c r="IC758" s="724"/>
      <c r="ID758" s="724"/>
      <c r="IE758" s="724"/>
      <c r="IF758" s="724"/>
      <c r="IG758" s="724"/>
      <c r="IH758" s="724"/>
      <c r="II758" s="724"/>
      <c r="IJ758" s="724"/>
      <c r="IK758" s="724"/>
      <c r="IL758" s="724"/>
      <c r="IM758" s="724"/>
      <c r="IN758" s="724"/>
      <c r="IO758" s="724"/>
      <c r="IP758" s="724"/>
      <c r="IQ758" s="724"/>
      <c r="IR758" s="724"/>
      <c r="IS758" s="724"/>
      <c r="IT758" s="724"/>
      <c r="IU758" s="724"/>
      <c r="IV758" s="724"/>
      <c r="IW758" s="724"/>
    </row>
    <row r="759" spans="1:257" s="682" customFormat="1">
      <c r="A759" s="589" t="s">
        <v>225</v>
      </c>
      <c r="B759" s="804" t="s">
        <v>257</v>
      </c>
      <c r="C759" s="589"/>
      <c r="D759" s="589"/>
      <c r="E759" s="704"/>
      <c r="F759" s="805">
        <f>SUM(F760:F785)</f>
        <v>1270000000</v>
      </c>
      <c r="G759" s="805">
        <f>SUM(G760:G785)</f>
        <v>37000000</v>
      </c>
      <c r="H759" s="805">
        <f>SUM(H760:H785)</f>
        <v>0</v>
      </c>
      <c r="I759" s="805">
        <f>SUM(I760:I785)</f>
        <v>0</v>
      </c>
      <c r="J759" s="805">
        <f>J760+J761+J762+J764+J767+SUM(J768:J785)</f>
        <v>1505100000</v>
      </c>
      <c r="K759" s="805">
        <f>K760+K761+K762+K764+K767+SUM(K768:K785)</f>
        <v>1600000000</v>
      </c>
      <c r="L759" s="1312">
        <f>L760+L761+L762+L764+L767+SUM(L768:L785)+L763</f>
        <v>1629700000</v>
      </c>
      <c r="M759" s="603"/>
      <c r="N759" s="835">
        <f>L752-'Văn hóa và TT V'!F16</f>
        <v>0</v>
      </c>
      <c r="O759" s="835"/>
      <c r="P759" s="890"/>
      <c r="Q759" s="890"/>
      <c r="R759" s="908"/>
      <c r="S759" s="900"/>
      <c r="T759" s="822"/>
      <c r="U759" s="580"/>
      <c r="V759" s="722"/>
      <c r="W759" s="727"/>
      <c r="X759" s="728"/>
    </row>
    <row r="760" spans="1:257" s="682" customFormat="1">
      <c r="A760" s="683" t="s">
        <v>258</v>
      </c>
      <c r="B760" s="711" t="s">
        <v>432</v>
      </c>
      <c r="C760" s="635"/>
      <c r="D760" s="635"/>
      <c r="E760" s="651"/>
      <c r="F760" s="669">
        <v>30000000</v>
      </c>
      <c r="G760" s="669"/>
      <c r="H760" s="669"/>
      <c r="I760" s="669"/>
      <c r="J760" s="669">
        <v>30000000</v>
      </c>
      <c r="K760" s="669">
        <v>36000000</v>
      </c>
      <c r="L760" s="1306">
        <v>36000000</v>
      </c>
      <c r="M760" s="669"/>
      <c r="N760" s="837"/>
      <c r="O760" s="837"/>
      <c r="P760" s="837"/>
      <c r="Q760" s="837"/>
      <c r="R760" s="908"/>
      <c r="S760" s="900"/>
      <c r="T760" s="822"/>
      <c r="U760" s="580"/>
      <c r="V760" s="680"/>
      <c r="W760" s="727"/>
      <c r="X760" s="728"/>
    </row>
    <row r="761" spans="1:257" s="682" customFormat="1" ht="32.25" customHeight="1">
      <c r="A761" s="683" t="s">
        <v>258</v>
      </c>
      <c r="B761" s="711" t="s">
        <v>1125</v>
      </c>
      <c r="C761" s="635"/>
      <c r="D761" s="635"/>
      <c r="E761" s="651"/>
      <c r="F761" s="669">
        <v>33600000</v>
      </c>
      <c r="G761" s="669"/>
      <c r="H761" s="669"/>
      <c r="I761" s="669"/>
      <c r="J761" s="669">
        <v>33600000</v>
      </c>
      <c r="K761" s="669">
        <v>34000000</v>
      </c>
      <c r="L761" s="1306">
        <v>34000000</v>
      </c>
      <c r="M761" s="669"/>
      <c r="N761" s="837"/>
      <c r="O761" s="837"/>
      <c r="P761" s="837"/>
      <c r="Q761" s="837"/>
      <c r="R761" s="908"/>
      <c r="S761" s="900"/>
      <c r="T761" s="822"/>
      <c r="U761" s="577"/>
      <c r="V761" s="727"/>
      <c r="W761" s="727"/>
      <c r="X761" s="728"/>
    </row>
    <row r="762" spans="1:257" s="682" customFormat="1">
      <c r="A762" s="683" t="s">
        <v>258</v>
      </c>
      <c r="B762" s="696" t="s">
        <v>409</v>
      </c>
      <c r="C762" s="635"/>
      <c r="D762" s="635"/>
      <c r="E762" s="651"/>
      <c r="F762" s="669">
        <v>20000000</v>
      </c>
      <c r="G762" s="669"/>
      <c r="H762" s="669"/>
      <c r="I762" s="669"/>
      <c r="J762" s="669">
        <v>30000000</v>
      </c>
      <c r="K762" s="669">
        <v>35000000</v>
      </c>
      <c r="L762" s="1306">
        <v>15000000</v>
      </c>
      <c r="M762" s="669" t="s">
        <v>1356</v>
      </c>
      <c r="N762" s="837"/>
      <c r="O762" s="837"/>
      <c r="P762" s="837"/>
      <c r="Q762" s="837"/>
      <c r="R762" s="869"/>
      <c r="S762" s="891"/>
      <c r="T762" s="832"/>
      <c r="U762" s="577"/>
      <c r="V762" s="727"/>
      <c r="W762" s="680"/>
      <c r="X762" s="677"/>
      <c r="Y762" s="681"/>
      <c r="Z762" s="681"/>
      <c r="AA762" s="681"/>
      <c r="AB762" s="681"/>
      <c r="AC762" s="681"/>
      <c r="AD762" s="681"/>
      <c r="AE762" s="681"/>
      <c r="AF762" s="681"/>
      <c r="AG762" s="681"/>
      <c r="AH762" s="681"/>
      <c r="AI762" s="681"/>
      <c r="AJ762" s="681"/>
      <c r="AK762" s="681"/>
      <c r="AL762" s="681"/>
      <c r="AM762" s="681"/>
      <c r="AN762" s="681"/>
      <c r="AO762" s="681"/>
      <c r="AP762" s="681"/>
      <c r="AQ762" s="681"/>
      <c r="AR762" s="681"/>
      <c r="AS762" s="681"/>
      <c r="AT762" s="681"/>
      <c r="AU762" s="681"/>
      <c r="AV762" s="681"/>
      <c r="AW762" s="681"/>
      <c r="AX762" s="681"/>
      <c r="AY762" s="681"/>
      <c r="AZ762" s="681"/>
      <c r="BA762" s="681"/>
      <c r="BB762" s="681"/>
      <c r="BC762" s="681"/>
      <c r="BD762" s="681"/>
      <c r="BE762" s="681"/>
      <c r="BF762" s="681"/>
      <c r="BG762" s="681"/>
      <c r="BH762" s="681"/>
      <c r="BI762" s="681"/>
      <c r="BJ762" s="681"/>
      <c r="BK762" s="681"/>
      <c r="BL762" s="681"/>
      <c r="BM762" s="681"/>
      <c r="BN762" s="681"/>
      <c r="BO762" s="681"/>
      <c r="BP762" s="681"/>
      <c r="BQ762" s="681"/>
      <c r="BR762" s="681"/>
      <c r="BS762" s="681"/>
      <c r="BT762" s="681"/>
      <c r="BU762" s="681"/>
      <c r="BV762" s="681"/>
      <c r="BW762" s="681"/>
      <c r="BX762" s="681"/>
      <c r="BY762" s="681"/>
      <c r="BZ762" s="681"/>
      <c r="CA762" s="681"/>
      <c r="CB762" s="681"/>
      <c r="CC762" s="681"/>
      <c r="CD762" s="681"/>
      <c r="CE762" s="681"/>
      <c r="CF762" s="681"/>
      <c r="CG762" s="681"/>
      <c r="CH762" s="681"/>
      <c r="CI762" s="681"/>
      <c r="CJ762" s="681"/>
      <c r="CK762" s="681"/>
      <c r="CL762" s="681"/>
      <c r="CM762" s="681"/>
      <c r="CN762" s="681"/>
      <c r="CO762" s="681"/>
      <c r="CP762" s="681"/>
      <c r="CQ762" s="681"/>
      <c r="CR762" s="681"/>
      <c r="CS762" s="681"/>
      <c r="CT762" s="681"/>
      <c r="CU762" s="681"/>
      <c r="CV762" s="681"/>
      <c r="CW762" s="681"/>
      <c r="CX762" s="681"/>
      <c r="CY762" s="681"/>
      <c r="CZ762" s="681"/>
      <c r="DA762" s="681"/>
      <c r="DB762" s="681"/>
      <c r="DC762" s="681"/>
      <c r="DD762" s="681"/>
      <c r="DE762" s="681"/>
      <c r="DF762" s="681"/>
      <c r="DG762" s="681"/>
      <c r="DH762" s="681"/>
      <c r="DI762" s="681"/>
      <c r="DJ762" s="681"/>
      <c r="DK762" s="681"/>
      <c r="DL762" s="681"/>
      <c r="DM762" s="681"/>
      <c r="DN762" s="681"/>
      <c r="DO762" s="681"/>
      <c r="DP762" s="681"/>
      <c r="DQ762" s="681"/>
      <c r="DR762" s="681"/>
      <c r="DS762" s="681"/>
      <c r="DT762" s="681"/>
      <c r="DU762" s="681"/>
      <c r="DV762" s="681"/>
      <c r="DW762" s="681"/>
      <c r="DX762" s="681"/>
      <c r="DY762" s="681"/>
      <c r="DZ762" s="681"/>
      <c r="EA762" s="681"/>
      <c r="EB762" s="681"/>
      <c r="EC762" s="681"/>
      <c r="ED762" s="681"/>
      <c r="EE762" s="681"/>
      <c r="EF762" s="681"/>
      <c r="EG762" s="681"/>
      <c r="EH762" s="681"/>
      <c r="EI762" s="681"/>
      <c r="EJ762" s="681"/>
      <c r="EK762" s="681"/>
      <c r="EL762" s="681"/>
      <c r="EM762" s="681"/>
      <c r="EN762" s="681"/>
      <c r="EO762" s="681"/>
      <c r="EP762" s="681"/>
      <c r="EQ762" s="681"/>
      <c r="ER762" s="681"/>
      <c r="ES762" s="681"/>
      <c r="ET762" s="681"/>
      <c r="EU762" s="681"/>
      <c r="EV762" s="681"/>
      <c r="EW762" s="681"/>
      <c r="EX762" s="681"/>
      <c r="EY762" s="681"/>
      <c r="EZ762" s="681"/>
      <c r="FA762" s="681"/>
      <c r="FB762" s="681"/>
      <c r="FC762" s="681"/>
      <c r="FD762" s="681"/>
      <c r="FE762" s="681"/>
      <c r="FF762" s="681"/>
      <c r="FG762" s="681"/>
      <c r="FH762" s="681"/>
      <c r="FI762" s="681"/>
      <c r="FJ762" s="681"/>
      <c r="FK762" s="681"/>
      <c r="FL762" s="681"/>
      <c r="FM762" s="681"/>
      <c r="FN762" s="681"/>
      <c r="FO762" s="681"/>
      <c r="FP762" s="681"/>
      <c r="FQ762" s="681"/>
      <c r="FR762" s="681"/>
      <c r="FS762" s="681"/>
      <c r="FT762" s="681"/>
      <c r="FU762" s="681"/>
      <c r="FV762" s="681"/>
      <c r="FW762" s="681"/>
      <c r="FX762" s="681"/>
      <c r="FY762" s="681"/>
      <c r="FZ762" s="681"/>
      <c r="GA762" s="681"/>
      <c r="GB762" s="681"/>
      <c r="GC762" s="681"/>
      <c r="GD762" s="681"/>
      <c r="GE762" s="681"/>
      <c r="GF762" s="681"/>
      <c r="GG762" s="681"/>
      <c r="GH762" s="681"/>
      <c r="GI762" s="681"/>
      <c r="GJ762" s="681"/>
      <c r="GK762" s="681"/>
      <c r="GL762" s="681"/>
      <c r="GM762" s="681"/>
      <c r="GN762" s="681"/>
      <c r="GO762" s="681"/>
      <c r="GP762" s="681"/>
      <c r="GQ762" s="681"/>
      <c r="GR762" s="681"/>
      <c r="GS762" s="681"/>
      <c r="GT762" s="681"/>
      <c r="GU762" s="681"/>
      <c r="GV762" s="681"/>
      <c r="GW762" s="681"/>
      <c r="GX762" s="681"/>
      <c r="GY762" s="681"/>
      <c r="GZ762" s="681"/>
      <c r="HA762" s="681"/>
      <c r="HB762" s="681"/>
      <c r="HC762" s="681"/>
      <c r="HD762" s="681"/>
      <c r="HE762" s="681"/>
      <c r="HF762" s="681"/>
      <c r="HG762" s="681"/>
      <c r="HH762" s="681"/>
      <c r="HI762" s="681"/>
      <c r="HJ762" s="681"/>
      <c r="HK762" s="681"/>
      <c r="HL762" s="681"/>
      <c r="HM762" s="681"/>
      <c r="HN762" s="681"/>
      <c r="HO762" s="681"/>
      <c r="HP762" s="681"/>
      <c r="HQ762" s="681"/>
      <c r="HR762" s="681"/>
      <c r="HS762" s="681"/>
      <c r="HT762" s="681"/>
      <c r="HU762" s="681"/>
      <c r="HV762" s="681"/>
      <c r="HW762" s="681"/>
      <c r="HX762" s="681"/>
      <c r="HY762" s="681"/>
      <c r="HZ762" s="681"/>
      <c r="IA762" s="681"/>
      <c r="IB762" s="681"/>
      <c r="IC762" s="681"/>
      <c r="ID762" s="681"/>
      <c r="IE762" s="681"/>
      <c r="IF762" s="681"/>
      <c r="IG762" s="681"/>
      <c r="IH762" s="681"/>
      <c r="II762" s="681"/>
      <c r="IJ762" s="681"/>
      <c r="IK762" s="681"/>
      <c r="IL762" s="681"/>
      <c r="IM762" s="681"/>
      <c r="IN762" s="681"/>
      <c r="IO762" s="681"/>
      <c r="IP762" s="681"/>
      <c r="IQ762" s="681"/>
      <c r="IR762" s="681"/>
      <c r="IS762" s="681"/>
      <c r="IT762" s="681"/>
      <c r="IU762" s="681"/>
      <c r="IV762" s="681"/>
      <c r="IW762" s="681"/>
    </row>
    <row r="763" spans="1:257" s="682" customFormat="1">
      <c r="A763" s="683" t="s">
        <v>258</v>
      </c>
      <c r="B763" s="696" t="str">
        <f>B800</f>
        <v>Chi đại hội chi bộ</v>
      </c>
      <c r="C763" s="635"/>
      <c r="D763" s="635"/>
      <c r="E763" s="651"/>
      <c r="F763" s="669"/>
      <c r="G763" s="669"/>
      <c r="H763" s="669"/>
      <c r="I763" s="669"/>
      <c r="J763" s="669"/>
      <c r="K763" s="669"/>
      <c r="L763" s="1306">
        <v>24700000</v>
      </c>
      <c r="M763" s="669"/>
      <c r="N763" s="837"/>
      <c r="O763" s="837"/>
      <c r="P763" s="837"/>
      <c r="Q763" s="837"/>
      <c r="R763" s="869"/>
      <c r="S763" s="891"/>
      <c r="T763" s="832"/>
      <c r="U763" s="577"/>
      <c r="V763" s="727"/>
      <c r="W763" s="680"/>
      <c r="X763" s="677"/>
      <c r="Y763" s="681"/>
      <c r="Z763" s="681"/>
      <c r="AA763" s="681"/>
      <c r="AB763" s="681"/>
      <c r="AC763" s="681"/>
      <c r="AD763" s="681"/>
      <c r="AE763" s="681"/>
      <c r="AF763" s="681"/>
      <c r="AG763" s="681"/>
      <c r="AH763" s="681"/>
      <c r="AI763" s="681"/>
      <c r="AJ763" s="681"/>
      <c r="AK763" s="681"/>
      <c r="AL763" s="681"/>
      <c r="AM763" s="681"/>
      <c r="AN763" s="681"/>
      <c r="AO763" s="681"/>
      <c r="AP763" s="681"/>
      <c r="AQ763" s="681"/>
      <c r="AR763" s="681"/>
      <c r="AS763" s="681"/>
      <c r="AT763" s="681"/>
      <c r="AU763" s="681"/>
      <c r="AV763" s="681"/>
      <c r="AW763" s="681"/>
      <c r="AX763" s="681"/>
      <c r="AY763" s="681"/>
      <c r="AZ763" s="681"/>
      <c r="BA763" s="681"/>
      <c r="BB763" s="681"/>
      <c r="BC763" s="681"/>
      <c r="BD763" s="681"/>
      <c r="BE763" s="681"/>
      <c r="BF763" s="681"/>
      <c r="BG763" s="681"/>
      <c r="BH763" s="681"/>
      <c r="BI763" s="681"/>
      <c r="BJ763" s="681"/>
      <c r="BK763" s="681"/>
      <c r="BL763" s="681"/>
      <c r="BM763" s="681"/>
      <c r="BN763" s="681"/>
      <c r="BO763" s="681"/>
      <c r="BP763" s="681"/>
      <c r="BQ763" s="681"/>
      <c r="BR763" s="681"/>
      <c r="BS763" s="681"/>
      <c r="BT763" s="681"/>
      <c r="BU763" s="681"/>
      <c r="BV763" s="681"/>
      <c r="BW763" s="681"/>
      <c r="BX763" s="681"/>
      <c r="BY763" s="681"/>
      <c r="BZ763" s="681"/>
      <c r="CA763" s="681"/>
      <c r="CB763" s="681"/>
      <c r="CC763" s="681"/>
      <c r="CD763" s="681"/>
      <c r="CE763" s="681"/>
      <c r="CF763" s="681"/>
      <c r="CG763" s="681"/>
      <c r="CH763" s="681"/>
      <c r="CI763" s="681"/>
      <c r="CJ763" s="681"/>
      <c r="CK763" s="681"/>
      <c r="CL763" s="681"/>
      <c r="CM763" s="681"/>
      <c r="CN763" s="681"/>
      <c r="CO763" s="681"/>
      <c r="CP763" s="681"/>
      <c r="CQ763" s="681"/>
      <c r="CR763" s="681"/>
      <c r="CS763" s="681"/>
      <c r="CT763" s="681"/>
      <c r="CU763" s="681"/>
      <c r="CV763" s="681"/>
      <c r="CW763" s="681"/>
      <c r="CX763" s="681"/>
      <c r="CY763" s="681"/>
      <c r="CZ763" s="681"/>
      <c r="DA763" s="681"/>
      <c r="DB763" s="681"/>
      <c r="DC763" s="681"/>
      <c r="DD763" s="681"/>
      <c r="DE763" s="681"/>
      <c r="DF763" s="681"/>
      <c r="DG763" s="681"/>
      <c r="DH763" s="681"/>
      <c r="DI763" s="681"/>
      <c r="DJ763" s="681"/>
      <c r="DK763" s="681"/>
      <c r="DL763" s="681"/>
      <c r="DM763" s="681"/>
      <c r="DN763" s="681"/>
      <c r="DO763" s="681"/>
      <c r="DP763" s="681"/>
      <c r="DQ763" s="681"/>
      <c r="DR763" s="681"/>
      <c r="DS763" s="681"/>
      <c r="DT763" s="681"/>
      <c r="DU763" s="681"/>
      <c r="DV763" s="681"/>
      <c r="DW763" s="681"/>
      <c r="DX763" s="681"/>
      <c r="DY763" s="681"/>
      <c r="DZ763" s="681"/>
      <c r="EA763" s="681"/>
      <c r="EB763" s="681"/>
      <c r="EC763" s="681"/>
      <c r="ED763" s="681"/>
      <c r="EE763" s="681"/>
      <c r="EF763" s="681"/>
      <c r="EG763" s="681"/>
      <c r="EH763" s="681"/>
      <c r="EI763" s="681"/>
      <c r="EJ763" s="681"/>
      <c r="EK763" s="681"/>
      <c r="EL763" s="681"/>
      <c r="EM763" s="681"/>
      <c r="EN763" s="681"/>
      <c r="EO763" s="681"/>
      <c r="EP763" s="681"/>
      <c r="EQ763" s="681"/>
      <c r="ER763" s="681"/>
      <c r="ES763" s="681"/>
      <c r="ET763" s="681"/>
      <c r="EU763" s="681"/>
      <c r="EV763" s="681"/>
      <c r="EW763" s="681"/>
      <c r="EX763" s="681"/>
      <c r="EY763" s="681"/>
      <c r="EZ763" s="681"/>
      <c r="FA763" s="681"/>
      <c r="FB763" s="681"/>
      <c r="FC763" s="681"/>
      <c r="FD763" s="681"/>
      <c r="FE763" s="681"/>
      <c r="FF763" s="681"/>
      <c r="FG763" s="681"/>
      <c r="FH763" s="681"/>
      <c r="FI763" s="681"/>
      <c r="FJ763" s="681"/>
      <c r="FK763" s="681"/>
      <c r="FL763" s="681"/>
      <c r="FM763" s="681"/>
      <c r="FN763" s="681"/>
      <c r="FO763" s="681"/>
      <c r="FP763" s="681"/>
      <c r="FQ763" s="681"/>
      <c r="FR763" s="681"/>
      <c r="FS763" s="681"/>
      <c r="FT763" s="681"/>
      <c r="FU763" s="681"/>
      <c r="FV763" s="681"/>
      <c r="FW763" s="681"/>
      <c r="FX763" s="681"/>
      <c r="FY763" s="681"/>
      <c r="FZ763" s="681"/>
      <c r="GA763" s="681"/>
      <c r="GB763" s="681"/>
      <c r="GC763" s="681"/>
      <c r="GD763" s="681"/>
      <c r="GE763" s="681"/>
      <c r="GF763" s="681"/>
      <c r="GG763" s="681"/>
      <c r="GH763" s="681"/>
      <c r="GI763" s="681"/>
      <c r="GJ763" s="681"/>
      <c r="GK763" s="681"/>
      <c r="GL763" s="681"/>
      <c r="GM763" s="681"/>
      <c r="GN763" s="681"/>
      <c r="GO763" s="681"/>
      <c r="GP763" s="681"/>
      <c r="GQ763" s="681"/>
      <c r="GR763" s="681"/>
      <c r="GS763" s="681"/>
      <c r="GT763" s="681"/>
      <c r="GU763" s="681"/>
      <c r="GV763" s="681"/>
      <c r="GW763" s="681"/>
      <c r="GX763" s="681"/>
      <c r="GY763" s="681"/>
      <c r="GZ763" s="681"/>
      <c r="HA763" s="681"/>
      <c r="HB763" s="681"/>
      <c r="HC763" s="681"/>
      <c r="HD763" s="681"/>
      <c r="HE763" s="681"/>
      <c r="HF763" s="681"/>
      <c r="HG763" s="681"/>
      <c r="HH763" s="681"/>
      <c r="HI763" s="681"/>
      <c r="HJ763" s="681"/>
      <c r="HK763" s="681"/>
      <c r="HL763" s="681"/>
      <c r="HM763" s="681"/>
      <c r="HN763" s="681"/>
      <c r="HO763" s="681"/>
      <c r="HP763" s="681"/>
      <c r="HQ763" s="681"/>
      <c r="HR763" s="681"/>
      <c r="HS763" s="681"/>
      <c r="HT763" s="681"/>
      <c r="HU763" s="681"/>
      <c r="HV763" s="681"/>
      <c r="HW763" s="681"/>
      <c r="HX763" s="681"/>
      <c r="HY763" s="681"/>
      <c r="HZ763" s="681"/>
      <c r="IA763" s="681"/>
      <c r="IB763" s="681"/>
      <c r="IC763" s="681"/>
      <c r="ID763" s="681"/>
      <c r="IE763" s="681"/>
      <c r="IF763" s="681"/>
      <c r="IG763" s="681"/>
      <c r="IH763" s="681"/>
      <c r="II763" s="681"/>
      <c r="IJ763" s="681"/>
      <c r="IK763" s="681"/>
      <c r="IL763" s="681"/>
      <c r="IM763" s="681"/>
      <c r="IN763" s="681"/>
      <c r="IO763" s="681"/>
      <c r="IP763" s="681"/>
      <c r="IQ763" s="681"/>
      <c r="IR763" s="681"/>
      <c r="IS763" s="681"/>
      <c r="IT763" s="681"/>
      <c r="IU763" s="681"/>
      <c r="IV763" s="681"/>
      <c r="IW763" s="681"/>
    </row>
    <row r="764" spans="1:257" s="874" customFormat="1" ht="69" customHeight="1">
      <c r="A764" s="683" t="s">
        <v>258</v>
      </c>
      <c r="B764" s="1133" t="s">
        <v>1126</v>
      </c>
      <c r="C764" s="635"/>
      <c r="D764" s="635"/>
      <c r="E764" s="651"/>
      <c r="F764" s="669">
        <v>200000000</v>
      </c>
      <c r="G764" s="669"/>
      <c r="H764" s="669"/>
      <c r="I764" s="669"/>
      <c r="J764" s="669">
        <f>J765+J766</f>
        <v>395000000</v>
      </c>
      <c r="K764" s="669">
        <f>K765+K766</f>
        <v>350000000</v>
      </c>
      <c r="L764" s="1306">
        <f>L765+L766</f>
        <v>300000000</v>
      </c>
      <c r="M764" s="669"/>
      <c r="N764" s="837"/>
      <c r="O764" s="837"/>
      <c r="P764" s="837"/>
      <c r="Q764" s="837"/>
      <c r="R764" s="908"/>
      <c r="S764" s="908"/>
      <c r="T764" s="1017"/>
      <c r="U764" s="670"/>
      <c r="V764" s="680"/>
      <c r="W764" s="1134"/>
      <c r="X764" s="1135"/>
    </row>
    <row r="765" spans="1:257" s="682" customFormat="1" ht="63">
      <c r="A765" s="683" t="s">
        <v>258</v>
      </c>
      <c r="B765" s="1136" t="s">
        <v>1127</v>
      </c>
      <c r="C765" s="683"/>
      <c r="D765" s="683"/>
      <c r="E765" s="669"/>
      <c r="F765" s="669"/>
      <c r="G765" s="669"/>
      <c r="H765" s="669"/>
      <c r="I765" s="669"/>
      <c r="J765" s="669">
        <v>87000000</v>
      </c>
      <c r="K765" s="669">
        <v>50000000</v>
      </c>
      <c r="L765" s="1306">
        <v>20000000</v>
      </c>
      <c r="M765" s="669"/>
      <c r="N765" s="837"/>
      <c r="O765" s="837"/>
      <c r="P765" s="837"/>
      <c r="Q765" s="837"/>
      <c r="R765" s="908"/>
      <c r="S765" s="908"/>
      <c r="T765" s="1017"/>
      <c r="U765" s="670"/>
      <c r="V765" s="680"/>
      <c r="W765" s="727"/>
      <c r="X765" s="728"/>
    </row>
    <row r="766" spans="1:257" s="682" customFormat="1" ht="31.5">
      <c r="A766" s="683" t="s">
        <v>258</v>
      </c>
      <c r="B766" s="684" t="s">
        <v>1128</v>
      </c>
      <c r="C766" s="683"/>
      <c r="D766" s="683"/>
      <c r="E766" s="669"/>
      <c r="F766" s="669"/>
      <c r="G766" s="669"/>
      <c r="H766" s="669"/>
      <c r="I766" s="669"/>
      <c r="J766" s="669">
        <v>308000000</v>
      </c>
      <c r="K766" s="669">
        <v>300000000</v>
      </c>
      <c r="L766" s="1306">
        <v>280000000</v>
      </c>
      <c r="M766" s="669"/>
      <c r="N766" s="837"/>
      <c r="O766" s="837"/>
      <c r="P766" s="837"/>
      <c r="Q766" s="837"/>
      <c r="R766" s="908"/>
      <c r="S766" s="908"/>
      <c r="T766" s="1017"/>
      <c r="U766" s="670"/>
      <c r="V766" s="680"/>
      <c r="W766" s="727"/>
      <c r="X766" s="728"/>
    </row>
    <row r="767" spans="1:257" s="682" customFormat="1" ht="32.25" customHeight="1">
      <c r="A767" s="683" t="s">
        <v>258</v>
      </c>
      <c r="B767" s="696" t="s">
        <v>1355</v>
      </c>
      <c r="C767" s="635"/>
      <c r="D767" s="635"/>
      <c r="E767" s="651"/>
      <c r="F767" s="669">
        <v>25000000</v>
      </c>
      <c r="G767" s="669"/>
      <c r="H767" s="669"/>
      <c r="I767" s="669"/>
      <c r="J767" s="669">
        <v>25000000</v>
      </c>
      <c r="K767" s="669"/>
      <c r="L767" s="1306">
        <v>180000000</v>
      </c>
      <c r="M767" s="669"/>
      <c r="N767" s="837"/>
      <c r="O767" s="837"/>
      <c r="P767" s="837"/>
      <c r="Q767" s="837"/>
      <c r="R767" s="908"/>
      <c r="S767" s="908"/>
      <c r="T767" s="1017"/>
      <c r="U767" s="670"/>
      <c r="V767" s="825"/>
      <c r="W767" s="727"/>
      <c r="X767" s="728"/>
    </row>
    <row r="768" spans="1:257" s="874" customFormat="1">
      <c r="A768" s="683" t="s">
        <v>258</v>
      </c>
      <c r="B768" s="696" t="s">
        <v>1129</v>
      </c>
      <c r="C768" s="683"/>
      <c r="D768" s="683"/>
      <c r="E768" s="669"/>
      <c r="F768" s="669">
        <v>4000000</v>
      </c>
      <c r="G768" s="669"/>
      <c r="H768" s="669"/>
      <c r="I768" s="669"/>
      <c r="J768" s="669"/>
      <c r="K768" s="669"/>
      <c r="L768" s="1306"/>
      <c r="M768" s="669"/>
      <c r="N768" s="837"/>
      <c r="O768" s="837"/>
      <c r="P768" s="837"/>
      <c r="Q768" s="837"/>
      <c r="R768" s="908"/>
      <c r="S768" s="908"/>
      <c r="T768" s="1017"/>
      <c r="U768" s="670"/>
      <c r="V768" s="1134"/>
      <c r="W768" s="872"/>
      <c r="X768" s="751"/>
      <c r="Y768" s="873"/>
      <c r="Z768" s="873"/>
      <c r="AA768" s="873"/>
      <c r="AB768" s="873"/>
      <c r="AC768" s="873"/>
      <c r="AD768" s="873"/>
      <c r="AE768" s="873"/>
      <c r="AF768" s="873"/>
      <c r="AG768" s="873"/>
      <c r="AH768" s="873"/>
      <c r="AI768" s="873"/>
      <c r="AJ768" s="873"/>
      <c r="AK768" s="873"/>
      <c r="AL768" s="873"/>
      <c r="AM768" s="873"/>
      <c r="AN768" s="873"/>
      <c r="AO768" s="873"/>
      <c r="AP768" s="873"/>
      <c r="AQ768" s="873"/>
      <c r="AR768" s="873"/>
      <c r="AS768" s="873"/>
      <c r="AT768" s="873"/>
      <c r="AU768" s="873"/>
      <c r="AV768" s="873"/>
      <c r="AW768" s="873"/>
      <c r="AX768" s="873"/>
      <c r="AY768" s="873"/>
      <c r="AZ768" s="873"/>
      <c r="BA768" s="873"/>
      <c r="BB768" s="873"/>
      <c r="BC768" s="873"/>
      <c r="BD768" s="873"/>
      <c r="BE768" s="873"/>
      <c r="BF768" s="873"/>
      <c r="BG768" s="873"/>
      <c r="BH768" s="873"/>
      <c r="BI768" s="873"/>
      <c r="BJ768" s="873"/>
      <c r="BK768" s="873"/>
      <c r="BL768" s="873"/>
      <c r="BM768" s="873"/>
      <c r="BN768" s="873"/>
      <c r="BO768" s="873"/>
      <c r="BP768" s="873"/>
      <c r="BQ768" s="873"/>
      <c r="BR768" s="873"/>
      <c r="BS768" s="873"/>
      <c r="BT768" s="873"/>
      <c r="BU768" s="873"/>
      <c r="BV768" s="873"/>
      <c r="BW768" s="873"/>
      <c r="BX768" s="873"/>
      <c r="BY768" s="873"/>
      <c r="BZ768" s="873"/>
      <c r="CA768" s="873"/>
      <c r="CB768" s="873"/>
      <c r="CC768" s="873"/>
      <c r="CD768" s="873"/>
      <c r="CE768" s="873"/>
      <c r="CF768" s="873"/>
      <c r="CG768" s="873"/>
      <c r="CH768" s="873"/>
      <c r="CI768" s="873"/>
      <c r="CJ768" s="873"/>
      <c r="CK768" s="873"/>
      <c r="CL768" s="873"/>
      <c r="CM768" s="873"/>
      <c r="CN768" s="873"/>
      <c r="CO768" s="873"/>
      <c r="CP768" s="873"/>
      <c r="CQ768" s="873"/>
      <c r="CR768" s="873"/>
      <c r="CS768" s="873"/>
      <c r="CT768" s="873"/>
      <c r="CU768" s="873"/>
      <c r="CV768" s="873"/>
      <c r="CW768" s="873"/>
      <c r="CX768" s="873"/>
      <c r="CY768" s="873"/>
      <c r="CZ768" s="873"/>
      <c r="DA768" s="873"/>
      <c r="DB768" s="873"/>
      <c r="DC768" s="873"/>
      <c r="DD768" s="873"/>
      <c r="DE768" s="873"/>
      <c r="DF768" s="873"/>
      <c r="DG768" s="873"/>
      <c r="DH768" s="873"/>
      <c r="DI768" s="873"/>
      <c r="DJ768" s="873"/>
      <c r="DK768" s="873"/>
      <c r="DL768" s="873"/>
      <c r="DM768" s="873"/>
      <c r="DN768" s="873"/>
      <c r="DO768" s="873"/>
      <c r="DP768" s="873"/>
      <c r="DQ768" s="873"/>
      <c r="DR768" s="873"/>
      <c r="DS768" s="873"/>
      <c r="DT768" s="873"/>
      <c r="DU768" s="873"/>
      <c r="DV768" s="873"/>
      <c r="DW768" s="873"/>
      <c r="DX768" s="873"/>
      <c r="DY768" s="873"/>
      <c r="DZ768" s="873"/>
      <c r="EA768" s="873"/>
      <c r="EB768" s="873"/>
      <c r="EC768" s="873"/>
      <c r="ED768" s="873"/>
      <c r="EE768" s="873"/>
      <c r="EF768" s="873"/>
      <c r="EG768" s="873"/>
      <c r="EH768" s="873"/>
      <c r="EI768" s="873"/>
      <c r="EJ768" s="873"/>
      <c r="EK768" s="873"/>
      <c r="EL768" s="873"/>
      <c r="EM768" s="873"/>
      <c r="EN768" s="873"/>
      <c r="EO768" s="873"/>
      <c r="EP768" s="873"/>
      <c r="EQ768" s="873"/>
      <c r="ER768" s="873"/>
      <c r="ES768" s="873"/>
      <c r="ET768" s="873"/>
      <c r="EU768" s="873"/>
      <c r="EV768" s="873"/>
      <c r="EW768" s="873"/>
      <c r="EX768" s="873"/>
      <c r="EY768" s="873"/>
      <c r="EZ768" s="873"/>
      <c r="FA768" s="873"/>
      <c r="FB768" s="873"/>
      <c r="FC768" s="873"/>
      <c r="FD768" s="873"/>
      <c r="FE768" s="873"/>
      <c r="FF768" s="873"/>
      <c r="FG768" s="873"/>
      <c r="FH768" s="873"/>
      <c r="FI768" s="873"/>
      <c r="FJ768" s="873"/>
      <c r="FK768" s="873"/>
      <c r="FL768" s="873"/>
      <c r="FM768" s="873"/>
      <c r="FN768" s="873"/>
      <c r="FO768" s="873"/>
      <c r="FP768" s="873"/>
      <c r="FQ768" s="873"/>
      <c r="FR768" s="873"/>
      <c r="FS768" s="873"/>
      <c r="FT768" s="873"/>
      <c r="FU768" s="873"/>
      <c r="FV768" s="873"/>
      <c r="FW768" s="873"/>
      <c r="FX768" s="873"/>
      <c r="FY768" s="873"/>
      <c r="FZ768" s="873"/>
      <c r="GA768" s="873"/>
      <c r="GB768" s="873"/>
      <c r="GC768" s="873"/>
      <c r="GD768" s="873"/>
      <c r="GE768" s="873"/>
      <c r="GF768" s="873"/>
      <c r="GG768" s="873"/>
      <c r="GH768" s="873"/>
      <c r="GI768" s="873"/>
      <c r="GJ768" s="873"/>
      <c r="GK768" s="873"/>
      <c r="GL768" s="873"/>
      <c r="GM768" s="873"/>
      <c r="GN768" s="873"/>
      <c r="GO768" s="873"/>
      <c r="GP768" s="873"/>
      <c r="GQ768" s="873"/>
      <c r="GR768" s="873"/>
      <c r="GS768" s="873"/>
      <c r="GT768" s="873"/>
      <c r="GU768" s="873"/>
      <c r="GV768" s="873"/>
      <c r="GW768" s="873"/>
      <c r="GX768" s="873"/>
      <c r="GY768" s="873"/>
      <c r="GZ768" s="873"/>
      <c r="HA768" s="873"/>
      <c r="HB768" s="873"/>
      <c r="HC768" s="873"/>
      <c r="HD768" s="873"/>
      <c r="HE768" s="873"/>
      <c r="HF768" s="873"/>
      <c r="HG768" s="873"/>
      <c r="HH768" s="873"/>
      <c r="HI768" s="873"/>
      <c r="HJ768" s="873"/>
      <c r="HK768" s="873"/>
      <c r="HL768" s="873"/>
      <c r="HM768" s="873"/>
      <c r="HN768" s="873"/>
      <c r="HO768" s="873"/>
      <c r="HP768" s="873"/>
      <c r="HQ768" s="873"/>
      <c r="HR768" s="873"/>
      <c r="HS768" s="873"/>
      <c r="HT768" s="873"/>
      <c r="HU768" s="873"/>
      <c r="HV768" s="873"/>
      <c r="HW768" s="873"/>
      <c r="HX768" s="873"/>
      <c r="HY768" s="873"/>
      <c r="HZ768" s="873"/>
      <c r="IA768" s="873"/>
      <c r="IB768" s="873"/>
      <c r="IC768" s="873"/>
      <c r="ID768" s="873"/>
      <c r="IE768" s="873"/>
      <c r="IF768" s="873"/>
      <c r="IG768" s="873"/>
      <c r="IH768" s="873"/>
      <c r="II768" s="873"/>
      <c r="IJ768" s="873"/>
      <c r="IK768" s="873"/>
      <c r="IL768" s="873"/>
      <c r="IM768" s="873"/>
      <c r="IN768" s="873"/>
      <c r="IO768" s="873"/>
      <c r="IP768" s="873"/>
      <c r="IQ768" s="873"/>
      <c r="IR768" s="873"/>
      <c r="IS768" s="873"/>
      <c r="IT768" s="873"/>
      <c r="IU768" s="873"/>
      <c r="IV768" s="873"/>
      <c r="IW768" s="873"/>
    </row>
    <row r="769" spans="1:257" s="874" customFormat="1" ht="15.75" hidden="1" customHeight="1">
      <c r="A769" s="683" t="s">
        <v>258</v>
      </c>
      <c r="B769" s="696" t="s">
        <v>427</v>
      </c>
      <c r="C769" s="683"/>
      <c r="D769" s="683"/>
      <c r="E769" s="669"/>
      <c r="F769" s="669"/>
      <c r="G769" s="669">
        <v>30000000</v>
      </c>
      <c r="H769" s="669"/>
      <c r="I769" s="669"/>
      <c r="J769" s="669"/>
      <c r="K769" s="669"/>
      <c r="L769" s="1306"/>
      <c r="M769" s="669"/>
      <c r="N769" s="837"/>
      <c r="O769" s="837"/>
      <c r="P769" s="837"/>
      <c r="Q769" s="837"/>
      <c r="R769" s="908"/>
      <c r="S769" s="908"/>
      <c r="T769" s="1017"/>
      <c r="U769" s="670"/>
      <c r="V769" s="1134"/>
      <c r="W769" s="872"/>
      <c r="X769" s="751"/>
      <c r="Y769" s="873"/>
      <c r="Z769" s="873"/>
      <c r="AA769" s="873"/>
      <c r="AB769" s="873"/>
      <c r="AC769" s="873"/>
      <c r="AD769" s="873"/>
      <c r="AE769" s="873"/>
      <c r="AF769" s="873"/>
      <c r="AG769" s="873"/>
      <c r="AH769" s="873"/>
      <c r="AI769" s="873"/>
      <c r="AJ769" s="873"/>
      <c r="AK769" s="873"/>
      <c r="AL769" s="873"/>
      <c r="AM769" s="873"/>
      <c r="AN769" s="873"/>
      <c r="AO769" s="873"/>
      <c r="AP769" s="873"/>
      <c r="AQ769" s="873"/>
      <c r="AR769" s="873"/>
      <c r="AS769" s="873"/>
      <c r="AT769" s="873"/>
      <c r="AU769" s="873"/>
      <c r="AV769" s="873"/>
      <c r="AW769" s="873"/>
      <c r="AX769" s="873"/>
      <c r="AY769" s="873"/>
      <c r="AZ769" s="873"/>
      <c r="BA769" s="873"/>
      <c r="BB769" s="873"/>
      <c r="BC769" s="873"/>
      <c r="BD769" s="873"/>
      <c r="BE769" s="873"/>
      <c r="BF769" s="873"/>
      <c r="BG769" s="873"/>
      <c r="BH769" s="873"/>
      <c r="BI769" s="873"/>
      <c r="BJ769" s="873"/>
      <c r="BK769" s="873"/>
      <c r="BL769" s="873"/>
      <c r="BM769" s="873"/>
      <c r="BN769" s="873"/>
      <c r="BO769" s="873"/>
      <c r="BP769" s="873"/>
      <c r="BQ769" s="873"/>
      <c r="BR769" s="873"/>
      <c r="BS769" s="873"/>
      <c r="BT769" s="873"/>
      <c r="BU769" s="873"/>
      <c r="BV769" s="873"/>
      <c r="BW769" s="873"/>
      <c r="BX769" s="873"/>
      <c r="BY769" s="873"/>
      <c r="BZ769" s="873"/>
      <c r="CA769" s="873"/>
      <c r="CB769" s="873"/>
      <c r="CC769" s="873"/>
      <c r="CD769" s="873"/>
      <c r="CE769" s="873"/>
      <c r="CF769" s="873"/>
      <c r="CG769" s="873"/>
      <c r="CH769" s="873"/>
      <c r="CI769" s="873"/>
      <c r="CJ769" s="873"/>
      <c r="CK769" s="873"/>
      <c r="CL769" s="873"/>
      <c r="CM769" s="873"/>
      <c r="CN769" s="873"/>
      <c r="CO769" s="873"/>
      <c r="CP769" s="873"/>
      <c r="CQ769" s="873"/>
      <c r="CR769" s="873"/>
      <c r="CS769" s="873"/>
      <c r="CT769" s="873"/>
      <c r="CU769" s="873"/>
      <c r="CV769" s="873"/>
      <c r="CW769" s="873"/>
      <c r="CX769" s="873"/>
      <c r="CY769" s="873"/>
      <c r="CZ769" s="873"/>
      <c r="DA769" s="873"/>
      <c r="DB769" s="873"/>
      <c r="DC769" s="873"/>
      <c r="DD769" s="873"/>
      <c r="DE769" s="873"/>
      <c r="DF769" s="873"/>
      <c r="DG769" s="873"/>
      <c r="DH769" s="873"/>
      <c r="DI769" s="873"/>
      <c r="DJ769" s="873"/>
      <c r="DK769" s="873"/>
      <c r="DL769" s="873"/>
      <c r="DM769" s="873"/>
      <c r="DN769" s="873"/>
      <c r="DO769" s="873"/>
      <c r="DP769" s="873"/>
      <c r="DQ769" s="873"/>
      <c r="DR769" s="873"/>
      <c r="DS769" s="873"/>
      <c r="DT769" s="873"/>
      <c r="DU769" s="873"/>
      <c r="DV769" s="873"/>
      <c r="DW769" s="873"/>
      <c r="DX769" s="873"/>
      <c r="DY769" s="873"/>
      <c r="DZ769" s="873"/>
      <c r="EA769" s="873"/>
      <c r="EB769" s="873"/>
      <c r="EC769" s="873"/>
      <c r="ED769" s="873"/>
      <c r="EE769" s="873"/>
      <c r="EF769" s="873"/>
      <c r="EG769" s="873"/>
      <c r="EH769" s="873"/>
      <c r="EI769" s="873"/>
      <c r="EJ769" s="873"/>
      <c r="EK769" s="873"/>
      <c r="EL769" s="873"/>
      <c r="EM769" s="873"/>
      <c r="EN769" s="873"/>
      <c r="EO769" s="873"/>
      <c r="EP769" s="873"/>
      <c r="EQ769" s="873"/>
      <c r="ER769" s="873"/>
      <c r="ES769" s="873"/>
      <c r="ET769" s="873"/>
      <c r="EU769" s="873"/>
      <c r="EV769" s="873"/>
      <c r="EW769" s="873"/>
      <c r="EX769" s="873"/>
      <c r="EY769" s="873"/>
      <c r="EZ769" s="873"/>
      <c r="FA769" s="873"/>
      <c r="FB769" s="873"/>
      <c r="FC769" s="873"/>
      <c r="FD769" s="873"/>
      <c r="FE769" s="873"/>
      <c r="FF769" s="873"/>
      <c r="FG769" s="873"/>
      <c r="FH769" s="873"/>
      <c r="FI769" s="873"/>
      <c r="FJ769" s="873"/>
      <c r="FK769" s="873"/>
      <c r="FL769" s="873"/>
      <c r="FM769" s="873"/>
      <c r="FN769" s="873"/>
      <c r="FO769" s="873"/>
      <c r="FP769" s="873"/>
      <c r="FQ769" s="873"/>
      <c r="FR769" s="873"/>
      <c r="FS769" s="873"/>
      <c r="FT769" s="873"/>
      <c r="FU769" s="873"/>
      <c r="FV769" s="873"/>
      <c r="FW769" s="873"/>
      <c r="FX769" s="873"/>
      <c r="FY769" s="873"/>
      <c r="FZ769" s="873"/>
      <c r="GA769" s="873"/>
      <c r="GB769" s="873"/>
      <c r="GC769" s="873"/>
      <c r="GD769" s="873"/>
      <c r="GE769" s="873"/>
      <c r="GF769" s="873"/>
      <c r="GG769" s="873"/>
      <c r="GH769" s="873"/>
      <c r="GI769" s="873"/>
      <c r="GJ769" s="873"/>
      <c r="GK769" s="873"/>
      <c r="GL769" s="873"/>
      <c r="GM769" s="873"/>
      <c r="GN769" s="873"/>
      <c r="GO769" s="873"/>
      <c r="GP769" s="873"/>
      <c r="GQ769" s="873"/>
      <c r="GR769" s="873"/>
      <c r="GS769" s="873"/>
      <c r="GT769" s="873"/>
      <c r="GU769" s="873"/>
      <c r="GV769" s="873"/>
      <c r="GW769" s="873"/>
      <c r="GX769" s="873"/>
      <c r="GY769" s="873"/>
      <c r="GZ769" s="873"/>
      <c r="HA769" s="873"/>
      <c r="HB769" s="873"/>
      <c r="HC769" s="873"/>
      <c r="HD769" s="873"/>
      <c r="HE769" s="873"/>
      <c r="HF769" s="873"/>
      <c r="HG769" s="873"/>
      <c r="HH769" s="873"/>
      <c r="HI769" s="873"/>
      <c r="HJ769" s="873"/>
      <c r="HK769" s="873"/>
      <c r="HL769" s="873"/>
      <c r="HM769" s="873"/>
      <c r="HN769" s="873"/>
      <c r="HO769" s="873"/>
      <c r="HP769" s="873"/>
      <c r="HQ769" s="873"/>
      <c r="HR769" s="873"/>
      <c r="HS769" s="873"/>
      <c r="HT769" s="873"/>
      <c r="HU769" s="873"/>
      <c r="HV769" s="873"/>
      <c r="HW769" s="873"/>
      <c r="HX769" s="873"/>
      <c r="HY769" s="873"/>
      <c r="HZ769" s="873"/>
      <c r="IA769" s="873"/>
      <c r="IB769" s="873"/>
      <c r="IC769" s="873"/>
      <c r="ID769" s="873"/>
      <c r="IE769" s="873"/>
      <c r="IF769" s="873"/>
      <c r="IG769" s="873"/>
      <c r="IH769" s="873"/>
      <c r="II769" s="873"/>
      <c r="IJ769" s="873"/>
      <c r="IK769" s="873"/>
      <c r="IL769" s="873"/>
      <c r="IM769" s="873"/>
      <c r="IN769" s="873"/>
      <c r="IO769" s="873"/>
      <c r="IP769" s="873"/>
      <c r="IQ769" s="873"/>
      <c r="IR769" s="873"/>
      <c r="IS769" s="873"/>
      <c r="IT769" s="873"/>
      <c r="IU769" s="873"/>
      <c r="IV769" s="873"/>
      <c r="IW769" s="873"/>
    </row>
    <row r="770" spans="1:257" s="874" customFormat="1" ht="15.75" hidden="1" customHeight="1">
      <c r="A770" s="683" t="s">
        <v>258</v>
      </c>
      <c r="B770" s="696" t="s">
        <v>145</v>
      </c>
      <c r="C770" s="683"/>
      <c r="D770" s="683"/>
      <c r="E770" s="669"/>
      <c r="F770" s="669"/>
      <c r="G770" s="669">
        <v>7000000</v>
      </c>
      <c r="H770" s="669"/>
      <c r="I770" s="669"/>
      <c r="J770" s="669"/>
      <c r="K770" s="669"/>
      <c r="L770" s="1306"/>
      <c r="M770" s="669"/>
      <c r="N770" s="837"/>
      <c r="O770" s="837"/>
      <c r="P770" s="837"/>
      <c r="Q770" s="837"/>
      <c r="R770" s="908"/>
      <c r="S770" s="908"/>
      <c r="T770" s="1017"/>
      <c r="U770" s="670"/>
      <c r="V770" s="1134"/>
      <c r="W770" s="872"/>
      <c r="X770" s="751"/>
      <c r="Y770" s="873"/>
      <c r="Z770" s="873"/>
      <c r="AA770" s="873"/>
      <c r="AB770" s="873"/>
      <c r="AC770" s="873"/>
      <c r="AD770" s="873"/>
      <c r="AE770" s="873"/>
      <c r="AF770" s="873"/>
      <c r="AG770" s="873"/>
      <c r="AH770" s="873"/>
      <c r="AI770" s="873"/>
      <c r="AJ770" s="873"/>
      <c r="AK770" s="873"/>
      <c r="AL770" s="873"/>
      <c r="AM770" s="873"/>
      <c r="AN770" s="873"/>
      <c r="AO770" s="873"/>
      <c r="AP770" s="873"/>
      <c r="AQ770" s="873"/>
      <c r="AR770" s="873"/>
      <c r="AS770" s="873"/>
      <c r="AT770" s="873"/>
      <c r="AU770" s="873"/>
      <c r="AV770" s="873"/>
      <c r="AW770" s="873"/>
      <c r="AX770" s="873"/>
      <c r="AY770" s="873"/>
      <c r="AZ770" s="873"/>
      <c r="BA770" s="873"/>
      <c r="BB770" s="873"/>
      <c r="BC770" s="873"/>
      <c r="BD770" s="873"/>
      <c r="BE770" s="873"/>
      <c r="BF770" s="873"/>
      <c r="BG770" s="873"/>
      <c r="BH770" s="873"/>
      <c r="BI770" s="873"/>
      <c r="BJ770" s="873"/>
      <c r="BK770" s="873"/>
      <c r="BL770" s="873"/>
      <c r="BM770" s="873"/>
      <c r="BN770" s="873"/>
      <c r="BO770" s="873"/>
      <c r="BP770" s="873"/>
      <c r="BQ770" s="873"/>
      <c r="BR770" s="873"/>
      <c r="BS770" s="873"/>
      <c r="BT770" s="873"/>
      <c r="BU770" s="873"/>
      <c r="BV770" s="873"/>
      <c r="BW770" s="873"/>
      <c r="BX770" s="873"/>
      <c r="BY770" s="873"/>
      <c r="BZ770" s="873"/>
      <c r="CA770" s="873"/>
      <c r="CB770" s="873"/>
      <c r="CC770" s="873"/>
      <c r="CD770" s="873"/>
      <c r="CE770" s="873"/>
      <c r="CF770" s="873"/>
      <c r="CG770" s="873"/>
      <c r="CH770" s="873"/>
      <c r="CI770" s="873"/>
      <c r="CJ770" s="873"/>
      <c r="CK770" s="873"/>
      <c r="CL770" s="873"/>
      <c r="CM770" s="873"/>
      <c r="CN770" s="873"/>
      <c r="CO770" s="873"/>
      <c r="CP770" s="873"/>
      <c r="CQ770" s="873"/>
      <c r="CR770" s="873"/>
      <c r="CS770" s="873"/>
      <c r="CT770" s="873"/>
      <c r="CU770" s="873"/>
      <c r="CV770" s="873"/>
      <c r="CW770" s="873"/>
      <c r="CX770" s="873"/>
      <c r="CY770" s="873"/>
      <c r="CZ770" s="873"/>
      <c r="DA770" s="873"/>
      <c r="DB770" s="873"/>
      <c r="DC770" s="873"/>
      <c r="DD770" s="873"/>
      <c r="DE770" s="873"/>
      <c r="DF770" s="873"/>
      <c r="DG770" s="873"/>
      <c r="DH770" s="873"/>
      <c r="DI770" s="873"/>
      <c r="DJ770" s="873"/>
      <c r="DK770" s="873"/>
      <c r="DL770" s="873"/>
      <c r="DM770" s="873"/>
      <c r="DN770" s="873"/>
      <c r="DO770" s="873"/>
      <c r="DP770" s="873"/>
      <c r="DQ770" s="873"/>
      <c r="DR770" s="873"/>
      <c r="DS770" s="873"/>
      <c r="DT770" s="873"/>
      <c r="DU770" s="873"/>
      <c r="DV770" s="873"/>
      <c r="DW770" s="873"/>
      <c r="DX770" s="873"/>
      <c r="DY770" s="873"/>
      <c r="DZ770" s="873"/>
      <c r="EA770" s="873"/>
      <c r="EB770" s="873"/>
      <c r="EC770" s="873"/>
      <c r="ED770" s="873"/>
      <c r="EE770" s="873"/>
      <c r="EF770" s="873"/>
      <c r="EG770" s="873"/>
      <c r="EH770" s="873"/>
      <c r="EI770" s="873"/>
      <c r="EJ770" s="873"/>
      <c r="EK770" s="873"/>
      <c r="EL770" s="873"/>
      <c r="EM770" s="873"/>
      <c r="EN770" s="873"/>
      <c r="EO770" s="873"/>
      <c r="EP770" s="873"/>
      <c r="EQ770" s="873"/>
      <c r="ER770" s="873"/>
      <c r="ES770" s="873"/>
      <c r="ET770" s="873"/>
      <c r="EU770" s="873"/>
      <c r="EV770" s="873"/>
      <c r="EW770" s="873"/>
      <c r="EX770" s="873"/>
      <c r="EY770" s="873"/>
      <c r="EZ770" s="873"/>
      <c r="FA770" s="873"/>
      <c r="FB770" s="873"/>
      <c r="FC770" s="873"/>
      <c r="FD770" s="873"/>
      <c r="FE770" s="873"/>
      <c r="FF770" s="873"/>
      <c r="FG770" s="873"/>
      <c r="FH770" s="873"/>
      <c r="FI770" s="873"/>
      <c r="FJ770" s="873"/>
      <c r="FK770" s="873"/>
      <c r="FL770" s="873"/>
      <c r="FM770" s="873"/>
      <c r="FN770" s="873"/>
      <c r="FO770" s="873"/>
      <c r="FP770" s="873"/>
      <c r="FQ770" s="873"/>
      <c r="FR770" s="873"/>
      <c r="FS770" s="873"/>
      <c r="FT770" s="873"/>
      <c r="FU770" s="873"/>
      <c r="FV770" s="873"/>
      <c r="FW770" s="873"/>
      <c r="FX770" s="873"/>
      <c r="FY770" s="873"/>
      <c r="FZ770" s="873"/>
      <c r="GA770" s="873"/>
      <c r="GB770" s="873"/>
      <c r="GC770" s="873"/>
      <c r="GD770" s="873"/>
      <c r="GE770" s="873"/>
      <c r="GF770" s="873"/>
      <c r="GG770" s="873"/>
      <c r="GH770" s="873"/>
      <c r="GI770" s="873"/>
      <c r="GJ770" s="873"/>
      <c r="GK770" s="873"/>
      <c r="GL770" s="873"/>
      <c r="GM770" s="873"/>
      <c r="GN770" s="873"/>
      <c r="GO770" s="873"/>
      <c r="GP770" s="873"/>
      <c r="GQ770" s="873"/>
      <c r="GR770" s="873"/>
      <c r="GS770" s="873"/>
      <c r="GT770" s="873"/>
      <c r="GU770" s="873"/>
      <c r="GV770" s="873"/>
      <c r="GW770" s="873"/>
      <c r="GX770" s="873"/>
      <c r="GY770" s="873"/>
      <c r="GZ770" s="873"/>
      <c r="HA770" s="873"/>
      <c r="HB770" s="873"/>
      <c r="HC770" s="873"/>
      <c r="HD770" s="873"/>
      <c r="HE770" s="873"/>
      <c r="HF770" s="873"/>
      <c r="HG770" s="873"/>
      <c r="HH770" s="873"/>
      <c r="HI770" s="873"/>
      <c r="HJ770" s="873"/>
      <c r="HK770" s="873"/>
      <c r="HL770" s="873"/>
      <c r="HM770" s="873"/>
      <c r="HN770" s="873"/>
      <c r="HO770" s="873"/>
      <c r="HP770" s="873"/>
      <c r="HQ770" s="873"/>
      <c r="HR770" s="873"/>
      <c r="HS770" s="873"/>
      <c r="HT770" s="873"/>
      <c r="HU770" s="873"/>
      <c r="HV770" s="873"/>
      <c r="HW770" s="873"/>
      <c r="HX770" s="873"/>
      <c r="HY770" s="873"/>
      <c r="HZ770" s="873"/>
      <c r="IA770" s="873"/>
      <c r="IB770" s="873"/>
      <c r="IC770" s="873"/>
      <c r="ID770" s="873"/>
      <c r="IE770" s="873"/>
      <c r="IF770" s="873"/>
      <c r="IG770" s="873"/>
      <c r="IH770" s="873"/>
      <c r="II770" s="873"/>
      <c r="IJ770" s="873"/>
      <c r="IK770" s="873"/>
      <c r="IL770" s="873"/>
      <c r="IM770" s="873"/>
      <c r="IN770" s="873"/>
      <c r="IO770" s="873"/>
      <c r="IP770" s="873"/>
      <c r="IQ770" s="873"/>
      <c r="IR770" s="873"/>
      <c r="IS770" s="873"/>
      <c r="IT770" s="873"/>
      <c r="IU770" s="873"/>
      <c r="IV770" s="873"/>
      <c r="IW770" s="873"/>
    </row>
    <row r="771" spans="1:257" s="874" customFormat="1">
      <c r="A771" s="683" t="s">
        <v>258</v>
      </c>
      <c r="B771" s="696" t="s">
        <v>1130</v>
      </c>
      <c r="C771" s="683"/>
      <c r="D771" s="683"/>
      <c r="E771" s="669"/>
      <c r="F771" s="669"/>
      <c r="G771" s="669"/>
      <c r="H771" s="669"/>
      <c r="I771" s="669"/>
      <c r="J771" s="669"/>
      <c r="K771" s="669">
        <v>90000000</v>
      </c>
      <c r="L771" s="1306">
        <v>90000000</v>
      </c>
      <c r="M771" s="669"/>
      <c r="N771" s="837"/>
      <c r="O771" s="837"/>
      <c r="P771" s="837"/>
      <c r="Q771" s="837"/>
      <c r="R771" s="908"/>
      <c r="S771" s="908"/>
      <c r="T771" s="1017"/>
      <c r="U771" s="670"/>
      <c r="V771" s="1134"/>
      <c r="W771" s="872"/>
      <c r="X771" s="751"/>
      <c r="Y771" s="873"/>
      <c r="Z771" s="873"/>
      <c r="AA771" s="873"/>
      <c r="AB771" s="873"/>
      <c r="AC771" s="873"/>
      <c r="AD771" s="873"/>
      <c r="AE771" s="873"/>
      <c r="AF771" s="873"/>
      <c r="AG771" s="873"/>
      <c r="AH771" s="873"/>
      <c r="AI771" s="873"/>
      <c r="AJ771" s="873"/>
      <c r="AK771" s="873"/>
      <c r="AL771" s="873"/>
      <c r="AM771" s="873"/>
      <c r="AN771" s="873"/>
      <c r="AO771" s="873"/>
      <c r="AP771" s="873"/>
      <c r="AQ771" s="873"/>
      <c r="AR771" s="873"/>
      <c r="AS771" s="873"/>
      <c r="AT771" s="873"/>
      <c r="AU771" s="873"/>
      <c r="AV771" s="873"/>
      <c r="AW771" s="873"/>
      <c r="AX771" s="873"/>
      <c r="AY771" s="873"/>
      <c r="AZ771" s="873"/>
      <c r="BA771" s="873"/>
      <c r="BB771" s="873"/>
      <c r="BC771" s="873"/>
      <c r="BD771" s="873"/>
      <c r="BE771" s="873"/>
      <c r="BF771" s="873"/>
      <c r="BG771" s="873"/>
      <c r="BH771" s="873"/>
      <c r="BI771" s="873"/>
      <c r="BJ771" s="873"/>
      <c r="BK771" s="873"/>
      <c r="BL771" s="873"/>
      <c r="BM771" s="873"/>
      <c r="BN771" s="873"/>
      <c r="BO771" s="873"/>
      <c r="BP771" s="873"/>
      <c r="BQ771" s="873"/>
      <c r="BR771" s="873"/>
      <c r="BS771" s="873"/>
      <c r="BT771" s="873"/>
      <c r="BU771" s="873"/>
      <c r="BV771" s="873"/>
      <c r="BW771" s="873"/>
      <c r="BX771" s="873"/>
      <c r="BY771" s="873"/>
      <c r="BZ771" s="873"/>
      <c r="CA771" s="873"/>
      <c r="CB771" s="873"/>
      <c r="CC771" s="873"/>
      <c r="CD771" s="873"/>
      <c r="CE771" s="873"/>
      <c r="CF771" s="873"/>
      <c r="CG771" s="873"/>
      <c r="CH771" s="873"/>
      <c r="CI771" s="873"/>
      <c r="CJ771" s="873"/>
      <c r="CK771" s="873"/>
      <c r="CL771" s="873"/>
      <c r="CM771" s="873"/>
      <c r="CN771" s="873"/>
      <c r="CO771" s="873"/>
      <c r="CP771" s="873"/>
      <c r="CQ771" s="873"/>
      <c r="CR771" s="873"/>
      <c r="CS771" s="873"/>
      <c r="CT771" s="873"/>
      <c r="CU771" s="873"/>
      <c r="CV771" s="873"/>
      <c r="CW771" s="873"/>
      <c r="CX771" s="873"/>
      <c r="CY771" s="873"/>
      <c r="CZ771" s="873"/>
      <c r="DA771" s="873"/>
      <c r="DB771" s="873"/>
      <c r="DC771" s="873"/>
      <c r="DD771" s="873"/>
      <c r="DE771" s="873"/>
      <c r="DF771" s="873"/>
      <c r="DG771" s="873"/>
      <c r="DH771" s="873"/>
      <c r="DI771" s="873"/>
      <c r="DJ771" s="873"/>
      <c r="DK771" s="873"/>
      <c r="DL771" s="873"/>
      <c r="DM771" s="873"/>
      <c r="DN771" s="873"/>
      <c r="DO771" s="873"/>
      <c r="DP771" s="873"/>
      <c r="DQ771" s="873"/>
      <c r="DR771" s="873"/>
      <c r="DS771" s="873"/>
      <c r="DT771" s="873"/>
      <c r="DU771" s="873"/>
      <c r="DV771" s="873"/>
      <c r="DW771" s="873"/>
      <c r="DX771" s="873"/>
      <c r="DY771" s="873"/>
      <c r="DZ771" s="873"/>
      <c r="EA771" s="873"/>
      <c r="EB771" s="873"/>
      <c r="EC771" s="873"/>
      <c r="ED771" s="873"/>
      <c r="EE771" s="873"/>
      <c r="EF771" s="873"/>
      <c r="EG771" s="873"/>
      <c r="EH771" s="873"/>
      <c r="EI771" s="873"/>
      <c r="EJ771" s="873"/>
      <c r="EK771" s="873"/>
      <c r="EL771" s="873"/>
      <c r="EM771" s="873"/>
      <c r="EN771" s="873"/>
      <c r="EO771" s="873"/>
      <c r="EP771" s="873"/>
      <c r="EQ771" s="873"/>
      <c r="ER771" s="873"/>
      <c r="ES771" s="873"/>
      <c r="ET771" s="873"/>
      <c r="EU771" s="873"/>
      <c r="EV771" s="873"/>
      <c r="EW771" s="873"/>
      <c r="EX771" s="873"/>
      <c r="EY771" s="873"/>
      <c r="EZ771" s="873"/>
      <c r="FA771" s="873"/>
      <c r="FB771" s="873"/>
      <c r="FC771" s="873"/>
      <c r="FD771" s="873"/>
      <c r="FE771" s="873"/>
      <c r="FF771" s="873"/>
      <c r="FG771" s="873"/>
      <c r="FH771" s="873"/>
      <c r="FI771" s="873"/>
      <c r="FJ771" s="873"/>
      <c r="FK771" s="873"/>
      <c r="FL771" s="873"/>
      <c r="FM771" s="873"/>
      <c r="FN771" s="873"/>
      <c r="FO771" s="873"/>
      <c r="FP771" s="873"/>
      <c r="FQ771" s="873"/>
      <c r="FR771" s="873"/>
      <c r="FS771" s="873"/>
      <c r="FT771" s="873"/>
      <c r="FU771" s="873"/>
      <c r="FV771" s="873"/>
      <c r="FW771" s="873"/>
      <c r="FX771" s="873"/>
      <c r="FY771" s="873"/>
      <c r="FZ771" s="873"/>
      <c r="GA771" s="873"/>
      <c r="GB771" s="873"/>
      <c r="GC771" s="873"/>
      <c r="GD771" s="873"/>
      <c r="GE771" s="873"/>
      <c r="GF771" s="873"/>
      <c r="GG771" s="873"/>
      <c r="GH771" s="873"/>
      <c r="GI771" s="873"/>
      <c r="GJ771" s="873"/>
      <c r="GK771" s="873"/>
      <c r="GL771" s="873"/>
      <c r="GM771" s="873"/>
      <c r="GN771" s="873"/>
      <c r="GO771" s="873"/>
      <c r="GP771" s="873"/>
      <c r="GQ771" s="873"/>
      <c r="GR771" s="873"/>
      <c r="GS771" s="873"/>
      <c r="GT771" s="873"/>
      <c r="GU771" s="873"/>
      <c r="GV771" s="873"/>
      <c r="GW771" s="873"/>
      <c r="GX771" s="873"/>
      <c r="GY771" s="873"/>
      <c r="GZ771" s="873"/>
      <c r="HA771" s="873"/>
      <c r="HB771" s="873"/>
      <c r="HC771" s="873"/>
      <c r="HD771" s="873"/>
      <c r="HE771" s="873"/>
      <c r="HF771" s="873"/>
      <c r="HG771" s="873"/>
      <c r="HH771" s="873"/>
      <c r="HI771" s="873"/>
      <c r="HJ771" s="873"/>
      <c r="HK771" s="873"/>
      <c r="HL771" s="873"/>
      <c r="HM771" s="873"/>
      <c r="HN771" s="873"/>
      <c r="HO771" s="873"/>
      <c r="HP771" s="873"/>
      <c r="HQ771" s="873"/>
      <c r="HR771" s="873"/>
      <c r="HS771" s="873"/>
      <c r="HT771" s="873"/>
      <c r="HU771" s="873"/>
      <c r="HV771" s="873"/>
      <c r="HW771" s="873"/>
      <c r="HX771" s="873"/>
      <c r="HY771" s="873"/>
      <c r="HZ771" s="873"/>
      <c r="IA771" s="873"/>
      <c r="IB771" s="873"/>
      <c r="IC771" s="873"/>
      <c r="ID771" s="873"/>
      <c r="IE771" s="873"/>
      <c r="IF771" s="873"/>
      <c r="IG771" s="873"/>
      <c r="IH771" s="873"/>
      <c r="II771" s="873"/>
      <c r="IJ771" s="873"/>
      <c r="IK771" s="873"/>
      <c r="IL771" s="873"/>
      <c r="IM771" s="873"/>
      <c r="IN771" s="873"/>
      <c r="IO771" s="873"/>
      <c r="IP771" s="873"/>
      <c r="IQ771" s="873"/>
      <c r="IR771" s="873"/>
      <c r="IS771" s="873"/>
      <c r="IT771" s="873"/>
      <c r="IU771" s="873"/>
      <c r="IV771" s="873"/>
      <c r="IW771" s="873"/>
    </row>
    <row r="772" spans="1:257" s="874" customFormat="1">
      <c r="A772" s="683" t="s">
        <v>258</v>
      </c>
      <c r="B772" s="696" t="s">
        <v>439</v>
      </c>
      <c r="C772" s="683"/>
      <c r="D772" s="683"/>
      <c r="E772" s="669"/>
      <c r="F772" s="669"/>
      <c r="G772" s="669"/>
      <c r="H772" s="669"/>
      <c r="I772" s="669"/>
      <c r="J772" s="669"/>
      <c r="K772" s="669">
        <v>70000000</v>
      </c>
      <c r="L772" s="1306">
        <v>70000000</v>
      </c>
      <c r="M772" s="669"/>
      <c r="N772" s="837"/>
      <c r="O772" s="837"/>
      <c r="P772" s="837"/>
      <c r="Q772" s="837"/>
      <c r="R772" s="908"/>
      <c r="S772" s="908"/>
      <c r="T772" s="1017"/>
      <c r="U772" s="670"/>
      <c r="V772" s="1134"/>
      <c r="W772" s="872"/>
      <c r="X772" s="751"/>
      <c r="Y772" s="873"/>
      <c r="Z772" s="873"/>
      <c r="AA772" s="873"/>
      <c r="AB772" s="873"/>
      <c r="AC772" s="873"/>
      <c r="AD772" s="873"/>
      <c r="AE772" s="873"/>
      <c r="AF772" s="873"/>
      <c r="AG772" s="873"/>
      <c r="AH772" s="873"/>
      <c r="AI772" s="873"/>
      <c r="AJ772" s="873"/>
      <c r="AK772" s="873"/>
      <c r="AL772" s="873"/>
      <c r="AM772" s="873"/>
      <c r="AN772" s="873"/>
      <c r="AO772" s="873"/>
      <c r="AP772" s="873"/>
      <c r="AQ772" s="873"/>
      <c r="AR772" s="873"/>
      <c r="AS772" s="873"/>
      <c r="AT772" s="873"/>
      <c r="AU772" s="873"/>
      <c r="AV772" s="873"/>
      <c r="AW772" s="873"/>
      <c r="AX772" s="873"/>
      <c r="AY772" s="873"/>
      <c r="AZ772" s="873"/>
      <c r="BA772" s="873"/>
      <c r="BB772" s="873"/>
      <c r="BC772" s="873"/>
      <c r="BD772" s="873"/>
      <c r="BE772" s="873"/>
      <c r="BF772" s="873"/>
      <c r="BG772" s="873"/>
      <c r="BH772" s="873"/>
      <c r="BI772" s="873"/>
      <c r="BJ772" s="873"/>
      <c r="BK772" s="873"/>
      <c r="BL772" s="873"/>
      <c r="BM772" s="873"/>
      <c r="BN772" s="873"/>
      <c r="BO772" s="873"/>
      <c r="BP772" s="873"/>
      <c r="BQ772" s="873"/>
      <c r="BR772" s="873"/>
      <c r="BS772" s="873"/>
      <c r="BT772" s="873"/>
      <c r="BU772" s="873"/>
      <c r="BV772" s="873"/>
      <c r="BW772" s="873"/>
      <c r="BX772" s="873"/>
      <c r="BY772" s="873"/>
      <c r="BZ772" s="873"/>
      <c r="CA772" s="873"/>
      <c r="CB772" s="873"/>
      <c r="CC772" s="873"/>
      <c r="CD772" s="873"/>
      <c r="CE772" s="873"/>
      <c r="CF772" s="873"/>
      <c r="CG772" s="873"/>
      <c r="CH772" s="873"/>
      <c r="CI772" s="873"/>
      <c r="CJ772" s="873"/>
      <c r="CK772" s="873"/>
      <c r="CL772" s="873"/>
      <c r="CM772" s="873"/>
      <c r="CN772" s="873"/>
      <c r="CO772" s="873"/>
      <c r="CP772" s="873"/>
      <c r="CQ772" s="873"/>
      <c r="CR772" s="873"/>
      <c r="CS772" s="873"/>
      <c r="CT772" s="873"/>
      <c r="CU772" s="873"/>
      <c r="CV772" s="873"/>
      <c r="CW772" s="873"/>
      <c r="CX772" s="873"/>
      <c r="CY772" s="873"/>
      <c r="CZ772" s="873"/>
      <c r="DA772" s="873"/>
      <c r="DB772" s="873"/>
      <c r="DC772" s="873"/>
      <c r="DD772" s="873"/>
      <c r="DE772" s="873"/>
      <c r="DF772" s="873"/>
      <c r="DG772" s="873"/>
      <c r="DH772" s="873"/>
      <c r="DI772" s="873"/>
      <c r="DJ772" s="873"/>
      <c r="DK772" s="873"/>
      <c r="DL772" s="873"/>
      <c r="DM772" s="873"/>
      <c r="DN772" s="873"/>
      <c r="DO772" s="873"/>
      <c r="DP772" s="873"/>
      <c r="DQ772" s="873"/>
      <c r="DR772" s="873"/>
      <c r="DS772" s="873"/>
      <c r="DT772" s="873"/>
      <c r="DU772" s="873"/>
      <c r="DV772" s="873"/>
      <c r="DW772" s="873"/>
      <c r="DX772" s="873"/>
      <c r="DY772" s="873"/>
      <c r="DZ772" s="873"/>
      <c r="EA772" s="873"/>
      <c r="EB772" s="873"/>
      <c r="EC772" s="873"/>
      <c r="ED772" s="873"/>
      <c r="EE772" s="873"/>
      <c r="EF772" s="873"/>
      <c r="EG772" s="873"/>
      <c r="EH772" s="873"/>
      <c r="EI772" s="873"/>
      <c r="EJ772" s="873"/>
      <c r="EK772" s="873"/>
      <c r="EL772" s="873"/>
      <c r="EM772" s="873"/>
      <c r="EN772" s="873"/>
      <c r="EO772" s="873"/>
      <c r="EP772" s="873"/>
      <c r="EQ772" s="873"/>
      <c r="ER772" s="873"/>
      <c r="ES772" s="873"/>
      <c r="ET772" s="873"/>
      <c r="EU772" s="873"/>
      <c r="EV772" s="873"/>
      <c r="EW772" s="873"/>
      <c r="EX772" s="873"/>
      <c r="EY772" s="873"/>
      <c r="EZ772" s="873"/>
      <c r="FA772" s="873"/>
      <c r="FB772" s="873"/>
      <c r="FC772" s="873"/>
      <c r="FD772" s="873"/>
      <c r="FE772" s="873"/>
      <c r="FF772" s="873"/>
      <c r="FG772" s="873"/>
      <c r="FH772" s="873"/>
      <c r="FI772" s="873"/>
      <c r="FJ772" s="873"/>
      <c r="FK772" s="873"/>
      <c r="FL772" s="873"/>
      <c r="FM772" s="873"/>
      <c r="FN772" s="873"/>
      <c r="FO772" s="873"/>
      <c r="FP772" s="873"/>
      <c r="FQ772" s="873"/>
      <c r="FR772" s="873"/>
      <c r="FS772" s="873"/>
      <c r="FT772" s="873"/>
      <c r="FU772" s="873"/>
      <c r="FV772" s="873"/>
      <c r="FW772" s="873"/>
      <c r="FX772" s="873"/>
      <c r="FY772" s="873"/>
      <c r="FZ772" s="873"/>
      <c r="GA772" s="873"/>
      <c r="GB772" s="873"/>
      <c r="GC772" s="873"/>
      <c r="GD772" s="873"/>
      <c r="GE772" s="873"/>
      <c r="GF772" s="873"/>
      <c r="GG772" s="873"/>
      <c r="GH772" s="873"/>
      <c r="GI772" s="873"/>
      <c r="GJ772" s="873"/>
      <c r="GK772" s="873"/>
      <c r="GL772" s="873"/>
      <c r="GM772" s="873"/>
      <c r="GN772" s="873"/>
      <c r="GO772" s="873"/>
      <c r="GP772" s="873"/>
      <c r="GQ772" s="873"/>
      <c r="GR772" s="873"/>
      <c r="GS772" s="873"/>
      <c r="GT772" s="873"/>
      <c r="GU772" s="873"/>
      <c r="GV772" s="873"/>
      <c r="GW772" s="873"/>
      <c r="GX772" s="873"/>
      <c r="GY772" s="873"/>
      <c r="GZ772" s="873"/>
      <c r="HA772" s="873"/>
      <c r="HB772" s="873"/>
      <c r="HC772" s="873"/>
      <c r="HD772" s="873"/>
      <c r="HE772" s="873"/>
      <c r="HF772" s="873"/>
      <c r="HG772" s="873"/>
      <c r="HH772" s="873"/>
      <c r="HI772" s="873"/>
      <c r="HJ772" s="873"/>
      <c r="HK772" s="873"/>
      <c r="HL772" s="873"/>
      <c r="HM772" s="873"/>
      <c r="HN772" s="873"/>
      <c r="HO772" s="873"/>
      <c r="HP772" s="873"/>
      <c r="HQ772" s="873"/>
      <c r="HR772" s="873"/>
      <c r="HS772" s="873"/>
      <c r="HT772" s="873"/>
      <c r="HU772" s="873"/>
      <c r="HV772" s="873"/>
      <c r="HW772" s="873"/>
      <c r="HX772" s="873"/>
      <c r="HY772" s="873"/>
      <c r="HZ772" s="873"/>
      <c r="IA772" s="873"/>
      <c r="IB772" s="873"/>
      <c r="IC772" s="873"/>
      <c r="ID772" s="873"/>
      <c r="IE772" s="873"/>
      <c r="IF772" s="873"/>
      <c r="IG772" s="873"/>
      <c r="IH772" s="873"/>
      <c r="II772" s="873"/>
      <c r="IJ772" s="873"/>
      <c r="IK772" s="873"/>
      <c r="IL772" s="873"/>
      <c r="IM772" s="873"/>
      <c r="IN772" s="873"/>
      <c r="IO772" s="873"/>
      <c r="IP772" s="873"/>
      <c r="IQ772" s="873"/>
      <c r="IR772" s="873"/>
      <c r="IS772" s="873"/>
      <c r="IT772" s="873"/>
      <c r="IU772" s="873"/>
      <c r="IV772" s="873"/>
      <c r="IW772" s="873"/>
    </row>
    <row r="773" spans="1:257" s="874" customFormat="1" ht="25.5">
      <c r="A773" s="683" t="s">
        <v>258</v>
      </c>
      <c r="B773" s="1133" t="s">
        <v>1131</v>
      </c>
      <c r="C773" s="683"/>
      <c r="D773" s="683"/>
      <c r="E773" s="669"/>
      <c r="F773" s="669">
        <v>40000000</v>
      </c>
      <c r="G773" s="669"/>
      <c r="H773" s="669"/>
      <c r="I773" s="669"/>
      <c r="J773" s="669">
        <v>68000000</v>
      </c>
      <c r="K773" s="669">
        <v>260000000</v>
      </c>
      <c r="L773" s="1306">
        <v>180000000</v>
      </c>
      <c r="M773" s="669" t="s">
        <v>1352</v>
      </c>
      <c r="N773" s="837"/>
      <c r="O773" s="837"/>
      <c r="P773" s="837"/>
      <c r="Q773" s="837"/>
      <c r="R773" s="908"/>
      <c r="S773" s="908"/>
      <c r="T773" s="1017"/>
      <c r="U773" s="670"/>
      <c r="V773" s="1134"/>
      <c r="W773" s="1134"/>
      <c r="X773" s="1135"/>
    </row>
    <row r="774" spans="1:257" s="874" customFormat="1" ht="15.75" hidden="1" customHeight="1">
      <c r="A774" s="683" t="s">
        <v>258</v>
      </c>
      <c r="B774" s="696"/>
      <c r="C774" s="683"/>
      <c r="D774" s="683"/>
      <c r="E774" s="669"/>
      <c r="F774" s="669"/>
      <c r="G774" s="669"/>
      <c r="H774" s="669"/>
      <c r="I774" s="669"/>
      <c r="J774" s="669"/>
      <c r="K774" s="669"/>
      <c r="L774" s="1306"/>
      <c r="M774" s="669"/>
      <c r="N774" s="837"/>
      <c r="O774" s="837"/>
      <c r="P774" s="837"/>
      <c r="Q774" s="837"/>
      <c r="R774" s="908"/>
      <c r="S774" s="908"/>
      <c r="T774" s="1017"/>
      <c r="U774" s="670"/>
      <c r="V774" s="1134"/>
      <c r="W774" s="1134"/>
      <c r="X774" s="1135"/>
    </row>
    <row r="775" spans="1:257" s="874" customFormat="1">
      <c r="A775" s="683" t="s">
        <v>258</v>
      </c>
      <c r="B775" s="696" t="s">
        <v>441</v>
      </c>
      <c r="C775" s="683"/>
      <c r="D775" s="683"/>
      <c r="E775" s="669"/>
      <c r="F775" s="669">
        <v>60000000</v>
      </c>
      <c r="G775" s="669"/>
      <c r="H775" s="669"/>
      <c r="I775" s="669"/>
      <c r="J775" s="669">
        <v>60000000</v>
      </c>
      <c r="K775" s="669">
        <v>60000000</v>
      </c>
      <c r="L775" s="1306">
        <v>50000000</v>
      </c>
      <c r="M775" s="669"/>
      <c r="N775" s="837"/>
      <c r="O775" s="837"/>
      <c r="P775" s="837"/>
      <c r="Q775" s="837"/>
      <c r="R775" s="908"/>
      <c r="S775" s="908"/>
      <c r="T775" s="1017"/>
      <c r="U775" s="670"/>
      <c r="V775" s="872"/>
      <c r="W775" s="1134"/>
      <c r="X775" s="782"/>
    </row>
    <row r="776" spans="1:257" s="874" customFormat="1">
      <c r="A776" s="683" t="s">
        <v>258</v>
      </c>
      <c r="B776" s="696" t="s">
        <v>442</v>
      </c>
      <c r="C776" s="683"/>
      <c r="D776" s="683"/>
      <c r="E776" s="669"/>
      <c r="F776" s="669">
        <v>7400000</v>
      </c>
      <c r="G776" s="669"/>
      <c r="H776" s="669"/>
      <c r="I776" s="669"/>
      <c r="J776" s="669">
        <v>8500000</v>
      </c>
      <c r="K776" s="669"/>
      <c r="L776" s="1306"/>
      <c r="M776" s="669"/>
      <c r="N776" s="837"/>
      <c r="O776" s="837"/>
      <c r="P776" s="837"/>
      <c r="Q776" s="837"/>
      <c r="R776" s="908"/>
      <c r="S776" s="908"/>
      <c r="T776" s="1017"/>
      <c r="U776" s="670"/>
      <c r="V776" s="872"/>
      <c r="W776" s="1134"/>
      <c r="X776" s="782"/>
    </row>
    <row r="777" spans="1:257" s="874" customFormat="1" ht="29.25" customHeight="1">
      <c r="A777" s="683" t="s">
        <v>258</v>
      </c>
      <c r="B777" s="696" t="s">
        <v>443</v>
      </c>
      <c r="C777" s="683"/>
      <c r="D777" s="683"/>
      <c r="E777" s="669"/>
      <c r="F777" s="669">
        <v>200000000</v>
      </c>
      <c r="G777" s="1796"/>
      <c r="H777" s="686"/>
      <c r="I777" s="686"/>
      <c r="J777" s="669">
        <v>150000000</v>
      </c>
      <c r="K777" s="669">
        <v>100000000</v>
      </c>
      <c r="L777" s="1306">
        <v>50000000</v>
      </c>
      <c r="M777" s="669"/>
      <c r="N777" s="837"/>
      <c r="O777" s="837"/>
      <c r="P777" s="935"/>
      <c r="Q777" s="935"/>
      <c r="R777" s="908"/>
      <c r="S777" s="908"/>
      <c r="T777" s="1017"/>
      <c r="U777" s="670"/>
      <c r="V777" s="872"/>
      <c r="W777" s="1134"/>
      <c r="X777" s="782"/>
    </row>
    <row r="778" spans="1:257" s="874" customFormat="1">
      <c r="A778" s="683" t="s">
        <v>258</v>
      </c>
      <c r="B778" s="696" t="s">
        <v>444</v>
      </c>
      <c r="C778" s="683"/>
      <c r="D778" s="683"/>
      <c r="E778" s="669"/>
      <c r="F778" s="669">
        <v>500000000</v>
      </c>
      <c r="G778" s="1796"/>
      <c r="H778" s="686"/>
      <c r="I778" s="686"/>
      <c r="J778" s="669">
        <v>370000000</v>
      </c>
      <c r="K778" s="669">
        <v>150000000</v>
      </c>
      <c r="L778" s="1306">
        <v>120000000</v>
      </c>
      <c r="M778" s="669"/>
      <c r="N778" s="837"/>
      <c r="O778" s="837"/>
      <c r="P778" s="935"/>
      <c r="Q778" s="935"/>
      <c r="R778" s="908"/>
      <c r="S778" s="908"/>
      <c r="T778" s="1017"/>
      <c r="U778" s="670"/>
      <c r="V778" s="872"/>
      <c r="W778" s="1134"/>
      <c r="X778" s="782"/>
    </row>
    <row r="779" spans="1:257" s="874" customFormat="1">
      <c r="A779" s="683" t="s">
        <v>258</v>
      </c>
      <c r="B779" s="696" t="s">
        <v>1132</v>
      </c>
      <c r="C779" s="683"/>
      <c r="D779" s="683"/>
      <c r="E779" s="669"/>
      <c r="F779" s="669">
        <v>100000000</v>
      </c>
      <c r="G779" s="686"/>
      <c r="H779" s="686"/>
      <c r="I779" s="686"/>
      <c r="J779" s="669"/>
      <c r="K779" s="669">
        <v>40000000</v>
      </c>
      <c r="L779" s="1306">
        <v>40000000</v>
      </c>
      <c r="M779" s="669"/>
      <c r="N779" s="837"/>
      <c r="O779" s="837"/>
      <c r="P779" s="935"/>
      <c r="Q779" s="935"/>
      <c r="R779" s="908"/>
      <c r="S779" s="908"/>
      <c r="T779" s="1017"/>
      <c r="U779" s="670"/>
      <c r="V779" s="872"/>
      <c r="W779" s="1134"/>
      <c r="X779" s="782"/>
    </row>
    <row r="780" spans="1:257" s="874" customFormat="1" ht="31.5">
      <c r="A780" s="683" t="s">
        <v>258</v>
      </c>
      <c r="B780" s="696" t="s">
        <v>445</v>
      </c>
      <c r="C780" s="683"/>
      <c r="D780" s="683"/>
      <c r="E780" s="669"/>
      <c r="F780" s="669"/>
      <c r="G780" s="686"/>
      <c r="H780" s="686"/>
      <c r="I780" s="686"/>
      <c r="J780" s="669">
        <v>20000000</v>
      </c>
      <c r="K780" s="669"/>
      <c r="L780" s="1306"/>
      <c r="M780" s="669"/>
      <c r="N780" s="837"/>
      <c r="O780" s="837"/>
      <c r="P780" s="935"/>
      <c r="Q780" s="935"/>
      <c r="R780" s="908"/>
      <c r="S780" s="908"/>
      <c r="T780" s="1017"/>
      <c r="U780" s="670"/>
      <c r="V780" s="872"/>
      <c r="W780" s="1134"/>
      <c r="X780" s="782"/>
    </row>
    <row r="781" spans="1:257" s="874" customFormat="1">
      <c r="A781" s="683" t="s">
        <v>258</v>
      </c>
      <c r="B781" s="696" t="s">
        <v>446</v>
      </c>
      <c r="C781" s="683"/>
      <c r="D781" s="683"/>
      <c r="E781" s="669"/>
      <c r="F781" s="669"/>
      <c r="G781" s="686"/>
      <c r="H781" s="686"/>
      <c r="I781" s="686"/>
      <c r="J781" s="669">
        <v>15000000</v>
      </c>
      <c r="K781" s="669"/>
      <c r="L781" s="1306"/>
      <c r="M781" s="669"/>
      <c r="N781" s="837"/>
      <c r="O781" s="837"/>
      <c r="P781" s="935"/>
      <c r="Q781" s="935"/>
      <c r="R781" s="908"/>
      <c r="S781" s="908"/>
      <c r="T781" s="1017"/>
      <c r="U781" s="670"/>
      <c r="V781" s="872"/>
      <c r="W781" s="1134"/>
      <c r="X781" s="782"/>
    </row>
    <row r="782" spans="1:257" s="874" customFormat="1" ht="25.5">
      <c r="A782" s="683" t="s">
        <v>258</v>
      </c>
      <c r="B782" s="1133" t="s">
        <v>1353</v>
      </c>
      <c r="C782" s="683"/>
      <c r="D782" s="683"/>
      <c r="E782" s="669"/>
      <c r="F782" s="669"/>
      <c r="G782" s="686"/>
      <c r="H782" s="686"/>
      <c r="I782" s="686"/>
      <c r="J782" s="669">
        <v>150000000</v>
      </c>
      <c r="K782" s="669">
        <v>160000000</v>
      </c>
      <c r="L782" s="1306">
        <v>220000000</v>
      </c>
      <c r="M782" s="669"/>
      <c r="N782" s="837"/>
      <c r="O782" s="837"/>
      <c r="P782" s="935"/>
      <c r="Q782" s="935"/>
      <c r="R782" s="908"/>
      <c r="S782" s="908"/>
      <c r="T782" s="1017"/>
      <c r="U782" s="670"/>
      <c r="V782" s="872"/>
      <c r="W782" s="1134"/>
      <c r="X782" s="782"/>
    </row>
    <row r="783" spans="1:257" s="874" customFormat="1">
      <c r="A783" s="683" t="s">
        <v>258</v>
      </c>
      <c r="B783" s="1137" t="s">
        <v>1354</v>
      </c>
      <c r="C783" s="683"/>
      <c r="D783" s="683"/>
      <c r="E783" s="669"/>
      <c r="F783" s="669"/>
      <c r="G783" s="686"/>
      <c r="H783" s="686"/>
      <c r="I783" s="686"/>
      <c r="J783" s="669"/>
      <c r="K783" s="669">
        <v>190000000</v>
      </c>
      <c r="L783" s="1306">
        <v>220000000</v>
      </c>
      <c r="M783" s="669"/>
      <c r="N783" s="837"/>
      <c r="O783" s="837"/>
      <c r="P783" s="935"/>
      <c r="Q783" s="935"/>
      <c r="R783" s="908"/>
      <c r="S783" s="908"/>
      <c r="T783" s="1017"/>
      <c r="U783" s="670"/>
      <c r="V783" s="872"/>
      <c r="W783" s="1134"/>
      <c r="X783" s="782"/>
    </row>
    <row r="784" spans="1:257" s="874" customFormat="1">
      <c r="A784" s="683" t="s">
        <v>258</v>
      </c>
      <c r="B784" s="1137" t="s">
        <v>1133</v>
      </c>
      <c r="C784" s="683"/>
      <c r="D784" s="683"/>
      <c r="E784" s="669"/>
      <c r="F784" s="669"/>
      <c r="G784" s="686"/>
      <c r="H784" s="686"/>
      <c r="I784" s="686"/>
      <c r="J784" s="669"/>
      <c r="K784" s="669">
        <f>15000000*1.1+8500000</f>
        <v>25000000</v>
      </c>
      <c r="L784" s="1306">
        <v>0</v>
      </c>
      <c r="M784" s="669"/>
      <c r="N784" s="837"/>
      <c r="O784" s="837"/>
      <c r="P784" s="935"/>
      <c r="Q784" s="935"/>
      <c r="R784" s="908"/>
      <c r="S784" s="908"/>
      <c r="T784" s="1017"/>
      <c r="U784" s="670"/>
      <c r="V784" s="872"/>
      <c r="W784" s="1134"/>
      <c r="X784" s="782"/>
    </row>
    <row r="785" spans="1:257" s="874" customFormat="1" ht="47.25">
      <c r="A785" s="683" t="s">
        <v>258</v>
      </c>
      <c r="B785" s="696" t="s">
        <v>448</v>
      </c>
      <c r="C785" s="683"/>
      <c r="D785" s="683"/>
      <c r="E785" s="669"/>
      <c r="F785" s="669">
        <v>50000000</v>
      </c>
      <c r="G785" s="686"/>
      <c r="H785" s="686"/>
      <c r="I785" s="686"/>
      <c r="J785" s="669">
        <v>150000000</v>
      </c>
      <c r="K785" s="669"/>
      <c r="L785" s="1306"/>
      <c r="M785" s="669"/>
      <c r="N785" s="837"/>
      <c r="O785" s="837"/>
      <c r="P785" s="935"/>
      <c r="Q785" s="935"/>
      <c r="R785" s="908"/>
      <c r="S785" s="908"/>
      <c r="T785" s="1017"/>
      <c r="U785" s="670"/>
      <c r="V785" s="872"/>
      <c r="W785" s="1134"/>
      <c r="X785" s="782"/>
    </row>
    <row r="786" spans="1:257" s="682" customFormat="1">
      <c r="A786" s="699" t="s">
        <v>261</v>
      </c>
      <c r="B786" s="808" t="s">
        <v>262</v>
      </c>
      <c r="C786" s="699"/>
      <c r="D786" s="699"/>
      <c r="E786" s="700"/>
      <c r="F786" s="810">
        <f>F787+F788</f>
        <v>126740000</v>
      </c>
      <c r="G786" s="725"/>
      <c r="H786" s="725"/>
      <c r="I786" s="725"/>
      <c r="J786" s="810">
        <f>J787</f>
        <v>149250000</v>
      </c>
      <c r="K786" s="810">
        <f>K787</f>
        <v>141300000</v>
      </c>
      <c r="L786" s="1313">
        <f>L787</f>
        <v>162800000</v>
      </c>
      <c r="M786" s="707"/>
      <c r="N786" s="934"/>
      <c r="O786" s="934"/>
      <c r="P786" s="868"/>
      <c r="Q786" s="868"/>
      <c r="R786" s="871"/>
      <c r="S786" s="871"/>
      <c r="T786" s="824"/>
      <c r="U786" s="670"/>
      <c r="V786" s="727"/>
      <c r="W786" s="727"/>
      <c r="X786" s="728"/>
    </row>
    <row r="787" spans="1:257" s="682" customFormat="1">
      <c r="A787" s="713"/>
      <c r="B787" s="668" t="s">
        <v>263</v>
      </c>
      <c r="C787" s="713"/>
      <c r="D787" s="713"/>
      <c r="E787" s="725"/>
      <c r="F787" s="725">
        <f>(F758+F764+F767+F768+F769+F770+F773+F775+F776+F777+F778+F779+F785)*10%</f>
        <v>126740000</v>
      </c>
      <c r="G787" s="725"/>
      <c r="H787" s="725"/>
      <c r="I787" s="725"/>
      <c r="J787" s="725">
        <f>(J758+J764+J767+J768+J769+J770+J773+J775+J777+J778+J779+J780+J781+J782+J785+J776)*10%</f>
        <v>149250000</v>
      </c>
      <c r="K787" s="725">
        <f>(K758+K764+K767+K771+K772+K773+K775+K777+K778+K779+K782+K784)*10%</f>
        <v>141300000</v>
      </c>
      <c r="L787" s="1311">
        <f>(L758+L764+L767+L771+L772+L773+L775+L777+L778+L779+L782+L784+L783)*10%</f>
        <v>162800000</v>
      </c>
      <c r="M787" s="669"/>
      <c r="N787" s="868"/>
      <c r="O787" s="868"/>
      <c r="P787" s="868"/>
      <c r="Q787" s="868"/>
      <c r="R787" s="871"/>
      <c r="S787" s="871"/>
      <c r="T787" s="824"/>
      <c r="U787" s="670"/>
      <c r="V787" s="581"/>
      <c r="W787" s="727"/>
      <c r="X787" s="728"/>
    </row>
    <row r="788" spans="1:257" s="582" customFormat="1" ht="15.75" hidden="1" customHeight="1">
      <c r="A788" s="713"/>
      <c r="B788" s="669"/>
      <c r="C788" s="713"/>
      <c r="D788" s="713"/>
      <c r="E788" s="725"/>
      <c r="F788" s="725"/>
      <c r="G788" s="700"/>
      <c r="H788" s="700"/>
      <c r="I788" s="700"/>
      <c r="J788" s="725"/>
      <c r="K788" s="725"/>
      <c r="L788" s="1311"/>
      <c r="M788" s="669"/>
      <c r="N788" s="868"/>
      <c r="O788" s="868"/>
      <c r="P788" s="820"/>
      <c r="Q788" s="820"/>
      <c r="R788" s="871"/>
      <c r="S788" s="867"/>
      <c r="T788" s="856"/>
      <c r="U788" s="670"/>
      <c r="V788" s="727"/>
      <c r="W788" s="727"/>
      <c r="X788" s="728"/>
      <c r="Y788" s="682"/>
      <c r="Z788" s="682"/>
      <c r="AA788" s="682"/>
      <c r="AB788" s="682"/>
      <c r="AC788" s="682"/>
      <c r="AD788" s="682"/>
      <c r="AE788" s="682"/>
      <c r="AF788" s="682"/>
      <c r="AG788" s="682"/>
      <c r="AH788" s="682"/>
      <c r="AI788" s="682"/>
      <c r="AJ788" s="682"/>
      <c r="AK788" s="682"/>
      <c r="AL788" s="682"/>
      <c r="AM788" s="682"/>
      <c r="AN788" s="682"/>
      <c r="AO788" s="682"/>
      <c r="AP788" s="682"/>
      <c r="AQ788" s="682"/>
      <c r="AR788" s="682"/>
      <c r="AS788" s="682"/>
      <c r="AT788" s="682"/>
      <c r="AU788" s="682"/>
      <c r="AV788" s="682"/>
      <c r="AW788" s="682"/>
      <c r="AX788" s="682"/>
      <c r="AY788" s="682"/>
      <c r="AZ788" s="682"/>
      <c r="BA788" s="682"/>
      <c r="BB788" s="682"/>
      <c r="BC788" s="682"/>
      <c r="BD788" s="682"/>
      <c r="BE788" s="682"/>
      <c r="BF788" s="682"/>
      <c r="BG788" s="682"/>
      <c r="BH788" s="682"/>
      <c r="BI788" s="682"/>
      <c r="BJ788" s="682"/>
      <c r="BK788" s="682"/>
      <c r="BL788" s="682"/>
      <c r="BM788" s="682"/>
      <c r="BN788" s="682"/>
      <c r="BO788" s="682"/>
      <c r="BP788" s="682"/>
      <c r="BQ788" s="682"/>
      <c r="BR788" s="682"/>
      <c r="BS788" s="682"/>
      <c r="BT788" s="682"/>
      <c r="BU788" s="682"/>
      <c r="BV788" s="682"/>
      <c r="BW788" s="682"/>
      <c r="BX788" s="682"/>
      <c r="BY788" s="682"/>
      <c r="BZ788" s="682"/>
      <c r="CA788" s="682"/>
      <c r="CB788" s="682"/>
      <c r="CC788" s="682"/>
      <c r="CD788" s="682"/>
      <c r="CE788" s="682"/>
      <c r="CF788" s="682"/>
      <c r="CG788" s="682"/>
      <c r="CH788" s="682"/>
      <c r="CI788" s="682"/>
      <c r="CJ788" s="682"/>
      <c r="CK788" s="682"/>
      <c r="CL788" s="682"/>
      <c r="CM788" s="682"/>
      <c r="CN788" s="682"/>
      <c r="CO788" s="682"/>
      <c r="CP788" s="682"/>
      <c r="CQ788" s="682"/>
      <c r="CR788" s="682"/>
      <c r="CS788" s="682"/>
      <c r="CT788" s="682"/>
      <c r="CU788" s="682"/>
      <c r="CV788" s="682"/>
      <c r="CW788" s="682"/>
      <c r="CX788" s="682"/>
      <c r="CY788" s="682"/>
      <c r="CZ788" s="682"/>
      <c r="DA788" s="682"/>
      <c r="DB788" s="682"/>
      <c r="DC788" s="682"/>
      <c r="DD788" s="682"/>
      <c r="DE788" s="682"/>
      <c r="DF788" s="682"/>
      <c r="DG788" s="682"/>
      <c r="DH788" s="682"/>
      <c r="DI788" s="682"/>
      <c r="DJ788" s="682"/>
      <c r="DK788" s="682"/>
      <c r="DL788" s="682"/>
      <c r="DM788" s="682"/>
      <c r="DN788" s="682"/>
      <c r="DO788" s="682"/>
      <c r="DP788" s="682"/>
      <c r="DQ788" s="682"/>
      <c r="DR788" s="682"/>
      <c r="DS788" s="682"/>
      <c r="DT788" s="682"/>
      <c r="DU788" s="682"/>
      <c r="DV788" s="682"/>
      <c r="DW788" s="682"/>
      <c r="DX788" s="682"/>
      <c r="DY788" s="682"/>
      <c r="DZ788" s="682"/>
      <c r="EA788" s="682"/>
      <c r="EB788" s="682"/>
      <c r="EC788" s="682"/>
      <c r="ED788" s="682"/>
      <c r="EE788" s="682"/>
      <c r="EF788" s="682"/>
      <c r="EG788" s="682"/>
      <c r="EH788" s="682"/>
      <c r="EI788" s="682"/>
      <c r="EJ788" s="682"/>
      <c r="EK788" s="682"/>
      <c r="EL788" s="682"/>
      <c r="EM788" s="682"/>
      <c r="EN788" s="682"/>
      <c r="EO788" s="682"/>
      <c r="EP788" s="682"/>
      <c r="EQ788" s="682"/>
      <c r="ER788" s="682"/>
      <c r="ES788" s="682"/>
      <c r="ET788" s="682"/>
      <c r="EU788" s="682"/>
      <c r="EV788" s="682"/>
      <c r="EW788" s="682"/>
      <c r="EX788" s="682"/>
      <c r="EY788" s="682"/>
      <c r="EZ788" s="682"/>
      <c r="FA788" s="682"/>
      <c r="FB788" s="682"/>
      <c r="FC788" s="682"/>
      <c r="FD788" s="682"/>
      <c r="FE788" s="682"/>
      <c r="FF788" s="682"/>
      <c r="FG788" s="682"/>
      <c r="FH788" s="682"/>
      <c r="FI788" s="682"/>
      <c r="FJ788" s="682"/>
      <c r="FK788" s="682"/>
      <c r="FL788" s="682"/>
      <c r="FM788" s="682"/>
      <c r="FN788" s="682"/>
      <c r="FO788" s="682"/>
      <c r="FP788" s="682"/>
      <c r="FQ788" s="682"/>
      <c r="FR788" s="682"/>
      <c r="FS788" s="682"/>
      <c r="FT788" s="682"/>
      <c r="FU788" s="682"/>
      <c r="FV788" s="682"/>
      <c r="FW788" s="682"/>
      <c r="FX788" s="682"/>
      <c r="FY788" s="682"/>
      <c r="FZ788" s="682"/>
      <c r="GA788" s="682"/>
      <c r="GB788" s="682"/>
      <c r="GC788" s="682"/>
      <c r="GD788" s="682"/>
      <c r="GE788" s="682"/>
      <c r="GF788" s="682"/>
      <c r="GG788" s="682"/>
      <c r="GH788" s="682"/>
      <c r="GI788" s="682"/>
      <c r="GJ788" s="682"/>
      <c r="GK788" s="682"/>
      <c r="GL788" s="682"/>
      <c r="GM788" s="682"/>
      <c r="GN788" s="682"/>
      <c r="GO788" s="682"/>
      <c r="GP788" s="682"/>
      <c r="GQ788" s="682"/>
      <c r="GR788" s="682"/>
      <c r="GS788" s="682"/>
      <c r="GT788" s="682"/>
      <c r="GU788" s="682"/>
      <c r="GV788" s="682"/>
      <c r="GW788" s="682"/>
      <c r="GX788" s="682"/>
      <c r="GY788" s="682"/>
      <c r="GZ788" s="682"/>
      <c r="HA788" s="682"/>
      <c r="HB788" s="682"/>
      <c r="HC788" s="682"/>
      <c r="HD788" s="682"/>
      <c r="HE788" s="682"/>
      <c r="HF788" s="682"/>
      <c r="HG788" s="682"/>
      <c r="HH788" s="682"/>
      <c r="HI788" s="682"/>
      <c r="HJ788" s="682"/>
      <c r="HK788" s="682"/>
      <c r="HL788" s="682"/>
      <c r="HM788" s="682"/>
      <c r="HN788" s="682"/>
      <c r="HO788" s="682"/>
      <c r="HP788" s="682"/>
      <c r="HQ788" s="682"/>
      <c r="HR788" s="682"/>
      <c r="HS788" s="682"/>
      <c r="HT788" s="682"/>
      <c r="HU788" s="682"/>
      <c r="HV788" s="682"/>
      <c r="HW788" s="682"/>
      <c r="HX788" s="682"/>
      <c r="HY788" s="682"/>
      <c r="HZ788" s="682"/>
      <c r="IA788" s="682"/>
      <c r="IB788" s="682"/>
      <c r="IC788" s="682"/>
      <c r="ID788" s="682"/>
      <c r="IE788" s="682"/>
      <c r="IF788" s="682"/>
      <c r="IG788" s="682"/>
      <c r="IH788" s="682"/>
      <c r="II788" s="682"/>
      <c r="IJ788" s="682"/>
      <c r="IK788" s="682"/>
      <c r="IL788" s="682"/>
      <c r="IM788" s="682"/>
      <c r="IN788" s="682"/>
      <c r="IO788" s="682"/>
      <c r="IP788" s="682"/>
      <c r="IQ788" s="682"/>
      <c r="IR788" s="682"/>
      <c r="IS788" s="682"/>
      <c r="IT788" s="682"/>
      <c r="IU788" s="682"/>
      <c r="IV788" s="682"/>
      <c r="IW788" s="682"/>
    </row>
    <row r="789" spans="1:257" s="1093" customFormat="1">
      <c r="A789" s="791">
        <v>10</v>
      </c>
      <c r="B789" s="840" t="s">
        <v>449</v>
      </c>
      <c r="C789" s="791"/>
      <c r="D789" s="791"/>
      <c r="E789" s="792"/>
      <c r="F789" s="792">
        <f t="shared" ref="F789:J789" si="85">F790+F796</f>
        <v>1053000000</v>
      </c>
      <c r="G789" s="792" t="e">
        <f t="shared" si="85"/>
        <v>#VALUE!</v>
      </c>
      <c r="H789" s="792">
        <f t="shared" si="85"/>
        <v>0</v>
      </c>
      <c r="I789" s="792">
        <f t="shared" si="85"/>
        <v>0</v>
      </c>
      <c r="J789" s="792">
        <f t="shared" si="85"/>
        <v>1170070000</v>
      </c>
      <c r="K789" s="792">
        <f>K790+K796</f>
        <v>1302000000</v>
      </c>
      <c r="L789" s="1303">
        <f>L790+L796</f>
        <v>3579300000</v>
      </c>
      <c r="M789" s="792"/>
      <c r="N789" s="841"/>
      <c r="O789" s="841"/>
      <c r="P789" s="1086"/>
      <c r="Q789" s="1086"/>
      <c r="R789" s="947"/>
      <c r="S789" s="894"/>
      <c r="T789" s="845"/>
      <c r="U789" s="1073"/>
      <c r="V789" s="895"/>
      <c r="W789" s="800"/>
      <c r="X789" s="975"/>
      <c r="Y789" s="976"/>
      <c r="Z789" s="976"/>
      <c r="AA789" s="976"/>
      <c r="AB789" s="976"/>
      <c r="AC789" s="976"/>
      <c r="AD789" s="976"/>
      <c r="AE789" s="976"/>
      <c r="AF789" s="976"/>
      <c r="AG789" s="976"/>
      <c r="AH789" s="976"/>
      <c r="AI789" s="976"/>
      <c r="AJ789" s="976"/>
      <c r="AK789" s="976"/>
      <c r="AL789" s="976"/>
      <c r="AM789" s="976"/>
      <c r="AN789" s="976"/>
      <c r="AO789" s="976"/>
      <c r="AP789" s="976"/>
      <c r="AQ789" s="976"/>
      <c r="AR789" s="976"/>
      <c r="AS789" s="976"/>
      <c r="AT789" s="976"/>
      <c r="AU789" s="976"/>
      <c r="AV789" s="976"/>
      <c r="AW789" s="976"/>
      <c r="AX789" s="976"/>
      <c r="AY789" s="976"/>
      <c r="AZ789" s="976"/>
      <c r="BA789" s="976"/>
      <c r="BB789" s="976"/>
      <c r="BC789" s="976"/>
      <c r="BD789" s="976"/>
      <c r="BE789" s="976"/>
      <c r="BF789" s="976"/>
      <c r="BG789" s="976"/>
      <c r="BH789" s="976"/>
      <c r="BI789" s="976"/>
      <c r="BJ789" s="976"/>
      <c r="BK789" s="976"/>
      <c r="BL789" s="976"/>
      <c r="BM789" s="976"/>
      <c r="BN789" s="976"/>
      <c r="BO789" s="976"/>
      <c r="BP789" s="976"/>
      <c r="BQ789" s="976"/>
      <c r="BR789" s="976"/>
      <c r="BS789" s="976"/>
      <c r="BT789" s="976"/>
      <c r="BU789" s="976"/>
      <c r="BV789" s="976"/>
      <c r="BW789" s="976"/>
      <c r="BX789" s="976"/>
      <c r="BY789" s="976"/>
      <c r="BZ789" s="976"/>
      <c r="CA789" s="976"/>
      <c r="CB789" s="976"/>
      <c r="CC789" s="976"/>
      <c r="CD789" s="976"/>
      <c r="CE789" s="976"/>
      <c r="CF789" s="976"/>
      <c r="CG789" s="976"/>
      <c r="CH789" s="976"/>
      <c r="CI789" s="976"/>
      <c r="CJ789" s="976"/>
      <c r="CK789" s="976"/>
      <c r="CL789" s="976"/>
      <c r="CM789" s="976"/>
      <c r="CN789" s="976"/>
      <c r="CO789" s="976"/>
      <c r="CP789" s="976"/>
      <c r="CQ789" s="976"/>
      <c r="CR789" s="976"/>
      <c r="CS789" s="976"/>
      <c r="CT789" s="976"/>
      <c r="CU789" s="976"/>
      <c r="CV789" s="976"/>
      <c r="CW789" s="976"/>
      <c r="CX789" s="976"/>
      <c r="CY789" s="976"/>
      <c r="CZ789" s="976"/>
      <c r="DA789" s="976"/>
      <c r="DB789" s="976"/>
      <c r="DC789" s="976"/>
      <c r="DD789" s="976"/>
      <c r="DE789" s="976"/>
      <c r="DF789" s="976"/>
      <c r="DG789" s="976"/>
      <c r="DH789" s="976"/>
      <c r="DI789" s="976"/>
      <c r="DJ789" s="976"/>
      <c r="DK789" s="976"/>
      <c r="DL789" s="976"/>
      <c r="DM789" s="976"/>
      <c r="DN789" s="976"/>
      <c r="DO789" s="976"/>
      <c r="DP789" s="976"/>
      <c r="DQ789" s="976"/>
      <c r="DR789" s="976"/>
      <c r="DS789" s="976"/>
      <c r="DT789" s="976"/>
      <c r="DU789" s="976"/>
      <c r="DV789" s="976"/>
      <c r="DW789" s="976"/>
      <c r="DX789" s="976"/>
      <c r="DY789" s="976"/>
      <c r="DZ789" s="976"/>
      <c r="EA789" s="976"/>
      <c r="EB789" s="976"/>
      <c r="EC789" s="976"/>
      <c r="ED789" s="976"/>
      <c r="EE789" s="976"/>
      <c r="EF789" s="976"/>
      <c r="EG789" s="976"/>
      <c r="EH789" s="976"/>
      <c r="EI789" s="976"/>
      <c r="EJ789" s="976"/>
      <c r="EK789" s="976"/>
      <c r="EL789" s="976"/>
      <c r="EM789" s="976"/>
      <c r="EN789" s="976"/>
      <c r="EO789" s="976"/>
      <c r="EP789" s="976"/>
      <c r="EQ789" s="976"/>
      <c r="ER789" s="976"/>
      <c r="ES789" s="976"/>
      <c r="ET789" s="976"/>
      <c r="EU789" s="976"/>
      <c r="EV789" s="976"/>
      <c r="EW789" s="976"/>
      <c r="EX789" s="976"/>
      <c r="EY789" s="976"/>
      <c r="EZ789" s="976"/>
      <c r="FA789" s="976"/>
      <c r="FB789" s="976"/>
      <c r="FC789" s="976"/>
      <c r="FD789" s="976"/>
      <c r="FE789" s="976"/>
      <c r="FF789" s="976"/>
      <c r="FG789" s="976"/>
      <c r="FH789" s="976"/>
      <c r="FI789" s="976"/>
      <c r="FJ789" s="976"/>
      <c r="FK789" s="976"/>
      <c r="FL789" s="976"/>
      <c r="FM789" s="976"/>
      <c r="FN789" s="976"/>
      <c r="FO789" s="976"/>
      <c r="FP789" s="976"/>
      <c r="FQ789" s="976"/>
      <c r="FR789" s="976"/>
      <c r="FS789" s="976"/>
      <c r="FT789" s="976"/>
      <c r="FU789" s="976"/>
      <c r="FV789" s="976"/>
      <c r="FW789" s="976"/>
      <c r="FX789" s="976"/>
      <c r="FY789" s="976"/>
      <c r="FZ789" s="976"/>
      <c r="GA789" s="976"/>
      <c r="GB789" s="976"/>
      <c r="GC789" s="976"/>
      <c r="GD789" s="976"/>
      <c r="GE789" s="976"/>
      <c r="GF789" s="976"/>
      <c r="GG789" s="976"/>
      <c r="GH789" s="976"/>
      <c r="GI789" s="976"/>
      <c r="GJ789" s="976"/>
      <c r="GK789" s="976"/>
      <c r="GL789" s="976"/>
      <c r="GM789" s="976"/>
      <c r="GN789" s="976"/>
      <c r="GO789" s="976"/>
      <c r="GP789" s="976"/>
      <c r="GQ789" s="976"/>
      <c r="GR789" s="976"/>
      <c r="GS789" s="976"/>
      <c r="GT789" s="976"/>
      <c r="GU789" s="976"/>
      <c r="GV789" s="976"/>
      <c r="GW789" s="976"/>
      <c r="GX789" s="976"/>
      <c r="GY789" s="976"/>
      <c r="GZ789" s="976"/>
      <c r="HA789" s="976"/>
      <c r="HB789" s="976"/>
      <c r="HC789" s="976"/>
      <c r="HD789" s="976"/>
      <c r="HE789" s="976"/>
      <c r="HF789" s="976"/>
      <c r="HG789" s="976"/>
      <c r="HH789" s="976"/>
      <c r="HI789" s="976"/>
      <c r="HJ789" s="976"/>
      <c r="HK789" s="976"/>
      <c r="HL789" s="976"/>
      <c r="HM789" s="976"/>
      <c r="HN789" s="976"/>
      <c r="HO789" s="976"/>
      <c r="HP789" s="976"/>
      <c r="HQ789" s="976"/>
      <c r="HR789" s="976"/>
      <c r="HS789" s="976"/>
      <c r="HT789" s="976"/>
      <c r="HU789" s="976"/>
      <c r="HV789" s="976"/>
      <c r="HW789" s="976"/>
      <c r="HX789" s="976"/>
      <c r="HY789" s="976"/>
      <c r="HZ789" s="976"/>
      <c r="IA789" s="976"/>
      <c r="IB789" s="976"/>
      <c r="IC789" s="976"/>
      <c r="ID789" s="976"/>
      <c r="IE789" s="976"/>
      <c r="IF789" s="976"/>
      <c r="IG789" s="976"/>
      <c r="IH789" s="976"/>
      <c r="II789" s="976"/>
      <c r="IJ789" s="976"/>
      <c r="IK789" s="976"/>
      <c r="IL789" s="976"/>
      <c r="IM789" s="976"/>
      <c r="IN789" s="976"/>
      <c r="IO789" s="976"/>
      <c r="IP789" s="976"/>
      <c r="IQ789" s="976"/>
      <c r="IR789" s="976"/>
      <c r="IS789" s="976"/>
      <c r="IT789" s="976"/>
      <c r="IU789" s="976"/>
      <c r="IV789" s="976"/>
      <c r="IW789" s="976"/>
    </row>
    <row r="790" spans="1:257" s="724" customFormat="1">
      <c r="A790" s="589" t="s">
        <v>222</v>
      </c>
      <c r="B790" s="804" t="s">
        <v>252</v>
      </c>
      <c r="C790" s="715"/>
      <c r="D790" s="715"/>
      <c r="E790" s="716"/>
      <c r="F790" s="805">
        <f>F793+F795</f>
        <v>1008000000</v>
      </c>
      <c r="G790" s="805" t="e">
        <f>G793+G795</f>
        <v>#VALUE!</v>
      </c>
      <c r="H790" s="805">
        <f>H793+H795</f>
        <v>0</v>
      </c>
      <c r="I790" s="805">
        <f>I793+I795</f>
        <v>0</v>
      </c>
      <c r="J790" s="805">
        <f>J793+J795</f>
        <v>1083070000</v>
      </c>
      <c r="K790" s="805">
        <f>K792+K794+K795</f>
        <v>1251000000</v>
      </c>
      <c r="L790" s="1312">
        <f>L792+L794+L795</f>
        <v>1614600000</v>
      </c>
      <c r="M790" s="603"/>
      <c r="N790" s="835"/>
      <c r="O790" s="835"/>
      <c r="P790" s="829"/>
      <c r="Q790" s="829"/>
      <c r="R790" s="900"/>
      <c r="S790" s="891"/>
      <c r="T790" s="832"/>
      <c r="U790" s="667"/>
      <c r="V790" s="722"/>
      <c r="W790" s="701"/>
      <c r="X790" s="702"/>
      <c r="Y790" s="703"/>
      <c r="Z790" s="703"/>
      <c r="AA790" s="703"/>
      <c r="AB790" s="703"/>
      <c r="AC790" s="703"/>
      <c r="AD790" s="703"/>
      <c r="AE790" s="703"/>
      <c r="AF790" s="703"/>
      <c r="AG790" s="703"/>
      <c r="AH790" s="703"/>
      <c r="AI790" s="703"/>
      <c r="AJ790" s="703"/>
      <c r="AK790" s="703"/>
      <c r="AL790" s="703"/>
      <c r="AM790" s="703"/>
      <c r="AN790" s="703"/>
      <c r="AO790" s="703"/>
      <c r="AP790" s="703"/>
      <c r="AQ790" s="703"/>
      <c r="AR790" s="703"/>
      <c r="AS790" s="703"/>
      <c r="AT790" s="703"/>
      <c r="AU790" s="703"/>
      <c r="AV790" s="703"/>
      <c r="AW790" s="703"/>
      <c r="AX790" s="703"/>
      <c r="AY790" s="703"/>
      <c r="AZ790" s="703"/>
      <c r="BA790" s="703"/>
      <c r="BB790" s="703"/>
      <c r="BC790" s="703"/>
      <c r="BD790" s="703"/>
      <c r="BE790" s="703"/>
      <c r="BF790" s="703"/>
      <c r="BG790" s="703"/>
      <c r="BH790" s="703"/>
      <c r="BI790" s="703"/>
      <c r="BJ790" s="703"/>
      <c r="BK790" s="703"/>
      <c r="BL790" s="703"/>
      <c r="BM790" s="703"/>
      <c r="BN790" s="703"/>
      <c r="BO790" s="703"/>
      <c r="BP790" s="703"/>
      <c r="BQ790" s="703"/>
      <c r="BR790" s="703"/>
      <c r="BS790" s="703"/>
      <c r="BT790" s="703"/>
      <c r="BU790" s="703"/>
      <c r="BV790" s="703"/>
      <c r="BW790" s="703"/>
      <c r="BX790" s="703"/>
      <c r="BY790" s="703"/>
      <c r="BZ790" s="703"/>
      <c r="CA790" s="703"/>
      <c r="CB790" s="703"/>
      <c r="CC790" s="703"/>
      <c r="CD790" s="703"/>
      <c r="CE790" s="703"/>
      <c r="CF790" s="703"/>
      <c r="CG790" s="703"/>
      <c r="CH790" s="703"/>
      <c r="CI790" s="703"/>
      <c r="CJ790" s="703"/>
      <c r="CK790" s="703"/>
      <c r="CL790" s="703"/>
      <c r="CM790" s="703"/>
      <c r="CN790" s="703"/>
      <c r="CO790" s="703"/>
      <c r="CP790" s="703"/>
      <c r="CQ790" s="703"/>
      <c r="CR790" s="703"/>
      <c r="CS790" s="703"/>
      <c r="CT790" s="703"/>
      <c r="CU790" s="703"/>
      <c r="CV790" s="703"/>
      <c r="CW790" s="703"/>
      <c r="CX790" s="703"/>
      <c r="CY790" s="703"/>
      <c r="CZ790" s="703"/>
      <c r="DA790" s="703"/>
      <c r="DB790" s="703"/>
      <c r="DC790" s="703"/>
      <c r="DD790" s="703"/>
      <c r="DE790" s="703"/>
      <c r="DF790" s="703"/>
      <c r="DG790" s="703"/>
      <c r="DH790" s="703"/>
      <c r="DI790" s="703"/>
      <c r="DJ790" s="703"/>
      <c r="DK790" s="703"/>
      <c r="DL790" s="703"/>
      <c r="DM790" s="703"/>
      <c r="DN790" s="703"/>
      <c r="DO790" s="703"/>
      <c r="DP790" s="703"/>
      <c r="DQ790" s="703"/>
      <c r="DR790" s="703"/>
      <c r="DS790" s="703"/>
      <c r="DT790" s="703"/>
      <c r="DU790" s="703"/>
      <c r="DV790" s="703"/>
      <c r="DW790" s="703"/>
      <c r="DX790" s="703"/>
      <c r="DY790" s="703"/>
      <c r="DZ790" s="703"/>
      <c r="EA790" s="703"/>
      <c r="EB790" s="703"/>
      <c r="EC790" s="703"/>
      <c r="ED790" s="703"/>
      <c r="EE790" s="703"/>
      <c r="EF790" s="703"/>
      <c r="EG790" s="703"/>
      <c r="EH790" s="703"/>
      <c r="EI790" s="703"/>
      <c r="EJ790" s="703"/>
      <c r="EK790" s="703"/>
      <c r="EL790" s="703"/>
      <c r="EM790" s="703"/>
      <c r="EN790" s="703"/>
      <c r="EO790" s="703"/>
      <c r="EP790" s="703"/>
      <c r="EQ790" s="703"/>
      <c r="ER790" s="703"/>
      <c r="ES790" s="703"/>
      <c r="ET790" s="703"/>
      <c r="EU790" s="703"/>
      <c r="EV790" s="703"/>
      <c r="EW790" s="703"/>
      <c r="EX790" s="703"/>
      <c r="EY790" s="703"/>
      <c r="EZ790" s="703"/>
      <c r="FA790" s="703"/>
      <c r="FB790" s="703"/>
      <c r="FC790" s="703"/>
      <c r="FD790" s="703"/>
      <c r="FE790" s="703"/>
      <c r="FF790" s="703"/>
      <c r="FG790" s="703"/>
      <c r="FH790" s="703"/>
      <c r="FI790" s="703"/>
      <c r="FJ790" s="703"/>
      <c r="FK790" s="703"/>
      <c r="FL790" s="703"/>
      <c r="FM790" s="703"/>
      <c r="FN790" s="703"/>
      <c r="FO790" s="703"/>
      <c r="FP790" s="703"/>
      <c r="FQ790" s="703"/>
      <c r="FR790" s="703"/>
      <c r="FS790" s="703"/>
      <c r="FT790" s="703"/>
      <c r="FU790" s="703"/>
      <c r="FV790" s="703"/>
      <c r="FW790" s="703"/>
      <c r="FX790" s="703"/>
      <c r="FY790" s="703"/>
      <c r="FZ790" s="703"/>
      <c r="GA790" s="703"/>
      <c r="GB790" s="703"/>
      <c r="GC790" s="703"/>
      <c r="GD790" s="703"/>
      <c r="GE790" s="703"/>
      <c r="GF790" s="703"/>
      <c r="GG790" s="703"/>
      <c r="GH790" s="703"/>
      <c r="GI790" s="703"/>
      <c r="GJ790" s="703"/>
      <c r="GK790" s="703"/>
      <c r="GL790" s="703"/>
      <c r="GM790" s="703"/>
      <c r="GN790" s="703"/>
      <c r="GO790" s="703"/>
      <c r="GP790" s="703"/>
      <c r="GQ790" s="703"/>
      <c r="GR790" s="703"/>
      <c r="GS790" s="703"/>
      <c r="GT790" s="703"/>
      <c r="GU790" s="703"/>
      <c r="GV790" s="703"/>
      <c r="GW790" s="703"/>
      <c r="GX790" s="703"/>
      <c r="GY790" s="703"/>
      <c r="GZ790" s="703"/>
      <c r="HA790" s="703"/>
      <c r="HB790" s="703"/>
      <c r="HC790" s="703"/>
      <c r="HD790" s="703"/>
      <c r="HE790" s="703"/>
      <c r="HF790" s="703"/>
      <c r="HG790" s="703"/>
      <c r="HH790" s="703"/>
      <c r="HI790" s="703"/>
      <c r="HJ790" s="703"/>
      <c r="HK790" s="703"/>
      <c r="HL790" s="703"/>
      <c r="HM790" s="703"/>
      <c r="HN790" s="703"/>
      <c r="HO790" s="703"/>
      <c r="HP790" s="703"/>
      <c r="HQ790" s="703"/>
      <c r="HR790" s="703"/>
      <c r="HS790" s="703"/>
      <c r="HT790" s="703"/>
      <c r="HU790" s="703"/>
      <c r="HV790" s="703"/>
      <c r="HW790" s="703"/>
      <c r="HX790" s="703"/>
      <c r="HY790" s="703"/>
      <c r="HZ790" s="703"/>
      <c r="IA790" s="703"/>
      <c r="IB790" s="703"/>
      <c r="IC790" s="703"/>
      <c r="ID790" s="703"/>
      <c r="IE790" s="703"/>
      <c r="IF790" s="703"/>
      <c r="IG790" s="703"/>
      <c r="IH790" s="703"/>
      <c r="II790" s="703"/>
      <c r="IJ790" s="703"/>
      <c r="IK790" s="703"/>
      <c r="IL790" s="703"/>
      <c r="IM790" s="703"/>
      <c r="IN790" s="703"/>
      <c r="IO790" s="703"/>
      <c r="IP790" s="703"/>
      <c r="IQ790" s="703"/>
      <c r="IR790" s="703"/>
      <c r="IS790" s="703"/>
      <c r="IT790" s="703"/>
      <c r="IU790" s="703"/>
      <c r="IV790" s="703"/>
      <c r="IW790" s="703"/>
    </row>
    <row r="791" spans="1:257" s="724" customFormat="1">
      <c r="A791" s="589"/>
      <c r="B791" s="1122" t="s">
        <v>1090</v>
      </c>
      <c r="C791" s="715"/>
      <c r="D791" s="715"/>
      <c r="E791" s="716"/>
      <c r="F791" s="805"/>
      <c r="G791" s="805"/>
      <c r="H791" s="805"/>
      <c r="I791" s="805"/>
      <c r="J791" s="805"/>
      <c r="K791" s="805">
        <f>K792+K793</f>
        <v>1081000000</v>
      </c>
      <c r="L791" s="1312">
        <f>L792+L793</f>
        <v>1444200000</v>
      </c>
      <c r="M791" s="603">
        <f>K791+K796</f>
        <v>1132000000</v>
      </c>
      <c r="N791" s="835"/>
      <c r="O791" s="835"/>
      <c r="P791" s="829"/>
      <c r="Q791" s="829"/>
      <c r="R791" s="900"/>
      <c r="S791" s="891"/>
      <c r="T791" s="832"/>
      <c r="U791" s="667"/>
      <c r="V791" s="722"/>
      <c r="W791" s="701"/>
      <c r="X791" s="702"/>
      <c r="Y791" s="703"/>
      <c r="Z791" s="703"/>
      <c r="AA791" s="703"/>
      <c r="AB791" s="703"/>
      <c r="AC791" s="703"/>
      <c r="AD791" s="703"/>
      <c r="AE791" s="703"/>
      <c r="AF791" s="703"/>
      <c r="AG791" s="703"/>
      <c r="AH791" s="703"/>
      <c r="AI791" s="703"/>
      <c r="AJ791" s="703"/>
      <c r="AK791" s="703"/>
      <c r="AL791" s="703"/>
      <c r="AM791" s="703"/>
      <c r="AN791" s="703"/>
      <c r="AO791" s="703"/>
      <c r="AP791" s="703"/>
      <c r="AQ791" s="703"/>
      <c r="AR791" s="703"/>
      <c r="AS791" s="703"/>
      <c r="AT791" s="703"/>
      <c r="AU791" s="703"/>
      <c r="AV791" s="703"/>
      <c r="AW791" s="703"/>
      <c r="AX791" s="703"/>
      <c r="AY791" s="703"/>
      <c r="AZ791" s="703"/>
      <c r="BA791" s="703"/>
      <c r="BB791" s="703"/>
      <c r="BC791" s="703"/>
      <c r="BD791" s="703"/>
      <c r="BE791" s="703"/>
      <c r="BF791" s="703"/>
      <c r="BG791" s="703"/>
      <c r="BH791" s="703"/>
      <c r="BI791" s="703"/>
      <c r="BJ791" s="703"/>
      <c r="BK791" s="703"/>
      <c r="BL791" s="703"/>
      <c r="BM791" s="703"/>
      <c r="BN791" s="703"/>
      <c r="BO791" s="703"/>
      <c r="BP791" s="703"/>
      <c r="BQ791" s="703"/>
      <c r="BR791" s="703"/>
      <c r="BS791" s="703"/>
      <c r="BT791" s="703"/>
      <c r="BU791" s="703"/>
      <c r="BV791" s="703"/>
      <c r="BW791" s="703"/>
      <c r="BX791" s="703"/>
      <c r="BY791" s="703"/>
      <c r="BZ791" s="703"/>
      <c r="CA791" s="703"/>
      <c r="CB791" s="703"/>
      <c r="CC791" s="703"/>
      <c r="CD791" s="703"/>
      <c r="CE791" s="703"/>
      <c r="CF791" s="703"/>
      <c r="CG791" s="703"/>
      <c r="CH791" s="703"/>
      <c r="CI791" s="703"/>
      <c r="CJ791" s="703"/>
      <c r="CK791" s="703"/>
      <c r="CL791" s="703"/>
      <c r="CM791" s="703"/>
      <c r="CN791" s="703"/>
      <c r="CO791" s="703"/>
      <c r="CP791" s="703"/>
      <c r="CQ791" s="703"/>
      <c r="CR791" s="703"/>
      <c r="CS791" s="703"/>
      <c r="CT791" s="703"/>
      <c r="CU791" s="703"/>
      <c r="CV791" s="703"/>
      <c r="CW791" s="703"/>
      <c r="CX791" s="703"/>
      <c r="CY791" s="703"/>
      <c r="CZ791" s="703"/>
      <c r="DA791" s="703"/>
      <c r="DB791" s="703"/>
      <c r="DC791" s="703"/>
      <c r="DD791" s="703"/>
      <c r="DE791" s="703"/>
      <c r="DF791" s="703"/>
      <c r="DG791" s="703"/>
      <c r="DH791" s="703"/>
      <c r="DI791" s="703"/>
      <c r="DJ791" s="703"/>
      <c r="DK791" s="703"/>
      <c r="DL791" s="703"/>
      <c r="DM791" s="703"/>
      <c r="DN791" s="703"/>
      <c r="DO791" s="703"/>
      <c r="DP791" s="703"/>
      <c r="DQ791" s="703"/>
      <c r="DR791" s="703"/>
      <c r="DS791" s="703"/>
      <c r="DT791" s="703"/>
      <c r="DU791" s="703"/>
      <c r="DV791" s="703"/>
      <c r="DW791" s="703"/>
      <c r="DX791" s="703"/>
      <c r="DY791" s="703"/>
      <c r="DZ791" s="703"/>
      <c r="EA791" s="703"/>
      <c r="EB791" s="703"/>
      <c r="EC791" s="703"/>
      <c r="ED791" s="703"/>
      <c r="EE791" s="703"/>
      <c r="EF791" s="703"/>
      <c r="EG791" s="703"/>
      <c r="EH791" s="703"/>
      <c r="EI791" s="703"/>
      <c r="EJ791" s="703"/>
      <c r="EK791" s="703"/>
      <c r="EL791" s="703"/>
      <c r="EM791" s="703"/>
      <c r="EN791" s="703"/>
      <c r="EO791" s="703"/>
      <c r="EP791" s="703"/>
      <c r="EQ791" s="703"/>
      <c r="ER791" s="703"/>
      <c r="ES791" s="703"/>
      <c r="ET791" s="703"/>
      <c r="EU791" s="703"/>
      <c r="EV791" s="703"/>
      <c r="EW791" s="703"/>
      <c r="EX791" s="703"/>
      <c r="EY791" s="703"/>
      <c r="EZ791" s="703"/>
      <c r="FA791" s="703"/>
      <c r="FB791" s="703"/>
      <c r="FC791" s="703"/>
      <c r="FD791" s="703"/>
      <c r="FE791" s="703"/>
      <c r="FF791" s="703"/>
      <c r="FG791" s="703"/>
      <c r="FH791" s="703"/>
      <c r="FI791" s="703"/>
      <c r="FJ791" s="703"/>
      <c r="FK791" s="703"/>
      <c r="FL791" s="703"/>
      <c r="FM791" s="703"/>
      <c r="FN791" s="703"/>
      <c r="FO791" s="703"/>
      <c r="FP791" s="703"/>
      <c r="FQ791" s="703"/>
      <c r="FR791" s="703"/>
      <c r="FS791" s="703"/>
      <c r="FT791" s="703"/>
      <c r="FU791" s="703"/>
      <c r="FV791" s="703"/>
      <c r="FW791" s="703"/>
      <c r="FX791" s="703"/>
      <c r="FY791" s="703"/>
      <c r="FZ791" s="703"/>
      <c r="GA791" s="703"/>
      <c r="GB791" s="703"/>
      <c r="GC791" s="703"/>
      <c r="GD791" s="703"/>
      <c r="GE791" s="703"/>
      <c r="GF791" s="703"/>
      <c r="GG791" s="703"/>
      <c r="GH791" s="703"/>
      <c r="GI791" s="703"/>
      <c r="GJ791" s="703"/>
      <c r="GK791" s="703"/>
      <c r="GL791" s="703"/>
      <c r="GM791" s="703"/>
      <c r="GN791" s="703"/>
      <c r="GO791" s="703"/>
      <c r="GP791" s="703"/>
      <c r="GQ791" s="703"/>
      <c r="GR791" s="703"/>
      <c r="GS791" s="703"/>
      <c r="GT791" s="703"/>
      <c r="GU791" s="703"/>
      <c r="GV791" s="703"/>
      <c r="GW791" s="703"/>
      <c r="GX791" s="703"/>
      <c r="GY791" s="703"/>
      <c r="GZ791" s="703"/>
      <c r="HA791" s="703"/>
      <c r="HB791" s="703"/>
      <c r="HC791" s="703"/>
      <c r="HD791" s="703"/>
      <c r="HE791" s="703"/>
      <c r="HF791" s="703"/>
      <c r="HG791" s="703"/>
      <c r="HH791" s="703"/>
      <c r="HI791" s="703"/>
      <c r="HJ791" s="703"/>
      <c r="HK791" s="703"/>
      <c r="HL791" s="703"/>
      <c r="HM791" s="703"/>
      <c r="HN791" s="703"/>
      <c r="HO791" s="703"/>
      <c r="HP791" s="703"/>
      <c r="HQ791" s="703"/>
      <c r="HR791" s="703"/>
      <c r="HS791" s="703"/>
      <c r="HT791" s="703"/>
      <c r="HU791" s="703"/>
      <c r="HV791" s="703"/>
      <c r="HW791" s="703"/>
      <c r="HX791" s="703"/>
      <c r="HY791" s="703"/>
      <c r="HZ791" s="703"/>
      <c r="IA791" s="703"/>
      <c r="IB791" s="703"/>
      <c r="IC791" s="703"/>
      <c r="ID791" s="703"/>
      <c r="IE791" s="703"/>
      <c r="IF791" s="703"/>
      <c r="IG791" s="703"/>
      <c r="IH791" s="703"/>
      <c r="II791" s="703"/>
      <c r="IJ791" s="703"/>
      <c r="IK791" s="703"/>
      <c r="IL791" s="703"/>
      <c r="IM791" s="703"/>
      <c r="IN791" s="703"/>
      <c r="IO791" s="703"/>
      <c r="IP791" s="703"/>
      <c r="IQ791" s="703"/>
      <c r="IR791" s="703"/>
      <c r="IS791" s="703"/>
      <c r="IT791" s="703"/>
      <c r="IU791" s="703"/>
      <c r="IV791" s="703"/>
      <c r="IW791" s="703"/>
    </row>
    <row r="792" spans="1:257" s="682" customFormat="1">
      <c r="A792" s="699"/>
      <c r="B792" s="684" t="s">
        <v>1092</v>
      </c>
      <c r="C792" s="713"/>
      <c r="D792" s="713"/>
      <c r="E792" s="725"/>
      <c r="F792" s="810"/>
      <c r="G792" s="810"/>
      <c r="H792" s="810"/>
      <c r="I792" s="810"/>
      <c r="J792" s="810"/>
      <c r="K792" s="810">
        <v>895000000</v>
      </c>
      <c r="L792" s="1313">
        <f>914200000+5400000</f>
        <v>919600000</v>
      </c>
      <c r="M792" s="707"/>
      <c r="N792" s="934"/>
      <c r="O792" s="934"/>
      <c r="P792" s="820"/>
      <c r="Q792" s="820"/>
      <c r="R792" s="866"/>
      <c r="S792" s="871"/>
      <c r="T792" s="824"/>
      <c r="U792" s="670"/>
      <c r="V792" s="727"/>
      <c r="W792" s="581"/>
      <c r="X792" s="578"/>
      <c r="Y792" s="582"/>
      <c r="Z792" s="582"/>
      <c r="AA792" s="582"/>
      <c r="AB792" s="582"/>
      <c r="AC792" s="582"/>
      <c r="AD792" s="582"/>
      <c r="AE792" s="582"/>
      <c r="AF792" s="582"/>
      <c r="AG792" s="582"/>
      <c r="AH792" s="582"/>
      <c r="AI792" s="582"/>
      <c r="AJ792" s="582"/>
      <c r="AK792" s="582"/>
      <c r="AL792" s="582"/>
      <c r="AM792" s="582"/>
      <c r="AN792" s="582"/>
      <c r="AO792" s="582"/>
      <c r="AP792" s="582"/>
      <c r="AQ792" s="582"/>
      <c r="AR792" s="582"/>
      <c r="AS792" s="582"/>
      <c r="AT792" s="582"/>
      <c r="AU792" s="582"/>
      <c r="AV792" s="582"/>
      <c r="AW792" s="582"/>
      <c r="AX792" s="582"/>
      <c r="AY792" s="582"/>
      <c r="AZ792" s="582"/>
      <c r="BA792" s="582"/>
      <c r="BB792" s="582"/>
      <c r="BC792" s="582"/>
      <c r="BD792" s="582"/>
      <c r="BE792" s="582"/>
      <c r="BF792" s="582"/>
      <c r="BG792" s="582"/>
      <c r="BH792" s="582"/>
      <c r="BI792" s="582"/>
      <c r="BJ792" s="582"/>
      <c r="BK792" s="582"/>
      <c r="BL792" s="582"/>
      <c r="BM792" s="582"/>
      <c r="BN792" s="582"/>
      <c r="BO792" s="582"/>
      <c r="BP792" s="582"/>
      <c r="BQ792" s="582"/>
      <c r="BR792" s="582"/>
      <c r="BS792" s="582"/>
      <c r="BT792" s="582"/>
      <c r="BU792" s="582"/>
      <c r="BV792" s="582"/>
      <c r="BW792" s="582"/>
      <c r="BX792" s="582"/>
      <c r="BY792" s="582"/>
      <c r="BZ792" s="582"/>
      <c r="CA792" s="582"/>
      <c r="CB792" s="582"/>
      <c r="CC792" s="582"/>
      <c r="CD792" s="582"/>
      <c r="CE792" s="582"/>
      <c r="CF792" s="582"/>
      <c r="CG792" s="582"/>
      <c r="CH792" s="582"/>
      <c r="CI792" s="582"/>
      <c r="CJ792" s="582"/>
      <c r="CK792" s="582"/>
      <c r="CL792" s="582"/>
      <c r="CM792" s="582"/>
      <c r="CN792" s="582"/>
      <c r="CO792" s="582"/>
      <c r="CP792" s="582"/>
      <c r="CQ792" s="582"/>
      <c r="CR792" s="582"/>
      <c r="CS792" s="582"/>
      <c r="CT792" s="582"/>
      <c r="CU792" s="582"/>
      <c r="CV792" s="582"/>
      <c r="CW792" s="582"/>
      <c r="CX792" s="582"/>
      <c r="CY792" s="582"/>
      <c r="CZ792" s="582"/>
      <c r="DA792" s="582"/>
      <c r="DB792" s="582"/>
      <c r="DC792" s="582"/>
      <c r="DD792" s="582"/>
      <c r="DE792" s="582"/>
      <c r="DF792" s="582"/>
      <c r="DG792" s="582"/>
      <c r="DH792" s="582"/>
      <c r="DI792" s="582"/>
      <c r="DJ792" s="582"/>
      <c r="DK792" s="582"/>
      <c r="DL792" s="582"/>
      <c r="DM792" s="582"/>
      <c r="DN792" s="582"/>
      <c r="DO792" s="582"/>
      <c r="DP792" s="582"/>
      <c r="DQ792" s="582"/>
      <c r="DR792" s="582"/>
      <c r="DS792" s="582"/>
      <c r="DT792" s="582"/>
      <c r="DU792" s="582"/>
      <c r="DV792" s="582"/>
      <c r="DW792" s="582"/>
      <c r="DX792" s="582"/>
      <c r="DY792" s="582"/>
      <c r="DZ792" s="582"/>
      <c r="EA792" s="582"/>
      <c r="EB792" s="582"/>
      <c r="EC792" s="582"/>
      <c r="ED792" s="582"/>
      <c r="EE792" s="582"/>
      <c r="EF792" s="582"/>
      <c r="EG792" s="582"/>
      <c r="EH792" s="582"/>
      <c r="EI792" s="582"/>
      <c r="EJ792" s="582"/>
      <c r="EK792" s="582"/>
      <c r="EL792" s="582"/>
      <c r="EM792" s="582"/>
      <c r="EN792" s="582"/>
      <c r="EO792" s="582"/>
      <c r="EP792" s="582"/>
      <c r="EQ792" s="582"/>
      <c r="ER792" s="582"/>
      <c r="ES792" s="582"/>
      <c r="ET792" s="582"/>
      <c r="EU792" s="582"/>
      <c r="EV792" s="582"/>
      <c r="EW792" s="582"/>
      <c r="EX792" s="582"/>
      <c r="EY792" s="582"/>
      <c r="EZ792" s="582"/>
      <c r="FA792" s="582"/>
      <c r="FB792" s="582"/>
      <c r="FC792" s="582"/>
      <c r="FD792" s="582"/>
      <c r="FE792" s="582"/>
      <c r="FF792" s="582"/>
      <c r="FG792" s="582"/>
      <c r="FH792" s="582"/>
      <c r="FI792" s="582"/>
      <c r="FJ792" s="582"/>
      <c r="FK792" s="582"/>
      <c r="FL792" s="582"/>
      <c r="FM792" s="582"/>
      <c r="FN792" s="582"/>
      <c r="FO792" s="582"/>
      <c r="FP792" s="582"/>
      <c r="FQ792" s="582"/>
      <c r="FR792" s="582"/>
      <c r="FS792" s="582"/>
      <c r="FT792" s="582"/>
      <c r="FU792" s="582"/>
      <c r="FV792" s="582"/>
      <c r="FW792" s="582"/>
      <c r="FX792" s="582"/>
      <c r="FY792" s="582"/>
      <c r="FZ792" s="582"/>
      <c r="GA792" s="582"/>
      <c r="GB792" s="582"/>
      <c r="GC792" s="582"/>
      <c r="GD792" s="582"/>
      <c r="GE792" s="582"/>
      <c r="GF792" s="582"/>
      <c r="GG792" s="582"/>
      <c r="GH792" s="582"/>
      <c r="GI792" s="582"/>
      <c r="GJ792" s="582"/>
      <c r="GK792" s="582"/>
      <c r="GL792" s="582"/>
      <c r="GM792" s="582"/>
      <c r="GN792" s="582"/>
      <c r="GO792" s="582"/>
      <c r="GP792" s="582"/>
      <c r="GQ792" s="582"/>
      <c r="GR792" s="582"/>
      <c r="GS792" s="582"/>
      <c r="GT792" s="582"/>
      <c r="GU792" s="582"/>
      <c r="GV792" s="582"/>
      <c r="GW792" s="582"/>
      <c r="GX792" s="582"/>
      <c r="GY792" s="582"/>
      <c r="GZ792" s="582"/>
      <c r="HA792" s="582"/>
      <c r="HB792" s="582"/>
      <c r="HC792" s="582"/>
      <c r="HD792" s="582"/>
      <c r="HE792" s="582"/>
      <c r="HF792" s="582"/>
      <c r="HG792" s="582"/>
      <c r="HH792" s="582"/>
      <c r="HI792" s="582"/>
      <c r="HJ792" s="582"/>
      <c r="HK792" s="582"/>
      <c r="HL792" s="582"/>
      <c r="HM792" s="582"/>
      <c r="HN792" s="582"/>
      <c r="HO792" s="582"/>
      <c r="HP792" s="582"/>
      <c r="HQ792" s="582"/>
      <c r="HR792" s="582"/>
      <c r="HS792" s="582"/>
      <c r="HT792" s="582"/>
      <c r="HU792" s="582"/>
      <c r="HV792" s="582"/>
      <c r="HW792" s="582"/>
      <c r="HX792" s="582"/>
      <c r="HY792" s="582"/>
      <c r="HZ792" s="582"/>
      <c r="IA792" s="582"/>
      <c r="IB792" s="582"/>
      <c r="IC792" s="582"/>
      <c r="ID792" s="582"/>
      <c r="IE792" s="582"/>
      <c r="IF792" s="582"/>
      <c r="IG792" s="582"/>
      <c r="IH792" s="582"/>
      <c r="II792" s="582"/>
      <c r="IJ792" s="582"/>
      <c r="IK792" s="582"/>
      <c r="IL792" s="582"/>
      <c r="IM792" s="582"/>
      <c r="IN792" s="582"/>
      <c r="IO792" s="582"/>
      <c r="IP792" s="582"/>
      <c r="IQ792" s="582"/>
      <c r="IR792" s="582"/>
      <c r="IS792" s="582"/>
      <c r="IT792" s="582"/>
      <c r="IU792" s="582"/>
      <c r="IV792" s="582"/>
      <c r="IW792" s="582"/>
    </row>
    <row r="793" spans="1:257" s="681" customFormat="1">
      <c r="A793" s="713" t="s">
        <v>258</v>
      </c>
      <c r="B793" s="684" t="s">
        <v>1351</v>
      </c>
      <c r="C793" s="713">
        <v>7</v>
      </c>
      <c r="D793" s="713"/>
      <c r="E793" s="725"/>
      <c r="F793" s="725">
        <v>819000000</v>
      </c>
      <c r="G793" s="669" t="s">
        <v>1134</v>
      </c>
      <c r="H793" s="669"/>
      <c r="I793" s="669"/>
      <c r="J793" s="725">
        <v>894070000</v>
      </c>
      <c r="K793" s="725">
        <v>186000000</v>
      </c>
      <c r="L793" s="1311">
        <f>521500000+3100000</f>
        <v>524600000</v>
      </c>
      <c r="M793" s="669"/>
      <c r="N793" s="868"/>
      <c r="O793" s="868"/>
      <c r="P793" s="837"/>
      <c r="Q793" s="837"/>
      <c r="R793" s="838"/>
      <c r="S793" s="871"/>
      <c r="T793" s="824"/>
      <c r="U793" s="726"/>
      <c r="V793" s="581"/>
      <c r="W793" s="727"/>
      <c r="X793" s="728"/>
      <c r="Y793" s="682"/>
      <c r="Z793" s="682"/>
      <c r="AA793" s="682"/>
      <c r="AB793" s="682"/>
      <c r="AC793" s="682"/>
      <c r="AD793" s="682"/>
      <c r="AE793" s="682"/>
      <c r="AF793" s="682"/>
      <c r="AG793" s="682"/>
      <c r="AH793" s="682"/>
      <c r="AI793" s="682"/>
      <c r="AJ793" s="682"/>
      <c r="AK793" s="682"/>
      <c r="AL793" s="682"/>
      <c r="AM793" s="682"/>
      <c r="AN793" s="682"/>
      <c r="AO793" s="682"/>
      <c r="AP793" s="682"/>
      <c r="AQ793" s="682"/>
      <c r="AR793" s="682"/>
      <c r="AS793" s="682"/>
      <c r="AT793" s="682"/>
      <c r="AU793" s="682"/>
      <c r="AV793" s="682"/>
      <c r="AW793" s="682"/>
      <c r="AX793" s="682"/>
      <c r="AY793" s="682"/>
      <c r="AZ793" s="682"/>
      <c r="BA793" s="682"/>
      <c r="BB793" s="682"/>
      <c r="BC793" s="682"/>
      <c r="BD793" s="682"/>
      <c r="BE793" s="682"/>
      <c r="BF793" s="682"/>
      <c r="BG793" s="682"/>
      <c r="BH793" s="682"/>
      <c r="BI793" s="682"/>
      <c r="BJ793" s="682"/>
      <c r="BK793" s="682"/>
      <c r="BL793" s="682"/>
      <c r="BM793" s="682"/>
      <c r="BN793" s="682"/>
      <c r="BO793" s="682"/>
      <c r="BP793" s="682"/>
      <c r="BQ793" s="682"/>
      <c r="BR793" s="682"/>
      <c r="BS793" s="682"/>
      <c r="BT793" s="682"/>
      <c r="BU793" s="682"/>
      <c r="BV793" s="682"/>
      <c r="BW793" s="682"/>
      <c r="BX793" s="682"/>
      <c r="BY793" s="682"/>
      <c r="BZ793" s="682"/>
      <c r="CA793" s="682"/>
      <c r="CB793" s="682"/>
      <c r="CC793" s="682"/>
      <c r="CD793" s="682"/>
      <c r="CE793" s="682"/>
      <c r="CF793" s="682"/>
      <c r="CG793" s="682"/>
      <c r="CH793" s="682"/>
      <c r="CI793" s="682"/>
      <c r="CJ793" s="682"/>
      <c r="CK793" s="682"/>
      <c r="CL793" s="682"/>
      <c r="CM793" s="682"/>
      <c r="CN793" s="682"/>
      <c r="CO793" s="682"/>
      <c r="CP793" s="682"/>
      <c r="CQ793" s="682"/>
      <c r="CR793" s="682"/>
      <c r="CS793" s="682"/>
      <c r="CT793" s="682"/>
      <c r="CU793" s="682"/>
      <c r="CV793" s="682"/>
      <c r="CW793" s="682"/>
      <c r="CX793" s="682"/>
      <c r="CY793" s="682"/>
      <c r="CZ793" s="682"/>
      <c r="DA793" s="682"/>
      <c r="DB793" s="682"/>
      <c r="DC793" s="682"/>
      <c r="DD793" s="682"/>
      <c r="DE793" s="682"/>
      <c r="DF793" s="682"/>
      <c r="DG793" s="682"/>
      <c r="DH793" s="682"/>
      <c r="DI793" s="682"/>
      <c r="DJ793" s="682"/>
      <c r="DK793" s="682"/>
      <c r="DL793" s="682"/>
      <c r="DM793" s="682"/>
      <c r="DN793" s="682"/>
      <c r="DO793" s="682"/>
      <c r="DP793" s="682"/>
      <c r="DQ793" s="682"/>
      <c r="DR793" s="682"/>
      <c r="DS793" s="682"/>
      <c r="DT793" s="682"/>
      <c r="DU793" s="682"/>
      <c r="DV793" s="682"/>
      <c r="DW793" s="682"/>
      <c r="DX793" s="682"/>
      <c r="DY793" s="682"/>
      <c r="DZ793" s="682"/>
      <c r="EA793" s="682"/>
      <c r="EB793" s="682"/>
      <c r="EC793" s="682"/>
      <c r="ED793" s="682"/>
      <c r="EE793" s="682"/>
      <c r="EF793" s="682"/>
      <c r="EG793" s="682"/>
      <c r="EH793" s="682"/>
      <c r="EI793" s="682"/>
      <c r="EJ793" s="682"/>
      <c r="EK793" s="682"/>
      <c r="EL793" s="682"/>
      <c r="EM793" s="682"/>
      <c r="EN793" s="682"/>
      <c r="EO793" s="682"/>
      <c r="EP793" s="682"/>
      <c r="EQ793" s="682"/>
      <c r="ER793" s="682"/>
      <c r="ES793" s="682"/>
      <c r="ET793" s="682"/>
      <c r="EU793" s="682"/>
      <c r="EV793" s="682"/>
      <c r="EW793" s="682"/>
      <c r="EX793" s="682"/>
      <c r="EY793" s="682"/>
      <c r="EZ793" s="682"/>
      <c r="FA793" s="682"/>
      <c r="FB793" s="682"/>
      <c r="FC793" s="682"/>
      <c r="FD793" s="682"/>
      <c r="FE793" s="682"/>
      <c r="FF793" s="682"/>
      <c r="FG793" s="682"/>
      <c r="FH793" s="682"/>
      <c r="FI793" s="682"/>
      <c r="FJ793" s="682"/>
      <c r="FK793" s="682"/>
      <c r="FL793" s="682"/>
      <c r="FM793" s="682"/>
      <c r="FN793" s="682"/>
      <c r="FO793" s="682"/>
      <c r="FP793" s="682"/>
      <c r="FQ793" s="682"/>
      <c r="FR793" s="682"/>
      <c r="FS793" s="682"/>
      <c r="FT793" s="682"/>
      <c r="FU793" s="682"/>
      <c r="FV793" s="682"/>
      <c r="FW793" s="682"/>
      <c r="FX793" s="682"/>
      <c r="FY793" s="682"/>
      <c r="FZ793" s="682"/>
      <c r="GA793" s="682"/>
      <c r="GB793" s="682"/>
      <c r="GC793" s="682"/>
      <c r="GD793" s="682"/>
      <c r="GE793" s="682"/>
      <c r="GF793" s="682"/>
      <c r="GG793" s="682"/>
      <c r="GH793" s="682"/>
      <c r="GI793" s="682"/>
      <c r="GJ793" s="682"/>
      <c r="GK793" s="682"/>
      <c r="GL793" s="682"/>
      <c r="GM793" s="682"/>
      <c r="GN793" s="682"/>
      <c r="GO793" s="682"/>
      <c r="GP793" s="682"/>
      <c r="GQ793" s="682"/>
      <c r="GR793" s="682"/>
      <c r="GS793" s="682"/>
      <c r="GT793" s="682"/>
      <c r="GU793" s="682"/>
      <c r="GV793" s="682"/>
      <c r="GW793" s="682"/>
      <c r="GX793" s="682"/>
      <c r="GY793" s="682"/>
      <c r="GZ793" s="682"/>
      <c r="HA793" s="682"/>
      <c r="HB793" s="682"/>
      <c r="HC793" s="682"/>
      <c r="HD793" s="682"/>
      <c r="HE793" s="682"/>
      <c r="HF793" s="682"/>
      <c r="HG793" s="682"/>
      <c r="HH793" s="682"/>
      <c r="HI793" s="682"/>
      <c r="HJ793" s="682"/>
      <c r="HK793" s="682"/>
      <c r="HL793" s="682"/>
      <c r="HM793" s="682"/>
      <c r="HN793" s="682"/>
      <c r="HO793" s="682"/>
      <c r="HP793" s="682"/>
      <c r="HQ793" s="682"/>
      <c r="HR793" s="682"/>
      <c r="HS793" s="682"/>
      <c r="HT793" s="682"/>
      <c r="HU793" s="682"/>
      <c r="HV793" s="682"/>
      <c r="HW793" s="682"/>
      <c r="HX793" s="682"/>
      <c r="HY793" s="682"/>
      <c r="HZ793" s="682"/>
      <c r="IA793" s="682"/>
      <c r="IB793" s="682"/>
      <c r="IC793" s="682"/>
      <c r="ID793" s="682"/>
      <c r="IE793" s="682"/>
      <c r="IF793" s="682"/>
      <c r="IG793" s="682"/>
      <c r="IH793" s="682"/>
      <c r="II793" s="682"/>
      <c r="IJ793" s="682"/>
      <c r="IK793" s="682"/>
      <c r="IL793" s="682"/>
      <c r="IM793" s="682"/>
      <c r="IN793" s="682"/>
      <c r="IO793" s="682"/>
      <c r="IP793" s="682"/>
      <c r="IQ793" s="682"/>
      <c r="IR793" s="682"/>
      <c r="IS793" s="682"/>
      <c r="IT793" s="682"/>
      <c r="IU793" s="682"/>
      <c r="IV793" s="682"/>
      <c r="IW793" s="682"/>
    </row>
    <row r="794" spans="1:257" s="681" customFormat="1">
      <c r="A794" s="713"/>
      <c r="B794" s="684" t="s">
        <v>1350</v>
      </c>
      <c r="C794" s="713"/>
      <c r="D794" s="713"/>
      <c r="E794" s="725"/>
      <c r="F794" s="725"/>
      <c r="G794" s="669"/>
      <c r="H794" s="669"/>
      <c r="I794" s="669"/>
      <c r="J794" s="725"/>
      <c r="K794" s="725">
        <f>ROUND(K793-K802,-6)</f>
        <v>167000000</v>
      </c>
      <c r="L794" s="1311">
        <f>ROUND(L793-L802,-6)</f>
        <v>506000000</v>
      </c>
      <c r="M794" s="669"/>
      <c r="N794" s="868"/>
      <c r="O794" s="868"/>
      <c r="P794" s="837"/>
      <c r="Q794" s="837"/>
      <c r="R794" s="838"/>
      <c r="S794" s="871"/>
      <c r="T794" s="824"/>
      <c r="U794" s="726"/>
      <c r="V794" s="581"/>
      <c r="W794" s="727"/>
      <c r="X794" s="728"/>
      <c r="Y794" s="682"/>
      <c r="Z794" s="682"/>
      <c r="AA794" s="682"/>
      <c r="AB794" s="682"/>
      <c r="AC794" s="682"/>
      <c r="AD794" s="682"/>
      <c r="AE794" s="682"/>
      <c r="AF794" s="682"/>
      <c r="AG794" s="682"/>
      <c r="AH794" s="682"/>
      <c r="AI794" s="682"/>
      <c r="AJ794" s="682"/>
      <c r="AK794" s="682"/>
      <c r="AL794" s="682"/>
      <c r="AM794" s="682"/>
      <c r="AN794" s="682"/>
      <c r="AO794" s="682"/>
      <c r="AP794" s="682"/>
      <c r="AQ794" s="682"/>
      <c r="AR794" s="682"/>
      <c r="AS794" s="682"/>
      <c r="AT794" s="682"/>
      <c r="AU794" s="682"/>
      <c r="AV794" s="682"/>
      <c r="AW794" s="682"/>
      <c r="AX794" s="682"/>
      <c r="AY794" s="682"/>
      <c r="AZ794" s="682"/>
      <c r="BA794" s="682"/>
      <c r="BB794" s="682"/>
      <c r="BC794" s="682"/>
      <c r="BD794" s="682"/>
      <c r="BE794" s="682"/>
      <c r="BF794" s="682"/>
      <c r="BG794" s="682"/>
      <c r="BH794" s="682"/>
      <c r="BI794" s="682"/>
      <c r="BJ794" s="682"/>
      <c r="BK794" s="682"/>
      <c r="BL794" s="682"/>
      <c r="BM794" s="682"/>
      <c r="BN794" s="682"/>
      <c r="BO794" s="682"/>
      <c r="BP794" s="682"/>
      <c r="BQ794" s="682"/>
      <c r="BR794" s="682"/>
      <c r="BS794" s="682"/>
      <c r="BT794" s="682"/>
      <c r="BU794" s="682"/>
      <c r="BV794" s="682"/>
      <c r="BW794" s="682"/>
      <c r="BX794" s="682"/>
      <c r="BY794" s="682"/>
      <c r="BZ794" s="682"/>
      <c r="CA794" s="682"/>
      <c r="CB794" s="682"/>
      <c r="CC794" s="682"/>
      <c r="CD794" s="682"/>
      <c r="CE794" s="682"/>
      <c r="CF794" s="682"/>
      <c r="CG794" s="682"/>
      <c r="CH794" s="682"/>
      <c r="CI794" s="682"/>
      <c r="CJ794" s="682"/>
      <c r="CK794" s="682"/>
      <c r="CL794" s="682"/>
      <c r="CM794" s="682"/>
      <c r="CN794" s="682"/>
      <c r="CO794" s="682"/>
      <c r="CP794" s="682"/>
      <c r="CQ794" s="682"/>
      <c r="CR794" s="682"/>
      <c r="CS794" s="682"/>
      <c r="CT794" s="682"/>
      <c r="CU794" s="682"/>
      <c r="CV794" s="682"/>
      <c r="CW794" s="682"/>
      <c r="CX794" s="682"/>
      <c r="CY794" s="682"/>
      <c r="CZ794" s="682"/>
      <c r="DA794" s="682"/>
      <c r="DB794" s="682"/>
      <c r="DC794" s="682"/>
      <c r="DD794" s="682"/>
      <c r="DE794" s="682"/>
      <c r="DF794" s="682"/>
      <c r="DG794" s="682"/>
      <c r="DH794" s="682"/>
      <c r="DI794" s="682"/>
      <c r="DJ794" s="682"/>
      <c r="DK794" s="682"/>
      <c r="DL794" s="682"/>
      <c r="DM794" s="682"/>
      <c r="DN794" s="682"/>
      <c r="DO794" s="682"/>
      <c r="DP794" s="682"/>
      <c r="DQ794" s="682"/>
      <c r="DR794" s="682"/>
      <c r="DS794" s="682"/>
      <c r="DT794" s="682"/>
      <c r="DU794" s="682"/>
      <c r="DV794" s="682"/>
      <c r="DW794" s="682"/>
      <c r="DX794" s="682"/>
      <c r="DY794" s="682"/>
      <c r="DZ794" s="682"/>
      <c r="EA794" s="682"/>
      <c r="EB794" s="682"/>
      <c r="EC794" s="682"/>
      <c r="ED794" s="682"/>
      <c r="EE794" s="682"/>
      <c r="EF794" s="682"/>
      <c r="EG794" s="682"/>
      <c r="EH794" s="682"/>
      <c r="EI794" s="682"/>
      <c r="EJ794" s="682"/>
      <c r="EK794" s="682"/>
      <c r="EL794" s="682"/>
      <c r="EM794" s="682"/>
      <c r="EN794" s="682"/>
      <c r="EO794" s="682"/>
      <c r="EP794" s="682"/>
      <c r="EQ794" s="682"/>
      <c r="ER794" s="682"/>
      <c r="ES794" s="682"/>
      <c r="ET794" s="682"/>
      <c r="EU794" s="682"/>
      <c r="EV794" s="682"/>
      <c r="EW794" s="682"/>
      <c r="EX794" s="682"/>
      <c r="EY794" s="682"/>
      <c r="EZ794" s="682"/>
      <c r="FA794" s="682"/>
      <c r="FB794" s="682"/>
      <c r="FC794" s="682"/>
      <c r="FD794" s="682"/>
      <c r="FE794" s="682"/>
      <c r="FF794" s="682"/>
      <c r="FG794" s="682"/>
      <c r="FH794" s="682"/>
      <c r="FI794" s="682"/>
      <c r="FJ794" s="682"/>
      <c r="FK794" s="682"/>
      <c r="FL794" s="682"/>
      <c r="FM794" s="682"/>
      <c r="FN794" s="682"/>
      <c r="FO794" s="682"/>
      <c r="FP794" s="682"/>
      <c r="FQ794" s="682"/>
      <c r="FR794" s="682"/>
      <c r="FS794" s="682"/>
      <c r="FT794" s="682"/>
      <c r="FU794" s="682"/>
      <c r="FV794" s="682"/>
      <c r="FW794" s="682"/>
      <c r="FX794" s="682"/>
      <c r="FY794" s="682"/>
      <c r="FZ794" s="682"/>
      <c r="GA794" s="682"/>
      <c r="GB794" s="682"/>
      <c r="GC794" s="682"/>
      <c r="GD794" s="682"/>
      <c r="GE794" s="682"/>
      <c r="GF794" s="682"/>
      <c r="GG794" s="682"/>
      <c r="GH794" s="682"/>
      <c r="GI794" s="682"/>
      <c r="GJ794" s="682"/>
      <c r="GK794" s="682"/>
      <c r="GL794" s="682"/>
      <c r="GM794" s="682"/>
      <c r="GN794" s="682"/>
      <c r="GO794" s="682"/>
      <c r="GP794" s="682"/>
      <c r="GQ794" s="682"/>
      <c r="GR794" s="682"/>
      <c r="GS794" s="682"/>
      <c r="GT794" s="682"/>
      <c r="GU794" s="682"/>
      <c r="GV794" s="682"/>
      <c r="GW794" s="682"/>
      <c r="GX794" s="682"/>
      <c r="GY794" s="682"/>
      <c r="GZ794" s="682"/>
      <c r="HA794" s="682"/>
      <c r="HB794" s="682"/>
      <c r="HC794" s="682"/>
      <c r="HD794" s="682"/>
      <c r="HE794" s="682"/>
      <c r="HF794" s="682"/>
      <c r="HG794" s="682"/>
      <c r="HH794" s="682"/>
      <c r="HI794" s="682"/>
      <c r="HJ794" s="682"/>
      <c r="HK794" s="682"/>
      <c r="HL794" s="682"/>
      <c r="HM794" s="682"/>
      <c r="HN794" s="682"/>
      <c r="HO794" s="682"/>
      <c r="HP794" s="682"/>
      <c r="HQ794" s="682"/>
      <c r="HR794" s="682"/>
      <c r="HS794" s="682"/>
      <c r="HT794" s="682"/>
      <c r="HU794" s="682"/>
      <c r="HV794" s="682"/>
      <c r="HW794" s="682"/>
      <c r="HX794" s="682"/>
      <c r="HY794" s="682"/>
      <c r="HZ794" s="682"/>
      <c r="IA794" s="682"/>
      <c r="IB794" s="682"/>
      <c r="IC794" s="682"/>
      <c r="ID794" s="682"/>
      <c r="IE794" s="682"/>
      <c r="IF794" s="682"/>
      <c r="IG794" s="682"/>
      <c r="IH794" s="682"/>
      <c r="II794" s="682"/>
      <c r="IJ794" s="682"/>
      <c r="IK794" s="682"/>
      <c r="IL794" s="682"/>
      <c r="IM794" s="682"/>
      <c r="IN794" s="682"/>
      <c r="IO794" s="682"/>
      <c r="IP794" s="682"/>
      <c r="IQ794" s="682"/>
      <c r="IR794" s="682"/>
      <c r="IS794" s="682"/>
      <c r="IT794" s="682"/>
      <c r="IU794" s="682"/>
      <c r="IV794" s="682"/>
      <c r="IW794" s="682"/>
    </row>
    <row r="795" spans="1:257" s="621" customFormat="1" ht="13.5" customHeight="1">
      <c r="A795" s="713" t="s">
        <v>258</v>
      </c>
      <c r="B795" s="936" t="s">
        <v>256</v>
      </c>
      <c r="C795" s="713"/>
      <c r="D795" s="713"/>
      <c r="E795" s="725">
        <v>27000000</v>
      </c>
      <c r="F795" s="725">
        <f>E795*C793</f>
        <v>189000000</v>
      </c>
      <c r="G795" s="725"/>
      <c r="H795" s="725"/>
      <c r="I795" s="725"/>
      <c r="J795" s="725">
        <f>27*7000000</f>
        <v>189000000</v>
      </c>
      <c r="K795" s="725">
        <f>27000000*7</f>
        <v>189000000</v>
      </c>
      <c r="L795" s="1311">
        <f>27000000*7</f>
        <v>189000000</v>
      </c>
      <c r="M795" s="669" t="s">
        <v>1362</v>
      </c>
      <c r="N795" s="868"/>
      <c r="O795" s="868"/>
      <c r="P795" s="868"/>
      <c r="Q795" s="868"/>
      <c r="R795" s="866"/>
      <c r="S795" s="871"/>
      <c r="T795" s="824"/>
      <c r="U795" s="726"/>
      <c r="V795" s="722"/>
      <c r="W795" s="722"/>
      <c r="X795" s="723"/>
      <c r="Y795" s="724"/>
      <c r="Z795" s="724"/>
      <c r="AA795" s="724"/>
      <c r="AB795" s="724"/>
      <c r="AC795" s="724"/>
      <c r="AD795" s="724"/>
      <c r="AE795" s="724"/>
      <c r="AF795" s="724"/>
      <c r="AG795" s="724"/>
      <c r="AH795" s="724"/>
      <c r="AI795" s="724"/>
      <c r="AJ795" s="724"/>
      <c r="AK795" s="724"/>
      <c r="AL795" s="724"/>
      <c r="AM795" s="724"/>
      <c r="AN795" s="724"/>
      <c r="AO795" s="724"/>
      <c r="AP795" s="724"/>
      <c r="AQ795" s="724"/>
      <c r="AR795" s="724"/>
      <c r="AS795" s="724"/>
      <c r="AT795" s="724"/>
      <c r="AU795" s="724"/>
      <c r="AV795" s="724"/>
      <c r="AW795" s="724"/>
      <c r="AX795" s="724"/>
      <c r="AY795" s="724"/>
      <c r="AZ795" s="724"/>
      <c r="BA795" s="724"/>
      <c r="BB795" s="724"/>
      <c r="BC795" s="724"/>
      <c r="BD795" s="724"/>
      <c r="BE795" s="724"/>
      <c r="BF795" s="724"/>
      <c r="BG795" s="724"/>
      <c r="BH795" s="724"/>
      <c r="BI795" s="724"/>
      <c r="BJ795" s="724"/>
      <c r="BK795" s="724"/>
      <c r="BL795" s="724"/>
      <c r="BM795" s="724"/>
      <c r="BN795" s="724"/>
      <c r="BO795" s="724"/>
      <c r="BP795" s="724"/>
      <c r="BQ795" s="724"/>
      <c r="BR795" s="724"/>
      <c r="BS795" s="724"/>
      <c r="BT795" s="724"/>
      <c r="BU795" s="724"/>
      <c r="BV795" s="724"/>
      <c r="BW795" s="724"/>
      <c r="BX795" s="724"/>
      <c r="BY795" s="724"/>
      <c r="BZ795" s="724"/>
      <c r="CA795" s="724"/>
      <c r="CB795" s="724"/>
      <c r="CC795" s="724"/>
      <c r="CD795" s="724"/>
      <c r="CE795" s="724"/>
      <c r="CF795" s="724"/>
      <c r="CG795" s="724"/>
      <c r="CH795" s="724"/>
      <c r="CI795" s="724"/>
      <c r="CJ795" s="724"/>
      <c r="CK795" s="724"/>
      <c r="CL795" s="724"/>
      <c r="CM795" s="724"/>
      <c r="CN795" s="724"/>
      <c r="CO795" s="724"/>
      <c r="CP795" s="724"/>
      <c r="CQ795" s="724"/>
      <c r="CR795" s="724"/>
      <c r="CS795" s="724"/>
      <c r="CT795" s="724"/>
      <c r="CU795" s="724"/>
      <c r="CV795" s="724"/>
      <c r="CW795" s="724"/>
      <c r="CX795" s="724"/>
      <c r="CY795" s="724"/>
      <c r="CZ795" s="724"/>
      <c r="DA795" s="724"/>
      <c r="DB795" s="724"/>
      <c r="DC795" s="724"/>
      <c r="DD795" s="724"/>
      <c r="DE795" s="724"/>
      <c r="DF795" s="724"/>
      <c r="DG795" s="724"/>
      <c r="DH795" s="724"/>
      <c r="DI795" s="724"/>
      <c r="DJ795" s="724"/>
      <c r="DK795" s="724"/>
      <c r="DL795" s="724"/>
      <c r="DM795" s="724"/>
      <c r="DN795" s="724"/>
      <c r="DO795" s="724"/>
      <c r="DP795" s="724"/>
      <c r="DQ795" s="724"/>
      <c r="DR795" s="724"/>
      <c r="DS795" s="724"/>
      <c r="DT795" s="724"/>
      <c r="DU795" s="724"/>
      <c r="DV795" s="724"/>
      <c r="DW795" s="724"/>
      <c r="DX795" s="724"/>
      <c r="DY795" s="724"/>
      <c r="DZ795" s="724"/>
      <c r="EA795" s="724"/>
      <c r="EB795" s="724"/>
      <c r="EC795" s="724"/>
      <c r="ED795" s="724"/>
      <c r="EE795" s="724"/>
      <c r="EF795" s="724"/>
      <c r="EG795" s="724"/>
      <c r="EH795" s="724"/>
      <c r="EI795" s="724"/>
      <c r="EJ795" s="724"/>
      <c r="EK795" s="724"/>
      <c r="EL795" s="724"/>
      <c r="EM795" s="724"/>
      <c r="EN795" s="724"/>
      <c r="EO795" s="724"/>
      <c r="EP795" s="724"/>
      <c r="EQ795" s="724"/>
      <c r="ER795" s="724"/>
      <c r="ES795" s="724"/>
      <c r="ET795" s="724"/>
      <c r="EU795" s="724"/>
      <c r="EV795" s="724"/>
      <c r="EW795" s="724"/>
      <c r="EX795" s="724"/>
      <c r="EY795" s="724"/>
      <c r="EZ795" s="724"/>
      <c r="FA795" s="724"/>
      <c r="FB795" s="724"/>
      <c r="FC795" s="724"/>
      <c r="FD795" s="724"/>
      <c r="FE795" s="724"/>
      <c r="FF795" s="724"/>
      <c r="FG795" s="724"/>
      <c r="FH795" s="724"/>
      <c r="FI795" s="724"/>
      <c r="FJ795" s="724"/>
      <c r="FK795" s="724"/>
      <c r="FL795" s="724"/>
      <c r="FM795" s="724"/>
      <c r="FN795" s="724"/>
      <c r="FO795" s="724"/>
      <c r="FP795" s="724"/>
      <c r="FQ795" s="724"/>
      <c r="FR795" s="724"/>
      <c r="FS795" s="724"/>
      <c r="FT795" s="724"/>
      <c r="FU795" s="724"/>
      <c r="FV795" s="724"/>
      <c r="FW795" s="724"/>
      <c r="FX795" s="724"/>
      <c r="FY795" s="724"/>
      <c r="FZ795" s="724"/>
      <c r="GA795" s="724"/>
      <c r="GB795" s="724"/>
      <c r="GC795" s="724"/>
      <c r="GD795" s="724"/>
      <c r="GE795" s="724"/>
      <c r="GF795" s="724"/>
      <c r="GG795" s="724"/>
      <c r="GH795" s="724"/>
      <c r="GI795" s="724"/>
      <c r="GJ795" s="724"/>
      <c r="GK795" s="724"/>
      <c r="GL795" s="724"/>
      <c r="GM795" s="724"/>
      <c r="GN795" s="724"/>
      <c r="GO795" s="724"/>
      <c r="GP795" s="724"/>
      <c r="GQ795" s="724"/>
      <c r="GR795" s="724"/>
      <c r="GS795" s="724"/>
      <c r="GT795" s="724"/>
      <c r="GU795" s="724"/>
      <c r="GV795" s="724"/>
      <c r="GW795" s="724"/>
      <c r="GX795" s="724"/>
      <c r="GY795" s="724"/>
      <c r="GZ795" s="724"/>
      <c r="HA795" s="724"/>
      <c r="HB795" s="724"/>
      <c r="HC795" s="724"/>
      <c r="HD795" s="724"/>
      <c r="HE795" s="724"/>
      <c r="HF795" s="724"/>
      <c r="HG795" s="724"/>
      <c r="HH795" s="724"/>
      <c r="HI795" s="724"/>
      <c r="HJ795" s="724"/>
      <c r="HK795" s="724"/>
      <c r="HL795" s="724"/>
      <c r="HM795" s="724"/>
      <c r="HN795" s="724"/>
      <c r="HO795" s="724"/>
      <c r="HP795" s="724"/>
      <c r="HQ795" s="724"/>
      <c r="HR795" s="724"/>
      <c r="HS795" s="724"/>
      <c r="HT795" s="724"/>
      <c r="HU795" s="724"/>
      <c r="HV795" s="724"/>
      <c r="HW795" s="724"/>
      <c r="HX795" s="724"/>
      <c r="HY795" s="724"/>
      <c r="HZ795" s="724"/>
      <c r="IA795" s="724"/>
      <c r="IB795" s="724"/>
      <c r="IC795" s="724"/>
      <c r="ID795" s="724"/>
      <c r="IE795" s="724"/>
      <c r="IF795" s="724"/>
      <c r="IG795" s="724"/>
      <c r="IH795" s="724"/>
      <c r="II795" s="724"/>
      <c r="IJ795" s="724"/>
      <c r="IK795" s="724"/>
      <c r="IL795" s="724"/>
      <c r="IM795" s="724"/>
      <c r="IN795" s="724"/>
      <c r="IO795" s="724"/>
      <c r="IP795" s="724"/>
      <c r="IQ795" s="724"/>
      <c r="IR795" s="724"/>
      <c r="IS795" s="724"/>
      <c r="IT795" s="724"/>
      <c r="IU795" s="724"/>
      <c r="IV795" s="724"/>
      <c r="IW795" s="724"/>
    </row>
    <row r="796" spans="1:257" s="682" customFormat="1">
      <c r="A796" s="589" t="s">
        <v>225</v>
      </c>
      <c r="B796" s="804" t="s">
        <v>257</v>
      </c>
      <c r="C796" s="589"/>
      <c r="D796" s="589"/>
      <c r="E796" s="704"/>
      <c r="F796" s="805">
        <f>F797+F801</f>
        <v>45000000</v>
      </c>
      <c r="G796" s="805">
        <f>G797+G801</f>
        <v>0</v>
      </c>
      <c r="H796" s="805">
        <f>H797+H801</f>
        <v>0</v>
      </c>
      <c r="I796" s="805">
        <f>I797+I801</f>
        <v>0</v>
      </c>
      <c r="J796" s="805">
        <f>SUM(J797:J801)</f>
        <v>87000000</v>
      </c>
      <c r="K796" s="805">
        <f>SUM(K797:K801)</f>
        <v>51000000</v>
      </c>
      <c r="L796" s="1312">
        <f>SUM(L797:L801)</f>
        <v>1964700000</v>
      </c>
      <c r="M796" s="603"/>
      <c r="N796" s="835"/>
      <c r="O796" s="835"/>
      <c r="P796" s="890"/>
      <c r="Q796" s="890"/>
      <c r="R796" s="866"/>
      <c r="S796" s="900"/>
      <c r="T796" s="822"/>
      <c r="U796" s="580"/>
      <c r="V796" s="722"/>
      <c r="W796" s="727"/>
      <c r="X796" s="728"/>
    </row>
    <row r="797" spans="1:257" s="582" customFormat="1">
      <c r="A797" s="809" t="s">
        <v>91</v>
      </c>
      <c r="B797" s="696" t="s">
        <v>79</v>
      </c>
      <c r="C797" s="699"/>
      <c r="D797" s="699"/>
      <c r="E797" s="700"/>
      <c r="F797" s="700">
        <v>30000000</v>
      </c>
      <c r="G797" s="700"/>
      <c r="H797" s="700"/>
      <c r="I797" s="700"/>
      <c r="J797" s="700">
        <v>36000000</v>
      </c>
      <c r="K797" s="700">
        <v>36000000</v>
      </c>
      <c r="L797" s="1315">
        <v>36000000</v>
      </c>
      <c r="M797" s="651"/>
      <c r="N797" s="820"/>
      <c r="O797" s="820"/>
      <c r="P797" s="820"/>
      <c r="Q797" s="820"/>
      <c r="R797" s="866"/>
      <c r="S797" s="866"/>
      <c r="T797" s="839"/>
      <c r="U797" s="580"/>
      <c r="V797" s="581"/>
      <c r="W797" s="581"/>
      <c r="X797" s="578"/>
    </row>
    <row r="798" spans="1:257" s="582" customFormat="1" ht="31.5">
      <c r="A798" s="809"/>
      <c r="B798" s="696" t="s">
        <v>2051</v>
      </c>
      <c r="C798" s="699"/>
      <c r="D798" s="699"/>
      <c r="E798" s="700"/>
      <c r="F798" s="700"/>
      <c r="G798" s="700"/>
      <c r="H798" s="700"/>
      <c r="I798" s="700"/>
      <c r="J798" s="700"/>
      <c r="K798" s="700"/>
      <c r="L798" s="1315">
        <v>1893000000</v>
      </c>
      <c r="M798" s="651" t="s">
        <v>1709</v>
      </c>
      <c r="N798" s="820"/>
      <c r="O798" s="820"/>
      <c r="P798" s="820"/>
      <c r="Q798" s="820"/>
      <c r="R798" s="866"/>
      <c r="S798" s="866"/>
      <c r="T798" s="839"/>
      <c r="U798" s="580"/>
      <c r="V798" s="581"/>
      <c r="W798" s="581"/>
      <c r="X798" s="578"/>
    </row>
    <row r="799" spans="1:257" s="582" customFormat="1" ht="15.75" customHeight="1">
      <c r="A799" s="809" t="s">
        <v>91</v>
      </c>
      <c r="B799" s="696" t="s">
        <v>1364</v>
      </c>
      <c r="C799" s="699"/>
      <c r="D799" s="699"/>
      <c r="E799" s="700"/>
      <c r="F799" s="700"/>
      <c r="G799" s="700"/>
      <c r="H799" s="700"/>
      <c r="I799" s="700"/>
      <c r="J799" s="700">
        <v>36000000</v>
      </c>
      <c r="K799" s="700"/>
      <c r="L799" s="1315"/>
      <c r="M799" s="651"/>
      <c r="N799" s="820"/>
      <c r="O799" s="820"/>
      <c r="P799" s="820"/>
      <c r="Q799" s="820"/>
      <c r="R799" s="866"/>
      <c r="S799" s="866"/>
      <c r="T799" s="839"/>
      <c r="U799" s="580"/>
      <c r="V799" s="581"/>
      <c r="W799" s="581"/>
      <c r="X799" s="578"/>
    </row>
    <row r="800" spans="1:257" s="582" customFormat="1" ht="15.75" customHeight="1">
      <c r="A800" s="809"/>
      <c r="B800" s="696" t="s">
        <v>1434</v>
      </c>
      <c r="C800" s="699"/>
      <c r="D800" s="699"/>
      <c r="E800" s="700"/>
      <c r="F800" s="700"/>
      <c r="G800" s="700"/>
      <c r="H800" s="700"/>
      <c r="I800" s="700"/>
      <c r="J800" s="700"/>
      <c r="K800" s="700"/>
      <c r="L800" s="1315">
        <v>15000000</v>
      </c>
      <c r="M800" s="651"/>
      <c r="N800" s="820"/>
      <c r="O800" s="820"/>
      <c r="P800" s="820"/>
      <c r="Q800" s="820"/>
      <c r="R800" s="866"/>
      <c r="S800" s="866"/>
      <c r="T800" s="839"/>
      <c r="U800" s="580"/>
      <c r="V800" s="581"/>
      <c r="W800" s="581"/>
      <c r="X800" s="578"/>
    </row>
    <row r="801" spans="1:25" s="582" customFormat="1" ht="24.75" customHeight="1">
      <c r="A801" s="699" t="s">
        <v>258</v>
      </c>
      <c r="B801" s="696" t="s">
        <v>450</v>
      </c>
      <c r="C801" s="699"/>
      <c r="D801" s="699"/>
      <c r="E801" s="700"/>
      <c r="F801" s="700">
        <v>15000000</v>
      </c>
      <c r="G801" s="700"/>
      <c r="H801" s="700"/>
      <c r="I801" s="700"/>
      <c r="J801" s="700">
        <v>15000000</v>
      </c>
      <c r="K801" s="700">
        <v>15000000</v>
      </c>
      <c r="L801" s="1315">
        <v>20700000</v>
      </c>
      <c r="M801" s="651"/>
      <c r="N801" s="820"/>
      <c r="O801" s="820"/>
      <c r="P801" s="820"/>
      <c r="Q801" s="820"/>
      <c r="R801" s="866"/>
      <c r="S801" s="866"/>
      <c r="T801" s="839"/>
      <c r="U801" s="580"/>
      <c r="V801" s="581"/>
      <c r="W801" s="581"/>
      <c r="X801" s="578"/>
      <c r="Y801" s="581"/>
    </row>
    <row r="802" spans="1:25" s="682" customFormat="1">
      <c r="A802" s="589" t="s">
        <v>261</v>
      </c>
      <c r="B802" s="804" t="s">
        <v>262</v>
      </c>
      <c r="C802" s="589"/>
      <c r="D802" s="589"/>
      <c r="E802" s="704"/>
      <c r="F802" s="805">
        <f>F803+F804</f>
        <v>18900000</v>
      </c>
      <c r="G802" s="716"/>
      <c r="H802" s="716"/>
      <c r="I802" s="716"/>
      <c r="J802" s="805">
        <f>J803</f>
        <v>18900000</v>
      </c>
      <c r="K802" s="805">
        <f>K803</f>
        <v>18900000</v>
      </c>
      <c r="L802" s="1312">
        <f>L803</f>
        <v>18900000</v>
      </c>
      <c r="M802" s="603"/>
      <c r="N802" s="835"/>
      <c r="O802" s="835"/>
      <c r="P802" s="890"/>
      <c r="Q802" s="890"/>
      <c r="R802" s="871"/>
      <c r="S802" s="871"/>
      <c r="T802" s="824"/>
      <c r="U802" s="577"/>
      <c r="V802" s="727"/>
      <c r="W802" s="727"/>
      <c r="X802" s="728"/>
      <c r="Y802" s="727"/>
    </row>
    <row r="803" spans="1:25" s="682" customFormat="1">
      <c r="A803" s="713"/>
      <c r="B803" s="668" t="s">
        <v>263</v>
      </c>
      <c r="C803" s="713"/>
      <c r="D803" s="713"/>
      <c r="E803" s="725"/>
      <c r="F803" s="725">
        <f>F795*10%</f>
        <v>18900000</v>
      </c>
      <c r="G803" s="700"/>
      <c r="H803" s="700"/>
      <c r="I803" s="700"/>
      <c r="J803" s="725">
        <f>J795*10%</f>
        <v>18900000</v>
      </c>
      <c r="K803" s="725">
        <f>K795*10%</f>
        <v>18900000</v>
      </c>
      <c r="L803" s="1311">
        <f>(L795+L799)*10%</f>
        <v>18900000</v>
      </c>
      <c r="M803" s="669" t="s">
        <v>1363</v>
      </c>
      <c r="N803" s="868"/>
      <c r="O803" s="868"/>
      <c r="P803" s="820"/>
      <c r="Q803" s="820"/>
      <c r="R803" s="871"/>
      <c r="S803" s="871"/>
      <c r="T803" s="824"/>
      <c r="U803" s="814"/>
      <c r="V803" s="727"/>
      <c r="W803" s="727"/>
      <c r="X803" s="728"/>
      <c r="Y803" s="727"/>
    </row>
    <row r="804" spans="1:25" s="682" customFormat="1" ht="15.75" hidden="1" customHeight="1">
      <c r="A804" s="713"/>
      <c r="B804" s="669"/>
      <c r="C804" s="713"/>
      <c r="D804" s="713"/>
      <c r="E804" s="725"/>
      <c r="F804" s="725"/>
      <c r="G804" s="700"/>
      <c r="H804" s="700"/>
      <c r="I804" s="700"/>
      <c r="J804" s="725"/>
      <c r="K804" s="725"/>
      <c r="L804" s="1311"/>
      <c r="M804" s="669"/>
      <c r="N804" s="868"/>
      <c r="O804" s="868"/>
      <c r="P804" s="820"/>
      <c r="Q804" s="820"/>
      <c r="R804" s="871"/>
      <c r="S804" s="871"/>
      <c r="T804" s="824"/>
      <c r="U804" s="580"/>
      <c r="V804" s="727"/>
      <c r="W804" s="727"/>
      <c r="X804" s="728"/>
      <c r="Y804" s="727"/>
    </row>
    <row r="805" spans="1:25" s="1093" customFormat="1">
      <c r="A805" s="791">
        <v>11</v>
      </c>
      <c r="B805" s="840" t="s">
        <v>1135</v>
      </c>
      <c r="C805" s="791"/>
      <c r="D805" s="791"/>
      <c r="E805" s="792"/>
      <c r="F805" s="792"/>
      <c r="G805" s="792"/>
      <c r="H805" s="792"/>
      <c r="I805" s="792"/>
      <c r="J805" s="792"/>
      <c r="K805" s="792">
        <f>K806+K812</f>
        <v>1669000000</v>
      </c>
      <c r="L805" s="1303">
        <f>L806+L812</f>
        <v>1897500000</v>
      </c>
      <c r="M805" s="792"/>
      <c r="N805" s="1138"/>
      <c r="O805" s="1138"/>
      <c r="P805" s="1139"/>
      <c r="Q805" s="1139"/>
      <c r="R805" s="894"/>
      <c r="S805" s="894"/>
      <c r="T805" s="845"/>
      <c r="U805" s="802"/>
      <c r="V805" s="895"/>
      <c r="W805" s="895"/>
      <c r="X805" s="1092"/>
      <c r="Y805" s="895"/>
    </row>
    <row r="806" spans="1:25" s="682" customFormat="1">
      <c r="A806" s="589" t="s">
        <v>222</v>
      </c>
      <c r="B806" s="804" t="s">
        <v>252</v>
      </c>
      <c r="C806" s="715"/>
      <c r="D806" s="715"/>
      <c r="E806" s="716"/>
      <c r="F806" s="805">
        <f>F809+F811</f>
        <v>0</v>
      </c>
      <c r="G806" s="805">
        <f>G809+G811</f>
        <v>0</v>
      </c>
      <c r="H806" s="805">
        <f>H809+H811</f>
        <v>0</v>
      </c>
      <c r="I806" s="805">
        <f>I809+I811</f>
        <v>0</v>
      </c>
      <c r="J806" s="805">
        <f>J809+J811</f>
        <v>0</v>
      </c>
      <c r="K806" s="805">
        <f>K808+K810+K811</f>
        <v>1146000000</v>
      </c>
      <c r="L806" s="1312">
        <f>L808+L810+L811</f>
        <v>1456000000</v>
      </c>
      <c r="M806" s="603"/>
      <c r="N806" s="868"/>
      <c r="O806" s="868"/>
      <c r="P806" s="820"/>
      <c r="Q806" s="820"/>
      <c r="R806" s="871"/>
      <c r="S806" s="871"/>
      <c r="T806" s="824"/>
      <c r="U806" s="580"/>
      <c r="V806" s="727"/>
      <c r="W806" s="727"/>
      <c r="X806" s="728"/>
      <c r="Y806" s="727"/>
    </row>
    <row r="807" spans="1:25" s="682" customFormat="1">
      <c r="A807" s="589"/>
      <c r="B807" s="1122" t="s">
        <v>962</v>
      </c>
      <c r="C807" s="715"/>
      <c r="D807" s="715"/>
      <c r="E807" s="716"/>
      <c r="F807" s="805"/>
      <c r="G807" s="805"/>
      <c r="H807" s="805"/>
      <c r="I807" s="805"/>
      <c r="J807" s="805"/>
      <c r="K807" s="805">
        <f>K808+K809</f>
        <v>1027000000</v>
      </c>
      <c r="L807" s="1312">
        <f>L808+L809</f>
        <v>1327000000</v>
      </c>
      <c r="M807" s="603">
        <f>L808+L809+L811</f>
        <v>1516000000</v>
      </c>
      <c r="N807" s="868"/>
      <c r="O807" s="868"/>
      <c r="P807" s="820"/>
      <c r="Q807" s="820"/>
      <c r="R807" s="871"/>
      <c r="S807" s="871"/>
      <c r="T807" s="824"/>
      <c r="U807" s="580"/>
      <c r="V807" s="727"/>
      <c r="W807" s="727"/>
      <c r="X807" s="728"/>
      <c r="Y807" s="727"/>
    </row>
    <row r="808" spans="1:25" s="682" customFormat="1">
      <c r="A808" s="699"/>
      <c r="B808" s="684" t="s">
        <v>1092</v>
      </c>
      <c r="C808" s="713"/>
      <c r="D808" s="713"/>
      <c r="E808" s="725"/>
      <c r="F808" s="810"/>
      <c r="G808" s="810"/>
      <c r="H808" s="810"/>
      <c r="I808" s="810"/>
      <c r="J808" s="810"/>
      <c r="K808" s="810">
        <f>ROUND(926000000*1.49/1.8+2.34*2*1490000*12,-6)</f>
        <v>850000000</v>
      </c>
      <c r="L808" s="1313">
        <v>845000000</v>
      </c>
      <c r="M808" s="707"/>
      <c r="N808" s="868"/>
      <c r="O808" s="868"/>
      <c r="P808" s="820"/>
      <c r="Q808" s="820"/>
      <c r="R808" s="871"/>
      <c r="S808" s="871"/>
      <c r="T808" s="824"/>
      <c r="U808" s="580"/>
      <c r="V808" s="727"/>
      <c r="W808" s="727"/>
      <c r="X808" s="728"/>
      <c r="Y808" s="727"/>
    </row>
    <row r="809" spans="1:25" s="682" customFormat="1">
      <c r="A809" s="713" t="s">
        <v>258</v>
      </c>
      <c r="B809" s="684" t="s">
        <v>1351</v>
      </c>
      <c r="C809" s="713">
        <v>7</v>
      </c>
      <c r="D809" s="713"/>
      <c r="E809" s="725"/>
      <c r="F809" s="725"/>
      <c r="G809" s="669"/>
      <c r="H809" s="669"/>
      <c r="I809" s="669"/>
      <c r="J809" s="725"/>
      <c r="K809" s="725">
        <f>ROUND(926000000*0.31/1.8+2.34*2*310000*12,-6)</f>
        <v>177000000</v>
      </c>
      <c r="L809" s="1311">
        <v>482000000</v>
      </c>
      <c r="M809" s="669"/>
      <c r="N809" s="868"/>
      <c r="O809" s="868"/>
      <c r="P809" s="820"/>
      <c r="Q809" s="820"/>
      <c r="R809" s="871"/>
      <c r="S809" s="871"/>
      <c r="T809" s="824"/>
      <c r="U809" s="580"/>
      <c r="V809" s="727"/>
      <c r="W809" s="727"/>
      <c r="X809" s="728"/>
      <c r="Y809" s="727"/>
    </row>
    <row r="810" spans="1:25" s="682" customFormat="1">
      <c r="A810" s="713"/>
      <c r="B810" s="684" t="s">
        <v>1357</v>
      </c>
      <c r="C810" s="713"/>
      <c r="D810" s="713"/>
      <c r="E810" s="725"/>
      <c r="F810" s="725"/>
      <c r="G810" s="669"/>
      <c r="H810" s="669"/>
      <c r="I810" s="669"/>
      <c r="J810" s="725"/>
      <c r="K810" s="725">
        <f>ROUND(K809-K824,-6)</f>
        <v>107000000</v>
      </c>
      <c r="L810" s="1311">
        <f>ROUND(L809-L824,-6)</f>
        <v>422000000</v>
      </c>
      <c r="M810" s="669"/>
      <c r="N810" s="868"/>
      <c r="O810" s="868"/>
      <c r="P810" s="820"/>
      <c r="Q810" s="820"/>
      <c r="R810" s="871"/>
      <c r="S810" s="871"/>
      <c r="T810" s="824"/>
      <c r="U810" s="580"/>
      <c r="V810" s="727"/>
      <c r="W810" s="727"/>
      <c r="X810" s="728"/>
      <c r="Y810" s="727"/>
    </row>
    <row r="811" spans="1:25" s="682" customFormat="1">
      <c r="A811" s="713" t="s">
        <v>258</v>
      </c>
      <c r="B811" s="936" t="s">
        <v>256</v>
      </c>
      <c r="C811" s="713"/>
      <c r="D811" s="713"/>
      <c r="E811" s="725">
        <v>27000000</v>
      </c>
      <c r="F811" s="725"/>
      <c r="G811" s="725"/>
      <c r="H811" s="725"/>
      <c r="I811" s="725"/>
      <c r="J811" s="725"/>
      <c r="K811" s="725">
        <f>27000000*7</f>
        <v>189000000</v>
      </c>
      <c r="L811" s="1311">
        <f>27000000*7</f>
        <v>189000000</v>
      </c>
      <c r="M811" s="669" t="s">
        <v>1136</v>
      </c>
      <c r="N811" s="868"/>
      <c r="O811" s="868"/>
      <c r="P811" s="820"/>
      <c r="Q811" s="820"/>
      <c r="R811" s="871"/>
      <c r="S811" s="871"/>
      <c r="T811" s="824"/>
      <c r="U811" s="580"/>
      <c r="V811" s="727"/>
      <c r="W811" s="727"/>
      <c r="X811" s="728"/>
      <c r="Y811" s="727"/>
    </row>
    <row r="812" spans="1:25" s="682" customFormat="1">
      <c r="A812" s="589" t="s">
        <v>225</v>
      </c>
      <c r="B812" s="804" t="s">
        <v>257</v>
      </c>
      <c r="C812" s="589"/>
      <c r="D812" s="589"/>
      <c r="E812" s="704"/>
      <c r="F812" s="805">
        <f>F813+F815</f>
        <v>0</v>
      </c>
      <c r="G812" s="805">
        <f>G813+G815</f>
        <v>0</v>
      </c>
      <c r="H812" s="805">
        <f>H813+H815</f>
        <v>0</v>
      </c>
      <c r="I812" s="805">
        <f>I813+I815</f>
        <v>0</v>
      </c>
      <c r="J812" s="805">
        <f>SUM(J813:J815)</f>
        <v>0</v>
      </c>
      <c r="K812" s="805">
        <f>SUM(K813:K823)</f>
        <v>523000000</v>
      </c>
      <c r="L812" s="1312">
        <f>SUM(L813:L823)</f>
        <v>441500000</v>
      </c>
      <c r="M812" s="603"/>
      <c r="N812" s="868"/>
      <c r="O812" s="868"/>
      <c r="P812" s="820"/>
      <c r="Q812" s="820"/>
      <c r="R812" s="871"/>
      <c r="S812" s="871"/>
      <c r="T812" s="824"/>
      <c r="U812" s="580"/>
      <c r="V812" s="727"/>
      <c r="W812" s="727"/>
      <c r="X812" s="728"/>
      <c r="Y812" s="727"/>
    </row>
    <row r="813" spans="1:25" s="682" customFormat="1" ht="31.5">
      <c r="A813" s="699"/>
      <c r="B813" s="696" t="s">
        <v>507</v>
      </c>
      <c r="C813" s="699"/>
      <c r="D813" s="699"/>
      <c r="E813" s="700"/>
      <c r="F813" s="700"/>
      <c r="G813" s="700"/>
      <c r="H813" s="700"/>
      <c r="I813" s="700"/>
      <c r="J813" s="700"/>
      <c r="K813" s="700">
        <v>38000000</v>
      </c>
      <c r="L813" s="1315">
        <v>38000000</v>
      </c>
      <c r="M813" s="651"/>
      <c r="N813" s="868"/>
      <c r="O813" s="868"/>
      <c r="P813" s="820"/>
      <c r="Q813" s="820"/>
      <c r="R813" s="871"/>
      <c r="S813" s="871"/>
      <c r="T813" s="824"/>
      <c r="U813" s="580"/>
      <c r="V813" s="727"/>
      <c r="W813" s="727"/>
      <c r="X813" s="728"/>
      <c r="Y813" s="727"/>
    </row>
    <row r="814" spans="1:25" s="682" customFormat="1" ht="31.5">
      <c r="A814" s="699"/>
      <c r="B814" s="696" t="s">
        <v>508</v>
      </c>
      <c r="C814" s="699"/>
      <c r="D814" s="699"/>
      <c r="E814" s="700"/>
      <c r="F814" s="700"/>
      <c r="G814" s="700"/>
      <c r="H814" s="700"/>
      <c r="I814" s="700"/>
      <c r="J814" s="700"/>
      <c r="K814" s="700">
        <v>30000000</v>
      </c>
      <c r="L814" s="1315">
        <v>30000000</v>
      </c>
      <c r="M814" s="651"/>
      <c r="N814" s="868"/>
      <c r="O814" s="868"/>
      <c r="P814" s="820"/>
      <c r="Q814" s="820"/>
      <c r="R814" s="871"/>
      <c r="S814" s="871"/>
      <c r="T814" s="824"/>
      <c r="U814" s="580"/>
      <c r="V814" s="727"/>
      <c r="W814" s="727"/>
      <c r="X814" s="728"/>
      <c r="Y814" s="727"/>
    </row>
    <row r="815" spans="1:25" s="682" customFormat="1" ht="31.5">
      <c r="A815" s="699" t="s">
        <v>258</v>
      </c>
      <c r="B815" s="696" t="s">
        <v>1365</v>
      </c>
      <c r="C815" s="699"/>
      <c r="D815" s="699"/>
      <c r="E815" s="700"/>
      <c r="F815" s="700"/>
      <c r="G815" s="700"/>
      <c r="H815" s="700"/>
      <c r="I815" s="700"/>
      <c r="J815" s="700"/>
      <c r="K815" s="700">
        <v>230000000</v>
      </c>
      <c r="L815" s="1315">
        <v>250000000</v>
      </c>
      <c r="M815" s="651"/>
      <c r="N815" s="868"/>
      <c r="O815" s="868"/>
      <c r="P815" s="820"/>
      <c r="Q815" s="820"/>
      <c r="R815" s="871"/>
      <c r="S815" s="871"/>
      <c r="T815" s="824"/>
      <c r="U815" s="580"/>
      <c r="V815" s="727"/>
      <c r="W815" s="727"/>
      <c r="X815" s="728"/>
      <c r="Y815" s="727"/>
    </row>
    <row r="816" spans="1:25" s="682" customFormat="1">
      <c r="A816" s="589"/>
      <c r="B816" s="696" t="s">
        <v>510</v>
      </c>
      <c r="C816" s="589"/>
      <c r="D816" s="589"/>
      <c r="E816" s="704"/>
      <c r="F816" s="805">
        <f>F817+F818</f>
        <v>0</v>
      </c>
      <c r="G816" s="716"/>
      <c r="H816" s="716"/>
      <c r="I816" s="716"/>
      <c r="J816" s="805">
        <f>J817</f>
        <v>0</v>
      </c>
      <c r="K816" s="805"/>
      <c r="L816" s="1312"/>
      <c r="M816" s="603"/>
      <c r="N816" s="868"/>
      <c r="O816" s="868"/>
      <c r="P816" s="820"/>
      <c r="Q816" s="820"/>
      <c r="R816" s="871"/>
      <c r="S816" s="871"/>
      <c r="T816" s="824"/>
      <c r="U816" s="580"/>
      <c r="V816" s="727"/>
      <c r="W816" s="727"/>
      <c r="X816" s="728"/>
      <c r="Y816" s="727"/>
    </row>
    <row r="817" spans="1:25" s="682" customFormat="1">
      <c r="A817" s="713"/>
      <c r="B817" s="696" t="s">
        <v>511</v>
      </c>
      <c r="C817" s="713"/>
      <c r="D817" s="713"/>
      <c r="E817" s="725"/>
      <c r="F817" s="725">
        <f>F811*10%</f>
        <v>0</v>
      </c>
      <c r="G817" s="700"/>
      <c r="H817" s="700"/>
      <c r="I817" s="700"/>
      <c r="J817" s="725">
        <f>J811*10%</f>
        <v>0</v>
      </c>
      <c r="K817" s="725"/>
      <c r="L817" s="1311"/>
      <c r="M817" s="669"/>
      <c r="N817" s="868"/>
      <c r="O817" s="868"/>
      <c r="P817" s="820"/>
      <c r="Q817" s="820"/>
      <c r="R817" s="871"/>
      <c r="S817" s="871"/>
      <c r="T817" s="824"/>
      <c r="U817" s="580"/>
      <c r="V817" s="727"/>
      <c r="W817" s="727"/>
      <c r="X817" s="728"/>
      <c r="Y817" s="727"/>
    </row>
    <row r="818" spans="1:25" s="682" customFormat="1">
      <c r="A818" s="713"/>
      <c r="B818" s="696" t="s">
        <v>512</v>
      </c>
      <c r="C818" s="713"/>
      <c r="D818" s="713"/>
      <c r="E818" s="725"/>
      <c r="F818" s="725"/>
      <c r="G818" s="700"/>
      <c r="H818" s="700"/>
      <c r="I818" s="700"/>
      <c r="J818" s="725"/>
      <c r="K818" s="725">
        <v>50000000</v>
      </c>
      <c r="L818" s="1311">
        <v>60000000</v>
      </c>
      <c r="M818" s="669"/>
      <c r="N818" s="868"/>
      <c r="O818" s="868"/>
      <c r="P818" s="820"/>
      <c r="Q818" s="820"/>
      <c r="R818" s="871"/>
      <c r="S818" s="871"/>
      <c r="T818" s="824"/>
      <c r="U818" s="580"/>
      <c r="V818" s="727"/>
      <c r="W818" s="727"/>
      <c r="X818" s="728"/>
      <c r="Y818" s="727"/>
    </row>
    <row r="819" spans="1:25" s="682" customFormat="1">
      <c r="A819" s="713"/>
      <c r="B819" s="651" t="s">
        <v>1137</v>
      </c>
      <c r="C819" s="713"/>
      <c r="D819" s="713"/>
      <c r="E819" s="725"/>
      <c r="F819" s="725"/>
      <c r="G819" s="700"/>
      <c r="H819" s="700"/>
      <c r="I819" s="700"/>
      <c r="J819" s="725"/>
      <c r="K819" s="725">
        <v>20000000</v>
      </c>
      <c r="L819" s="1311">
        <v>0</v>
      </c>
      <c r="M819" s="669"/>
      <c r="N819" s="868"/>
      <c r="O819" s="868"/>
      <c r="P819" s="820"/>
      <c r="Q819" s="820"/>
      <c r="R819" s="871"/>
      <c r="S819" s="871"/>
      <c r="T819" s="824"/>
      <c r="U819" s="580"/>
      <c r="V819" s="727"/>
      <c r="W819" s="727"/>
      <c r="X819" s="728"/>
      <c r="Y819" s="727"/>
    </row>
    <row r="820" spans="1:25" s="682" customFormat="1">
      <c r="A820" s="713"/>
      <c r="B820" s="651" t="s">
        <v>1138</v>
      </c>
      <c r="C820" s="713"/>
      <c r="D820" s="713"/>
      <c r="E820" s="725"/>
      <c r="F820" s="725"/>
      <c r="G820" s="700"/>
      <c r="H820" s="700"/>
      <c r="I820" s="700"/>
      <c r="J820" s="725"/>
      <c r="K820" s="725">
        <v>20000000</v>
      </c>
      <c r="L820" s="1311">
        <v>15000000</v>
      </c>
      <c r="M820" s="669"/>
      <c r="N820" s="868"/>
      <c r="O820" s="868"/>
      <c r="P820" s="820"/>
      <c r="Q820" s="820"/>
      <c r="R820" s="871"/>
      <c r="S820" s="871"/>
      <c r="T820" s="824"/>
      <c r="U820" s="580"/>
      <c r="V820" s="727"/>
      <c r="W820" s="727"/>
      <c r="X820" s="728"/>
      <c r="Y820" s="727"/>
    </row>
    <row r="821" spans="1:25" s="682" customFormat="1">
      <c r="A821" s="713"/>
      <c r="B821" s="651" t="s">
        <v>1139</v>
      </c>
      <c r="C821" s="713"/>
      <c r="D821" s="713"/>
      <c r="E821" s="725"/>
      <c r="F821" s="725"/>
      <c r="G821" s="700"/>
      <c r="H821" s="700"/>
      <c r="I821" s="700"/>
      <c r="J821" s="725"/>
      <c r="K821" s="725">
        <v>15000000</v>
      </c>
      <c r="L821" s="1311">
        <v>15000000</v>
      </c>
      <c r="M821" s="669"/>
      <c r="N821" s="868"/>
      <c r="O821" s="868"/>
      <c r="P821" s="820"/>
      <c r="Q821" s="820"/>
      <c r="R821" s="871"/>
      <c r="S821" s="871"/>
      <c r="T821" s="824"/>
      <c r="U821" s="580"/>
      <c r="V821" s="727"/>
      <c r="W821" s="727"/>
      <c r="X821" s="728"/>
      <c r="Y821" s="727"/>
    </row>
    <row r="822" spans="1:25" s="682" customFormat="1">
      <c r="A822" s="713"/>
      <c r="B822" s="651" t="str">
        <f>B800</f>
        <v>Chi đại hội chi bộ</v>
      </c>
      <c r="C822" s="713"/>
      <c r="D822" s="713"/>
      <c r="E822" s="725"/>
      <c r="F822" s="725"/>
      <c r="G822" s="700"/>
      <c r="H822" s="700"/>
      <c r="I822" s="700"/>
      <c r="J822" s="725"/>
      <c r="K822" s="725"/>
      <c r="L822" s="1311">
        <v>13500000</v>
      </c>
      <c r="M822" s="669"/>
      <c r="N822" s="868"/>
      <c r="O822" s="868"/>
      <c r="P822" s="820"/>
      <c r="Q822" s="820"/>
      <c r="R822" s="871"/>
      <c r="S822" s="871"/>
      <c r="T822" s="824"/>
      <c r="U822" s="580"/>
      <c r="V822" s="727"/>
      <c r="W822" s="727"/>
      <c r="X822" s="728"/>
      <c r="Y822" s="727"/>
    </row>
    <row r="823" spans="1:25" s="682" customFormat="1">
      <c r="A823" s="713"/>
      <c r="B823" s="651" t="s">
        <v>1711</v>
      </c>
      <c r="C823" s="713"/>
      <c r="D823" s="713"/>
      <c r="E823" s="725"/>
      <c r="F823" s="725"/>
      <c r="G823" s="700"/>
      <c r="H823" s="700"/>
      <c r="I823" s="700"/>
      <c r="J823" s="725"/>
      <c r="K823" s="725">
        <v>120000000</v>
      </c>
      <c r="L823" s="1311">
        <v>20000000</v>
      </c>
      <c r="M823" s="669" t="s">
        <v>1710</v>
      </c>
      <c r="N823" s="868"/>
      <c r="O823" s="868"/>
      <c r="P823" s="820"/>
      <c r="Q823" s="820"/>
      <c r="R823" s="871"/>
      <c r="S823" s="871"/>
      <c r="T823" s="824"/>
      <c r="U823" s="580"/>
      <c r="V823" s="727"/>
      <c r="W823" s="727"/>
      <c r="X823" s="728"/>
      <c r="Y823" s="727"/>
    </row>
    <row r="824" spans="1:25" s="724" customFormat="1">
      <c r="A824" s="715" t="s">
        <v>261</v>
      </c>
      <c r="B824" s="618" t="s">
        <v>263</v>
      </c>
      <c r="C824" s="715"/>
      <c r="D824" s="715"/>
      <c r="E824" s="716"/>
      <c r="F824" s="716"/>
      <c r="G824" s="704"/>
      <c r="H824" s="704"/>
      <c r="I824" s="704"/>
      <c r="J824" s="716"/>
      <c r="K824" s="716">
        <f>(K811+K812-K821)*10%</f>
        <v>69700000</v>
      </c>
      <c r="L824" s="1316">
        <f>(L811+L812-L821-L822)*10%</f>
        <v>60200000</v>
      </c>
      <c r="M824" s="618"/>
      <c r="N824" s="890"/>
      <c r="O824" s="890"/>
      <c r="P824" s="829"/>
      <c r="Q824" s="829"/>
      <c r="R824" s="891"/>
      <c r="S824" s="891"/>
      <c r="T824" s="832"/>
      <c r="U824" s="577"/>
      <c r="V824" s="722"/>
      <c r="W824" s="722"/>
      <c r="X824" s="723"/>
      <c r="Y824" s="722"/>
    </row>
    <row r="825" spans="1:25" s="1093" customFormat="1" ht="31.5">
      <c r="A825" s="791">
        <v>12</v>
      </c>
      <c r="B825" s="840" t="s">
        <v>1140</v>
      </c>
      <c r="C825" s="791"/>
      <c r="D825" s="791"/>
      <c r="E825" s="792"/>
      <c r="F825" s="792"/>
      <c r="G825" s="792"/>
      <c r="H825" s="792"/>
      <c r="I825" s="792"/>
      <c r="J825" s="792"/>
      <c r="K825" s="792">
        <f>K826+K832</f>
        <v>1324000000</v>
      </c>
      <c r="L825" s="1303">
        <f>L826+L832</f>
        <v>2385152000</v>
      </c>
      <c r="M825" s="792" t="s">
        <v>1488</v>
      </c>
      <c r="N825" s="1138">
        <f>L825+5000000000</f>
        <v>7385152000</v>
      </c>
      <c r="O825" s="1138"/>
      <c r="P825" s="1139"/>
      <c r="Q825" s="1139"/>
      <c r="R825" s="894"/>
      <c r="S825" s="894"/>
      <c r="T825" s="845"/>
      <c r="U825" s="802"/>
      <c r="V825" s="895"/>
      <c r="W825" s="895"/>
      <c r="X825" s="1092"/>
      <c r="Y825" s="895"/>
    </row>
    <row r="826" spans="1:25" s="682" customFormat="1">
      <c r="A826" s="589" t="s">
        <v>222</v>
      </c>
      <c r="B826" s="804" t="s">
        <v>252</v>
      </c>
      <c r="C826" s="715"/>
      <c r="D826" s="715"/>
      <c r="E826" s="716"/>
      <c r="F826" s="805">
        <f>F829+F831</f>
        <v>0</v>
      </c>
      <c r="G826" s="805">
        <f>G829+G831</f>
        <v>0</v>
      </c>
      <c r="H826" s="805">
        <f>H829+H831</f>
        <v>0</v>
      </c>
      <c r="I826" s="805">
        <f>I829+I831</f>
        <v>0</v>
      </c>
      <c r="J826" s="805">
        <f>J829+J831</f>
        <v>0</v>
      </c>
      <c r="K826" s="805">
        <f>K828+K830+K831</f>
        <v>869000000</v>
      </c>
      <c r="L826" s="1312">
        <f>L828+L830+L831</f>
        <v>1193952000</v>
      </c>
      <c r="M826" s="603"/>
      <c r="N826" s="868"/>
      <c r="O826" s="868"/>
      <c r="P826" s="820"/>
      <c r="Q826" s="820"/>
      <c r="R826" s="871"/>
      <c r="S826" s="871"/>
      <c r="T826" s="824"/>
      <c r="U826" s="580"/>
      <c r="V826" s="727"/>
      <c r="W826" s="727"/>
      <c r="X826" s="728"/>
      <c r="Y826" s="727"/>
    </row>
    <row r="827" spans="1:25" s="682" customFormat="1">
      <c r="A827" s="589"/>
      <c r="B827" s="1122" t="s">
        <v>962</v>
      </c>
      <c r="C827" s="715"/>
      <c r="D827" s="715"/>
      <c r="E827" s="716"/>
      <c r="F827" s="805"/>
      <c r="G827" s="805"/>
      <c r="H827" s="805"/>
      <c r="I827" s="805"/>
      <c r="J827" s="805"/>
      <c r="K827" s="805">
        <f>K828+K829</f>
        <v>739000000</v>
      </c>
      <c r="L827" s="1312">
        <f>L828+L829</f>
        <v>1135380000</v>
      </c>
      <c r="M827" s="603"/>
      <c r="N827" s="868"/>
      <c r="O827" s="868"/>
      <c r="P827" s="820"/>
      <c r="Q827" s="820"/>
      <c r="R827" s="871"/>
      <c r="S827" s="871"/>
      <c r="T827" s="824"/>
      <c r="U827" s="580"/>
      <c r="V827" s="727"/>
      <c r="W827" s="727"/>
      <c r="X827" s="728"/>
      <c r="Y827" s="727"/>
    </row>
    <row r="828" spans="1:25" s="682" customFormat="1">
      <c r="A828" s="699"/>
      <c r="B828" s="684" t="s">
        <v>1092</v>
      </c>
      <c r="C828" s="713"/>
      <c r="D828" s="713"/>
      <c r="E828" s="725"/>
      <c r="F828" s="810"/>
      <c r="G828" s="810"/>
      <c r="H828" s="810"/>
      <c r="I828" s="810"/>
      <c r="J828" s="810"/>
      <c r="K828" s="810">
        <v>588000000</v>
      </c>
      <c r="L828" s="1313">
        <f>60246000*12</f>
        <v>722952000</v>
      </c>
      <c r="M828" s="707" t="s">
        <v>1477</v>
      </c>
      <c r="N828" s="868">
        <f>N833+L827</f>
        <v>2326580000</v>
      </c>
      <c r="O828" s="868"/>
      <c r="P828" s="820"/>
      <c r="Q828" s="820"/>
      <c r="R828" s="871"/>
      <c r="S828" s="871"/>
      <c r="T828" s="824"/>
      <c r="U828" s="580"/>
      <c r="V828" s="727"/>
      <c r="W828" s="727"/>
      <c r="X828" s="728"/>
      <c r="Y828" s="727"/>
    </row>
    <row r="829" spans="1:25" s="682" customFormat="1">
      <c r="A829" s="713" t="s">
        <v>258</v>
      </c>
      <c r="B829" s="684" t="s">
        <v>1351</v>
      </c>
      <c r="C829" s="713">
        <v>7</v>
      </c>
      <c r="D829" s="713"/>
      <c r="E829" s="725"/>
      <c r="F829" s="725"/>
      <c r="G829" s="669"/>
      <c r="H829" s="669"/>
      <c r="I829" s="669"/>
      <c r="J829" s="725"/>
      <c r="K829" s="725">
        <v>151000000</v>
      </c>
      <c r="L829" s="1311">
        <f>(94615000-60246000)*12</f>
        <v>412428000</v>
      </c>
      <c r="M829" s="669"/>
      <c r="N829" s="868"/>
      <c r="O829" s="868"/>
      <c r="P829" s="820"/>
      <c r="Q829" s="820"/>
      <c r="R829" s="871"/>
      <c r="S829" s="871"/>
      <c r="T829" s="824"/>
      <c r="U829" s="580"/>
      <c r="V829" s="727"/>
      <c r="W829" s="727"/>
      <c r="X829" s="728"/>
      <c r="Y829" s="727"/>
    </row>
    <row r="830" spans="1:25" s="682" customFormat="1">
      <c r="A830" s="713"/>
      <c r="B830" s="684" t="s">
        <v>1357</v>
      </c>
      <c r="C830" s="713"/>
      <c r="D830" s="713"/>
      <c r="E830" s="725"/>
      <c r="F830" s="725"/>
      <c r="G830" s="669"/>
      <c r="H830" s="669"/>
      <c r="I830" s="669"/>
      <c r="J830" s="725"/>
      <c r="K830" s="725">
        <f>ROUND(K829-K847,-6)</f>
        <v>92000000</v>
      </c>
      <c r="L830" s="1311">
        <f>ROUND(L829-L847,-6)</f>
        <v>282000000</v>
      </c>
      <c r="M830" s="669"/>
      <c r="N830" s="868"/>
      <c r="O830" s="868"/>
      <c r="P830" s="820"/>
      <c r="Q830" s="820"/>
      <c r="R830" s="871"/>
      <c r="S830" s="871"/>
      <c r="T830" s="824"/>
      <c r="U830" s="580"/>
      <c r="V830" s="727"/>
      <c r="W830" s="727"/>
      <c r="X830" s="728"/>
      <c r="Y830" s="727"/>
    </row>
    <row r="831" spans="1:25" s="682" customFormat="1">
      <c r="A831" s="713" t="s">
        <v>258</v>
      </c>
      <c r="B831" s="936" t="s">
        <v>256</v>
      </c>
      <c r="C831" s="713"/>
      <c r="D831" s="713"/>
      <c r="E831" s="725">
        <v>27000000</v>
      </c>
      <c r="F831" s="725"/>
      <c r="G831" s="725"/>
      <c r="H831" s="725"/>
      <c r="I831" s="725"/>
      <c r="J831" s="725"/>
      <c r="K831" s="725">
        <f>27000000*7</f>
        <v>189000000</v>
      </c>
      <c r="L831" s="1311">
        <f>27000000*7</f>
        <v>189000000</v>
      </c>
      <c r="M831" s="669" t="s">
        <v>1136</v>
      </c>
      <c r="N831" s="868"/>
      <c r="O831" s="868"/>
      <c r="P831" s="820"/>
      <c r="Q831" s="820"/>
      <c r="R831" s="871"/>
      <c r="S831" s="871"/>
      <c r="T831" s="824"/>
      <c r="U831" s="580"/>
      <c r="V831" s="727"/>
      <c r="W831" s="727"/>
      <c r="X831" s="728"/>
      <c r="Y831" s="727"/>
    </row>
    <row r="832" spans="1:25" s="682" customFormat="1">
      <c r="A832" s="589" t="s">
        <v>225</v>
      </c>
      <c r="B832" s="804" t="s">
        <v>257</v>
      </c>
      <c r="C832" s="589"/>
      <c r="D832" s="589"/>
      <c r="E832" s="704"/>
      <c r="F832" s="805">
        <f>F833+F836</f>
        <v>0</v>
      </c>
      <c r="G832" s="805">
        <f>G833+G836</f>
        <v>0</v>
      </c>
      <c r="H832" s="805">
        <f>H833+H836</f>
        <v>0</v>
      </c>
      <c r="I832" s="805">
        <f>I833+I836</f>
        <v>0</v>
      </c>
      <c r="J832" s="805">
        <f>SUM(J833:J836)</f>
        <v>0</v>
      </c>
      <c r="K832" s="805">
        <f>SUM(K833:K846)</f>
        <v>455000000</v>
      </c>
      <c r="L832" s="1312">
        <f>SUM(L833:L846)</f>
        <v>1191200000</v>
      </c>
      <c r="M832" s="603"/>
      <c r="N832" s="868"/>
      <c r="O832" s="868"/>
      <c r="P832" s="820"/>
      <c r="Q832" s="820"/>
      <c r="R832" s="871"/>
      <c r="S832" s="871"/>
      <c r="T832" s="824"/>
      <c r="U832" s="580"/>
      <c r="V832" s="727"/>
      <c r="W832" s="727"/>
      <c r="X832" s="728"/>
      <c r="Y832" s="727"/>
    </row>
    <row r="833" spans="1:25" s="682" customFormat="1">
      <c r="A833" s="699"/>
      <c r="B833" s="696" t="s">
        <v>450</v>
      </c>
      <c r="C833" s="699"/>
      <c r="D833" s="699"/>
      <c r="E833" s="700"/>
      <c r="F833" s="700"/>
      <c r="G833" s="700"/>
      <c r="H833" s="700"/>
      <c r="I833" s="700"/>
      <c r="J833" s="700"/>
      <c r="K833" s="700">
        <v>15000000</v>
      </c>
      <c r="L833" s="1315">
        <v>21700000</v>
      </c>
      <c r="M833" s="651"/>
      <c r="N833" s="868">
        <f>L832-L841</f>
        <v>1191200000</v>
      </c>
      <c r="O833" s="868"/>
      <c r="P833" s="820"/>
      <c r="Q833" s="820"/>
      <c r="R833" s="871"/>
      <c r="S833" s="871"/>
      <c r="T833" s="824"/>
      <c r="U833" s="580"/>
      <c r="V833" s="727"/>
      <c r="W833" s="727"/>
      <c r="X833" s="728"/>
      <c r="Y833" s="727"/>
    </row>
    <row r="834" spans="1:25" s="682" customFormat="1">
      <c r="A834" s="699"/>
      <c r="B834" s="696" t="s">
        <v>1476</v>
      </c>
      <c r="C834" s="699"/>
      <c r="D834" s="699"/>
      <c r="E834" s="700"/>
      <c r="F834" s="700"/>
      <c r="G834" s="700"/>
      <c r="H834" s="700"/>
      <c r="I834" s="700"/>
      <c r="J834" s="700"/>
      <c r="K834" s="700"/>
      <c r="L834" s="1315">
        <v>13500000</v>
      </c>
      <c r="M834" s="651"/>
      <c r="N834" s="868">
        <f>N833-'nội vụ V'!C21</f>
        <v>0</v>
      </c>
      <c r="O834" s="868"/>
      <c r="P834" s="820"/>
      <c r="Q834" s="820"/>
      <c r="R834" s="871"/>
      <c r="S834" s="871"/>
      <c r="T834" s="824"/>
      <c r="U834" s="580"/>
      <c r="V834" s="727"/>
      <c r="W834" s="727"/>
      <c r="X834" s="728"/>
      <c r="Y834" s="727"/>
    </row>
    <row r="835" spans="1:25" s="682" customFormat="1">
      <c r="A835" s="699"/>
      <c r="B835" s="696" t="s">
        <v>1141</v>
      </c>
      <c r="C835" s="699"/>
      <c r="D835" s="699"/>
      <c r="E835" s="700"/>
      <c r="F835" s="700"/>
      <c r="G835" s="700"/>
      <c r="H835" s="700"/>
      <c r="I835" s="700"/>
      <c r="J835" s="700"/>
      <c r="K835" s="700">
        <v>36000000</v>
      </c>
      <c r="L835" s="1315">
        <v>36000000</v>
      </c>
      <c r="M835" s="651"/>
      <c r="N835" s="868"/>
      <c r="O835" s="868"/>
      <c r="P835" s="820"/>
      <c r="Q835" s="820"/>
      <c r="R835" s="871"/>
      <c r="S835" s="871"/>
      <c r="T835" s="824"/>
      <c r="U835" s="580"/>
      <c r="V835" s="727"/>
      <c r="W835" s="727"/>
      <c r="X835" s="728"/>
      <c r="Y835" s="727"/>
    </row>
    <row r="836" spans="1:25" s="682" customFormat="1" ht="31.5">
      <c r="A836" s="699" t="s">
        <v>258</v>
      </c>
      <c r="B836" s="696" t="s">
        <v>1478</v>
      </c>
      <c r="C836" s="699"/>
      <c r="D836" s="699"/>
      <c r="E836" s="700"/>
      <c r="F836" s="700"/>
      <c r="G836" s="700"/>
      <c r="H836" s="700"/>
      <c r="I836" s="700"/>
      <c r="J836" s="700"/>
      <c r="K836" s="700">
        <v>200000000</v>
      </c>
      <c r="L836" s="1315">
        <v>210000000</v>
      </c>
      <c r="M836" s="651"/>
      <c r="N836" s="868"/>
      <c r="O836" s="868"/>
      <c r="P836" s="820"/>
      <c r="Q836" s="820"/>
      <c r="R836" s="871"/>
      <c r="S836" s="871"/>
      <c r="T836" s="824"/>
      <c r="U836" s="580"/>
      <c r="V836" s="727"/>
      <c r="W836" s="727"/>
      <c r="X836" s="728"/>
      <c r="Y836" s="727"/>
    </row>
    <row r="837" spans="1:25" s="682" customFormat="1" ht="31.5">
      <c r="A837" s="589"/>
      <c r="B837" s="696" t="s">
        <v>1575</v>
      </c>
      <c r="C837" s="589"/>
      <c r="D837" s="589"/>
      <c r="E837" s="704"/>
      <c r="F837" s="805"/>
      <c r="G837" s="704"/>
      <c r="H837" s="704"/>
      <c r="I837" s="704"/>
      <c r="J837" s="805"/>
      <c r="K837" s="700">
        <v>130000000</v>
      </c>
      <c r="L837" s="1315">
        <v>150000000</v>
      </c>
      <c r="M837" s="603"/>
      <c r="N837" s="868"/>
      <c r="O837" s="868"/>
      <c r="P837" s="820"/>
      <c r="Q837" s="820"/>
      <c r="R837" s="871"/>
      <c r="S837" s="871"/>
      <c r="T837" s="824"/>
      <c r="U837" s="580"/>
      <c r="V837" s="727"/>
      <c r="W837" s="727"/>
      <c r="X837" s="728"/>
      <c r="Y837" s="727"/>
    </row>
    <row r="838" spans="1:25" s="682" customFormat="1">
      <c r="A838" s="699"/>
      <c r="B838" s="696" t="s">
        <v>1142</v>
      </c>
      <c r="C838" s="699"/>
      <c r="D838" s="699"/>
      <c r="E838" s="700"/>
      <c r="F838" s="700"/>
      <c r="G838" s="700"/>
      <c r="H838" s="700"/>
      <c r="I838" s="700"/>
      <c r="J838" s="700"/>
      <c r="K838" s="700">
        <v>21000000</v>
      </c>
      <c r="L838" s="1315"/>
      <c r="M838" s="669" t="s">
        <v>1143</v>
      </c>
      <c r="N838" s="868"/>
      <c r="O838" s="868"/>
      <c r="P838" s="820"/>
      <c r="Q838" s="820"/>
      <c r="R838" s="871"/>
      <c r="S838" s="871"/>
      <c r="T838" s="824"/>
      <c r="U838" s="580"/>
      <c r="V838" s="727"/>
      <c r="W838" s="727"/>
      <c r="X838" s="728"/>
      <c r="Y838" s="727"/>
    </row>
    <row r="839" spans="1:25" s="682" customFormat="1">
      <c r="A839" s="699"/>
      <c r="B839" s="696" t="s">
        <v>1144</v>
      </c>
      <c r="C839" s="699"/>
      <c r="D839" s="699"/>
      <c r="E839" s="700"/>
      <c r="F839" s="700"/>
      <c r="G839" s="700"/>
      <c r="H839" s="700"/>
      <c r="I839" s="700"/>
      <c r="J839" s="700"/>
      <c r="K839" s="700">
        <v>20000000</v>
      </c>
      <c r="L839" s="1315"/>
      <c r="M839" s="669"/>
      <c r="N839" s="868"/>
      <c r="O839" s="868"/>
      <c r="P839" s="820"/>
      <c r="Q839" s="820"/>
      <c r="R839" s="871"/>
      <c r="S839" s="871"/>
      <c r="T839" s="824"/>
      <c r="U839" s="580"/>
      <c r="V839" s="727"/>
      <c r="W839" s="727"/>
      <c r="X839" s="728"/>
      <c r="Y839" s="727"/>
    </row>
    <row r="840" spans="1:25" s="682" customFormat="1">
      <c r="A840" s="699"/>
      <c r="B840" s="696" t="s">
        <v>1480</v>
      </c>
      <c r="C840" s="699"/>
      <c r="D840" s="699"/>
      <c r="E840" s="700"/>
      <c r="F840" s="700"/>
      <c r="G840" s="700"/>
      <c r="H840" s="700"/>
      <c r="I840" s="700"/>
      <c r="J840" s="700"/>
      <c r="K840" s="700"/>
      <c r="L840" s="1315">
        <v>120000000</v>
      </c>
      <c r="M840" s="669" t="s">
        <v>1489</v>
      </c>
      <c r="N840" s="868"/>
      <c r="O840" s="868"/>
      <c r="P840" s="820"/>
      <c r="Q840" s="820"/>
      <c r="R840" s="871"/>
      <c r="S840" s="871"/>
      <c r="T840" s="824"/>
      <c r="U840" s="580"/>
      <c r="V840" s="727"/>
      <c r="W840" s="727"/>
      <c r="X840" s="728"/>
      <c r="Y840" s="727"/>
    </row>
    <row r="841" spans="1:25" s="682" customFormat="1">
      <c r="A841" s="699"/>
      <c r="B841" s="696" t="s">
        <v>1479</v>
      </c>
      <c r="C841" s="699"/>
      <c r="D841" s="699"/>
      <c r="E841" s="700"/>
      <c r="F841" s="700"/>
      <c r="G841" s="700"/>
      <c r="H841" s="700"/>
      <c r="I841" s="700"/>
      <c r="J841" s="700"/>
      <c r="K841" s="700"/>
      <c r="L841" s="1315"/>
      <c r="M841" s="669"/>
      <c r="N841" s="868"/>
      <c r="O841" s="868"/>
      <c r="P841" s="820"/>
      <c r="Q841" s="820"/>
      <c r="R841" s="871"/>
      <c r="S841" s="871"/>
      <c r="T841" s="824"/>
      <c r="U841" s="580"/>
      <c r="V841" s="727"/>
      <c r="W841" s="727"/>
      <c r="X841" s="728"/>
      <c r="Y841" s="727"/>
    </row>
    <row r="842" spans="1:25" s="682" customFormat="1">
      <c r="A842" s="699"/>
      <c r="B842" s="696" t="s">
        <v>1406</v>
      </c>
      <c r="C842" s="699"/>
      <c r="D842" s="699"/>
      <c r="E842" s="700"/>
      <c r="F842" s="700"/>
      <c r="G842" s="700"/>
      <c r="H842" s="700"/>
      <c r="I842" s="700"/>
      <c r="J842" s="700"/>
      <c r="K842" s="700"/>
      <c r="L842" s="1315">
        <v>500000000</v>
      </c>
      <c r="M842" s="669" t="s">
        <v>1489</v>
      </c>
      <c r="N842" s="868"/>
      <c r="O842" s="868"/>
      <c r="P842" s="820"/>
      <c r="Q842" s="820"/>
      <c r="R842" s="871"/>
      <c r="S842" s="871"/>
      <c r="T842" s="824"/>
      <c r="U842" s="580"/>
      <c r="V842" s="727"/>
      <c r="W842" s="727"/>
      <c r="X842" s="728"/>
      <c r="Y842" s="727"/>
    </row>
    <row r="843" spans="1:25" s="682" customFormat="1" ht="31.5">
      <c r="A843" s="699"/>
      <c r="B843" s="696" t="s">
        <v>1481</v>
      </c>
      <c r="C843" s="699"/>
      <c r="D843" s="699"/>
      <c r="E843" s="700"/>
      <c r="F843" s="700"/>
      <c r="G843" s="700"/>
      <c r="H843" s="700"/>
      <c r="I843" s="700"/>
      <c r="J843" s="700"/>
      <c r="K843" s="700"/>
      <c r="L843" s="1315">
        <v>30000000</v>
      </c>
      <c r="M843" s="669" t="s">
        <v>1489</v>
      </c>
      <c r="N843" s="868"/>
      <c r="O843" s="868"/>
      <c r="P843" s="820"/>
      <c r="Q843" s="820"/>
      <c r="R843" s="871"/>
      <c r="S843" s="871"/>
      <c r="T843" s="824"/>
      <c r="U843" s="580"/>
      <c r="V843" s="727"/>
      <c r="W843" s="727"/>
      <c r="X843" s="728"/>
      <c r="Y843" s="727"/>
    </row>
    <row r="844" spans="1:25" s="682" customFormat="1">
      <c r="A844" s="699"/>
      <c r="B844" s="696" t="s">
        <v>1482</v>
      </c>
      <c r="C844" s="699"/>
      <c r="D844" s="699"/>
      <c r="E844" s="700"/>
      <c r="F844" s="700"/>
      <c r="G844" s="700"/>
      <c r="H844" s="700"/>
      <c r="I844" s="700"/>
      <c r="J844" s="700"/>
      <c r="K844" s="700"/>
      <c r="L844" s="1315">
        <v>10000000</v>
      </c>
      <c r="M844" s="669" t="s">
        <v>1490</v>
      </c>
      <c r="N844" s="868"/>
      <c r="O844" s="868"/>
      <c r="P844" s="820"/>
      <c r="Q844" s="820"/>
      <c r="R844" s="871"/>
      <c r="S844" s="871"/>
      <c r="T844" s="824"/>
      <c r="U844" s="580"/>
      <c r="V844" s="727"/>
      <c r="W844" s="727"/>
      <c r="X844" s="728"/>
      <c r="Y844" s="727"/>
    </row>
    <row r="845" spans="1:25" s="682" customFormat="1">
      <c r="A845" s="699"/>
      <c r="B845" s="696" t="s">
        <v>1483</v>
      </c>
      <c r="C845" s="699"/>
      <c r="D845" s="699"/>
      <c r="E845" s="700"/>
      <c r="F845" s="700"/>
      <c r="G845" s="700"/>
      <c r="H845" s="700"/>
      <c r="I845" s="700"/>
      <c r="J845" s="700"/>
      <c r="K845" s="700"/>
      <c r="L845" s="1315">
        <v>100000000</v>
      </c>
      <c r="M845" s="669" t="s">
        <v>1489</v>
      </c>
      <c r="N845" s="868"/>
      <c r="O845" s="868"/>
      <c r="P845" s="820"/>
      <c r="Q845" s="820"/>
      <c r="R845" s="871"/>
      <c r="S845" s="871"/>
      <c r="T845" s="824"/>
      <c r="U845" s="580"/>
      <c r="V845" s="727"/>
      <c r="W845" s="727"/>
      <c r="X845" s="728"/>
      <c r="Y845" s="727"/>
    </row>
    <row r="846" spans="1:25" s="682" customFormat="1" ht="31.5">
      <c r="A846" s="699"/>
      <c r="B846" s="651" t="s">
        <v>1484</v>
      </c>
      <c r="C846" s="699"/>
      <c r="D846" s="699"/>
      <c r="E846" s="700"/>
      <c r="F846" s="700"/>
      <c r="G846" s="700"/>
      <c r="H846" s="700"/>
      <c r="I846" s="700"/>
      <c r="J846" s="700"/>
      <c r="K846" s="700">
        <f>16500000*2</f>
        <v>33000000</v>
      </c>
      <c r="L846" s="1315"/>
      <c r="M846" s="669" t="s">
        <v>1146</v>
      </c>
      <c r="N846" s="868"/>
      <c r="O846" s="868"/>
      <c r="P846" s="820"/>
      <c r="Q846" s="820"/>
      <c r="R846" s="1140"/>
      <c r="S846" s="871"/>
      <c r="T846" s="824"/>
      <c r="U846" s="580"/>
      <c r="V846" s="727"/>
      <c r="W846" s="727"/>
      <c r="X846" s="728"/>
      <c r="Y846" s="727"/>
    </row>
    <row r="847" spans="1:25" s="724" customFormat="1">
      <c r="A847" s="589" t="s">
        <v>261</v>
      </c>
      <c r="B847" s="609" t="s">
        <v>263</v>
      </c>
      <c r="C847" s="589"/>
      <c r="D847" s="589"/>
      <c r="E847" s="704"/>
      <c r="F847" s="704"/>
      <c r="G847" s="704"/>
      <c r="H847" s="704"/>
      <c r="I847" s="704"/>
      <c r="J847" s="704"/>
      <c r="K847" s="704">
        <f>(K831+K832-K833-K835)*10%</f>
        <v>59300000</v>
      </c>
      <c r="L847" s="1310">
        <f>(L831+L832-L833-L834-L835-L841)*10%</f>
        <v>130900000</v>
      </c>
      <c r="M847" s="618"/>
      <c r="N847" s="890"/>
      <c r="O847" s="890"/>
      <c r="P847" s="829"/>
      <c r="Q847" s="829"/>
      <c r="R847" s="891"/>
      <c r="S847" s="891"/>
      <c r="T847" s="832"/>
      <c r="U847" s="577"/>
      <c r="V847" s="722"/>
      <c r="W847" s="722"/>
      <c r="X847" s="723"/>
      <c r="Y847" s="722"/>
    </row>
    <row r="848" spans="1:25" s="682" customFormat="1">
      <c r="A848" s="622" t="s">
        <v>451</v>
      </c>
      <c r="B848" s="623" t="s">
        <v>452</v>
      </c>
      <c r="C848" s="622">
        <f>C851</f>
        <v>67</v>
      </c>
      <c r="D848" s="622">
        <f>D856</f>
        <v>9</v>
      </c>
      <c r="E848" s="660"/>
      <c r="F848" s="660">
        <f>F849+F916+F929</f>
        <v>23093000000</v>
      </c>
      <c r="G848" s="858"/>
      <c r="H848" s="858"/>
      <c r="I848" s="858"/>
      <c r="J848" s="660">
        <f>J849+J916+J929</f>
        <v>23689400000</v>
      </c>
      <c r="K848" s="660">
        <f>K849+K916+K929</f>
        <v>15000000000</v>
      </c>
      <c r="L848" s="1303">
        <f>L849+L916+L929</f>
        <v>21729080000</v>
      </c>
      <c r="M848" s="660">
        <f>L848-'Thành ủy V'!F12</f>
        <v>0</v>
      </c>
      <c r="N848" s="830"/>
      <c r="O848" s="830"/>
      <c r="P848" s="1071"/>
      <c r="Q848" s="1071"/>
      <c r="R848" s="866"/>
      <c r="S848" s="871"/>
      <c r="T848" s="824"/>
      <c r="U848" s="726"/>
      <c r="V848" s="727"/>
      <c r="W848" s="727"/>
      <c r="X848" s="728"/>
      <c r="Y848" s="727"/>
    </row>
    <row r="849" spans="1:257" s="1093" customFormat="1">
      <c r="A849" s="791">
        <v>1</v>
      </c>
      <c r="B849" s="840" t="s">
        <v>1147</v>
      </c>
      <c r="C849" s="791"/>
      <c r="D849" s="791"/>
      <c r="E849" s="792"/>
      <c r="F849" s="792">
        <f>F850+F858+F867+F899</f>
        <v>22218000000</v>
      </c>
      <c r="G849" s="1141"/>
      <c r="H849" s="1141"/>
      <c r="I849" s="1141"/>
      <c r="J849" s="792">
        <f>J850+J858+J867+J899</f>
        <v>22541400000</v>
      </c>
      <c r="K849" s="792">
        <f>K850+K858+K867</f>
        <v>15000000000</v>
      </c>
      <c r="L849" s="1303">
        <f>L850+L858+L867</f>
        <v>21729080000</v>
      </c>
      <c r="M849" s="792"/>
      <c r="N849" s="841"/>
      <c r="O849" s="841"/>
      <c r="P849" s="892"/>
      <c r="Q849" s="892"/>
      <c r="R849" s="947"/>
      <c r="S849" s="894"/>
      <c r="T849" s="845"/>
      <c r="U849" s="799"/>
      <c r="V849" s="895"/>
      <c r="W849" s="895"/>
      <c r="X849" s="1092"/>
      <c r="Y849" s="895"/>
    </row>
    <row r="850" spans="1:257" s="682" customFormat="1">
      <c r="A850" s="729" t="s">
        <v>222</v>
      </c>
      <c r="B850" s="833" t="s">
        <v>252</v>
      </c>
      <c r="C850" s="880"/>
      <c r="D850" s="880"/>
      <c r="E850" s="882"/>
      <c r="F850" s="834">
        <f>F851+F855+F856+F857</f>
        <v>10516000000</v>
      </c>
      <c r="G850" s="740"/>
      <c r="H850" s="740"/>
      <c r="I850" s="740"/>
      <c r="J850" s="834">
        <f>J851+J855+J856+J857</f>
        <v>10886500000</v>
      </c>
      <c r="K850" s="834">
        <f>K852+K854+K855+K856</f>
        <v>6038000000</v>
      </c>
      <c r="L850" s="1312">
        <f>L852+L854+L855+L856</f>
        <v>8570980000</v>
      </c>
      <c r="M850" s="626"/>
      <c r="N850" s="835"/>
      <c r="O850" s="835"/>
      <c r="P850" s="820"/>
      <c r="Q850" s="820"/>
      <c r="R850" s="866"/>
      <c r="S850" s="871"/>
      <c r="T850" s="824"/>
      <c r="U850" s="580"/>
      <c r="V850" s="825"/>
      <c r="W850" s="727"/>
      <c r="X850" s="728"/>
      <c r="Y850" s="727"/>
    </row>
    <row r="851" spans="1:257" s="621" customFormat="1">
      <c r="A851" s="758" t="s">
        <v>258</v>
      </c>
      <c r="B851" s="969" t="s">
        <v>1148</v>
      </c>
      <c r="C851" s="758">
        <v>67</v>
      </c>
      <c r="D851" s="758"/>
      <c r="E851" s="760"/>
      <c r="F851" s="760">
        <v>7682000000</v>
      </c>
      <c r="G851" s="779"/>
      <c r="H851" s="779"/>
      <c r="I851" s="779"/>
      <c r="J851" s="760">
        <f>8012000000+705500000</f>
        <v>8717500000</v>
      </c>
      <c r="K851" s="760">
        <f>K852+K853</f>
        <v>5560000000</v>
      </c>
      <c r="L851" s="1311">
        <f>L852+L853</f>
        <v>7803792000</v>
      </c>
      <c r="M851" s="761"/>
      <c r="N851" s="868"/>
      <c r="O851" s="868"/>
      <c r="P851" s="1037" t="s">
        <v>453</v>
      </c>
      <c r="Q851" s="1037"/>
      <c r="R851" s="871"/>
      <c r="S851" s="871"/>
      <c r="T851" s="824"/>
      <c r="U851" s="726"/>
      <c r="V851" s="727"/>
      <c r="W851" s="722"/>
      <c r="X851" s="723"/>
      <c r="Y851" s="724"/>
      <c r="Z851" s="724"/>
      <c r="AA851" s="724"/>
      <c r="AB851" s="724"/>
      <c r="AC851" s="724"/>
      <c r="AD851" s="724"/>
      <c r="AE851" s="724"/>
      <c r="AF851" s="724"/>
      <c r="AG851" s="724"/>
      <c r="AH851" s="724"/>
      <c r="AI851" s="724"/>
      <c r="AJ851" s="724"/>
      <c r="AK851" s="724"/>
      <c r="AL851" s="724"/>
      <c r="AM851" s="724"/>
      <c r="AN851" s="724"/>
      <c r="AO851" s="724"/>
      <c r="AP851" s="724"/>
      <c r="AQ851" s="724"/>
      <c r="AR851" s="724"/>
      <c r="AS851" s="724"/>
      <c r="AT851" s="724"/>
      <c r="AU851" s="724"/>
      <c r="AV851" s="724"/>
      <c r="AW851" s="724"/>
      <c r="AX851" s="724"/>
      <c r="AY851" s="724"/>
      <c r="AZ851" s="724"/>
      <c r="BA851" s="724"/>
      <c r="BB851" s="724"/>
      <c r="BC851" s="724"/>
      <c r="BD851" s="724"/>
      <c r="BE851" s="724"/>
      <c r="BF851" s="724"/>
      <c r="BG851" s="724"/>
      <c r="BH851" s="724"/>
      <c r="BI851" s="724"/>
      <c r="BJ851" s="724"/>
      <c r="BK851" s="724"/>
      <c r="BL851" s="724"/>
      <c r="BM851" s="724"/>
      <c r="BN851" s="724"/>
      <c r="BO851" s="724"/>
      <c r="BP851" s="724"/>
      <c r="BQ851" s="724"/>
      <c r="BR851" s="724"/>
      <c r="BS851" s="724"/>
      <c r="BT851" s="724"/>
      <c r="BU851" s="724"/>
      <c r="BV851" s="724"/>
      <c r="BW851" s="724"/>
      <c r="BX851" s="724"/>
      <c r="BY851" s="724"/>
      <c r="BZ851" s="724"/>
      <c r="CA851" s="724"/>
      <c r="CB851" s="724"/>
      <c r="CC851" s="724"/>
      <c r="CD851" s="724"/>
      <c r="CE851" s="724"/>
      <c r="CF851" s="724"/>
      <c r="CG851" s="724"/>
      <c r="CH851" s="724"/>
      <c r="CI851" s="724"/>
      <c r="CJ851" s="724"/>
      <c r="CK851" s="724"/>
      <c r="CL851" s="724"/>
      <c r="CM851" s="724"/>
      <c r="CN851" s="724"/>
      <c r="CO851" s="724"/>
      <c r="CP851" s="724"/>
      <c r="CQ851" s="724"/>
      <c r="CR851" s="724"/>
      <c r="CS851" s="724"/>
      <c r="CT851" s="724"/>
      <c r="CU851" s="724"/>
      <c r="CV851" s="724"/>
      <c r="CW851" s="724"/>
      <c r="CX851" s="724"/>
      <c r="CY851" s="724"/>
      <c r="CZ851" s="724"/>
      <c r="DA851" s="724"/>
      <c r="DB851" s="724"/>
      <c r="DC851" s="724"/>
      <c r="DD851" s="724"/>
      <c r="DE851" s="724"/>
      <c r="DF851" s="724"/>
      <c r="DG851" s="724"/>
      <c r="DH851" s="724"/>
      <c r="DI851" s="724"/>
      <c r="DJ851" s="724"/>
      <c r="DK851" s="724"/>
      <c r="DL851" s="724"/>
      <c r="DM851" s="724"/>
      <c r="DN851" s="724"/>
      <c r="DO851" s="724"/>
      <c r="DP851" s="724"/>
      <c r="DQ851" s="724"/>
      <c r="DR851" s="724"/>
      <c r="DS851" s="724"/>
      <c r="DT851" s="724"/>
      <c r="DU851" s="724"/>
      <c r="DV851" s="724"/>
      <c r="DW851" s="724"/>
      <c r="DX851" s="724"/>
      <c r="DY851" s="724"/>
      <c r="DZ851" s="724"/>
      <c r="EA851" s="724"/>
      <c r="EB851" s="724"/>
      <c r="EC851" s="724"/>
      <c r="ED851" s="724"/>
      <c r="EE851" s="724"/>
      <c r="EF851" s="724"/>
      <c r="EG851" s="724"/>
      <c r="EH851" s="724"/>
      <c r="EI851" s="724"/>
      <c r="EJ851" s="724"/>
      <c r="EK851" s="724"/>
      <c r="EL851" s="724"/>
      <c r="EM851" s="724"/>
      <c r="EN851" s="724"/>
      <c r="EO851" s="724"/>
      <c r="EP851" s="724"/>
      <c r="EQ851" s="724"/>
      <c r="ER851" s="724"/>
      <c r="ES851" s="724"/>
      <c r="ET851" s="724"/>
      <c r="EU851" s="724"/>
      <c r="EV851" s="724"/>
      <c r="EW851" s="724"/>
      <c r="EX851" s="724"/>
      <c r="EY851" s="724"/>
      <c r="EZ851" s="724"/>
      <c r="FA851" s="724"/>
      <c r="FB851" s="724"/>
      <c r="FC851" s="724"/>
      <c r="FD851" s="724"/>
      <c r="FE851" s="724"/>
      <c r="FF851" s="724"/>
      <c r="FG851" s="724"/>
      <c r="FH851" s="724"/>
      <c r="FI851" s="724"/>
      <c r="FJ851" s="724"/>
      <c r="FK851" s="724"/>
      <c r="FL851" s="724"/>
      <c r="FM851" s="724"/>
      <c r="FN851" s="724"/>
      <c r="FO851" s="724"/>
      <c r="FP851" s="724"/>
      <c r="FQ851" s="724"/>
      <c r="FR851" s="724"/>
      <c r="FS851" s="724"/>
      <c r="FT851" s="724"/>
      <c r="FU851" s="724"/>
      <c r="FV851" s="724"/>
      <c r="FW851" s="724"/>
      <c r="FX851" s="724"/>
      <c r="FY851" s="724"/>
      <c r="FZ851" s="724"/>
      <c r="GA851" s="724"/>
      <c r="GB851" s="724"/>
      <c r="GC851" s="724"/>
      <c r="GD851" s="724"/>
      <c r="GE851" s="724"/>
      <c r="GF851" s="724"/>
      <c r="GG851" s="724"/>
      <c r="GH851" s="724"/>
      <c r="GI851" s="724"/>
      <c r="GJ851" s="724"/>
      <c r="GK851" s="724"/>
      <c r="GL851" s="724"/>
      <c r="GM851" s="724"/>
      <c r="GN851" s="724"/>
      <c r="GO851" s="724"/>
      <c r="GP851" s="724"/>
      <c r="GQ851" s="724"/>
      <c r="GR851" s="724"/>
      <c r="GS851" s="724"/>
      <c r="GT851" s="724"/>
      <c r="GU851" s="724"/>
      <c r="GV851" s="724"/>
      <c r="GW851" s="724"/>
      <c r="GX851" s="724"/>
      <c r="GY851" s="724"/>
      <c r="GZ851" s="724"/>
      <c r="HA851" s="724"/>
      <c r="HB851" s="724"/>
      <c r="HC851" s="724"/>
      <c r="HD851" s="724"/>
      <c r="HE851" s="724"/>
      <c r="HF851" s="724"/>
      <c r="HG851" s="724"/>
      <c r="HH851" s="724"/>
      <c r="HI851" s="724"/>
      <c r="HJ851" s="724"/>
      <c r="HK851" s="724"/>
      <c r="HL851" s="724"/>
      <c r="HM851" s="724"/>
      <c r="HN851" s="724"/>
      <c r="HO851" s="724"/>
      <c r="HP851" s="724"/>
      <c r="HQ851" s="724"/>
      <c r="HR851" s="724"/>
      <c r="HS851" s="724"/>
      <c r="HT851" s="724"/>
      <c r="HU851" s="724"/>
      <c r="HV851" s="724"/>
      <c r="HW851" s="724"/>
      <c r="HX851" s="724"/>
      <c r="HY851" s="724"/>
      <c r="HZ851" s="724"/>
      <c r="IA851" s="724"/>
      <c r="IB851" s="724"/>
      <c r="IC851" s="724"/>
      <c r="ID851" s="724"/>
      <c r="IE851" s="724"/>
      <c r="IF851" s="724"/>
      <c r="IG851" s="724"/>
      <c r="IH851" s="724"/>
      <c r="II851" s="724"/>
      <c r="IJ851" s="724"/>
      <c r="IK851" s="724"/>
      <c r="IL851" s="724"/>
      <c r="IM851" s="724"/>
      <c r="IN851" s="724"/>
      <c r="IO851" s="724"/>
      <c r="IP851" s="724"/>
      <c r="IQ851" s="724"/>
      <c r="IR851" s="724"/>
      <c r="IS851" s="724"/>
      <c r="IT851" s="724"/>
      <c r="IU851" s="724"/>
      <c r="IV851" s="724"/>
      <c r="IW851" s="724"/>
    </row>
    <row r="852" spans="1:257" s="621" customFormat="1">
      <c r="A852" s="758"/>
      <c r="B852" s="1142" t="s">
        <v>1149</v>
      </c>
      <c r="C852" s="758"/>
      <c r="D852" s="758"/>
      <c r="E852" s="760"/>
      <c r="F852" s="760"/>
      <c r="G852" s="779"/>
      <c r="H852" s="779"/>
      <c r="I852" s="779"/>
      <c r="J852" s="760"/>
      <c r="K852" s="760">
        <f>ROUND(5560000000*1.49/1.8,-6)</f>
        <v>4602000000</v>
      </c>
      <c r="L852" s="1311">
        <f>334415000*12</f>
        <v>4012980000</v>
      </c>
      <c r="M852" s="761"/>
      <c r="N852" s="868"/>
      <c r="O852" s="868"/>
      <c r="P852" s="1037"/>
      <c r="Q852" s="1037"/>
      <c r="R852" s="871"/>
      <c r="S852" s="871"/>
      <c r="T852" s="824"/>
      <c r="U852" s="726"/>
      <c r="V852" s="727"/>
      <c r="W852" s="722"/>
      <c r="X852" s="723"/>
      <c r="Y852" s="724"/>
      <c r="Z852" s="724"/>
      <c r="AA852" s="724"/>
      <c r="AB852" s="724"/>
      <c r="AC852" s="724"/>
      <c r="AD852" s="724"/>
      <c r="AE852" s="724"/>
      <c r="AF852" s="724"/>
      <c r="AG852" s="724"/>
      <c r="AH852" s="724"/>
      <c r="AI852" s="724"/>
      <c r="AJ852" s="724"/>
      <c r="AK852" s="724"/>
      <c r="AL852" s="724"/>
      <c r="AM852" s="724"/>
      <c r="AN852" s="724"/>
      <c r="AO852" s="724"/>
      <c r="AP852" s="724"/>
      <c r="AQ852" s="724"/>
      <c r="AR852" s="724"/>
      <c r="AS852" s="724"/>
      <c r="AT852" s="724"/>
      <c r="AU852" s="724"/>
      <c r="AV852" s="724"/>
      <c r="AW852" s="724"/>
      <c r="AX852" s="724"/>
      <c r="AY852" s="724"/>
      <c r="AZ852" s="724"/>
      <c r="BA852" s="724"/>
      <c r="BB852" s="724"/>
      <c r="BC852" s="724"/>
      <c r="BD852" s="724"/>
      <c r="BE852" s="724"/>
      <c r="BF852" s="724"/>
      <c r="BG852" s="724"/>
      <c r="BH852" s="724"/>
      <c r="BI852" s="724"/>
      <c r="BJ852" s="724"/>
      <c r="BK852" s="724"/>
      <c r="BL852" s="724"/>
      <c r="BM852" s="724"/>
      <c r="BN852" s="724"/>
      <c r="BO852" s="724"/>
      <c r="BP852" s="724"/>
      <c r="BQ852" s="724"/>
      <c r="BR852" s="724"/>
      <c r="BS852" s="724"/>
      <c r="BT852" s="724"/>
      <c r="BU852" s="724"/>
      <c r="BV852" s="724"/>
      <c r="BW852" s="724"/>
      <c r="BX852" s="724"/>
      <c r="BY852" s="724"/>
      <c r="BZ852" s="724"/>
      <c r="CA852" s="724"/>
      <c r="CB852" s="724"/>
      <c r="CC852" s="724"/>
      <c r="CD852" s="724"/>
      <c r="CE852" s="724"/>
      <c r="CF852" s="724"/>
      <c r="CG852" s="724"/>
      <c r="CH852" s="724"/>
      <c r="CI852" s="724"/>
      <c r="CJ852" s="724"/>
      <c r="CK852" s="724"/>
      <c r="CL852" s="724"/>
      <c r="CM852" s="724"/>
      <c r="CN852" s="724"/>
      <c r="CO852" s="724"/>
      <c r="CP852" s="724"/>
      <c r="CQ852" s="724"/>
      <c r="CR852" s="724"/>
      <c r="CS852" s="724"/>
      <c r="CT852" s="724"/>
      <c r="CU852" s="724"/>
      <c r="CV852" s="724"/>
      <c r="CW852" s="724"/>
      <c r="CX852" s="724"/>
      <c r="CY852" s="724"/>
      <c r="CZ852" s="724"/>
      <c r="DA852" s="724"/>
      <c r="DB852" s="724"/>
      <c r="DC852" s="724"/>
      <c r="DD852" s="724"/>
      <c r="DE852" s="724"/>
      <c r="DF852" s="724"/>
      <c r="DG852" s="724"/>
      <c r="DH852" s="724"/>
      <c r="DI852" s="724"/>
      <c r="DJ852" s="724"/>
      <c r="DK852" s="724"/>
      <c r="DL852" s="724"/>
      <c r="DM852" s="724"/>
      <c r="DN852" s="724"/>
      <c r="DO852" s="724"/>
      <c r="DP852" s="724"/>
      <c r="DQ852" s="724"/>
      <c r="DR852" s="724"/>
      <c r="DS852" s="724"/>
      <c r="DT852" s="724"/>
      <c r="DU852" s="724"/>
      <c r="DV852" s="724"/>
      <c r="DW852" s="724"/>
      <c r="DX852" s="724"/>
      <c r="DY852" s="724"/>
      <c r="DZ852" s="724"/>
      <c r="EA852" s="724"/>
      <c r="EB852" s="724"/>
      <c r="EC852" s="724"/>
      <c r="ED852" s="724"/>
      <c r="EE852" s="724"/>
      <c r="EF852" s="724"/>
      <c r="EG852" s="724"/>
      <c r="EH852" s="724"/>
      <c r="EI852" s="724"/>
      <c r="EJ852" s="724"/>
      <c r="EK852" s="724"/>
      <c r="EL852" s="724"/>
      <c r="EM852" s="724"/>
      <c r="EN852" s="724"/>
      <c r="EO852" s="724"/>
      <c r="EP852" s="724"/>
      <c r="EQ852" s="724"/>
      <c r="ER852" s="724"/>
      <c r="ES852" s="724"/>
      <c r="ET852" s="724"/>
      <c r="EU852" s="724"/>
      <c r="EV852" s="724"/>
      <c r="EW852" s="724"/>
      <c r="EX852" s="724"/>
      <c r="EY852" s="724"/>
      <c r="EZ852" s="724"/>
      <c r="FA852" s="724"/>
      <c r="FB852" s="724"/>
      <c r="FC852" s="724"/>
      <c r="FD852" s="724"/>
      <c r="FE852" s="724"/>
      <c r="FF852" s="724"/>
      <c r="FG852" s="724"/>
      <c r="FH852" s="724"/>
      <c r="FI852" s="724"/>
      <c r="FJ852" s="724"/>
      <c r="FK852" s="724"/>
      <c r="FL852" s="724"/>
      <c r="FM852" s="724"/>
      <c r="FN852" s="724"/>
      <c r="FO852" s="724"/>
      <c r="FP852" s="724"/>
      <c r="FQ852" s="724"/>
      <c r="FR852" s="724"/>
      <c r="FS852" s="724"/>
      <c r="FT852" s="724"/>
      <c r="FU852" s="724"/>
      <c r="FV852" s="724"/>
      <c r="FW852" s="724"/>
      <c r="FX852" s="724"/>
      <c r="FY852" s="724"/>
      <c r="FZ852" s="724"/>
      <c r="GA852" s="724"/>
      <c r="GB852" s="724"/>
      <c r="GC852" s="724"/>
      <c r="GD852" s="724"/>
      <c r="GE852" s="724"/>
      <c r="GF852" s="724"/>
      <c r="GG852" s="724"/>
      <c r="GH852" s="724"/>
      <c r="GI852" s="724"/>
      <c r="GJ852" s="724"/>
      <c r="GK852" s="724"/>
      <c r="GL852" s="724"/>
      <c r="GM852" s="724"/>
      <c r="GN852" s="724"/>
      <c r="GO852" s="724"/>
      <c r="GP852" s="724"/>
      <c r="GQ852" s="724"/>
      <c r="GR852" s="724"/>
      <c r="GS852" s="724"/>
      <c r="GT852" s="724"/>
      <c r="GU852" s="724"/>
      <c r="GV852" s="724"/>
      <c r="GW852" s="724"/>
      <c r="GX852" s="724"/>
      <c r="GY852" s="724"/>
      <c r="GZ852" s="724"/>
      <c r="HA852" s="724"/>
      <c r="HB852" s="724"/>
      <c r="HC852" s="724"/>
      <c r="HD852" s="724"/>
      <c r="HE852" s="724"/>
      <c r="HF852" s="724"/>
      <c r="HG852" s="724"/>
      <c r="HH852" s="724"/>
      <c r="HI852" s="724"/>
      <c r="HJ852" s="724"/>
      <c r="HK852" s="724"/>
      <c r="HL852" s="724"/>
      <c r="HM852" s="724"/>
      <c r="HN852" s="724"/>
      <c r="HO852" s="724"/>
      <c r="HP852" s="724"/>
      <c r="HQ852" s="724"/>
      <c r="HR852" s="724"/>
      <c r="HS852" s="724"/>
      <c r="HT852" s="724"/>
      <c r="HU852" s="724"/>
      <c r="HV852" s="724"/>
      <c r="HW852" s="724"/>
      <c r="HX852" s="724"/>
      <c r="HY852" s="724"/>
      <c r="HZ852" s="724"/>
      <c r="IA852" s="724"/>
      <c r="IB852" s="724"/>
      <c r="IC852" s="724"/>
      <c r="ID852" s="724"/>
      <c r="IE852" s="724"/>
      <c r="IF852" s="724"/>
      <c r="IG852" s="724"/>
      <c r="IH852" s="724"/>
      <c r="II852" s="724"/>
      <c r="IJ852" s="724"/>
      <c r="IK852" s="724"/>
      <c r="IL852" s="724"/>
      <c r="IM852" s="724"/>
      <c r="IN852" s="724"/>
      <c r="IO852" s="724"/>
      <c r="IP852" s="724"/>
      <c r="IQ852" s="724"/>
      <c r="IR852" s="724"/>
      <c r="IS852" s="724"/>
      <c r="IT852" s="724"/>
      <c r="IU852" s="724"/>
      <c r="IV852" s="724"/>
      <c r="IW852" s="724"/>
    </row>
    <row r="853" spans="1:257" s="621" customFormat="1">
      <c r="A853" s="758"/>
      <c r="B853" s="1142" t="s">
        <v>1528</v>
      </c>
      <c r="C853" s="758"/>
      <c r="D853" s="758"/>
      <c r="E853" s="760"/>
      <c r="F853" s="760"/>
      <c r="G853" s="779"/>
      <c r="H853" s="779"/>
      <c r="I853" s="779"/>
      <c r="J853" s="760"/>
      <c r="K853" s="760">
        <f>5560000000-K852</f>
        <v>958000000</v>
      </c>
      <c r="L853" s="1311">
        <f>(650316000-334415000)*12</f>
        <v>3790812000</v>
      </c>
      <c r="M853" s="761"/>
      <c r="N853" s="868"/>
      <c r="O853" s="868"/>
      <c r="P853" s="1037"/>
      <c r="Q853" s="1037"/>
      <c r="R853" s="871"/>
      <c r="S853" s="871"/>
      <c r="T853" s="824"/>
      <c r="U853" s="726"/>
      <c r="V853" s="727"/>
      <c r="W853" s="722"/>
      <c r="X853" s="723"/>
      <c r="Y853" s="724"/>
      <c r="Z853" s="724"/>
      <c r="AA853" s="724"/>
      <c r="AB853" s="724"/>
      <c r="AC853" s="724"/>
      <c r="AD853" s="724"/>
      <c r="AE853" s="724"/>
      <c r="AF853" s="724"/>
      <c r="AG853" s="724"/>
      <c r="AH853" s="724"/>
      <c r="AI853" s="724"/>
      <c r="AJ853" s="724"/>
      <c r="AK853" s="724"/>
      <c r="AL853" s="724"/>
      <c r="AM853" s="724"/>
      <c r="AN853" s="724"/>
      <c r="AO853" s="724"/>
      <c r="AP853" s="724"/>
      <c r="AQ853" s="724"/>
      <c r="AR853" s="724"/>
      <c r="AS853" s="724"/>
      <c r="AT853" s="724"/>
      <c r="AU853" s="724"/>
      <c r="AV853" s="724"/>
      <c r="AW853" s="724"/>
      <c r="AX853" s="724"/>
      <c r="AY853" s="724"/>
      <c r="AZ853" s="724"/>
      <c r="BA853" s="724"/>
      <c r="BB853" s="724"/>
      <c r="BC853" s="724"/>
      <c r="BD853" s="724"/>
      <c r="BE853" s="724"/>
      <c r="BF853" s="724"/>
      <c r="BG853" s="724"/>
      <c r="BH853" s="724"/>
      <c r="BI853" s="724"/>
      <c r="BJ853" s="724"/>
      <c r="BK853" s="724"/>
      <c r="BL853" s="724"/>
      <c r="BM853" s="724"/>
      <c r="BN853" s="724"/>
      <c r="BO853" s="724"/>
      <c r="BP853" s="724"/>
      <c r="BQ853" s="724"/>
      <c r="BR853" s="724"/>
      <c r="BS853" s="724"/>
      <c r="BT853" s="724"/>
      <c r="BU853" s="724"/>
      <c r="BV853" s="724"/>
      <c r="BW853" s="724"/>
      <c r="BX853" s="724"/>
      <c r="BY853" s="724"/>
      <c r="BZ853" s="724"/>
      <c r="CA853" s="724"/>
      <c r="CB853" s="724"/>
      <c r="CC853" s="724"/>
      <c r="CD853" s="724"/>
      <c r="CE853" s="724"/>
      <c r="CF853" s="724"/>
      <c r="CG853" s="724"/>
      <c r="CH853" s="724"/>
      <c r="CI853" s="724"/>
      <c r="CJ853" s="724"/>
      <c r="CK853" s="724"/>
      <c r="CL853" s="724"/>
      <c r="CM853" s="724"/>
      <c r="CN853" s="724"/>
      <c r="CO853" s="724"/>
      <c r="CP853" s="724"/>
      <c r="CQ853" s="724"/>
      <c r="CR853" s="724"/>
      <c r="CS853" s="724"/>
      <c r="CT853" s="724"/>
      <c r="CU853" s="724"/>
      <c r="CV853" s="724"/>
      <c r="CW853" s="724"/>
      <c r="CX853" s="724"/>
      <c r="CY853" s="724"/>
      <c r="CZ853" s="724"/>
      <c r="DA853" s="724"/>
      <c r="DB853" s="724"/>
      <c r="DC853" s="724"/>
      <c r="DD853" s="724"/>
      <c r="DE853" s="724"/>
      <c r="DF853" s="724"/>
      <c r="DG853" s="724"/>
      <c r="DH853" s="724"/>
      <c r="DI853" s="724"/>
      <c r="DJ853" s="724"/>
      <c r="DK853" s="724"/>
      <c r="DL853" s="724"/>
      <c r="DM853" s="724"/>
      <c r="DN853" s="724"/>
      <c r="DO853" s="724"/>
      <c r="DP853" s="724"/>
      <c r="DQ853" s="724"/>
      <c r="DR853" s="724"/>
      <c r="DS853" s="724"/>
      <c r="DT853" s="724"/>
      <c r="DU853" s="724"/>
      <c r="DV853" s="724"/>
      <c r="DW853" s="724"/>
      <c r="DX853" s="724"/>
      <c r="DY853" s="724"/>
      <c r="DZ853" s="724"/>
      <c r="EA853" s="724"/>
      <c r="EB853" s="724"/>
      <c r="EC853" s="724"/>
      <c r="ED853" s="724"/>
      <c r="EE853" s="724"/>
      <c r="EF853" s="724"/>
      <c r="EG853" s="724"/>
      <c r="EH853" s="724"/>
      <c r="EI853" s="724"/>
      <c r="EJ853" s="724"/>
      <c r="EK853" s="724"/>
      <c r="EL853" s="724"/>
      <c r="EM853" s="724"/>
      <c r="EN853" s="724"/>
      <c r="EO853" s="724"/>
      <c r="EP853" s="724"/>
      <c r="EQ853" s="724"/>
      <c r="ER853" s="724"/>
      <c r="ES853" s="724"/>
      <c r="ET853" s="724"/>
      <c r="EU853" s="724"/>
      <c r="EV853" s="724"/>
      <c r="EW853" s="724"/>
      <c r="EX853" s="724"/>
      <c r="EY853" s="724"/>
      <c r="EZ853" s="724"/>
      <c r="FA853" s="724"/>
      <c r="FB853" s="724"/>
      <c r="FC853" s="724"/>
      <c r="FD853" s="724"/>
      <c r="FE853" s="724"/>
      <c r="FF853" s="724"/>
      <c r="FG853" s="724"/>
      <c r="FH853" s="724"/>
      <c r="FI853" s="724"/>
      <c r="FJ853" s="724"/>
      <c r="FK853" s="724"/>
      <c r="FL853" s="724"/>
      <c r="FM853" s="724"/>
      <c r="FN853" s="724"/>
      <c r="FO853" s="724"/>
      <c r="FP853" s="724"/>
      <c r="FQ853" s="724"/>
      <c r="FR853" s="724"/>
      <c r="FS853" s="724"/>
      <c r="FT853" s="724"/>
      <c r="FU853" s="724"/>
      <c r="FV853" s="724"/>
      <c r="FW853" s="724"/>
      <c r="FX853" s="724"/>
      <c r="FY853" s="724"/>
      <c r="FZ853" s="724"/>
      <c r="GA853" s="724"/>
      <c r="GB853" s="724"/>
      <c r="GC853" s="724"/>
      <c r="GD853" s="724"/>
      <c r="GE853" s="724"/>
      <c r="GF853" s="724"/>
      <c r="GG853" s="724"/>
      <c r="GH853" s="724"/>
      <c r="GI853" s="724"/>
      <c r="GJ853" s="724"/>
      <c r="GK853" s="724"/>
      <c r="GL853" s="724"/>
      <c r="GM853" s="724"/>
      <c r="GN853" s="724"/>
      <c r="GO853" s="724"/>
      <c r="GP853" s="724"/>
      <c r="GQ853" s="724"/>
      <c r="GR853" s="724"/>
      <c r="GS853" s="724"/>
      <c r="GT853" s="724"/>
      <c r="GU853" s="724"/>
      <c r="GV853" s="724"/>
      <c r="GW853" s="724"/>
      <c r="GX853" s="724"/>
      <c r="GY853" s="724"/>
      <c r="GZ853" s="724"/>
      <c r="HA853" s="724"/>
      <c r="HB853" s="724"/>
      <c r="HC853" s="724"/>
      <c r="HD853" s="724"/>
      <c r="HE853" s="724"/>
      <c r="HF853" s="724"/>
      <c r="HG853" s="724"/>
      <c r="HH853" s="724"/>
      <c r="HI853" s="724"/>
      <c r="HJ853" s="724"/>
      <c r="HK853" s="724"/>
      <c r="HL853" s="724"/>
      <c r="HM853" s="724"/>
      <c r="HN853" s="724"/>
      <c r="HO853" s="724"/>
      <c r="HP853" s="724"/>
      <c r="HQ853" s="724"/>
      <c r="HR853" s="724"/>
      <c r="HS853" s="724"/>
      <c r="HT853" s="724"/>
      <c r="HU853" s="724"/>
      <c r="HV853" s="724"/>
      <c r="HW853" s="724"/>
      <c r="HX853" s="724"/>
      <c r="HY853" s="724"/>
      <c r="HZ853" s="724"/>
      <c r="IA853" s="724"/>
      <c r="IB853" s="724"/>
      <c r="IC853" s="724"/>
      <c r="ID853" s="724"/>
      <c r="IE853" s="724"/>
      <c r="IF853" s="724"/>
      <c r="IG853" s="724"/>
      <c r="IH853" s="724"/>
      <c r="II853" s="724"/>
      <c r="IJ853" s="724"/>
      <c r="IK853" s="724"/>
      <c r="IL853" s="724"/>
      <c r="IM853" s="724"/>
      <c r="IN853" s="724"/>
      <c r="IO853" s="724"/>
      <c r="IP853" s="724"/>
      <c r="IQ853" s="724"/>
      <c r="IR853" s="724"/>
      <c r="IS853" s="724"/>
      <c r="IT853" s="724"/>
      <c r="IU853" s="724"/>
      <c r="IV853" s="724"/>
      <c r="IW853" s="724"/>
    </row>
    <row r="854" spans="1:257" s="621" customFormat="1">
      <c r="A854" s="758"/>
      <c r="B854" s="1142" t="s">
        <v>1357</v>
      </c>
      <c r="C854" s="758"/>
      <c r="D854" s="758"/>
      <c r="E854" s="760"/>
      <c r="F854" s="760"/>
      <c r="G854" s="779"/>
      <c r="H854" s="779"/>
      <c r="I854" s="779"/>
      <c r="J854" s="760"/>
      <c r="K854" s="760">
        <f>ROUND(K853-K896,-6)</f>
        <v>71000000</v>
      </c>
      <c r="L854" s="1311">
        <f>ROUND(L853-L896,-6)</f>
        <v>3127000000</v>
      </c>
      <c r="M854" s="761"/>
      <c r="N854" s="868"/>
      <c r="O854" s="868"/>
      <c r="P854" s="1037"/>
      <c r="Q854" s="1037"/>
      <c r="R854" s="871"/>
      <c r="S854" s="871"/>
      <c r="T854" s="824"/>
      <c r="U854" s="726"/>
      <c r="V854" s="727"/>
      <c r="W854" s="722"/>
      <c r="X854" s="723"/>
      <c r="Y854" s="724"/>
      <c r="Z854" s="724"/>
      <c r="AA854" s="724"/>
      <c r="AB854" s="724"/>
      <c r="AC854" s="724"/>
      <c r="AD854" s="724"/>
      <c r="AE854" s="724"/>
      <c r="AF854" s="724"/>
      <c r="AG854" s="724"/>
      <c r="AH854" s="724"/>
      <c r="AI854" s="724"/>
      <c r="AJ854" s="724"/>
      <c r="AK854" s="724"/>
      <c r="AL854" s="724"/>
      <c r="AM854" s="724"/>
      <c r="AN854" s="724"/>
      <c r="AO854" s="724"/>
      <c r="AP854" s="724"/>
      <c r="AQ854" s="724"/>
      <c r="AR854" s="724"/>
      <c r="AS854" s="724"/>
      <c r="AT854" s="724"/>
      <c r="AU854" s="724"/>
      <c r="AV854" s="724"/>
      <c r="AW854" s="724"/>
      <c r="AX854" s="724"/>
      <c r="AY854" s="724"/>
      <c r="AZ854" s="724"/>
      <c r="BA854" s="724"/>
      <c r="BB854" s="724"/>
      <c r="BC854" s="724"/>
      <c r="BD854" s="724"/>
      <c r="BE854" s="724"/>
      <c r="BF854" s="724"/>
      <c r="BG854" s="724"/>
      <c r="BH854" s="724"/>
      <c r="BI854" s="724"/>
      <c r="BJ854" s="724"/>
      <c r="BK854" s="724"/>
      <c r="BL854" s="724"/>
      <c r="BM854" s="724"/>
      <c r="BN854" s="724"/>
      <c r="BO854" s="724"/>
      <c r="BP854" s="724"/>
      <c r="BQ854" s="724"/>
      <c r="BR854" s="724"/>
      <c r="BS854" s="724"/>
      <c r="BT854" s="724"/>
      <c r="BU854" s="724"/>
      <c r="BV854" s="724"/>
      <c r="BW854" s="724"/>
      <c r="BX854" s="724"/>
      <c r="BY854" s="724"/>
      <c r="BZ854" s="724"/>
      <c r="CA854" s="724"/>
      <c r="CB854" s="724"/>
      <c r="CC854" s="724"/>
      <c r="CD854" s="724"/>
      <c r="CE854" s="724"/>
      <c r="CF854" s="724"/>
      <c r="CG854" s="724"/>
      <c r="CH854" s="724"/>
      <c r="CI854" s="724"/>
      <c r="CJ854" s="724"/>
      <c r="CK854" s="724"/>
      <c r="CL854" s="724"/>
      <c r="CM854" s="724"/>
      <c r="CN854" s="724"/>
      <c r="CO854" s="724"/>
      <c r="CP854" s="724"/>
      <c r="CQ854" s="724"/>
      <c r="CR854" s="724"/>
      <c r="CS854" s="724"/>
      <c r="CT854" s="724"/>
      <c r="CU854" s="724"/>
      <c r="CV854" s="724"/>
      <c r="CW854" s="724"/>
      <c r="CX854" s="724"/>
      <c r="CY854" s="724"/>
      <c r="CZ854" s="724"/>
      <c r="DA854" s="724"/>
      <c r="DB854" s="724"/>
      <c r="DC854" s="724"/>
      <c r="DD854" s="724"/>
      <c r="DE854" s="724"/>
      <c r="DF854" s="724"/>
      <c r="DG854" s="724"/>
      <c r="DH854" s="724"/>
      <c r="DI854" s="724"/>
      <c r="DJ854" s="724"/>
      <c r="DK854" s="724"/>
      <c r="DL854" s="724"/>
      <c r="DM854" s="724"/>
      <c r="DN854" s="724"/>
      <c r="DO854" s="724"/>
      <c r="DP854" s="724"/>
      <c r="DQ854" s="724"/>
      <c r="DR854" s="724"/>
      <c r="DS854" s="724"/>
      <c r="DT854" s="724"/>
      <c r="DU854" s="724"/>
      <c r="DV854" s="724"/>
      <c r="DW854" s="724"/>
      <c r="DX854" s="724"/>
      <c r="DY854" s="724"/>
      <c r="DZ854" s="724"/>
      <c r="EA854" s="724"/>
      <c r="EB854" s="724"/>
      <c r="EC854" s="724"/>
      <c r="ED854" s="724"/>
      <c r="EE854" s="724"/>
      <c r="EF854" s="724"/>
      <c r="EG854" s="724"/>
      <c r="EH854" s="724"/>
      <c r="EI854" s="724"/>
      <c r="EJ854" s="724"/>
      <c r="EK854" s="724"/>
      <c r="EL854" s="724"/>
      <c r="EM854" s="724"/>
      <c r="EN854" s="724"/>
      <c r="EO854" s="724"/>
      <c r="EP854" s="724"/>
      <c r="EQ854" s="724"/>
      <c r="ER854" s="724"/>
      <c r="ES854" s="724"/>
      <c r="ET854" s="724"/>
      <c r="EU854" s="724"/>
      <c r="EV854" s="724"/>
      <c r="EW854" s="724"/>
      <c r="EX854" s="724"/>
      <c r="EY854" s="724"/>
      <c r="EZ854" s="724"/>
      <c r="FA854" s="724"/>
      <c r="FB854" s="724"/>
      <c r="FC854" s="724"/>
      <c r="FD854" s="724"/>
      <c r="FE854" s="724"/>
      <c r="FF854" s="724"/>
      <c r="FG854" s="724"/>
      <c r="FH854" s="724"/>
      <c r="FI854" s="724"/>
      <c r="FJ854" s="724"/>
      <c r="FK854" s="724"/>
      <c r="FL854" s="724"/>
      <c r="FM854" s="724"/>
      <c r="FN854" s="724"/>
      <c r="FO854" s="724"/>
      <c r="FP854" s="724"/>
      <c r="FQ854" s="724"/>
      <c r="FR854" s="724"/>
      <c r="FS854" s="724"/>
      <c r="FT854" s="724"/>
      <c r="FU854" s="724"/>
      <c r="FV854" s="724"/>
      <c r="FW854" s="724"/>
      <c r="FX854" s="724"/>
      <c r="FY854" s="724"/>
      <c r="FZ854" s="724"/>
      <c r="GA854" s="724"/>
      <c r="GB854" s="724"/>
      <c r="GC854" s="724"/>
      <c r="GD854" s="724"/>
      <c r="GE854" s="724"/>
      <c r="GF854" s="724"/>
      <c r="GG854" s="724"/>
      <c r="GH854" s="724"/>
      <c r="GI854" s="724"/>
      <c r="GJ854" s="724"/>
      <c r="GK854" s="724"/>
      <c r="GL854" s="724"/>
      <c r="GM854" s="724"/>
      <c r="GN854" s="724"/>
      <c r="GO854" s="724"/>
      <c r="GP854" s="724"/>
      <c r="GQ854" s="724"/>
      <c r="GR854" s="724"/>
      <c r="GS854" s="724"/>
      <c r="GT854" s="724"/>
      <c r="GU854" s="724"/>
      <c r="GV854" s="724"/>
      <c r="GW854" s="724"/>
      <c r="GX854" s="724"/>
      <c r="GY854" s="724"/>
      <c r="GZ854" s="724"/>
      <c r="HA854" s="724"/>
      <c r="HB854" s="724"/>
      <c r="HC854" s="724"/>
      <c r="HD854" s="724"/>
      <c r="HE854" s="724"/>
      <c r="HF854" s="724"/>
      <c r="HG854" s="724"/>
      <c r="HH854" s="724"/>
      <c r="HI854" s="724"/>
      <c r="HJ854" s="724"/>
      <c r="HK854" s="724"/>
      <c r="HL854" s="724"/>
      <c r="HM854" s="724"/>
      <c r="HN854" s="724"/>
      <c r="HO854" s="724"/>
      <c r="HP854" s="724"/>
      <c r="HQ854" s="724"/>
      <c r="HR854" s="724"/>
      <c r="HS854" s="724"/>
      <c r="HT854" s="724"/>
      <c r="HU854" s="724"/>
      <c r="HV854" s="724"/>
      <c r="HW854" s="724"/>
      <c r="HX854" s="724"/>
      <c r="HY854" s="724"/>
      <c r="HZ854" s="724"/>
      <c r="IA854" s="724"/>
      <c r="IB854" s="724"/>
      <c r="IC854" s="724"/>
      <c r="ID854" s="724"/>
      <c r="IE854" s="724"/>
      <c r="IF854" s="724"/>
      <c r="IG854" s="724"/>
      <c r="IH854" s="724"/>
      <c r="II854" s="724"/>
      <c r="IJ854" s="724"/>
      <c r="IK854" s="724"/>
      <c r="IL854" s="724"/>
      <c r="IM854" s="724"/>
      <c r="IN854" s="724"/>
      <c r="IO854" s="724"/>
      <c r="IP854" s="724"/>
      <c r="IQ854" s="724"/>
      <c r="IR854" s="724"/>
      <c r="IS854" s="724"/>
      <c r="IT854" s="724"/>
      <c r="IU854" s="724"/>
      <c r="IV854" s="724"/>
      <c r="IW854" s="724"/>
    </row>
    <row r="855" spans="1:257" s="621" customFormat="1">
      <c r="A855" s="968" t="s">
        <v>91</v>
      </c>
      <c r="B855" s="969" t="s">
        <v>256</v>
      </c>
      <c r="C855" s="758"/>
      <c r="D855" s="758"/>
      <c r="E855" s="760">
        <v>27000000</v>
      </c>
      <c r="F855" s="760">
        <f>C851*E855</f>
        <v>1809000000</v>
      </c>
      <c r="G855" s="765"/>
      <c r="H855" s="765">
        <f>63+4</f>
        <v>67</v>
      </c>
      <c r="I855" s="765">
        <v>27000000</v>
      </c>
      <c r="J855" s="760">
        <f>1881000000+108000000</f>
        <v>1989000000</v>
      </c>
      <c r="K855" s="760">
        <f>27000000*34</f>
        <v>918000000</v>
      </c>
      <c r="L855" s="1311">
        <f>27000000*33</f>
        <v>891000000</v>
      </c>
      <c r="M855" s="761" t="s">
        <v>1150</v>
      </c>
      <c r="N855" s="868"/>
      <c r="O855" s="868"/>
      <c r="P855" s="924"/>
      <c r="Q855" s="924"/>
      <c r="R855" s="871"/>
      <c r="S855" s="871"/>
      <c r="T855" s="824"/>
      <c r="U855" s="726"/>
      <c r="V855" s="727"/>
      <c r="W855" s="722"/>
      <c r="X855" s="723"/>
      <c r="Y855" s="724"/>
      <c r="Z855" s="724"/>
      <c r="AA855" s="724"/>
      <c r="AB855" s="724"/>
      <c r="AC855" s="724"/>
      <c r="AD855" s="724"/>
      <c r="AE855" s="724"/>
      <c r="AF855" s="724"/>
      <c r="AG855" s="724"/>
      <c r="AH855" s="724"/>
      <c r="AI855" s="724"/>
      <c r="AJ855" s="724"/>
      <c r="AK855" s="724"/>
      <c r="AL855" s="724"/>
      <c r="AM855" s="724"/>
      <c r="AN855" s="724"/>
      <c r="AO855" s="724"/>
      <c r="AP855" s="724"/>
      <c r="AQ855" s="724"/>
      <c r="AR855" s="724"/>
      <c r="AS855" s="724"/>
      <c r="AT855" s="724"/>
      <c r="AU855" s="724"/>
      <c r="AV855" s="724"/>
      <c r="AW855" s="724"/>
      <c r="AX855" s="724"/>
      <c r="AY855" s="724"/>
      <c r="AZ855" s="724"/>
      <c r="BA855" s="724"/>
      <c r="BB855" s="724"/>
      <c r="BC855" s="724"/>
      <c r="BD855" s="724"/>
      <c r="BE855" s="724"/>
      <c r="BF855" s="724"/>
      <c r="BG855" s="724"/>
      <c r="BH855" s="724"/>
      <c r="BI855" s="724"/>
      <c r="BJ855" s="724"/>
      <c r="BK855" s="724"/>
      <c r="BL855" s="724"/>
      <c r="BM855" s="724"/>
      <c r="BN855" s="724"/>
      <c r="BO855" s="724"/>
      <c r="BP855" s="724"/>
      <c r="BQ855" s="724"/>
      <c r="BR855" s="724"/>
      <c r="BS855" s="724"/>
      <c r="BT855" s="724"/>
      <c r="BU855" s="724"/>
      <c r="BV855" s="724"/>
      <c r="BW855" s="724"/>
      <c r="BX855" s="724"/>
      <c r="BY855" s="724"/>
      <c r="BZ855" s="724"/>
      <c r="CA855" s="724"/>
      <c r="CB855" s="724"/>
      <c r="CC855" s="724"/>
      <c r="CD855" s="724"/>
      <c r="CE855" s="724"/>
      <c r="CF855" s="724"/>
      <c r="CG855" s="724"/>
      <c r="CH855" s="724"/>
      <c r="CI855" s="724"/>
      <c r="CJ855" s="724"/>
      <c r="CK855" s="724"/>
      <c r="CL855" s="724"/>
      <c r="CM855" s="724"/>
      <c r="CN855" s="724"/>
      <c r="CO855" s="724"/>
      <c r="CP855" s="724"/>
      <c r="CQ855" s="724"/>
      <c r="CR855" s="724"/>
      <c r="CS855" s="724"/>
      <c r="CT855" s="724"/>
      <c r="CU855" s="724"/>
      <c r="CV855" s="724"/>
      <c r="CW855" s="724"/>
      <c r="CX855" s="724"/>
      <c r="CY855" s="724"/>
      <c r="CZ855" s="724"/>
      <c r="DA855" s="724"/>
      <c r="DB855" s="724"/>
      <c r="DC855" s="724"/>
      <c r="DD855" s="724"/>
      <c r="DE855" s="724"/>
      <c r="DF855" s="724"/>
      <c r="DG855" s="724"/>
      <c r="DH855" s="724"/>
      <c r="DI855" s="724"/>
      <c r="DJ855" s="724"/>
      <c r="DK855" s="724"/>
      <c r="DL855" s="724"/>
      <c r="DM855" s="724"/>
      <c r="DN855" s="724"/>
      <c r="DO855" s="724"/>
      <c r="DP855" s="724"/>
      <c r="DQ855" s="724"/>
      <c r="DR855" s="724"/>
      <c r="DS855" s="724"/>
      <c r="DT855" s="724"/>
      <c r="DU855" s="724"/>
      <c r="DV855" s="724"/>
      <c r="DW855" s="724"/>
      <c r="DX855" s="724"/>
      <c r="DY855" s="724"/>
      <c r="DZ855" s="724"/>
      <c r="EA855" s="724"/>
      <c r="EB855" s="724"/>
      <c r="EC855" s="724"/>
      <c r="ED855" s="724"/>
      <c r="EE855" s="724"/>
      <c r="EF855" s="724"/>
      <c r="EG855" s="724"/>
      <c r="EH855" s="724"/>
      <c r="EI855" s="724"/>
      <c r="EJ855" s="724"/>
      <c r="EK855" s="724"/>
      <c r="EL855" s="724"/>
      <c r="EM855" s="724"/>
      <c r="EN855" s="724"/>
      <c r="EO855" s="724"/>
      <c r="EP855" s="724"/>
      <c r="EQ855" s="724"/>
      <c r="ER855" s="724"/>
      <c r="ES855" s="724"/>
      <c r="ET855" s="724"/>
      <c r="EU855" s="724"/>
      <c r="EV855" s="724"/>
      <c r="EW855" s="724"/>
      <c r="EX855" s="724"/>
      <c r="EY855" s="724"/>
      <c r="EZ855" s="724"/>
      <c r="FA855" s="724"/>
      <c r="FB855" s="724"/>
      <c r="FC855" s="724"/>
      <c r="FD855" s="724"/>
      <c r="FE855" s="724"/>
      <c r="FF855" s="724"/>
      <c r="FG855" s="724"/>
      <c r="FH855" s="724"/>
      <c r="FI855" s="724"/>
      <c r="FJ855" s="724"/>
      <c r="FK855" s="724"/>
      <c r="FL855" s="724"/>
      <c r="FM855" s="724"/>
      <c r="FN855" s="724"/>
      <c r="FO855" s="724"/>
      <c r="FP855" s="724"/>
      <c r="FQ855" s="724"/>
      <c r="FR855" s="724"/>
      <c r="FS855" s="724"/>
      <c r="FT855" s="724"/>
      <c r="FU855" s="724"/>
      <c r="FV855" s="724"/>
      <c r="FW855" s="724"/>
      <c r="FX855" s="724"/>
      <c r="FY855" s="724"/>
      <c r="FZ855" s="724"/>
      <c r="GA855" s="724"/>
      <c r="GB855" s="724"/>
      <c r="GC855" s="724"/>
      <c r="GD855" s="724"/>
      <c r="GE855" s="724"/>
      <c r="GF855" s="724"/>
      <c r="GG855" s="724"/>
      <c r="GH855" s="724"/>
      <c r="GI855" s="724"/>
      <c r="GJ855" s="724"/>
      <c r="GK855" s="724"/>
      <c r="GL855" s="724"/>
      <c r="GM855" s="724"/>
      <c r="GN855" s="724"/>
      <c r="GO855" s="724"/>
      <c r="GP855" s="724"/>
      <c r="GQ855" s="724"/>
      <c r="GR855" s="724"/>
      <c r="GS855" s="724"/>
      <c r="GT855" s="724"/>
      <c r="GU855" s="724"/>
      <c r="GV855" s="724"/>
      <c r="GW855" s="724"/>
      <c r="GX855" s="724"/>
      <c r="GY855" s="724"/>
      <c r="GZ855" s="724"/>
      <c r="HA855" s="724"/>
      <c r="HB855" s="724"/>
      <c r="HC855" s="724"/>
      <c r="HD855" s="724"/>
      <c r="HE855" s="724"/>
      <c r="HF855" s="724"/>
      <c r="HG855" s="724"/>
      <c r="HH855" s="724"/>
      <c r="HI855" s="724"/>
      <c r="HJ855" s="724"/>
      <c r="HK855" s="724"/>
      <c r="HL855" s="724"/>
      <c r="HM855" s="724"/>
      <c r="HN855" s="724"/>
      <c r="HO855" s="724"/>
      <c r="HP855" s="724"/>
      <c r="HQ855" s="724"/>
      <c r="HR855" s="724"/>
      <c r="HS855" s="724"/>
      <c r="HT855" s="724"/>
      <c r="HU855" s="724"/>
      <c r="HV855" s="724"/>
      <c r="HW855" s="724"/>
      <c r="HX855" s="724"/>
      <c r="HY855" s="724"/>
      <c r="HZ855" s="724"/>
      <c r="IA855" s="724"/>
      <c r="IB855" s="724"/>
      <c r="IC855" s="724"/>
      <c r="ID855" s="724"/>
      <c r="IE855" s="724"/>
      <c r="IF855" s="724"/>
      <c r="IG855" s="724"/>
      <c r="IH855" s="724"/>
      <c r="II855" s="724"/>
      <c r="IJ855" s="724"/>
      <c r="IK855" s="724"/>
      <c r="IL855" s="724"/>
      <c r="IM855" s="724"/>
      <c r="IN855" s="724"/>
      <c r="IO855" s="724"/>
      <c r="IP855" s="724"/>
      <c r="IQ855" s="724"/>
      <c r="IR855" s="724"/>
      <c r="IS855" s="724"/>
      <c r="IT855" s="724"/>
      <c r="IU855" s="724"/>
      <c r="IV855" s="724"/>
      <c r="IW855" s="724"/>
    </row>
    <row r="856" spans="1:257" s="621" customFormat="1">
      <c r="A856" s="758"/>
      <c r="B856" s="969" t="s">
        <v>1151</v>
      </c>
      <c r="C856" s="758"/>
      <c r="D856" s="758">
        <v>9</v>
      </c>
      <c r="E856" s="760"/>
      <c r="F856" s="760">
        <v>845000000</v>
      </c>
      <c r="G856" s="765"/>
      <c r="H856" s="765"/>
      <c r="I856" s="765"/>
      <c r="J856" s="760"/>
      <c r="K856" s="760">
        <v>447000000</v>
      </c>
      <c r="L856" s="1311">
        <v>540000000</v>
      </c>
      <c r="M856" s="761" t="s">
        <v>1529</v>
      </c>
      <c r="N856" s="868"/>
      <c r="O856" s="868"/>
      <c r="P856" s="924"/>
      <c r="Q856" s="924"/>
      <c r="R856" s="871"/>
      <c r="S856" s="871"/>
      <c r="T856" s="824"/>
      <c r="U856" s="580"/>
      <c r="V856" s="722"/>
      <c r="W856" s="722"/>
      <c r="X856" s="723"/>
      <c r="Y856" s="724"/>
      <c r="Z856" s="724"/>
      <c r="AA856" s="724"/>
      <c r="AB856" s="724"/>
      <c r="AC856" s="724"/>
      <c r="AD856" s="724"/>
      <c r="AE856" s="724"/>
      <c r="AF856" s="724"/>
      <c r="AG856" s="724"/>
      <c r="AH856" s="724"/>
      <c r="AI856" s="724"/>
      <c r="AJ856" s="724"/>
      <c r="AK856" s="724"/>
      <c r="AL856" s="724"/>
      <c r="AM856" s="724"/>
      <c r="AN856" s="724"/>
      <c r="AO856" s="724"/>
      <c r="AP856" s="724"/>
      <c r="AQ856" s="724"/>
      <c r="AR856" s="724"/>
      <c r="AS856" s="724"/>
      <c r="AT856" s="724"/>
      <c r="AU856" s="724"/>
      <c r="AV856" s="724"/>
      <c r="AW856" s="724"/>
      <c r="AX856" s="724"/>
      <c r="AY856" s="724"/>
      <c r="AZ856" s="724"/>
      <c r="BA856" s="724"/>
      <c r="BB856" s="724"/>
      <c r="BC856" s="724"/>
      <c r="BD856" s="724"/>
      <c r="BE856" s="724"/>
      <c r="BF856" s="724"/>
      <c r="BG856" s="724"/>
      <c r="BH856" s="724"/>
      <c r="BI856" s="724"/>
      <c r="BJ856" s="724"/>
      <c r="BK856" s="724"/>
      <c r="BL856" s="724"/>
      <c r="BM856" s="724"/>
      <c r="BN856" s="724"/>
      <c r="BO856" s="724"/>
      <c r="BP856" s="724"/>
      <c r="BQ856" s="724"/>
      <c r="BR856" s="724"/>
      <c r="BS856" s="724"/>
      <c r="BT856" s="724"/>
      <c r="BU856" s="724"/>
      <c r="BV856" s="724"/>
      <c r="BW856" s="724"/>
      <c r="BX856" s="724"/>
      <c r="BY856" s="724"/>
      <c r="BZ856" s="724"/>
      <c r="CA856" s="724"/>
      <c r="CB856" s="724"/>
      <c r="CC856" s="724"/>
      <c r="CD856" s="724"/>
      <c r="CE856" s="724"/>
      <c r="CF856" s="724"/>
      <c r="CG856" s="724"/>
      <c r="CH856" s="724"/>
      <c r="CI856" s="724"/>
      <c r="CJ856" s="724"/>
      <c r="CK856" s="724"/>
      <c r="CL856" s="724"/>
      <c r="CM856" s="724"/>
      <c r="CN856" s="724"/>
      <c r="CO856" s="724"/>
      <c r="CP856" s="724"/>
      <c r="CQ856" s="724"/>
      <c r="CR856" s="724"/>
      <c r="CS856" s="724"/>
      <c r="CT856" s="724"/>
      <c r="CU856" s="724"/>
      <c r="CV856" s="724"/>
      <c r="CW856" s="724"/>
      <c r="CX856" s="724"/>
      <c r="CY856" s="724"/>
      <c r="CZ856" s="724"/>
      <c r="DA856" s="724"/>
      <c r="DB856" s="724"/>
      <c r="DC856" s="724"/>
      <c r="DD856" s="724"/>
      <c r="DE856" s="724"/>
      <c r="DF856" s="724"/>
      <c r="DG856" s="724"/>
      <c r="DH856" s="724"/>
      <c r="DI856" s="724"/>
      <c r="DJ856" s="724"/>
      <c r="DK856" s="724"/>
      <c r="DL856" s="724"/>
      <c r="DM856" s="724"/>
      <c r="DN856" s="724"/>
      <c r="DO856" s="724"/>
      <c r="DP856" s="724"/>
      <c r="DQ856" s="724"/>
      <c r="DR856" s="724"/>
      <c r="DS856" s="724"/>
      <c r="DT856" s="724"/>
      <c r="DU856" s="724"/>
      <c r="DV856" s="724"/>
      <c r="DW856" s="724"/>
      <c r="DX856" s="724"/>
      <c r="DY856" s="724"/>
      <c r="DZ856" s="724"/>
      <c r="EA856" s="724"/>
      <c r="EB856" s="724"/>
      <c r="EC856" s="724"/>
      <c r="ED856" s="724"/>
      <c r="EE856" s="724"/>
      <c r="EF856" s="724"/>
      <c r="EG856" s="724"/>
      <c r="EH856" s="724"/>
      <c r="EI856" s="724"/>
      <c r="EJ856" s="724"/>
      <c r="EK856" s="724"/>
      <c r="EL856" s="724"/>
      <c r="EM856" s="724"/>
      <c r="EN856" s="724"/>
      <c r="EO856" s="724"/>
      <c r="EP856" s="724"/>
      <c r="EQ856" s="724"/>
      <c r="ER856" s="724"/>
      <c r="ES856" s="724"/>
      <c r="ET856" s="724"/>
      <c r="EU856" s="724"/>
      <c r="EV856" s="724"/>
      <c r="EW856" s="724"/>
      <c r="EX856" s="724"/>
      <c r="EY856" s="724"/>
      <c r="EZ856" s="724"/>
      <c r="FA856" s="724"/>
      <c r="FB856" s="724"/>
      <c r="FC856" s="724"/>
      <c r="FD856" s="724"/>
      <c r="FE856" s="724"/>
      <c r="FF856" s="724"/>
      <c r="FG856" s="724"/>
      <c r="FH856" s="724"/>
      <c r="FI856" s="724"/>
      <c r="FJ856" s="724"/>
      <c r="FK856" s="724"/>
      <c r="FL856" s="724"/>
      <c r="FM856" s="724"/>
      <c r="FN856" s="724"/>
      <c r="FO856" s="724"/>
      <c r="FP856" s="724"/>
      <c r="FQ856" s="724"/>
      <c r="FR856" s="724"/>
      <c r="FS856" s="724"/>
      <c r="FT856" s="724"/>
      <c r="FU856" s="724"/>
      <c r="FV856" s="724"/>
      <c r="FW856" s="724"/>
      <c r="FX856" s="724"/>
      <c r="FY856" s="724"/>
      <c r="FZ856" s="724"/>
      <c r="GA856" s="724"/>
      <c r="GB856" s="724"/>
      <c r="GC856" s="724"/>
      <c r="GD856" s="724"/>
      <c r="GE856" s="724"/>
      <c r="GF856" s="724"/>
      <c r="GG856" s="724"/>
      <c r="GH856" s="724"/>
      <c r="GI856" s="724"/>
      <c r="GJ856" s="724"/>
      <c r="GK856" s="724"/>
      <c r="GL856" s="724"/>
      <c r="GM856" s="724"/>
      <c r="GN856" s="724"/>
      <c r="GO856" s="724"/>
      <c r="GP856" s="724"/>
      <c r="GQ856" s="724"/>
      <c r="GR856" s="724"/>
      <c r="GS856" s="724"/>
      <c r="GT856" s="724"/>
      <c r="GU856" s="724"/>
      <c r="GV856" s="724"/>
      <c r="GW856" s="724"/>
      <c r="GX856" s="724"/>
      <c r="GY856" s="724"/>
      <c r="GZ856" s="724"/>
      <c r="HA856" s="724"/>
      <c r="HB856" s="724"/>
      <c r="HC856" s="724"/>
      <c r="HD856" s="724"/>
      <c r="HE856" s="724"/>
      <c r="HF856" s="724"/>
      <c r="HG856" s="724"/>
      <c r="HH856" s="724"/>
      <c r="HI856" s="724"/>
      <c r="HJ856" s="724"/>
      <c r="HK856" s="724"/>
      <c r="HL856" s="724"/>
      <c r="HM856" s="724"/>
      <c r="HN856" s="724"/>
      <c r="HO856" s="724"/>
      <c r="HP856" s="724"/>
      <c r="HQ856" s="724"/>
      <c r="HR856" s="724"/>
      <c r="HS856" s="724"/>
      <c r="HT856" s="724"/>
      <c r="HU856" s="724"/>
      <c r="HV856" s="724"/>
      <c r="HW856" s="724"/>
      <c r="HX856" s="724"/>
      <c r="HY856" s="724"/>
      <c r="HZ856" s="724"/>
      <c r="IA856" s="724"/>
      <c r="IB856" s="724"/>
      <c r="IC856" s="724"/>
      <c r="ID856" s="724"/>
      <c r="IE856" s="724"/>
      <c r="IF856" s="724"/>
      <c r="IG856" s="724"/>
      <c r="IH856" s="724"/>
      <c r="II856" s="724"/>
      <c r="IJ856" s="724"/>
      <c r="IK856" s="724"/>
      <c r="IL856" s="724"/>
      <c r="IM856" s="724"/>
      <c r="IN856" s="724"/>
      <c r="IO856" s="724"/>
      <c r="IP856" s="724"/>
      <c r="IQ856" s="724"/>
      <c r="IR856" s="724"/>
      <c r="IS856" s="724"/>
      <c r="IT856" s="724"/>
      <c r="IU856" s="724"/>
      <c r="IV856" s="724"/>
      <c r="IW856" s="724"/>
    </row>
    <row r="857" spans="1:257" s="621" customFormat="1">
      <c r="A857" s="968" t="s">
        <v>91</v>
      </c>
      <c r="B857" s="969" t="s">
        <v>256</v>
      </c>
      <c r="C857" s="758"/>
      <c r="D857" s="758"/>
      <c r="E857" s="760">
        <v>20000000</v>
      </c>
      <c r="F857" s="760">
        <f>E857*D856</f>
        <v>180000000</v>
      </c>
      <c r="G857" s="765"/>
      <c r="H857" s="765">
        <v>9</v>
      </c>
      <c r="I857" s="765">
        <v>20000000</v>
      </c>
      <c r="J857" s="760">
        <f>H857*I857</f>
        <v>180000000</v>
      </c>
      <c r="K857" s="760"/>
      <c r="L857" s="1311"/>
      <c r="M857" s="761"/>
      <c r="N857" s="868"/>
      <c r="O857" s="868"/>
      <c r="P857" s="924"/>
      <c r="Q857" s="924"/>
      <c r="R857" s="871"/>
      <c r="S857" s="871"/>
      <c r="T857" s="824"/>
      <c r="U857" s="580"/>
      <c r="V857" s="722"/>
      <c r="W857" s="722"/>
      <c r="X857" s="723"/>
      <c r="Y857" s="724"/>
      <c r="Z857" s="724"/>
      <c r="AA857" s="724"/>
      <c r="AB857" s="724"/>
      <c r="AC857" s="724"/>
      <c r="AD857" s="724"/>
      <c r="AE857" s="724"/>
      <c r="AF857" s="724"/>
      <c r="AG857" s="724"/>
      <c r="AH857" s="724"/>
      <c r="AI857" s="724"/>
      <c r="AJ857" s="724"/>
      <c r="AK857" s="724"/>
      <c r="AL857" s="724"/>
      <c r="AM857" s="724"/>
      <c r="AN857" s="724"/>
      <c r="AO857" s="724"/>
      <c r="AP857" s="724"/>
      <c r="AQ857" s="724"/>
      <c r="AR857" s="724"/>
      <c r="AS857" s="724"/>
      <c r="AT857" s="724"/>
      <c r="AU857" s="724"/>
      <c r="AV857" s="724"/>
      <c r="AW857" s="724"/>
      <c r="AX857" s="724"/>
      <c r="AY857" s="724"/>
      <c r="AZ857" s="724"/>
      <c r="BA857" s="724"/>
      <c r="BB857" s="724"/>
      <c r="BC857" s="724"/>
      <c r="BD857" s="724"/>
      <c r="BE857" s="724"/>
      <c r="BF857" s="724"/>
      <c r="BG857" s="724"/>
      <c r="BH857" s="724"/>
      <c r="BI857" s="724"/>
      <c r="BJ857" s="724"/>
      <c r="BK857" s="724"/>
      <c r="BL857" s="724"/>
      <c r="BM857" s="724"/>
      <c r="BN857" s="724"/>
      <c r="BO857" s="724"/>
      <c r="BP857" s="724"/>
      <c r="BQ857" s="724"/>
      <c r="BR857" s="724"/>
      <c r="BS857" s="724"/>
      <c r="BT857" s="724"/>
      <c r="BU857" s="724"/>
      <c r="BV857" s="724"/>
      <c r="BW857" s="724"/>
      <c r="BX857" s="724"/>
      <c r="BY857" s="724"/>
      <c r="BZ857" s="724"/>
      <c r="CA857" s="724"/>
      <c r="CB857" s="724"/>
      <c r="CC857" s="724"/>
      <c r="CD857" s="724"/>
      <c r="CE857" s="724"/>
      <c r="CF857" s="724"/>
      <c r="CG857" s="724"/>
      <c r="CH857" s="724"/>
      <c r="CI857" s="724"/>
      <c r="CJ857" s="724"/>
      <c r="CK857" s="724"/>
      <c r="CL857" s="724"/>
      <c r="CM857" s="724"/>
      <c r="CN857" s="724"/>
      <c r="CO857" s="724"/>
      <c r="CP857" s="724"/>
      <c r="CQ857" s="724"/>
      <c r="CR857" s="724"/>
      <c r="CS857" s="724"/>
      <c r="CT857" s="724"/>
      <c r="CU857" s="724"/>
      <c r="CV857" s="724"/>
      <c r="CW857" s="724"/>
      <c r="CX857" s="724"/>
      <c r="CY857" s="724"/>
      <c r="CZ857" s="724"/>
      <c r="DA857" s="724"/>
      <c r="DB857" s="724"/>
      <c r="DC857" s="724"/>
      <c r="DD857" s="724"/>
      <c r="DE857" s="724"/>
      <c r="DF857" s="724"/>
      <c r="DG857" s="724"/>
      <c r="DH857" s="724"/>
      <c r="DI857" s="724"/>
      <c r="DJ857" s="724"/>
      <c r="DK857" s="724"/>
      <c r="DL857" s="724"/>
      <c r="DM857" s="724"/>
      <c r="DN857" s="724"/>
      <c r="DO857" s="724"/>
      <c r="DP857" s="724"/>
      <c r="DQ857" s="724"/>
      <c r="DR857" s="724"/>
      <c r="DS857" s="724"/>
      <c r="DT857" s="724"/>
      <c r="DU857" s="724"/>
      <c r="DV857" s="724"/>
      <c r="DW857" s="724"/>
      <c r="DX857" s="724"/>
      <c r="DY857" s="724"/>
      <c r="DZ857" s="724"/>
      <c r="EA857" s="724"/>
      <c r="EB857" s="724"/>
      <c r="EC857" s="724"/>
      <c r="ED857" s="724"/>
      <c r="EE857" s="724"/>
      <c r="EF857" s="724"/>
      <c r="EG857" s="724"/>
      <c r="EH857" s="724"/>
      <c r="EI857" s="724"/>
      <c r="EJ857" s="724"/>
      <c r="EK857" s="724"/>
      <c r="EL857" s="724"/>
      <c r="EM857" s="724"/>
      <c r="EN857" s="724"/>
      <c r="EO857" s="724"/>
      <c r="EP857" s="724"/>
      <c r="EQ857" s="724"/>
      <c r="ER857" s="724"/>
      <c r="ES857" s="724"/>
      <c r="ET857" s="724"/>
      <c r="EU857" s="724"/>
      <c r="EV857" s="724"/>
      <c r="EW857" s="724"/>
      <c r="EX857" s="724"/>
      <c r="EY857" s="724"/>
      <c r="EZ857" s="724"/>
      <c r="FA857" s="724"/>
      <c r="FB857" s="724"/>
      <c r="FC857" s="724"/>
      <c r="FD857" s="724"/>
      <c r="FE857" s="724"/>
      <c r="FF857" s="724"/>
      <c r="FG857" s="724"/>
      <c r="FH857" s="724"/>
      <c r="FI857" s="724"/>
      <c r="FJ857" s="724"/>
      <c r="FK857" s="724"/>
      <c r="FL857" s="724"/>
      <c r="FM857" s="724"/>
      <c r="FN857" s="724"/>
      <c r="FO857" s="724"/>
      <c r="FP857" s="724"/>
      <c r="FQ857" s="724"/>
      <c r="FR857" s="724"/>
      <c r="FS857" s="724"/>
      <c r="FT857" s="724"/>
      <c r="FU857" s="724"/>
      <c r="FV857" s="724"/>
      <c r="FW857" s="724"/>
      <c r="FX857" s="724"/>
      <c r="FY857" s="724"/>
      <c r="FZ857" s="724"/>
      <c r="GA857" s="724"/>
      <c r="GB857" s="724"/>
      <c r="GC857" s="724"/>
      <c r="GD857" s="724"/>
      <c r="GE857" s="724"/>
      <c r="GF857" s="724"/>
      <c r="GG857" s="724"/>
      <c r="GH857" s="724"/>
      <c r="GI857" s="724"/>
      <c r="GJ857" s="724"/>
      <c r="GK857" s="724"/>
      <c r="GL857" s="724"/>
      <c r="GM857" s="724"/>
      <c r="GN857" s="724"/>
      <c r="GO857" s="724"/>
      <c r="GP857" s="724"/>
      <c r="GQ857" s="724"/>
      <c r="GR857" s="724"/>
      <c r="GS857" s="724"/>
      <c r="GT857" s="724"/>
      <c r="GU857" s="724"/>
      <c r="GV857" s="724"/>
      <c r="GW857" s="724"/>
      <c r="GX857" s="724"/>
      <c r="GY857" s="724"/>
      <c r="GZ857" s="724"/>
      <c r="HA857" s="724"/>
      <c r="HB857" s="724"/>
      <c r="HC857" s="724"/>
      <c r="HD857" s="724"/>
      <c r="HE857" s="724"/>
      <c r="HF857" s="724"/>
      <c r="HG857" s="724"/>
      <c r="HH857" s="724"/>
      <c r="HI857" s="724"/>
      <c r="HJ857" s="724"/>
      <c r="HK857" s="724"/>
      <c r="HL857" s="724"/>
      <c r="HM857" s="724"/>
      <c r="HN857" s="724"/>
      <c r="HO857" s="724"/>
      <c r="HP857" s="724"/>
      <c r="HQ857" s="724"/>
      <c r="HR857" s="724"/>
      <c r="HS857" s="724"/>
      <c r="HT857" s="724"/>
      <c r="HU857" s="724"/>
      <c r="HV857" s="724"/>
      <c r="HW857" s="724"/>
      <c r="HX857" s="724"/>
      <c r="HY857" s="724"/>
      <c r="HZ857" s="724"/>
      <c r="IA857" s="724"/>
      <c r="IB857" s="724"/>
      <c r="IC857" s="724"/>
      <c r="ID857" s="724"/>
      <c r="IE857" s="724"/>
      <c r="IF857" s="724"/>
      <c r="IG857" s="724"/>
      <c r="IH857" s="724"/>
      <c r="II857" s="724"/>
      <c r="IJ857" s="724"/>
      <c r="IK857" s="724"/>
      <c r="IL857" s="724"/>
      <c r="IM857" s="724"/>
      <c r="IN857" s="724"/>
      <c r="IO857" s="724"/>
      <c r="IP857" s="724"/>
      <c r="IQ857" s="724"/>
      <c r="IR857" s="724"/>
      <c r="IS857" s="724"/>
      <c r="IT857" s="724"/>
      <c r="IU857" s="724"/>
      <c r="IV857" s="724"/>
      <c r="IW857" s="724"/>
    </row>
    <row r="858" spans="1:257" s="681" customFormat="1">
      <c r="A858" s="1143" t="s">
        <v>225</v>
      </c>
      <c r="B858" s="1144" t="s">
        <v>454</v>
      </c>
      <c r="C858" s="1145"/>
      <c r="D858" s="1145"/>
      <c r="E858" s="1146"/>
      <c r="F858" s="834">
        <f>SUM(F859:F866)</f>
        <v>1011000000</v>
      </c>
      <c r="G858" s="960"/>
      <c r="H858" s="960"/>
      <c r="I858" s="960"/>
      <c r="J858" s="834">
        <f>SUM(J859:J866)</f>
        <v>993300000</v>
      </c>
      <c r="K858" s="834">
        <f>SUM(K859:K866)</f>
        <v>1013000000</v>
      </c>
      <c r="L858" s="1312">
        <f>SUM(L859:L866)</f>
        <v>1308400000</v>
      </c>
      <c r="M858" s="626"/>
      <c r="N858" s="835"/>
      <c r="O858" s="835"/>
      <c r="P858" s="1052"/>
      <c r="Q858" s="1052"/>
      <c r="R858" s="871"/>
      <c r="S858" s="871"/>
      <c r="T858" s="824"/>
      <c r="U858" s="580"/>
      <c r="V858" s="727"/>
      <c r="W858" s="727"/>
      <c r="X858" s="728"/>
      <c r="Y858" s="682"/>
      <c r="Z858" s="682"/>
      <c r="AA858" s="682"/>
      <c r="AB858" s="682"/>
      <c r="AC858" s="682"/>
      <c r="AD858" s="682"/>
      <c r="AE858" s="682"/>
      <c r="AF858" s="682"/>
      <c r="AG858" s="682"/>
      <c r="AH858" s="682"/>
      <c r="AI858" s="682"/>
      <c r="AJ858" s="682"/>
      <c r="AK858" s="682"/>
      <c r="AL858" s="682"/>
      <c r="AM858" s="682"/>
      <c r="AN858" s="682"/>
      <c r="AO858" s="682"/>
      <c r="AP858" s="682"/>
      <c r="AQ858" s="682"/>
      <c r="AR858" s="682"/>
      <c r="AS858" s="682"/>
      <c r="AT858" s="682"/>
      <c r="AU858" s="682"/>
      <c r="AV858" s="682"/>
      <c r="AW858" s="682"/>
      <c r="AX858" s="682"/>
      <c r="AY858" s="682"/>
      <c r="AZ858" s="682"/>
      <c r="BA858" s="682"/>
      <c r="BB858" s="682"/>
      <c r="BC858" s="682"/>
      <c r="BD858" s="682"/>
      <c r="BE858" s="682"/>
      <c r="BF858" s="682"/>
      <c r="BG858" s="682"/>
      <c r="BH858" s="682"/>
      <c r="BI858" s="682"/>
      <c r="BJ858" s="682"/>
      <c r="BK858" s="682"/>
      <c r="BL858" s="682"/>
      <c r="BM858" s="682"/>
      <c r="BN858" s="682"/>
      <c r="BO858" s="682"/>
      <c r="BP858" s="682"/>
      <c r="BQ858" s="682"/>
      <c r="BR858" s="682"/>
      <c r="BS858" s="682"/>
      <c r="BT858" s="682"/>
      <c r="BU858" s="682"/>
      <c r="BV858" s="682"/>
      <c r="BW858" s="682"/>
      <c r="BX858" s="682"/>
      <c r="BY858" s="682"/>
      <c r="BZ858" s="682"/>
      <c r="CA858" s="682"/>
      <c r="CB858" s="682"/>
      <c r="CC858" s="682"/>
      <c r="CD858" s="682"/>
      <c r="CE858" s="682"/>
      <c r="CF858" s="682"/>
      <c r="CG858" s="682"/>
      <c r="CH858" s="682"/>
      <c r="CI858" s="682"/>
      <c r="CJ858" s="682"/>
      <c r="CK858" s="682"/>
      <c r="CL858" s="682"/>
      <c r="CM858" s="682"/>
      <c r="CN858" s="682"/>
      <c r="CO858" s="682"/>
      <c r="CP858" s="682"/>
      <c r="CQ858" s="682"/>
      <c r="CR858" s="682"/>
      <c r="CS858" s="682"/>
      <c r="CT858" s="682"/>
      <c r="CU858" s="682"/>
      <c r="CV858" s="682"/>
      <c r="CW858" s="682"/>
      <c r="CX858" s="682"/>
      <c r="CY858" s="682"/>
      <c r="CZ858" s="682"/>
      <c r="DA858" s="682"/>
      <c r="DB858" s="682"/>
      <c r="DC858" s="682"/>
      <c r="DD858" s="682"/>
      <c r="DE858" s="682"/>
      <c r="DF858" s="682"/>
      <c r="DG858" s="682"/>
      <c r="DH858" s="682"/>
      <c r="DI858" s="682"/>
      <c r="DJ858" s="682"/>
      <c r="DK858" s="682"/>
      <c r="DL858" s="682"/>
      <c r="DM858" s="682"/>
      <c r="DN858" s="682"/>
      <c r="DO858" s="682"/>
      <c r="DP858" s="682"/>
      <c r="DQ858" s="682"/>
      <c r="DR858" s="682"/>
      <c r="DS858" s="682"/>
      <c r="DT858" s="682"/>
      <c r="DU858" s="682"/>
      <c r="DV858" s="682"/>
      <c r="DW858" s="682"/>
      <c r="DX858" s="682"/>
      <c r="DY858" s="682"/>
      <c r="DZ858" s="682"/>
      <c r="EA858" s="682"/>
      <c r="EB858" s="682"/>
      <c r="EC858" s="682"/>
      <c r="ED858" s="682"/>
      <c r="EE858" s="682"/>
      <c r="EF858" s="682"/>
      <c r="EG858" s="682"/>
      <c r="EH858" s="682"/>
      <c r="EI858" s="682"/>
      <c r="EJ858" s="682"/>
      <c r="EK858" s="682"/>
      <c r="EL858" s="682"/>
      <c r="EM858" s="682"/>
      <c r="EN858" s="682"/>
      <c r="EO858" s="682"/>
      <c r="EP858" s="682"/>
      <c r="EQ858" s="682"/>
      <c r="ER858" s="682"/>
      <c r="ES858" s="682"/>
      <c r="ET858" s="682"/>
      <c r="EU858" s="682"/>
      <c r="EV858" s="682"/>
      <c r="EW858" s="682"/>
      <c r="EX858" s="682"/>
      <c r="EY858" s="682"/>
      <c r="EZ858" s="682"/>
      <c r="FA858" s="682"/>
      <c r="FB858" s="682"/>
      <c r="FC858" s="682"/>
      <c r="FD858" s="682"/>
      <c r="FE858" s="682"/>
      <c r="FF858" s="682"/>
      <c r="FG858" s="682"/>
      <c r="FH858" s="682"/>
      <c r="FI858" s="682"/>
      <c r="FJ858" s="682"/>
      <c r="FK858" s="682"/>
      <c r="FL858" s="682"/>
      <c r="FM858" s="682"/>
      <c r="FN858" s="682"/>
      <c r="FO858" s="682"/>
      <c r="FP858" s="682"/>
      <c r="FQ858" s="682"/>
      <c r="FR858" s="682"/>
      <c r="FS858" s="682"/>
      <c r="FT858" s="682"/>
      <c r="FU858" s="682"/>
      <c r="FV858" s="682"/>
      <c r="FW858" s="682"/>
      <c r="FX858" s="682"/>
      <c r="FY858" s="682"/>
      <c r="FZ858" s="682"/>
      <c r="GA858" s="682"/>
      <c r="GB858" s="682"/>
      <c r="GC858" s="682"/>
      <c r="GD858" s="682"/>
      <c r="GE858" s="682"/>
      <c r="GF858" s="682"/>
      <c r="GG858" s="682"/>
      <c r="GH858" s="682"/>
      <c r="GI858" s="682"/>
      <c r="GJ858" s="682"/>
      <c r="GK858" s="682"/>
      <c r="GL858" s="682"/>
      <c r="GM858" s="682"/>
      <c r="GN858" s="682"/>
      <c r="GO858" s="682"/>
      <c r="GP858" s="682"/>
      <c r="GQ858" s="682"/>
      <c r="GR858" s="682"/>
      <c r="GS858" s="682"/>
      <c r="GT858" s="682"/>
      <c r="GU858" s="682"/>
      <c r="GV858" s="682"/>
      <c r="GW858" s="682"/>
      <c r="GX858" s="682"/>
      <c r="GY858" s="682"/>
      <c r="GZ858" s="682"/>
      <c r="HA858" s="682"/>
      <c r="HB858" s="682"/>
      <c r="HC858" s="682"/>
      <c r="HD858" s="682"/>
      <c r="HE858" s="682"/>
      <c r="HF858" s="682"/>
      <c r="HG858" s="682"/>
      <c r="HH858" s="682"/>
      <c r="HI858" s="682"/>
      <c r="HJ858" s="682"/>
      <c r="HK858" s="682"/>
      <c r="HL858" s="682"/>
      <c r="HM858" s="682"/>
      <c r="HN858" s="682"/>
      <c r="HO858" s="682"/>
      <c r="HP858" s="682"/>
      <c r="HQ858" s="682"/>
      <c r="HR858" s="682"/>
      <c r="HS858" s="682"/>
      <c r="HT858" s="682"/>
      <c r="HU858" s="682"/>
      <c r="HV858" s="682"/>
      <c r="HW858" s="682"/>
      <c r="HX858" s="682"/>
      <c r="HY858" s="682"/>
      <c r="HZ858" s="682"/>
      <c r="IA858" s="682"/>
      <c r="IB858" s="682"/>
      <c r="IC858" s="682"/>
      <c r="ID858" s="682"/>
      <c r="IE858" s="682"/>
      <c r="IF858" s="682"/>
      <c r="IG858" s="682"/>
      <c r="IH858" s="682"/>
      <c r="II858" s="682"/>
      <c r="IJ858" s="682"/>
      <c r="IK858" s="682"/>
      <c r="IL858" s="682"/>
      <c r="IM858" s="682"/>
      <c r="IN858" s="682"/>
      <c r="IO858" s="682"/>
      <c r="IP858" s="682"/>
      <c r="IQ858" s="682"/>
      <c r="IR858" s="682"/>
      <c r="IS858" s="682"/>
      <c r="IT858" s="682"/>
      <c r="IU858" s="682"/>
      <c r="IV858" s="682"/>
      <c r="IW858" s="682"/>
    </row>
    <row r="859" spans="1:257" s="681" customFormat="1">
      <c r="A859" s="1147" t="s">
        <v>91</v>
      </c>
      <c r="B859" s="902" t="s">
        <v>455</v>
      </c>
      <c r="C859" s="624">
        <v>30</v>
      </c>
      <c r="D859" s="624"/>
      <c r="E859" s="1148">
        <v>0.2</v>
      </c>
      <c r="F859" s="676">
        <v>108000000</v>
      </c>
      <c r="G859" s="960"/>
      <c r="H859" s="960"/>
      <c r="I859" s="960"/>
      <c r="J859" s="676">
        <v>108000000</v>
      </c>
      <c r="K859" s="676">
        <v>130000000</v>
      </c>
      <c r="L859" s="1305">
        <v>140400000</v>
      </c>
      <c r="M859" s="676"/>
      <c r="N859" s="826"/>
      <c r="O859" s="826"/>
      <c r="P859" s="1052"/>
      <c r="Q859" s="1052"/>
      <c r="R859" s="871"/>
      <c r="S859" s="871"/>
      <c r="T859" s="824"/>
      <c r="U859" s="580"/>
      <c r="V859" s="727"/>
      <c r="W859" s="727"/>
      <c r="X859" s="728"/>
      <c r="Y859" s="682"/>
      <c r="Z859" s="682"/>
      <c r="AA859" s="682"/>
      <c r="AB859" s="682"/>
      <c r="AC859" s="682"/>
      <c r="AD859" s="682"/>
      <c r="AE859" s="682"/>
      <c r="AF859" s="682"/>
      <c r="AG859" s="682"/>
      <c r="AH859" s="682"/>
      <c r="AI859" s="682"/>
      <c r="AJ859" s="682"/>
      <c r="AK859" s="682"/>
      <c r="AL859" s="682"/>
      <c r="AM859" s="682"/>
      <c r="AN859" s="682"/>
      <c r="AO859" s="682"/>
      <c r="AP859" s="682"/>
      <c r="AQ859" s="682"/>
      <c r="AR859" s="682"/>
      <c r="AS859" s="682"/>
      <c r="AT859" s="682"/>
      <c r="AU859" s="682"/>
      <c r="AV859" s="682"/>
      <c r="AW859" s="682"/>
      <c r="AX859" s="682"/>
      <c r="AY859" s="682"/>
      <c r="AZ859" s="682"/>
      <c r="BA859" s="682"/>
      <c r="BB859" s="682"/>
      <c r="BC859" s="682"/>
      <c r="BD859" s="682"/>
      <c r="BE859" s="682"/>
      <c r="BF859" s="682"/>
      <c r="BG859" s="682"/>
      <c r="BH859" s="682"/>
      <c r="BI859" s="682"/>
      <c r="BJ859" s="682"/>
      <c r="BK859" s="682"/>
      <c r="BL859" s="682"/>
      <c r="BM859" s="682"/>
      <c r="BN859" s="682"/>
      <c r="BO859" s="682"/>
      <c r="BP859" s="682"/>
      <c r="BQ859" s="682"/>
      <c r="BR859" s="682"/>
      <c r="BS859" s="682"/>
      <c r="BT859" s="682"/>
      <c r="BU859" s="682"/>
      <c r="BV859" s="682"/>
      <c r="BW859" s="682"/>
      <c r="BX859" s="682"/>
      <c r="BY859" s="682"/>
      <c r="BZ859" s="682"/>
      <c r="CA859" s="682"/>
      <c r="CB859" s="682"/>
      <c r="CC859" s="682"/>
      <c r="CD859" s="682"/>
      <c r="CE859" s="682"/>
      <c r="CF859" s="682"/>
      <c r="CG859" s="682"/>
      <c r="CH859" s="682"/>
      <c r="CI859" s="682"/>
      <c r="CJ859" s="682"/>
      <c r="CK859" s="682"/>
      <c r="CL859" s="682"/>
      <c r="CM859" s="682"/>
      <c r="CN859" s="682"/>
      <c r="CO859" s="682"/>
      <c r="CP859" s="682"/>
      <c r="CQ859" s="682"/>
      <c r="CR859" s="682"/>
      <c r="CS859" s="682"/>
      <c r="CT859" s="682"/>
      <c r="CU859" s="682"/>
      <c r="CV859" s="682"/>
      <c r="CW859" s="682"/>
      <c r="CX859" s="682"/>
      <c r="CY859" s="682"/>
      <c r="CZ859" s="682"/>
      <c r="DA859" s="682"/>
      <c r="DB859" s="682"/>
      <c r="DC859" s="682"/>
      <c r="DD859" s="682"/>
      <c r="DE859" s="682"/>
      <c r="DF859" s="682"/>
      <c r="DG859" s="682"/>
      <c r="DH859" s="682"/>
      <c r="DI859" s="682"/>
      <c r="DJ859" s="682"/>
      <c r="DK859" s="682"/>
      <c r="DL859" s="682"/>
      <c r="DM859" s="682"/>
      <c r="DN859" s="682"/>
      <c r="DO859" s="682"/>
      <c r="DP859" s="682"/>
      <c r="DQ859" s="682"/>
      <c r="DR859" s="682"/>
      <c r="DS859" s="682"/>
      <c r="DT859" s="682"/>
      <c r="DU859" s="682"/>
      <c r="DV859" s="682"/>
      <c r="DW859" s="682"/>
      <c r="DX859" s="682"/>
      <c r="DY859" s="682"/>
      <c r="DZ859" s="682"/>
      <c r="EA859" s="682"/>
      <c r="EB859" s="682"/>
      <c r="EC859" s="682"/>
      <c r="ED859" s="682"/>
      <c r="EE859" s="682"/>
      <c r="EF859" s="682"/>
      <c r="EG859" s="682"/>
      <c r="EH859" s="682"/>
      <c r="EI859" s="682"/>
      <c r="EJ859" s="682"/>
      <c r="EK859" s="682"/>
      <c r="EL859" s="682"/>
      <c r="EM859" s="682"/>
      <c r="EN859" s="682"/>
      <c r="EO859" s="682"/>
      <c r="EP859" s="682"/>
      <c r="EQ859" s="682"/>
      <c r="ER859" s="682"/>
      <c r="ES859" s="682"/>
      <c r="ET859" s="682"/>
      <c r="EU859" s="682"/>
      <c r="EV859" s="682"/>
      <c r="EW859" s="682"/>
      <c r="EX859" s="682"/>
      <c r="EY859" s="682"/>
      <c r="EZ859" s="682"/>
      <c r="FA859" s="682"/>
      <c r="FB859" s="682"/>
      <c r="FC859" s="682"/>
      <c r="FD859" s="682"/>
      <c r="FE859" s="682"/>
      <c r="FF859" s="682"/>
      <c r="FG859" s="682"/>
      <c r="FH859" s="682"/>
      <c r="FI859" s="682"/>
      <c r="FJ859" s="682"/>
      <c r="FK859" s="682"/>
      <c r="FL859" s="682"/>
      <c r="FM859" s="682"/>
      <c r="FN859" s="682"/>
      <c r="FO859" s="682"/>
      <c r="FP859" s="682"/>
      <c r="FQ859" s="682"/>
      <c r="FR859" s="682"/>
      <c r="FS859" s="682"/>
      <c r="FT859" s="682"/>
      <c r="FU859" s="682"/>
      <c r="FV859" s="682"/>
      <c r="FW859" s="682"/>
      <c r="FX859" s="682"/>
      <c r="FY859" s="682"/>
      <c r="FZ859" s="682"/>
      <c r="GA859" s="682"/>
      <c r="GB859" s="682"/>
      <c r="GC859" s="682"/>
      <c r="GD859" s="682"/>
      <c r="GE859" s="682"/>
      <c r="GF859" s="682"/>
      <c r="GG859" s="682"/>
      <c r="GH859" s="682"/>
      <c r="GI859" s="682"/>
      <c r="GJ859" s="682"/>
      <c r="GK859" s="682"/>
      <c r="GL859" s="682"/>
      <c r="GM859" s="682"/>
      <c r="GN859" s="682"/>
      <c r="GO859" s="682"/>
      <c r="GP859" s="682"/>
      <c r="GQ859" s="682"/>
      <c r="GR859" s="682"/>
      <c r="GS859" s="682"/>
      <c r="GT859" s="682"/>
      <c r="GU859" s="682"/>
      <c r="GV859" s="682"/>
      <c r="GW859" s="682"/>
      <c r="GX859" s="682"/>
      <c r="GY859" s="682"/>
      <c r="GZ859" s="682"/>
      <c r="HA859" s="682"/>
      <c r="HB859" s="682"/>
      <c r="HC859" s="682"/>
      <c r="HD859" s="682"/>
      <c r="HE859" s="682"/>
      <c r="HF859" s="682"/>
      <c r="HG859" s="682"/>
      <c r="HH859" s="682"/>
      <c r="HI859" s="682"/>
      <c r="HJ859" s="682"/>
      <c r="HK859" s="682"/>
      <c r="HL859" s="682"/>
      <c r="HM859" s="682"/>
      <c r="HN859" s="682"/>
      <c r="HO859" s="682"/>
      <c r="HP859" s="682"/>
      <c r="HQ859" s="682"/>
      <c r="HR859" s="682"/>
      <c r="HS859" s="682"/>
      <c r="HT859" s="682"/>
      <c r="HU859" s="682"/>
      <c r="HV859" s="682"/>
      <c r="HW859" s="682"/>
      <c r="HX859" s="682"/>
      <c r="HY859" s="682"/>
      <c r="HZ859" s="682"/>
      <c r="IA859" s="682"/>
      <c r="IB859" s="682"/>
      <c r="IC859" s="682"/>
      <c r="ID859" s="682"/>
      <c r="IE859" s="682"/>
      <c r="IF859" s="682"/>
      <c r="IG859" s="682"/>
      <c r="IH859" s="682"/>
      <c r="II859" s="682"/>
      <c r="IJ859" s="682"/>
      <c r="IK859" s="682"/>
      <c r="IL859" s="682"/>
      <c r="IM859" s="682"/>
      <c r="IN859" s="682"/>
      <c r="IO859" s="682"/>
      <c r="IP859" s="682"/>
      <c r="IQ859" s="682"/>
      <c r="IR859" s="682"/>
      <c r="IS859" s="682"/>
      <c r="IT859" s="682"/>
      <c r="IU859" s="682"/>
      <c r="IV859" s="682"/>
      <c r="IW859" s="682"/>
    </row>
    <row r="860" spans="1:257" s="681" customFormat="1" ht="31.5">
      <c r="A860" s="1147" t="s">
        <v>91</v>
      </c>
      <c r="B860" s="902" t="s">
        <v>1152</v>
      </c>
      <c r="C860" s="624">
        <v>63</v>
      </c>
      <c r="D860" s="624"/>
      <c r="E860" s="1148">
        <v>0.2</v>
      </c>
      <c r="F860" s="676">
        <v>243000000</v>
      </c>
      <c r="G860" s="960"/>
      <c r="H860" s="960"/>
      <c r="I860" s="960"/>
      <c r="J860" s="676">
        <v>225300000</v>
      </c>
      <c r="K860" s="676">
        <v>147000000</v>
      </c>
      <c r="L860" s="1305">
        <v>155000000</v>
      </c>
      <c r="M860" s="676"/>
      <c r="N860" s="826"/>
      <c r="O860" s="826"/>
      <c r="P860" s="1052"/>
      <c r="Q860" s="1052"/>
      <c r="R860" s="871"/>
      <c r="S860" s="871"/>
      <c r="T860" s="824"/>
      <c r="U860" s="580"/>
      <c r="V860" s="727"/>
      <c r="W860" s="727"/>
      <c r="X860" s="728"/>
      <c r="Y860" s="682"/>
      <c r="Z860" s="682"/>
      <c r="AA860" s="682"/>
      <c r="AB860" s="682"/>
      <c r="AC860" s="682"/>
      <c r="AD860" s="682"/>
      <c r="AE860" s="682"/>
      <c r="AF860" s="682"/>
      <c r="AG860" s="682"/>
      <c r="AH860" s="682"/>
      <c r="AI860" s="682"/>
      <c r="AJ860" s="682"/>
      <c r="AK860" s="682"/>
      <c r="AL860" s="682"/>
      <c r="AM860" s="682"/>
      <c r="AN860" s="682"/>
      <c r="AO860" s="682"/>
      <c r="AP860" s="682"/>
      <c r="AQ860" s="682"/>
      <c r="AR860" s="682"/>
      <c r="AS860" s="682"/>
      <c r="AT860" s="682"/>
      <c r="AU860" s="682"/>
      <c r="AV860" s="682"/>
      <c r="AW860" s="682"/>
      <c r="AX860" s="682"/>
      <c r="AY860" s="682"/>
      <c r="AZ860" s="682"/>
      <c r="BA860" s="682"/>
      <c r="BB860" s="682"/>
      <c r="BC860" s="682"/>
      <c r="BD860" s="682"/>
      <c r="BE860" s="682"/>
      <c r="BF860" s="682"/>
      <c r="BG860" s="682"/>
      <c r="BH860" s="682"/>
      <c r="BI860" s="682"/>
      <c r="BJ860" s="682"/>
      <c r="BK860" s="682"/>
      <c r="BL860" s="682"/>
      <c r="BM860" s="682"/>
      <c r="BN860" s="682"/>
      <c r="BO860" s="682"/>
      <c r="BP860" s="682"/>
      <c r="BQ860" s="682"/>
      <c r="BR860" s="682"/>
      <c r="BS860" s="682"/>
      <c r="BT860" s="682"/>
      <c r="BU860" s="682"/>
      <c r="BV860" s="682"/>
      <c r="BW860" s="682"/>
      <c r="BX860" s="682"/>
      <c r="BY860" s="682"/>
      <c r="BZ860" s="682"/>
      <c r="CA860" s="682"/>
      <c r="CB860" s="682"/>
      <c r="CC860" s="682"/>
      <c r="CD860" s="682"/>
      <c r="CE860" s="682"/>
      <c r="CF860" s="682"/>
      <c r="CG860" s="682"/>
      <c r="CH860" s="682"/>
      <c r="CI860" s="682"/>
      <c r="CJ860" s="682"/>
      <c r="CK860" s="682"/>
      <c r="CL860" s="682"/>
      <c r="CM860" s="682"/>
      <c r="CN860" s="682"/>
      <c r="CO860" s="682"/>
      <c r="CP860" s="682"/>
      <c r="CQ860" s="682"/>
      <c r="CR860" s="682"/>
      <c r="CS860" s="682"/>
      <c r="CT860" s="682"/>
      <c r="CU860" s="682"/>
      <c r="CV860" s="682"/>
      <c r="CW860" s="682"/>
      <c r="CX860" s="682"/>
      <c r="CY860" s="682"/>
      <c r="CZ860" s="682"/>
      <c r="DA860" s="682"/>
      <c r="DB860" s="682"/>
      <c r="DC860" s="682"/>
      <c r="DD860" s="682"/>
      <c r="DE860" s="682"/>
      <c r="DF860" s="682"/>
      <c r="DG860" s="682"/>
      <c r="DH860" s="682"/>
      <c r="DI860" s="682"/>
      <c r="DJ860" s="682"/>
      <c r="DK860" s="682"/>
      <c r="DL860" s="682"/>
      <c r="DM860" s="682"/>
      <c r="DN860" s="682"/>
      <c r="DO860" s="682"/>
      <c r="DP860" s="682"/>
      <c r="DQ860" s="682"/>
      <c r="DR860" s="682"/>
      <c r="DS860" s="682"/>
      <c r="DT860" s="682"/>
      <c r="DU860" s="682"/>
      <c r="DV860" s="682"/>
      <c r="DW860" s="682"/>
      <c r="DX860" s="682"/>
      <c r="DY860" s="682"/>
      <c r="DZ860" s="682"/>
      <c r="EA860" s="682"/>
      <c r="EB860" s="682"/>
      <c r="EC860" s="682"/>
      <c r="ED860" s="682"/>
      <c r="EE860" s="682"/>
      <c r="EF860" s="682"/>
      <c r="EG860" s="682"/>
      <c r="EH860" s="682"/>
      <c r="EI860" s="682"/>
      <c r="EJ860" s="682"/>
      <c r="EK860" s="682"/>
      <c r="EL860" s="682"/>
      <c r="EM860" s="682"/>
      <c r="EN860" s="682"/>
      <c r="EO860" s="682"/>
      <c r="EP860" s="682"/>
      <c r="EQ860" s="682"/>
      <c r="ER860" s="682"/>
      <c r="ES860" s="682"/>
      <c r="ET860" s="682"/>
      <c r="EU860" s="682"/>
      <c r="EV860" s="682"/>
      <c r="EW860" s="682"/>
      <c r="EX860" s="682"/>
      <c r="EY860" s="682"/>
      <c r="EZ860" s="682"/>
      <c r="FA860" s="682"/>
      <c r="FB860" s="682"/>
      <c r="FC860" s="682"/>
      <c r="FD860" s="682"/>
      <c r="FE860" s="682"/>
      <c r="FF860" s="682"/>
      <c r="FG860" s="682"/>
      <c r="FH860" s="682"/>
      <c r="FI860" s="682"/>
      <c r="FJ860" s="682"/>
      <c r="FK860" s="682"/>
      <c r="FL860" s="682"/>
      <c r="FM860" s="682"/>
      <c r="FN860" s="682"/>
      <c r="FO860" s="682"/>
      <c r="FP860" s="682"/>
      <c r="FQ860" s="682"/>
      <c r="FR860" s="682"/>
      <c r="FS860" s="682"/>
      <c r="FT860" s="682"/>
      <c r="FU860" s="682"/>
      <c r="FV860" s="682"/>
      <c r="FW860" s="682"/>
      <c r="FX860" s="682"/>
      <c r="FY860" s="682"/>
      <c r="FZ860" s="682"/>
      <c r="GA860" s="682"/>
      <c r="GB860" s="682"/>
      <c r="GC860" s="682"/>
      <c r="GD860" s="682"/>
      <c r="GE860" s="682"/>
      <c r="GF860" s="682"/>
      <c r="GG860" s="682"/>
      <c r="GH860" s="682"/>
      <c r="GI860" s="682"/>
      <c r="GJ860" s="682"/>
      <c r="GK860" s="682"/>
      <c r="GL860" s="682"/>
      <c r="GM860" s="682"/>
      <c r="GN860" s="682"/>
      <c r="GO860" s="682"/>
      <c r="GP860" s="682"/>
      <c r="GQ860" s="682"/>
      <c r="GR860" s="682"/>
      <c r="GS860" s="682"/>
      <c r="GT860" s="682"/>
      <c r="GU860" s="682"/>
      <c r="GV860" s="682"/>
      <c r="GW860" s="682"/>
      <c r="GX860" s="682"/>
      <c r="GY860" s="682"/>
      <c r="GZ860" s="682"/>
      <c r="HA860" s="682"/>
      <c r="HB860" s="682"/>
      <c r="HC860" s="682"/>
      <c r="HD860" s="682"/>
      <c r="HE860" s="682"/>
      <c r="HF860" s="682"/>
      <c r="HG860" s="682"/>
      <c r="HH860" s="682"/>
      <c r="HI860" s="682"/>
      <c r="HJ860" s="682"/>
      <c r="HK860" s="682"/>
      <c r="HL860" s="682"/>
      <c r="HM860" s="682"/>
      <c r="HN860" s="682"/>
      <c r="HO860" s="682"/>
      <c r="HP860" s="682"/>
      <c r="HQ860" s="682"/>
      <c r="HR860" s="682"/>
      <c r="HS860" s="682"/>
      <c r="HT860" s="682"/>
      <c r="HU860" s="682"/>
      <c r="HV860" s="682"/>
      <c r="HW860" s="682"/>
      <c r="HX860" s="682"/>
      <c r="HY860" s="682"/>
      <c r="HZ860" s="682"/>
      <c r="IA860" s="682"/>
      <c r="IB860" s="682"/>
      <c r="IC860" s="682"/>
      <c r="ID860" s="682"/>
      <c r="IE860" s="682"/>
      <c r="IF860" s="682"/>
      <c r="IG860" s="682"/>
      <c r="IH860" s="682"/>
      <c r="II860" s="682"/>
      <c r="IJ860" s="682"/>
      <c r="IK860" s="682"/>
      <c r="IL860" s="682"/>
      <c r="IM860" s="682"/>
      <c r="IN860" s="682"/>
      <c r="IO860" s="682"/>
      <c r="IP860" s="682"/>
      <c r="IQ860" s="682"/>
      <c r="IR860" s="682"/>
      <c r="IS860" s="682"/>
      <c r="IT860" s="682"/>
      <c r="IU860" s="682"/>
      <c r="IV860" s="682"/>
      <c r="IW860" s="682"/>
    </row>
    <row r="861" spans="1:257" s="681" customFormat="1">
      <c r="A861" s="1147" t="s">
        <v>91</v>
      </c>
      <c r="B861" s="902" t="s">
        <v>457</v>
      </c>
      <c r="C861" s="624"/>
      <c r="D861" s="624"/>
      <c r="E861" s="676"/>
      <c r="F861" s="676">
        <v>60000000</v>
      </c>
      <c r="G861" s="960"/>
      <c r="H861" s="960"/>
      <c r="I861" s="960"/>
      <c r="J861" s="676">
        <v>60000000</v>
      </c>
      <c r="K861" s="676">
        <v>62000000</v>
      </c>
      <c r="L861" s="1305">
        <v>62000000</v>
      </c>
      <c r="M861" s="676"/>
      <c r="N861" s="826"/>
      <c r="O861" s="826"/>
      <c r="P861" s="1052"/>
      <c r="Q861" s="1052"/>
      <c r="R861" s="871"/>
      <c r="S861" s="871"/>
      <c r="T861" s="824"/>
      <c r="U861" s="580"/>
      <c r="V861" s="727"/>
      <c r="W861" s="727"/>
      <c r="X861" s="728"/>
      <c r="Y861" s="682"/>
      <c r="Z861" s="682"/>
      <c r="AA861" s="682"/>
      <c r="AB861" s="682"/>
      <c r="AC861" s="682"/>
      <c r="AD861" s="682"/>
      <c r="AE861" s="682"/>
      <c r="AF861" s="682"/>
      <c r="AG861" s="682"/>
      <c r="AH861" s="682"/>
      <c r="AI861" s="682"/>
      <c r="AJ861" s="682"/>
      <c r="AK861" s="682"/>
      <c r="AL861" s="682"/>
      <c r="AM861" s="682"/>
      <c r="AN861" s="682"/>
      <c r="AO861" s="682"/>
      <c r="AP861" s="682"/>
      <c r="AQ861" s="682"/>
      <c r="AR861" s="682"/>
      <c r="AS861" s="682"/>
      <c r="AT861" s="682"/>
      <c r="AU861" s="682"/>
      <c r="AV861" s="682"/>
      <c r="AW861" s="682"/>
      <c r="AX861" s="682"/>
      <c r="AY861" s="682"/>
      <c r="AZ861" s="682"/>
      <c r="BA861" s="682"/>
      <c r="BB861" s="682"/>
      <c r="BC861" s="682"/>
      <c r="BD861" s="682"/>
      <c r="BE861" s="682"/>
      <c r="BF861" s="682"/>
      <c r="BG861" s="682"/>
      <c r="BH861" s="682"/>
      <c r="BI861" s="682"/>
      <c r="BJ861" s="682"/>
      <c r="BK861" s="682"/>
      <c r="BL861" s="682"/>
      <c r="BM861" s="682"/>
      <c r="BN861" s="682"/>
      <c r="BO861" s="682"/>
      <c r="BP861" s="682"/>
      <c r="BQ861" s="682"/>
      <c r="BR861" s="682"/>
      <c r="BS861" s="682"/>
      <c r="BT861" s="682"/>
      <c r="BU861" s="682"/>
      <c r="BV861" s="682"/>
      <c r="BW861" s="682"/>
      <c r="BX861" s="682"/>
      <c r="BY861" s="682"/>
      <c r="BZ861" s="682"/>
      <c r="CA861" s="682"/>
      <c r="CB861" s="682"/>
      <c r="CC861" s="682"/>
      <c r="CD861" s="682"/>
      <c r="CE861" s="682"/>
      <c r="CF861" s="682"/>
      <c r="CG861" s="682"/>
      <c r="CH861" s="682"/>
      <c r="CI861" s="682"/>
      <c r="CJ861" s="682"/>
      <c r="CK861" s="682"/>
      <c r="CL861" s="682"/>
      <c r="CM861" s="682"/>
      <c r="CN861" s="682"/>
      <c r="CO861" s="682"/>
      <c r="CP861" s="682"/>
      <c r="CQ861" s="682"/>
      <c r="CR861" s="682"/>
      <c r="CS861" s="682"/>
      <c r="CT861" s="682"/>
      <c r="CU861" s="682"/>
      <c r="CV861" s="682"/>
      <c r="CW861" s="682"/>
      <c r="CX861" s="682"/>
      <c r="CY861" s="682"/>
      <c r="CZ861" s="682"/>
      <c r="DA861" s="682"/>
      <c r="DB861" s="682"/>
      <c r="DC861" s="682"/>
      <c r="DD861" s="682"/>
      <c r="DE861" s="682"/>
      <c r="DF861" s="682"/>
      <c r="DG861" s="682"/>
      <c r="DH861" s="682"/>
      <c r="DI861" s="682"/>
      <c r="DJ861" s="682"/>
      <c r="DK861" s="682"/>
      <c r="DL861" s="682"/>
      <c r="DM861" s="682"/>
      <c r="DN861" s="682"/>
      <c r="DO861" s="682"/>
      <c r="DP861" s="682"/>
      <c r="DQ861" s="682"/>
      <c r="DR861" s="682"/>
      <c r="DS861" s="682"/>
      <c r="DT861" s="682"/>
      <c r="DU861" s="682"/>
      <c r="DV861" s="682"/>
      <c r="DW861" s="682"/>
      <c r="DX861" s="682"/>
      <c r="DY861" s="682"/>
      <c r="DZ861" s="682"/>
      <c r="EA861" s="682"/>
      <c r="EB861" s="682"/>
      <c r="EC861" s="682"/>
      <c r="ED861" s="682"/>
      <c r="EE861" s="682"/>
      <c r="EF861" s="682"/>
      <c r="EG861" s="682"/>
      <c r="EH861" s="682"/>
      <c r="EI861" s="682"/>
      <c r="EJ861" s="682"/>
      <c r="EK861" s="682"/>
      <c r="EL861" s="682"/>
      <c r="EM861" s="682"/>
      <c r="EN861" s="682"/>
      <c r="EO861" s="682"/>
      <c r="EP861" s="682"/>
      <c r="EQ861" s="682"/>
      <c r="ER861" s="682"/>
      <c r="ES861" s="682"/>
      <c r="ET861" s="682"/>
      <c r="EU861" s="682"/>
      <c r="EV861" s="682"/>
      <c r="EW861" s="682"/>
      <c r="EX861" s="682"/>
      <c r="EY861" s="682"/>
      <c r="EZ861" s="682"/>
      <c r="FA861" s="682"/>
      <c r="FB861" s="682"/>
      <c r="FC861" s="682"/>
      <c r="FD861" s="682"/>
      <c r="FE861" s="682"/>
      <c r="FF861" s="682"/>
      <c r="FG861" s="682"/>
      <c r="FH861" s="682"/>
      <c r="FI861" s="682"/>
      <c r="FJ861" s="682"/>
      <c r="FK861" s="682"/>
      <c r="FL861" s="682"/>
      <c r="FM861" s="682"/>
      <c r="FN861" s="682"/>
      <c r="FO861" s="682"/>
      <c r="FP861" s="682"/>
      <c r="FQ861" s="682"/>
      <c r="FR861" s="682"/>
      <c r="FS861" s="682"/>
      <c r="FT861" s="682"/>
      <c r="FU861" s="682"/>
      <c r="FV861" s="682"/>
      <c r="FW861" s="682"/>
      <c r="FX861" s="682"/>
      <c r="FY861" s="682"/>
      <c r="FZ861" s="682"/>
      <c r="GA861" s="682"/>
      <c r="GB861" s="682"/>
      <c r="GC861" s="682"/>
      <c r="GD861" s="682"/>
      <c r="GE861" s="682"/>
      <c r="GF861" s="682"/>
      <c r="GG861" s="682"/>
      <c r="GH861" s="682"/>
      <c r="GI861" s="682"/>
      <c r="GJ861" s="682"/>
      <c r="GK861" s="682"/>
      <c r="GL861" s="682"/>
      <c r="GM861" s="682"/>
      <c r="GN861" s="682"/>
      <c r="GO861" s="682"/>
      <c r="GP861" s="682"/>
      <c r="GQ861" s="682"/>
      <c r="GR861" s="682"/>
      <c r="GS861" s="682"/>
      <c r="GT861" s="682"/>
      <c r="GU861" s="682"/>
      <c r="GV861" s="682"/>
      <c r="GW861" s="682"/>
      <c r="GX861" s="682"/>
      <c r="GY861" s="682"/>
      <c r="GZ861" s="682"/>
      <c r="HA861" s="682"/>
      <c r="HB861" s="682"/>
      <c r="HC861" s="682"/>
      <c r="HD861" s="682"/>
      <c r="HE861" s="682"/>
      <c r="HF861" s="682"/>
      <c r="HG861" s="682"/>
      <c r="HH861" s="682"/>
      <c r="HI861" s="682"/>
      <c r="HJ861" s="682"/>
      <c r="HK861" s="682"/>
      <c r="HL861" s="682"/>
      <c r="HM861" s="682"/>
      <c r="HN861" s="682"/>
      <c r="HO861" s="682"/>
      <c r="HP861" s="682"/>
      <c r="HQ861" s="682"/>
      <c r="HR861" s="682"/>
      <c r="HS861" s="682"/>
      <c r="HT861" s="682"/>
      <c r="HU861" s="682"/>
      <c r="HV861" s="682"/>
      <c r="HW861" s="682"/>
      <c r="HX861" s="682"/>
      <c r="HY861" s="682"/>
      <c r="HZ861" s="682"/>
      <c r="IA861" s="682"/>
      <c r="IB861" s="682"/>
      <c r="IC861" s="682"/>
      <c r="ID861" s="682"/>
      <c r="IE861" s="682"/>
      <c r="IF861" s="682"/>
      <c r="IG861" s="682"/>
      <c r="IH861" s="682"/>
      <c r="II861" s="682"/>
      <c r="IJ861" s="682"/>
      <c r="IK861" s="682"/>
      <c r="IL861" s="682"/>
      <c r="IM861" s="682"/>
      <c r="IN861" s="682"/>
      <c r="IO861" s="682"/>
      <c r="IP861" s="682"/>
      <c r="IQ861" s="682"/>
      <c r="IR861" s="682"/>
      <c r="IS861" s="682"/>
      <c r="IT861" s="682"/>
      <c r="IU861" s="682"/>
      <c r="IV861" s="682"/>
      <c r="IW861" s="682"/>
    </row>
    <row r="862" spans="1:257" s="681" customFormat="1" ht="31.5">
      <c r="A862" s="939" t="s">
        <v>91</v>
      </c>
      <c r="B862" s="902" t="s">
        <v>458</v>
      </c>
      <c r="C862" s="1008"/>
      <c r="D862" s="1008"/>
      <c r="E862" s="676"/>
      <c r="F862" s="676">
        <v>210000000</v>
      </c>
      <c r="G862" s="960"/>
      <c r="H862" s="960"/>
      <c r="I862" s="960"/>
      <c r="J862" s="676">
        <v>210000000</v>
      </c>
      <c r="K862" s="676">
        <v>230000000</v>
      </c>
      <c r="L862" s="1305">
        <v>370000000</v>
      </c>
      <c r="M862" s="676"/>
      <c r="N862" s="826"/>
      <c r="O862" s="826"/>
      <c r="P862" s="1052"/>
      <c r="Q862" s="1052"/>
      <c r="R862" s="871"/>
      <c r="S862" s="871"/>
      <c r="T862" s="824"/>
      <c r="U862" s="580"/>
      <c r="V862" s="727"/>
      <c r="W862" s="727"/>
      <c r="X862" s="728"/>
      <c r="Y862" s="682"/>
      <c r="Z862" s="682"/>
      <c r="AA862" s="682"/>
      <c r="AB862" s="682"/>
      <c r="AC862" s="682"/>
      <c r="AD862" s="682"/>
      <c r="AE862" s="682"/>
      <c r="AF862" s="682"/>
      <c r="AG862" s="682"/>
      <c r="AH862" s="682"/>
      <c r="AI862" s="682"/>
      <c r="AJ862" s="682"/>
      <c r="AK862" s="682"/>
      <c r="AL862" s="682"/>
      <c r="AM862" s="682"/>
      <c r="AN862" s="682"/>
      <c r="AO862" s="682"/>
      <c r="AP862" s="682"/>
      <c r="AQ862" s="682"/>
      <c r="AR862" s="682"/>
      <c r="AS862" s="682"/>
      <c r="AT862" s="682"/>
      <c r="AU862" s="682"/>
      <c r="AV862" s="682"/>
      <c r="AW862" s="682"/>
      <c r="AX862" s="682"/>
      <c r="AY862" s="682"/>
      <c r="AZ862" s="682"/>
      <c r="BA862" s="682"/>
      <c r="BB862" s="682"/>
      <c r="BC862" s="682"/>
      <c r="BD862" s="682"/>
      <c r="BE862" s="682"/>
      <c r="BF862" s="682"/>
      <c r="BG862" s="682"/>
      <c r="BH862" s="682"/>
      <c r="BI862" s="682"/>
      <c r="BJ862" s="682"/>
      <c r="BK862" s="682"/>
      <c r="BL862" s="682"/>
      <c r="BM862" s="682"/>
      <c r="BN862" s="682"/>
      <c r="BO862" s="682"/>
      <c r="BP862" s="682"/>
      <c r="BQ862" s="682"/>
      <c r="BR862" s="682"/>
      <c r="BS862" s="682"/>
      <c r="BT862" s="682"/>
      <c r="BU862" s="682"/>
      <c r="BV862" s="682"/>
      <c r="BW862" s="682"/>
      <c r="BX862" s="682"/>
      <c r="BY862" s="682"/>
      <c r="BZ862" s="682"/>
      <c r="CA862" s="682"/>
      <c r="CB862" s="682"/>
      <c r="CC862" s="682"/>
      <c r="CD862" s="682"/>
      <c r="CE862" s="682"/>
      <c r="CF862" s="682"/>
      <c r="CG862" s="682"/>
      <c r="CH862" s="682"/>
      <c r="CI862" s="682"/>
      <c r="CJ862" s="682"/>
      <c r="CK862" s="682"/>
      <c r="CL862" s="682"/>
      <c r="CM862" s="682"/>
      <c r="CN862" s="682"/>
      <c r="CO862" s="682"/>
      <c r="CP862" s="682"/>
      <c r="CQ862" s="682"/>
      <c r="CR862" s="682"/>
      <c r="CS862" s="682"/>
      <c r="CT862" s="682"/>
      <c r="CU862" s="682"/>
      <c r="CV862" s="682"/>
      <c r="CW862" s="682"/>
      <c r="CX862" s="682"/>
      <c r="CY862" s="682"/>
      <c r="CZ862" s="682"/>
      <c r="DA862" s="682"/>
      <c r="DB862" s="682"/>
      <c r="DC862" s="682"/>
      <c r="DD862" s="682"/>
      <c r="DE862" s="682"/>
      <c r="DF862" s="682"/>
      <c r="DG862" s="682"/>
      <c r="DH862" s="682"/>
      <c r="DI862" s="682"/>
      <c r="DJ862" s="682"/>
      <c r="DK862" s="682"/>
      <c r="DL862" s="682"/>
      <c r="DM862" s="682"/>
      <c r="DN862" s="682"/>
      <c r="DO862" s="682"/>
      <c r="DP862" s="682"/>
      <c r="DQ862" s="682"/>
      <c r="DR862" s="682"/>
      <c r="DS862" s="682"/>
      <c r="DT862" s="682"/>
      <c r="DU862" s="682"/>
      <c r="DV862" s="682"/>
      <c r="DW862" s="682"/>
      <c r="DX862" s="682"/>
      <c r="DY862" s="682"/>
      <c r="DZ862" s="682"/>
      <c r="EA862" s="682"/>
      <c r="EB862" s="682"/>
      <c r="EC862" s="682"/>
      <c r="ED862" s="682"/>
      <c r="EE862" s="682"/>
      <c r="EF862" s="682"/>
      <c r="EG862" s="682"/>
      <c r="EH862" s="682"/>
      <c r="EI862" s="682"/>
      <c r="EJ862" s="682"/>
      <c r="EK862" s="682"/>
      <c r="EL862" s="682"/>
      <c r="EM862" s="682"/>
      <c r="EN862" s="682"/>
      <c r="EO862" s="682"/>
      <c r="EP862" s="682"/>
      <c r="EQ862" s="682"/>
      <c r="ER862" s="682"/>
      <c r="ES862" s="682"/>
      <c r="ET862" s="682"/>
      <c r="EU862" s="682"/>
      <c r="EV862" s="682"/>
      <c r="EW862" s="682"/>
      <c r="EX862" s="682"/>
      <c r="EY862" s="682"/>
      <c r="EZ862" s="682"/>
      <c r="FA862" s="682"/>
      <c r="FB862" s="682"/>
      <c r="FC862" s="682"/>
      <c r="FD862" s="682"/>
      <c r="FE862" s="682"/>
      <c r="FF862" s="682"/>
      <c r="FG862" s="682"/>
      <c r="FH862" s="682"/>
      <c r="FI862" s="682"/>
      <c r="FJ862" s="682"/>
      <c r="FK862" s="682"/>
      <c r="FL862" s="682"/>
      <c r="FM862" s="682"/>
      <c r="FN862" s="682"/>
      <c r="FO862" s="682"/>
      <c r="FP862" s="682"/>
      <c r="FQ862" s="682"/>
      <c r="FR862" s="682"/>
      <c r="FS862" s="682"/>
      <c r="FT862" s="682"/>
      <c r="FU862" s="682"/>
      <c r="FV862" s="682"/>
      <c r="FW862" s="682"/>
      <c r="FX862" s="682"/>
      <c r="FY862" s="682"/>
      <c r="FZ862" s="682"/>
      <c r="GA862" s="682"/>
      <c r="GB862" s="682"/>
      <c r="GC862" s="682"/>
      <c r="GD862" s="682"/>
      <c r="GE862" s="682"/>
      <c r="GF862" s="682"/>
      <c r="GG862" s="682"/>
      <c r="GH862" s="682"/>
      <c r="GI862" s="682"/>
      <c r="GJ862" s="682"/>
      <c r="GK862" s="682"/>
      <c r="GL862" s="682"/>
      <c r="GM862" s="682"/>
      <c r="GN862" s="682"/>
      <c r="GO862" s="682"/>
      <c r="GP862" s="682"/>
      <c r="GQ862" s="682"/>
      <c r="GR862" s="682"/>
      <c r="GS862" s="682"/>
      <c r="GT862" s="682"/>
      <c r="GU862" s="682"/>
      <c r="GV862" s="682"/>
      <c r="GW862" s="682"/>
      <c r="GX862" s="682"/>
      <c r="GY862" s="682"/>
      <c r="GZ862" s="682"/>
      <c r="HA862" s="682"/>
      <c r="HB862" s="682"/>
      <c r="HC862" s="682"/>
      <c r="HD862" s="682"/>
      <c r="HE862" s="682"/>
      <c r="HF862" s="682"/>
      <c r="HG862" s="682"/>
      <c r="HH862" s="682"/>
      <c r="HI862" s="682"/>
      <c r="HJ862" s="682"/>
      <c r="HK862" s="682"/>
      <c r="HL862" s="682"/>
      <c r="HM862" s="682"/>
      <c r="HN862" s="682"/>
      <c r="HO862" s="682"/>
      <c r="HP862" s="682"/>
      <c r="HQ862" s="682"/>
      <c r="HR862" s="682"/>
      <c r="HS862" s="682"/>
      <c r="HT862" s="682"/>
      <c r="HU862" s="682"/>
      <c r="HV862" s="682"/>
      <c r="HW862" s="682"/>
      <c r="HX862" s="682"/>
      <c r="HY862" s="682"/>
      <c r="HZ862" s="682"/>
      <c r="IA862" s="682"/>
      <c r="IB862" s="682"/>
      <c r="IC862" s="682"/>
      <c r="ID862" s="682"/>
      <c r="IE862" s="682"/>
      <c r="IF862" s="682"/>
      <c r="IG862" s="682"/>
      <c r="IH862" s="682"/>
      <c r="II862" s="682"/>
      <c r="IJ862" s="682"/>
      <c r="IK862" s="682"/>
      <c r="IL862" s="682"/>
      <c r="IM862" s="682"/>
      <c r="IN862" s="682"/>
      <c r="IO862" s="682"/>
      <c r="IP862" s="682"/>
      <c r="IQ862" s="682"/>
      <c r="IR862" s="682"/>
      <c r="IS862" s="682"/>
      <c r="IT862" s="682"/>
      <c r="IU862" s="682"/>
      <c r="IV862" s="682"/>
      <c r="IW862" s="682"/>
    </row>
    <row r="863" spans="1:257" s="681" customFormat="1" ht="35.25" customHeight="1">
      <c r="A863" s="1147" t="s">
        <v>91</v>
      </c>
      <c r="B863" s="902" t="s">
        <v>459</v>
      </c>
      <c r="C863" s="624"/>
      <c r="D863" s="624"/>
      <c r="E863" s="676"/>
      <c r="F863" s="676">
        <v>25000000</v>
      </c>
      <c r="G863" s="960"/>
      <c r="H863" s="960"/>
      <c r="I863" s="960"/>
      <c r="J863" s="676">
        <v>25000000</v>
      </c>
      <c r="K863" s="676">
        <v>27000000</v>
      </c>
      <c r="L863" s="1305">
        <v>35000000</v>
      </c>
      <c r="M863" s="676"/>
      <c r="N863" s="826"/>
      <c r="O863" s="826"/>
      <c r="P863" s="1052"/>
      <c r="Q863" s="1052"/>
      <c r="R863" s="871"/>
      <c r="S863" s="871"/>
      <c r="T863" s="824"/>
      <c r="U863" s="580"/>
      <c r="V863" s="727"/>
      <c r="W863" s="727"/>
      <c r="X863" s="728"/>
      <c r="Y863" s="682"/>
      <c r="Z863" s="682"/>
      <c r="AA863" s="682"/>
      <c r="AB863" s="682"/>
      <c r="AC863" s="682"/>
      <c r="AD863" s="682"/>
      <c r="AE863" s="682"/>
      <c r="AF863" s="682"/>
      <c r="AG863" s="682"/>
      <c r="AH863" s="682"/>
      <c r="AI863" s="682"/>
      <c r="AJ863" s="682"/>
      <c r="AK863" s="682"/>
      <c r="AL863" s="682"/>
      <c r="AM863" s="682"/>
      <c r="AN863" s="682"/>
      <c r="AO863" s="682"/>
      <c r="AP863" s="682"/>
      <c r="AQ863" s="682"/>
      <c r="AR863" s="682"/>
      <c r="AS863" s="682"/>
      <c r="AT863" s="682"/>
      <c r="AU863" s="682"/>
      <c r="AV863" s="682"/>
      <c r="AW863" s="682"/>
      <c r="AX863" s="682"/>
      <c r="AY863" s="682"/>
      <c r="AZ863" s="682"/>
      <c r="BA863" s="682"/>
      <c r="BB863" s="682"/>
      <c r="BC863" s="682"/>
      <c r="BD863" s="682"/>
      <c r="BE863" s="682"/>
      <c r="BF863" s="682"/>
      <c r="BG863" s="682"/>
      <c r="BH863" s="682"/>
      <c r="BI863" s="682"/>
      <c r="BJ863" s="682"/>
      <c r="BK863" s="682"/>
      <c r="BL863" s="682"/>
      <c r="BM863" s="682"/>
      <c r="BN863" s="682"/>
      <c r="BO863" s="682"/>
      <c r="BP863" s="682"/>
      <c r="BQ863" s="682"/>
      <c r="BR863" s="682"/>
      <c r="BS863" s="682"/>
      <c r="BT863" s="682"/>
      <c r="BU863" s="682"/>
      <c r="BV863" s="682"/>
      <c r="BW863" s="682"/>
      <c r="BX863" s="682"/>
      <c r="BY863" s="682"/>
      <c r="BZ863" s="682"/>
      <c r="CA863" s="682"/>
      <c r="CB863" s="682"/>
      <c r="CC863" s="682"/>
      <c r="CD863" s="682"/>
      <c r="CE863" s="682"/>
      <c r="CF863" s="682"/>
      <c r="CG863" s="682"/>
      <c r="CH863" s="682"/>
      <c r="CI863" s="682"/>
      <c r="CJ863" s="682"/>
      <c r="CK863" s="682"/>
      <c r="CL863" s="682"/>
      <c r="CM863" s="682"/>
      <c r="CN863" s="682"/>
      <c r="CO863" s="682"/>
      <c r="CP863" s="682"/>
      <c r="CQ863" s="682"/>
      <c r="CR863" s="682"/>
      <c r="CS863" s="682"/>
      <c r="CT863" s="682"/>
      <c r="CU863" s="682"/>
      <c r="CV863" s="682"/>
      <c r="CW863" s="682"/>
      <c r="CX863" s="682"/>
      <c r="CY863" s="682"/>
      <c r="CZ863" s="682"/>
      <c r="DA863" s="682"/>
      <c r="DB863" s="682"/>
      <c r="DC863" s="682"/>
      <c r="DD863" s="682"/>
      <c r="DE863" s="682"/>
      <c r="DF863" s="682"/>
      <c r="DG863" s="682"/>
      <c r="DH863" s="682"/>
      <c r="DI863" s="682"/>
      <c r="DJ863" s="682"/>
      <c r="DK863" s="682"/>
      <c r="DL863" s="682"/>
      <c r="DM863" s="682"/>
      <c r="DN863" s="682"/>
      <c r="DO863" s="682"/>
      <c r="DP863" s="682"/>
      <c r="DQ863" s="682"/>
      <c r="DR863" s="682"/>
      <c r="DS863" s="682"/>
      <c r="DT863" s="682"/>
      <c r="DU863" s="682"/>
      <c r="DV863" s="682"/>
      <c r="DW863" s="682"/>
      <c r="DX863" s="682"/>
      <c r="DY863" s="682"/>
      <c r="DZ863" s="682"/>
      <c r="EA863" s="682"/>
      <c r="EB863" s="682"/>
      <c r="EC863" s="682"/>
      <c r="ED863" s="682"/>
      <c r="EE863" s="682"/>
      <c r="EF863" s="682"/>
      <c r="EG863" s="682"/>
      <c r="EH863" s="682"/>
      <c r="EI863" s="682"/>
      <c r="EJ863" s="682"/>
      <c r="EK863" s="682"/>
      <c r="EL863" s="682"/>
      <c r="EM863" s="682"/>
      <c r="EN863" s="682"/>
      <c r="EO863" s="682"/>
      <c r="EP863" s="682"/>
      <c r="EQ863" s="682"/>
      <c r="ER863" s="682"/>
      <c r="ES863" s="682"/>
      <c r="ET863" s="682"/>
      <c r="EU863" s="682"/>
      <c r="EV863" s="682"/>
      <c r="EW863" s="682"/>
      <c r="EX863" s="682"/>
      <c r="EY863" s="682"/>
      <c r="EZ863" s="682"/>
      <c r="FA863" s="682"/>
      <c r="FB863" s="682"/>
      <c r="FC863" s="682"/>
      <c r="FD863" s="682"/>
      <c r="FE863" s="682"/>
      <c r="FF863" s="682"/>
      <c r="FG863" s="682"/>
      <c r="FH863" s="682"/>
      <c r="FI863" s="682"/>
      <c r="FJ863" s="682"/>
      <c r="FK863" s="682"/>
      <c r="FL863" s="682"/>
      <c r="FM863" s="682"/>
      <c r="FN863" s="682"/>
      <c r="FO863" s="682"/>
      <c r="FP863" s="682"/>
      <c r="FQ863" s="682"/>
      <c r="FR863" s="682"/>
      <c r="FS863" s="682"/>
      <c r="FT863" s="682"/>
      <c r="FU863" s="682"/>
      <c r="FV863" s="682"/>
      <c r="FW863" s="682"/>
      <c r="FX863" s="682"/>
      <c r="FY863" s="682"/>
      <c r="FZ863" s="682"/>
      <c r="GA863" s="682"/>
      <c r="GB863" s="682"/>
      <c r="GC863" s="682"/>
      <c r="GD863" s="682"/>
      <c r="GE863" s="682"/>
      <c r="GF863" s="682"/>
      <c r="GG863" s="682"/>
      <c r="GH863" s="682"/>
      <c r="GI863" s="682"/>
      <c r="GJ863" s="682"/>
      <c r="GK863" s="682"/>
      <c r="GL863" s="682"/>
      <c r="GM863" s="682"/>
      <c r="GN863" s="682"/>
      <c r="GO863" s="682"/>
      <c r="GP863" s="682"/>
      <c r="GQ863" s="682"/>
      <c r="GR863" s="682"/>
      <c r="GS863" s="682"/>
      <c r="GT863" s="682"/>
      <c r="GU863" s="682"/>
      <c r="GV863" s="682"/>
      <c r="GW863" s="682"/>
      <c r="GX863" s="682"/>
      <c r="GY863" s="682"/>
      <c r="GZ863" s="682"/>
      <c r="HA863" s="682"/>
      <c r="HB863" s="682"/>
      <c r="HC863" s="682"/>
      <c r="HD863" s="682"/>
      <c r="HE863" s="682"/>
      <c r="HF863" s="682"/>
      <c r="HG863" s="682"/>
      <c r="HH863" s="682"/>
      <c r="HI863" s="682"/>
      <c r="HJ863" s="682"/>
      <c r="HK863" s="682"/>
      <c r="HL863" s="682"/>
      <c r="HM863" s="682"/>
      <c r="HN863" s="682"/>
      <c r="HO863" s="682"/>
      <c r="HP863" s="682"/>
      <c r="HQ863" s="682"/>
      <c r="HR863" s="682"/>
      <c r="HS863" s="682"/>
      <c r="HT863" s="682"/>
      <c r="HU863" s="682"/>
      <c r="HV863" s="682"/>
      <c r="HW863" s="682"/>
      <c r="HX863" s="682"/>
      <c r="HY863" s="682"/>
      <c r="HZ863" s="682"/>
      <c r="IA863" s="682"/>
      <c r="IB863" s="682"/>
      <c r="IC863" s="682"/>
      <c r="ID863" s="682"/>
      <c r="IE863" s="682"/>
      <c r="IF863" s="682"/>
      <c r="IG863" s="682"/>
      <c r="IH863" s="682"/>
      <c r="II863" s="682"/>
      <c r="IJ863" s="682"/>
      <c r="IK863" s="682"/>
      <c r="IL863" s="682"/>
      <c r="IM863" s="682"/>
      <c r="IN863" s="682"/>
      <c r="IO863" s="682"/>
      <c r="IP863" s="682"/>
      <c r="IQ863" s="682"/>
      <c r="IR863" s="682"/>
      <c r="IS863" s="682"/>
      <c r="IT863" s="682"/>
      <c r="IU863" s="682"/>
      <c r="IV863" s="682"/>
      <c r="IW863" s="682"/>
    </row>
    <row r="864" spans="1:257" s="681" customFormat="1">
      <c r="A864" s="1147" t="s">
        <v>91</v>
      </c>
      <c r="B864" s="902" t="s">
        <v>460</v>
      </c>
      <c r="C864" s="624">
        <v>40</v>
      </c>
      <c r="D864" s="624"/>
      <c r="E864" s="1149">
        <v>0.4</v>
      </c>
      <c r="F864" s="676">
        <v>286000000</v>
      </c>
      <c r="G864" s="960"/>
      <c r="H864" s="960"/>
      <c r="I864" s="960"/>
      <c r="J864" s="676">
        <v>286000000</v>
      </c>
      <c r="K864" s="676">
        <v>346000000</v>
      </c>
      <c r="L864" s="1305">
        <v>461000000</v>
      </c>
      <c r="M864" s="676" t="s">
        <v>1153</v>
      </c>
      <c r="N864" s="826"/>
      <c r="O864" s="826"/>
      <c r="P864" s="1052"/>
      <c r="Q864" s="1052"/>
      <c r="R864" s="871"/>
      <c r="S864" s="871"/>
      <c r="T864" s="824"/>
      <c r="U864" s="580"/>
      <c r="V864" s="727"/>
      <c r="W864" s="727"/>
      <c r="X864" s="728"/>
      <c r="Y864" s="682"/>
      <c r="Z864" s="682"/>
      <c r="AA864" s="682"/>
      <c r="AB864" s="682"/>
      <c r="AC864" s="682"/>
      <c r="AD864" s="682"/>
      <c r="AE864" s="682"/>
      <c r="AF864" s="682"/>
      <c r="AG864" s="682"/>
      <c r="AH864" s="682"/>
      <c r="AI864" s="682"/>
      <c r="AJ864" s="682"/>
      <c r="AK864" s="682"/>
      <c r="AL864" s="682"/>
      <c r="AM864" s="682"/>
      <c r="AN864" s="682"/>
      <c r="AO864" s="682"/>
      <c r="AP864" s="682"/>
      <c r="AQ864" s="682"/>
      <c r="AR864" s="682"/>
      <c r="AS864" s="682"/>
      <c r="AT864" s="682"/>
      <c r="AU864" s="682"/>
      <c r="AV864" s="682"/>
      <c r="AW864" s="682"/>
      <c r="AX864" s="682"/>
      <c r="AY864" s="682"/>
      <c r="AZ864" s="682"/>
      <c r="BA864" s="682"/>
      <c r="BB864" s="682"/>
      <c r="BC864" s="682"/>
      <c r="BD864" s="682"/>
      <c r="BE864" s="682"/>
      <c r="BF864" s="682"/>
      <c r="BG864" s="682"/>
      <c r="BH864" s="682"/>
      <c r="BI864" s="682"/>
      <c r="BJ864" s="682"/>
      <c r="BK864" s="682"/>
      <c r="BL864" s="682"/>
      <c r="BM864" s="682"/>
      <c r="BN864" s="682"/>
      <c r="BO864" s="682"/>
      <c r="BP864" s="682"/>
      <c r="BQ864" s="682"/>
      <c r="BR864" s="682"/>
      <c r="BS864" s="682"/>
      <c r="BT864" s="682"/>
      <c r="BU864" s="682"/>
      <c r="BV864" s="682"/>
      <c r="BW864" s="682"/>
      <c r="BX864" s="682"/>
      <c r="BY864" s="682"/>
      <c r="BZ864" s="682"/>
      <c r="CA864" s="682"/>
      <c r="CB864" s="682"/>
      <c r="CC864" s="682"/>
      <c r="CD864" s="682"/>
      <c r="CE864" s="682"/>
      <c r="CF864" s="682"/>
      <c r="CG864" s="682"/>
      <c r="CH864" s="682"/>
      <c r="CI864" s="682"/>
      <c r="CJ864" s="682"/>
      <c r="CK864" s="682"/>
      <c r="CL864" s="682"/>
      <c r="CM864" s="682"/>
      <c r="CN864" s="682"/>
      <c r="CO864" s="682"/>
      <c r="CP864" s="682"/>
      <c r="CQ864" s="682"/>
      <c r="CR864" s="682"/>
      <c r="CS864" s="682"/>
      <c r="CT864" s="682"/>
      <c r="CU864" s="682"/>
      <c r="CV864" s="682"/>
      <c r="CW864" s="682"/>
      <c r="CX864" s="682"/>
      <c r="CY864" s="682"/>
      <c r="CZ864" s="682"/>
      <c r="DA864" s="682"/>
      <c r="DB864" s="682"/>
      <c r="DC864" s="682"/>
      <c r="DD864" s="682"/>
      <c r="DE864" s="682"/>
      <c r="DF864" s="682"/>
      <c r="DG864" s="682"/>
      <c r="DH864" s="682"/>
      <c r="DI864" s="682"/>
      <c r="DJ864" s="682"/>
      <c r="DK864" s="682"/>
      <c r="DL864" s="682"/>
      <c r="DM864" s="682"/>
      <c r="DN864" s="682"/>
      <c r="DO864" s="682"/>
      <c r="DP864" s="682"/>
      <c r="DQ864" s="682"/>
      <c r="DR864" s="682"/>
      <c r="DS864" s="682"/>
      <c r="DT864" s="682"/>
      <c r="DU864" s="682"/>
      <c r="DV864" s="682"/>
      <c r="DW864" s="682"/>
      <c r="DX864" s="682"/>
      <c r="DY864" s="682"/>
      <c r="DZ864" s="682"/>
      <c r="EA864" s="682"/>
      <c r="EB864" s="682"/>
      <c r="EC864" s="682"/>
      <c r="ED864" s="682"/>
      <c r="EE864" s="682"/>
      <c r="EF864" s="682"/>
      <c r="EG864" s="682"/>
      <c r="EH864" s="682"/>
      <c r="EI864" s="682"/>
      <c r="EJ864" s="682"/>
      <c r="EK864" s="682"/>
      <c r="EL864" s="682"/>
      <c r="EM864" s="682"/>
      <c r="EN864" s="682"/>
      <c r="EO864" s="682"/>
      <c r="EP864" s="682"/>
      <c r="EQ864" s="682"/>
      <c r="ER864" s="682"/>
      <c r="ES864" s="682"/>
      <c r="ET864" s="682"/>
      <c r="EU864" s="682"/>
      <c r="EV864" s="682"/>
      <c r="EW864" s="682"/>
      <c r="EX864" s="682"/>
      <c r="EY864" s="682"/>
      <c r="EZ864" s="682"/>
      <c r="FA864" s="682"/>
      <c r="FB864" s="682"/>
      <c r="FC864" s="682"/>
      <c r="FD864" s="682"/>
      <c r="FE864" s="682"/>
      <c r="FF864" s="682"/>
      <c r="FG864" s="682"/>
      <c r="FH864" s="682"/>
      <c r="FI864" s="682"/>
      <c r="FJ864" s="682"/>
      <c r="FK864" s="682"/>
      <c r="FL864" s="682"/>
      <c r="FM864" s="682"/>
      <c r="FN864" s="682"/>
      <c r="FO864" s="682"/>
      <c r="FP864" s="682"/>
      <c r="FQ864" s="682"/>
      <c r="FR864" s="682"/>
      <c r="FS864" s="682"/>
      <c r="FT864" s="682"/>
      <c r="FU864" s="682"/>
      <c r="FV864" s="682"/>
      <c r="FW864" s="682"/>
      <c r="FX864" s="682"/>
      <c r="FY864" s="682"/>
      <c r="FZ864" s="682"/>
      <c r="GA864" s="682"/>
      <c r="GB864" s="682"/>
      <c r="GC864" s="682"/>
      <c r="GD864" s="682"/>
      <c r="GE864" s="682"/>
      <c r="GF864" s="682"/>
      <c r="GG864" s="682"/>
      <c r="GH864" s="682"/>
      <c r="GI864" s="682"/>
      <c r="GJ864" s="682"/>
      <c r="GK864" s="682"/>
      <c r="GL864" s="682"/>
      <c r="GM864" s="682"/>
      <c r="GN864" s="682"/>
      <c r="GO864" s="682"/>
      <c r="GP864" s="682"/>
      <c r="GQ864" s="682"/>
      <c r="GR864" s="682"/>
      <c r="GS864" s="682"/>
      <c r="GT864" s="682"/>
      <c r="GU864" s="682"/>
      <c r="GV864" s="682"/>
      <c r="GW864" s="682"/>
      <c r="GX864" s="682"/>
      <c r="GY864" s="682"/>
      <c r="GZ864" s="682"/>
      <c r="HA864" s="682"/>
      <c r="HB864" s="682"/>
      <c r="HC864" s="682"/>
      <c r="HD864" s="682"/>
      <c r="HE864" s="682"/>
      <c r="HF864" s="682"/>
      <c r="HG864" s="682"/>
      <c r="HH864" s="682"/>
      <c r="HI864" s="682"/>
      <c r="HJ864" s="682"/>
      <c r="HK864" s="682"/>
      <c r="HL864" s="682"/>
      <c r="HM864" s="682"/>
      <c r="HN864" s="682"/>
      <c r="HO864" s="682"/>
      <c r="HP864" s="682"/>
      <c r="HQ864" s="682"/>
      <c r="HR864" s="682"/>
      <c r="HS864" s="682"/>
      <c r="HT864" s="682"/>
      <c r="HU864" s="682"/>
      <c r="HV864" s="682"/>
      <c r="HW864" s="682"/>
      <c r="HX864" s="682"/>
      <c r="HY864" s="682"/>
      <c r="HZ864" s="682"/>
      <c r="IA864" s="682"/>
      <c r="IB864" s="682"/>
      <c r="IC864" s="682"/>
      <c r="ID864" s="682"/>
      <c r="IE864" s="682"/>
      <c r="IF864" s="682"/>
      <c r="IG864" s="682"/>
      <c r="IH864" s="682"/>
      <c r="II864" s="682"/>
      <c r="IJ864" s="682"/>
      <c r="IK864" s="682"/>
      <c r="IL864" s="682"/>
      <c r="IM864" s="682"/>
      <c r="IN864" s="682"/>
      <c r="IO864" s="682"/>
      <c r="IP864" s="682"/>
      <c r="IQ864" s="682"/>
      <c r="IR864" s="682"/>
      <c r="IS864" s="682"/>
      <c r="IT864" s="682"/>
      <c r="IU864" s="682"/>
      <c r="IV864" s="682"/>
      <c r="IW864" s="682"/>
    </row>
    <row r="865" spans="1:257" s="681" customFormat="1">
      <c r="A865" s="1147" t="s">
        <v>91</v>
      </c>
      <c r="B865" s="902" t="s">
        <v>461</v>
      </c>
      <c r="C865" s="624"/>
      <c r="D865" s="624"/>
      <c r="E865" s="1149"/>
      <c r="F865" s="676">
        <v>54000000</v>
      </c>
      <c r="G865" s="960"/>
      <c r="H865" s="960"/>
      <c r="I865" s="960"/>
      <c r="J865" s="676">
        <v>54000000</v>
      </c>
      <c r="K865" s="676">
        <v>46000000</v>
      </c>
      <c r="L865" s="1305">
        <v>60000000</v>
      </c>
      <c r="M865" s="676"/>
      <c r="N865" s="826"/>
      <c r="O865" s="826"/>
      <c r="P865" s="1052"/>
      <c r="Q865" s="1052"/>
      <c r="R865" s="871"/>
      <c r="S865" s="871"/>
      <c r="T865" s="824"/>
      <c r="U865" s="580"/>
      <c r="V865" s="727"/>
      <c r="W865" s="727"/>
      <c r="X865" s="728"/>
      <c r="Y865" s="682"/>
      <c r="Z865" s="682"/>
      <c r="AA865" s="682"/>
      <c r="AB865" s="682"/>
      <c r="AC865" s="682"/>
      <c r="AD865" s="682"/>
      <c r="AE865" s="682"/>
      <c r="AF865" s="682"/>
      <c r="AG865" s="682"/>
      <c r="AH865" s="682"/>
      <c r="AI865" s="682"/>
      <c r="AJ865" s="682"/>
      <c r="AK865" s="682"/>
      <c r="AL865" s="682"/>
      <c r="AM865" s="682"/>
      <c r="AN865" s="682"/>
      <c r="AO865" s="682"/>
      <c r="AP865" s="682"/>
      <c r="AQ865" s="682"/>
      <c r="AR865" s="682"/>
      <c r="AS865" s="682"/>
      <c r="AT865" s="682"/>
      <c r="AU865" s="682"/>
      <c r="AV865" s="682"/>
      <c r="AW865" s="682"/>
      <c r="AX865" s="682"/>
      <c r="AY865" s="682"/>
      <c r="AZ865" s="682"/>
      <c r="BA865" s="682"/>
      <c r="BB865" s="682"/>
      <c r="BC865" s="682"/>
      <c r="BD865" s="682"/>
      <c r="BE865" s="682"/>
      <c r="BF865" s="682"/>
      <c r="BG865" s="682"/>
      <c r="BH865" s="682"/>
      <c r="BI865" s="682"/>
      <c r="BJ865" s="682"/>
      <c r="BK865" s="682"/>
      <c r="BL865" s="682"/>
      <c r="BM865" s="682"/>
      <c r="BN865" s="682"/>
      <c r="BO865" s="682"/>
      <c r="BP865" s="682"/>
      <c r="BQ865" s="682"/>
      <c r="BR865" s="682"/>
      <c r="BS865" s="682"/>
      <c r="BT865" s="682"/>
      <c r="BU865" s="682"/>
      <c r="BV865" s="682"/>
      <c r="BW865" s="682"/>
      <c r="BX865" s="682"/>
      <c r="BY865" s="682"/>
      <c r="BZ865" s="682"/>
      <c r="CA865" s="682"/>
      <c r="CB865" s="682"/>
      <c r="CC865" s="682"/>
      <c r="CD865" s="682"/>
      <c r="CE865" s="682"/>
      <c r="CF865" s="682"/>
      <c r="CG865" s="682"/>
      <c r="CH865" s="682"/>
      <c r="CI865" s="682"/>
      <c r="CJ865" s="682"/>
      <c r="CK865" s="682"/>
      <c r="CL865" s="682"/>
      <c r="CM865" s="682"/>
      <c r="CN865" s="682"/>
      <c r="CO865" s="682"/>
      <c r="CP865" s="682"/>
      <c r="CQ865" s="682"/>
      <c r="CR865" s="682"/>
      <c r="CS865" s="682"/>
      <c r="CT865" s="682"/>
      <c r="CU865" s="682"/>
      <c r="CV865" s="682"/>
      <c r="CW865" s="682"/>
      <c r="CX865" s="682"/>
      <c r="CY865" s="682"/>
      <c r="CZ865" s="682"/>
      <c r="DA865" s="682"/>
      <c r="DB865" s="682"/>
      <c r="DC865" s="682"/>
      <c r="DD865" s="682"/>
      <c r="DE865" s="682"/>
      <c r="DF865" s="682"/>
      <c r="DG865" s="682"/>
      <c r="DH865" s="682"/>
      <c r="DI865" s="682"/>
      <c r="DJ865" s="682"/>
      <c r="DK865" s="682"/>
      <c r="DL865" s="682"/>
      <c r="DM865" s="682"/>
      <c r="DN865" s="682"/>
      <c r="DO865" s="682"/>
      <c r="DP865" s="682"/>
      <c r="DQ865" s="682"/>
      <c r="DR865" s="682"/>
      <c r="DS865" s="682"/>
      <c r="DT865" s="682"/>
      <c r="DU865" s="682"/>
      <c r="DV865" s="682"/>
      <c r="DW865" s="682"/>
      <c r="DX865" s="682"/>
      <c r="DY865" s="682"/>
      <c r="DZ865" s="682"/>
      <c r="EA865" s="682"/>
      <c r="EB865" s="682"/>
      <c r="EC865" s="682"/>
      <c r="ED865" s="682"/>
      <c r="EE865" s="682"/>
      <c r="EF865" s="682"/>
      <c r="EG865" s="682"/>
      <c r="EH865" s="682"/>
      <c r="EI865" s="682"/>
      <c r="EJ865" s="682"/>
      <c r="EK865" s="682"/>
      <c r="EL865" s="682"/>
      <c r="EM865" s="682"/>
      <c r="EN865" s="682"/>
      <c r="EO865" s="682"/>
      <c r="EP865" s="682"/>
      <c r="EQ865" s="682"/>
      <c r="ER865" s="682"/>
      <c r="ES865" s="682"/>
      <c r="ET865" s="682"/>
      <c r="EU865" s="682"/>
      <c r="EV865" s="682"/>
      <c r="EW865" s="682"/>
      <c r="EX865" s="682"/>
      <c r="EY865" s="682"/>
      <c r="EZ865" s="682"/>
      <c r="FA865" s="682"/>
      <c r="FB865" s="682"/>
      <c r="FC865" s="682"/>
      <c r="FD865" s="682"/>
      <c r="FE865" s="682"/>
      <c r="FF865" s="682"/>
      <c r="FG865" s="682"/>
      <c r="FH865" s="682"/>
      <c r="FI865" s="682"/>
      <c r="FJ865" s="682"/>
      <c r="FK865" s="682"/>
      <c r="FL865" s="682"/>
      <c r="FM865" s="682"/>
      <c r="FN865" s="682"/>
      <c r="FO865" s="682"/>
      <c r="FP865" s="682"/>
      <c r="FQ865" s="682"/>
      <c r="FR865" s="682"/>
      <c r="FS865" s="682"/>
      <c r="FT865" s="682"/>
      <c r="FU865" s="682"/>
      <c r="FV865" s="682"/>
      <c r="FW865" s="682"/>
      <c r="FX865" s="682"/>
      <c r="FY865" s="682"/>
      <c r="FZ865" s="682"/>
      <c r="GA865" s="682"/>
      <c r="GB865" s="682"/>
      <c r="GC865" s="682"/>
      <c r="GD865" s="682"/>
      <c r="GE865" s="682"/>
      <c r="GF865" s="682"/>
      <c r="GG865" s="682"/>
      <c r="GH865" s="682"/>
      <c r="GI865" s="682"/>
      <c r="GJ865" s="682"/>
      <c r="GK865" s="682"/>
      <c r="GL865" s="682"/>
      <c r="GM865" s="682"/>
      <c r="GN865" s="682"/>
      <c r="GO865" s="682"/>
      <c r="GP865" s="682"/>
      <c r="GQ865" s="682"/>
      <c r="GR865" s="682"/>
      <c r="GS865" s="682"/>
      <c r="GT865" s="682"/>
      <c r="GU865" s="682"/>
      <c r="GV865" s="682"/>
      <c r="GW865" s="682"/>
      <c r="GX865" s="682"/>
      <c r="GY865" s="682"/>
      <c r="GZ865" s="682"/>
      <c r="HA865" s="682"/>
      <c r="HB865" s="682"/>
      <c r="HC865" s="682"/>
      <c r="HD865" s="682"/>
      <c r="HE865" s="682"/>
      <c r="HF865" s="682"/>
      <c r="HG865" s="682"/>
      <c r="HH865" s="682"/>
      <c r="HI865" s="682"/>
      <c r="HJ865" s="682"/>
      <c r="HK865" s="682"/>
      <c r="HL865" s="682"/>
      <c r="HM865" s="682"/>
      <c r="HN865" s="682"/>
      <c r="HO865" s="682"/>
      <c r="HP865" s="682"/>
      <c r="HQ865" s="682"/>
      <c r="HR865" s="682"/>
      <c r="HS865" s="682"/>
      <c r="HT865" s="682"/>
      <c r="HU865" s="682"/>
      <c r="HV865" s="682"/>
      <c r="HW865" s="682"/>
      <c r="HX865" s="682"/>
      <c r="HY865" s="682"/>
      <c r="HZ865" s="682"/>
      <c r="IA865" s="682"/>
      <c r="IB865" s="682"/>
      <c r="IC865" s="682"/>
      <c r="ID865" s="682"/>
      <c r="IE865" s="682"/>
      <c r="IF865" s="682"/>
      <c r="IG865" s="682"/>
      <c r="IH865" s="682"/>
      <c r="II865" s="682"/>
      <c r="IJ865" s="682"/>
      <c r="IK865" s="682"/>
      <c r="IL865" s="682"/>
      <c r="IM865" s="682"/>
      <c r="IN865" s="682"/>
      <c r="IO865" s="682"/>
      <c r="IP865" s="682"/>
      <c r="IQ865" s="682"/>
      <c r="IR865" s="682"/>
      <c r="IS865" s="682"/>
      <c r="IT865" s="682"/>
      <c r="IU865" s="682"/>
      <c r="IV865" s="682"/>
      <c r="IW865" s="682"/>
    </row>
    <row r="866" spans="1:257" s="681" customFormat="1" ht="31.5">
      <c r="A866" s="1147" t="s">
        <v>91</v>
      </c>
      <c r="B866" s="902" t="s">
        <v>462</v>
      </c>
      <c r="C866" s="624"/>
      <c r="D866" s="624"/>
      <c r="E866" s="1149"/>
      <c r="F866" s="676">
        <v>25000000</v>
      </c>
      <c r="G866" s="960"/>
      <c r="H866" s="960"/>
      <c r="I866" s="960"/>
      <c r="J866" s="676">
        <v>25000000</v>
      </c>
      <c r="K866" s="676">
        <v>25000000</v>
      </c>
      <c r="L866" s="1305">
        <v>25000000</v>
      </c>
      <c r="M866" s="676"/>
      <c r="N866" s="826"/>
      <c r="O866" s="826"/>
      <c r="P866" s="1052"/>
      <c r="Q866" s="1052"/>
      <c r="R866" s="871"/>
      <c r="S866" s="871"/>
      <c r="T866" s="824"/>
      <c r="U866" s="580"/>
      <c r="V866" s="727"/>
      <c r="W866" s="727"/>
      <c r="X866" s="728"/>
      <c r="Y866" s="682"/>
      <c r="Z866" s="682"/>
      <c r="AA866" s="682"/>
      <c r="AB866" s="682"/>
      <c r="AC866" s="682"/>
      <c r="AD866" s="682"/>
      <c r="AE866" s="682"/>
      <c r="AF866" s="682"/>
      <c r="AG866" s="682"/>
      <c r="AH866" s="682"/>
      <c r="AI866" s="682"/>
      <c r="AJ866" s="682"/>
      <c r="AK866" s="682"/>
      <c r="AL866" s="682"/>
      <c r="AM866" s="682"/>
      <c r="AN866" s="682"/>
      <c r="AO866" s="682"/>
      <c r="AP866" s="682"/>
      <c r="AQ866" s="682"/>
      <c r="AR866" s="682"/>
      <c r="AS866" s="682"/>
      <c r="AT866" s="682"/>
      <c r="AU866" s="682"/>
      <c r="AV866" s="682"/>
      <c r="AW866" s="682"/>
      <c r="AX866" s="682"/>
      <c r="AY866" s="682"/>
      <c r="AZ866" s="682"/>
      <c r="BA866" s="682"/>
      <c r="BB866" s="682"/>
      <c r="BC866" s="682"/>
      <c r="BD866" s="682"/>
      <c r="BE866" s="682"/>
      <c r="BF866" s="682"/>
      <c r="BG866" s="682"/>
      <c r="BH866" s="682"/>
      <c r="BI866" s="682"/>
      <c r="BJ866" s="682"/>
      <c r="BK866" s="682"/>
      <c r="BL866" s="682"/>
      <c r="BM866" s="682"/>
      <c r="BN866" s="682"/>
      <c r="BO866" s="682"/>
      <c r="BP866" s="682"/>
      <c r="BQ866" s="682"/>
      <c r="BR866" s="682"/>
      <c r="BS866" s="682"/>
      <c r="BT866" s="682"/>
      <c r="BU866" s="682"/>
      <c r="BV866" s="682"/>
      <c r="BW866" s="682"/>
      <c r="BX866" s="682"/>
      <c r="BY866" s="682"/>
      <c r="BZ866" s="682"/>
      <c r="CA866" s="682"/>
      <c r="CB866" s="682"/>
      <c r="CC866" s="682"/>
      <c r="CD866" s="682"/>
      <c r="CE866" s="682"/>
      <c r="CF866" s="682"/>
      <c r="CG866" s="682"/>
      <c r="CH866" s="682"/>
      <c r="CI866" s="682"/>
      <c r="CJ866" s="682"/>
      <c r="CK866" s="682"/>
      <c r="CL866" s="682"/>
      <c r="CM866" s="682"/>
      <c r="CN866" s="682"/>
      <c r="CO866" s="682"/>
      <c r="CP866" s="682"/>
      <c r="CQ866" s="682"/>
      <c r="CR866" s="682"/>
      <c r="CS866" s="682"/>
      <c r="CT866" s="682"/>
      <c r="CU866" s="682"/>
      <c r="CV866" s="682"/>
      <c r="CW866" s="682"/>
      <c r="CX866" s="682"/>
      <c r="CY866" s="682"/>
      <c r="CZ866" s="682"/>
      <c r="DA866" s="682"/>
      <c r="DB866" s="682"/>
      <c r="DC866" s="682"/>
      <c r="DD866" s="682"/>
      <c r="DE866" s="682"/>
      <c r="DF866" s="682"/>
      <c r="DG866" s="682"/>
      <c r="DH866" s="682"/>
      <c r="DI866" s="682"/>
      <c r="DJ866" s="682"/>
      <c r="DK866" s="682"/>
      <c r="DL866" s="682"/>
      <c r="DM866" s="682"/>
      <c r="DN866" s="682"/>
      <c r="DO866" s="682"/>
      <c r="DP866" s="682"/>
      <c r="DQ866" s="682"/>
      <c r="DR866" s="682"/>
      <c r="DS866" s="682"/>
      <c r="DT866" s="682"/>
      <c r="DU866" s="682"/>
      <c r="DV866" s="682"/>
      <c r="DW866" s="682"/>
      <c r="DX866" s="682"/>
      <c r="DY866" s="682"/>
      <c r="DZ866" s="682"/>
      <c r="EA866" s="682"/>
      <c r="EB866" s="682"/>
      <c r="EC866" s="682"/>
      <c r="ED866" s="682"/>
      <c r="EE866" s="682"/>
      <c r="EF866" s="682"/>
      <c r="EG866" s="682"/>
      <c r="EH866" s="682"/>
      <c r="EI866" s="682"/>
      <c r="EJ866" s="682"/>
      <c r="EK866" s="682"/>
      <c r="EL866" s="682"/>
      <c r="EM866" s="682"/>
      <c r="EN866" s="682"/>
      <c r="EO866" s="682"/>
      <c r="EP866" s="682"/>
      <c r="EQ866" s="682"/>
      <c r="ER866" s="682"/>
      <c r="ES866" s="682"/>
      <c r="ET866" s="682"/>
      <c r="EU866" s="682"/>
      <c r="EV866" s="682"/>
      <c r="EW866" s="682"/>
      <c r="EX866" s="682"/>
      <c r="EY866" s="682"/>
      <c r="EZ866" s="682"/>
      <c r="FA866" s="682"/>
      <c r="FB866" s="682"/>
      <c r="FC866" s="682"/>
      <c r="FD866" s="682"/>
      <c r="FE866" s="682"/>
      <c r="FF866" s="682"/>
      <c r="FG866" s="682"/>
      <c r="FH866" s="682"/>
      <c r="FI866" s="682"/>
      <c r="FJ866" s="682"/>
      <c r="FK866" s="682"/>
      <c r="FL866" s="682"/>
      <c r="FM866" s="682"/>
      <c r="FN866" s="682"/>
      <c r="FO866" s="682"/>
      <c r="FP866" s="682"/>
      <c r="FQ866" s="682"/>
      <c r="FR866" s="682"/>
      <c r="FS866" s="682"/>
      <c r="FT866" s="682"/>
      <c r="FU866" s="682"/>
      <c r="FV866" s="682"/>
      <c r="FW866" s="682"/>
      <c r="FX866" s="682"/>
      <c r="FY866" s="682"/>
      <c r="FZ866" s="682"/>
      <c r="GA866" s="682"/>
      <c r="GB866" s="682"/>
      <c r="GC866" s="682"/>
      <c r="GD866" s="682"/>
      <c r="GE866" s="682"/>
      <c r="GF866" s="682"/>
      <c r="GG866" s="682"/>
      <c r="GH866" s="682"/>
      <c r="GI866" s="682"/>
      <c r="GJ866" s="682"/>
      <c r="GK866" s="682"/>
      <c r="GL866" s="682"/>
      <c r="GM866" s="682"/>
      <c r="GN866" s="682"/>
      <c r="GO866" s="682"/>
      <c r="GP866" s="682"/>
      <c r="GQ866" s="682"/>
      <c r="GR866" s="682"/>
      <c r="GS866" s="682"/>
      <c r="GT866" s="682"/>
      <c r="GU866" s="682"/>
      <c r="GV866" s="682"/>
      <c r="GW866" s="682"/>
      <c r="GX866" s="682"/>
      <c r="GY866" s="682"/>
      <c r="GZ866" s="682"/>
      <c r="HA866" s="682"/>
      <c r="HB866" s="682"/>
      <c r="HC866" s="682"/>
      <c r="HD866" s="682"/>
      <c r="HE866" s="682"/>
      <c r="HF866" s="682"/>
      <c r="HG866" s="682"/>
      <c r="HH866" s="682"/>
      <c r="HI866" s="682"/>
      <c r="HJ866" s="682"/>
      <c r="HK866" s="682"/>
      <c r="HL866" s="682"/>
      <c r="HM866" s="682"/>
      <c r="HN866" s="682"/>
      <c r="HO866" s="682"/>
      <c r="HP866" s="682"/>
      <c r="HQ866" s="682"/>
      <c r="HR866" s="682"/>
      <c r="HS866" s="682"/>
      <c r="HT866" s="682"/>
      <c r="HU866" s="682"/>
      <c r="HV866" s="682"/>
      <c r="HW866" s="682"/>
      <c r="HX866" s="682"/>
      <c r="HY866" s="682"/>
      <c r="HZ866" s="682"/>
      <c r="IA866" s="682"/>
      <c r="IB866" s="682"/>
      <c r="IC866" s="682"/>
      <c r="ID866" s="682"/>
      <c r="IE866" s="682"/>
      <c r="IF866" s="682"/>
      <c r="IG866" s="682"/>
      <c r="IH866" s="682"/>
      <c r="II866" s="682"/>
      <c r="IJ866" s="682"/>
      <c r="IK866" s="682"/>
      <c r="IL866" s="682"/>
      <c r="IM866" s="682"/>
      <c r="IN866" s="682"/>
      <c r="IO866" s="682"/>
      <c r="IP866" s="682"/>
      <c r="IQ866" s="682"/>
      <c r="IR866" s="682"/>
      <c r="IS866" s="682"/>
      <c r="IT866" s="682"/>
      <c r="IU866" s="682"/>
      <c r="IV866" s="682"/>
      <c r="IW866" s="682"/>
    </row>
    <row r="867" spans="1:257" s="681" customFormat="1">
      <c r="A867" s="729" t="s">
        <v>261</v>
      </c>
      <c r="B867" s="833" t="s">
        <v>463</v>
      </c>
      <c r="C867" s="729"/>
      <c r="D867" s="729"/>
      <c r="E867" s="731"/>
      <c r="F867" s="1150">
        <f>SUM(F868:F895)</f>
        <v>5711000000</v>
      </c>
      <c r="G867" s="882"/>
      <c r="H867" s="882"/>
      <c r="I867" s="882"/>
      <c r="J867" s="1150">
        <f>SUM(J868:J895)</f>
        <v>6426000000</v>
      </c>
      <c r="K867" s="1150">
        <f>SUM(K868:K895)</f>
        <v>7949000000</v>
      </c>
      <c r="L867" s="1329">
        <f>SUM(L868:L895)</f>
        <v>11849700000</v>
      </c>
      <c r="M867" s="1151"/>
      <c r="N867" s="1152">
        <f>L867-'Thành ủy V'!C31</f>
        <v>0</v>
      </c>
      <c r="O867" s="1152"/>
      <c r="P867" s="890"/>
      <c r="Q867" s="890"/>
      <c r="R867" s="871">
        <f>7750-7670</f>
        <v>80</v>
      </c>
      <c r="S867" s="900"/>
      <c r="T867" s="822"/>
      <c r="U867" s="580"/>
      <c r="V867" s="727"/>
      <c r="W867" s="680"/>
      <c r="X867" s="677"/>
    </row>
    <row r="868" spans="1:257" s="694" customFormat="1">
      <c r="A868" s="774" t="s">
        <v>258</v>
      </c>
      <c r="B868" s="902" t="s">
        <v>464</v>
      </c>
      <c r="C868" s="774"/>
      <c r="D868" s="774"/>
      <c r="E868" s="676"/>
      <c r="F868" s="761">
        <v>80000000</v>
      </c>
      <c r="G868" s="988"/>
      <c r="H868" s="988"/>
      <c r="I868" s="988"/>
      <c r="J868" s="761">
        <v>80000000</v>
      </c>
      <c r="K868" s="761">
        <v>150000000</v>
      </c>
      <c r="L868" s="1306">
        <v>200000000</v>
      </c>
      <c r="M868" s="761"/>
      <c r="N868" s="1000"/>
      <c r="O868" s="1000"/>
      <c r="P868" s="1153"/>
      <c r="Q868" s="1153"/>
      <c r="R868" s="941"/>
      <c r="S868" s="952"/>
      <c r="T868" s="953"/>
      <c r="U868" s="745"/>
      <c r="V868" s="693"/>
      <c r="W868" s="693"/>
      <c r="X868" s="690"/>
    </row>
    <row r="869" spans="1:257" s="694" customFormat="1" ht="31.5">
      <c r="A869" s="774" t="s">
        <v>258</v>
      </c>
      <c r="B869" s="902" t="s">
        <v>2046</v>
      </c>
      <c r="C869" s="1008"/>
      <c r="D869" s="1008"/>
      <c r="E869" s="761"/>
      <c r="F869" s="761">
        <v>50000000</v>
      </c>
      <c r="G869" s="676"/>
      <c r="H869" s="676"/>
      <c r="I869" s="676"/>
      <c r="J869" s="761">
        <v>50000000</v>
      </c>
      <c r="K869" s="761">
        <v>45000000</v>
      </c>
      <c r="L869" s="1306">
        <v>700000000</v>
      </c>
      <c r="M869" s="761"/>
      <c r="N869" s="1000"/>
      <c r="O869" s="1000"/>
      <c r="P869" s="940"/>
      <c r="Q869" s="940"/>
      <c r="R869" s="1154"/>
      <c r="S869" s="905"/>
      <c r="T869" s="906"/>
      <c r="U869" s="734"/>
      <c r="V869" s="693"/>
      <c r="W869" s="693"/>
      <c r="X869" s="690"/>
    </row>
    <row r="870" spans="1:257" s="694" customFormat="1">
      <c r="A870" s="774" t="s">
        <v>258</v>
      </c>
      <c r="B870" s="902" t="s">
        <v>466</v>
      </c>
      <c r="C870" s="1008"/>
      <c r="D870" s="1008"/>
      <c r="E870" s="761"/>
      <c r="F870" s="761">
        <v>250000000</v>
      </c>
      <c r="G870" s="761"/>
      <c r="H870" s="761"/>
      <c r="I870" s="761"/>
      <c r="J870" s="761">
        <v>250000000</v>
      </c>
      <c r="K870" s="761">
        <v>300000000</v>
      </c>
      <c r="L870" s="1306">
        <v>320000000</v>
      </c>
      <c r="M870" s="761"/>
      <c r="N870" s="1000"/>
      <c r="O870" s="1000"/>
      <c r="P870" s="1155"/>
      <c r="Q870" s="1155"/>
      <c r="R870" s="1155" t="s">
        <v>1154</v>
      </c>
      <c r="S870" s="905"/>
      <c r="T870" s="906"/>
      <c r="U870" s="734"/>
      <c r="V870" s="693"/>
      <c r="W870" s="693"/>
      <c r="X870" s="690"/>
    </row>
    <row r="871" spans="1:257" s="681" customFormat="1">
      <c r="A871" s="635" t="s">
        <v>258</v>
      </c>
      <c r="B871" s="696" t="s">
        <v>467</v>
      </c>
      <c r="C871" s="683"/>
      <c r="D871" s="683"/>
      <c r="E871" s="669"/>
      <c r="F871" s="669">
        <v>95000000</v>
      </c>
      <c r="G871" s="669"/>
      <c r="H871" s="669"/>
      <c r="I871" s="669"/>
      <c r="J871" s="669">
        <v>95000000</v>
      </c>
      <c r="K871" s="669">
        <v>95000000</v>
      </c>
      <c r="L871" s="1306">
        <v>95000000</v>
      </c>
      <c r="M871" s="669" t="s">
        <v>1537</v>
      </c>
      <c r="N871" s="837"/>
      <c r="O871" s="837"/>
      <c r="P871" s="1156"/>
      <c r="Q871" s="1156"/>
      <c r="R871" s="1156"/>
      <c r="S871" s="908"/>
      <c r="T871" s="1017"/>
      <c r="U871" s="726"/>
      <c r="V871" s="680"/>
      <c r="W871" s="680"/>
      <c r="X871" s="677"/>
    </row>
    <row r="872" spans="1:257" s="681" customFormat="1" ht="53.25" customHeight="1">
      <c r="A872" s="635" t="s">
        <v>258</v>
      </c>
      <c r="B872" s="696" t="s">
        <v>468</v>
      </c>
      <c r="C872" s="683"/>
      <c r="D872" s="683"/>
      <c r="E872" s="669"/>
      <c r="F872" s="669">
        <v>400000000</v>
      </c>
      <c r="G872" s="669"/>
      <c r="H872" s="669"/>
      <c r="I872" s="669"/>
      <c r="J872" s="669">
        <v>650000000</v>
      </c>
      <c r="K872" s="669">
        <v>650000000</v>
      </c>
      <c r="L872" s="1306">
        <v>620000000</v>
      </c>
      <c r="M872" s="669" t="s">
        <v>1551</v>
      </c>
      <c r="N872" s="837"/>
      <c r="O872" s="837"/>
      <c r="P872" s="1156"/>
      <c r="Q872" s="1156"/>
      <c r="R872" s="1156"/>
      <c r="S872" s="908"/>
      <c r="T872" s="1017"/>
      <c r="U872" s="726"/>
      <c r="V872" s="680"/>
      <c r="W872" s="680"/>
      <c r="X872" s="677"/>
    </row>
    <row r="873" spans="1:257" s="621" customFormat="1" ht="31.5">
      <c r="A873" s="635" t="s">
        <v>258</v>
      </c>
      <c r="B873" s="696" t="s">
        <v>1155</v>
      </c>
      <c r="C873" s="617"/>
      <c r="D873" s="617"/>
      <c r="E873" s="618"/>
      <c r="F873" s="669">
        <v>1700000000</v>
      </c>
      <c r="G873" s="618"/>
      <c r="H873" s="618"/>
      <c r="I873" s="618"/>
      <c r="J873" s="669">
        <v>1700000000</v>
      </c>
      <c r="K873" s="669">
        <v>700000000</v>
      </c>
      <c r="L873" s="1306">
        <v>700000000</v>
      </c>
      <c r="M873" s="761"/>
      <c r="N873" s="837"/>
      <c r="O873" s="837"/>
      <c r="P873" s="1157"/>
      <c r="Q873" s="1157"/>
      <c r="R873" s="1157"/>
      <c r="S873" s="867"/>
      <c r="T873" s="856"/>
      <c r="U873" s="667"/>
      <c r="V873" s="619"/>
      <c r="W873" s="619"/>
      <c r="X873" s="620"/>
    </row>
    <row r="874" spans="1:257" s="621" customFormat="1">
      <c r="A874" s="635"/>
      <c r="B874" s="696" t="s">
        <v>1156</v>
      </c>
      <c r="C874" s="617"/>
      <c r="D874" s="617"/>
      <c r="E874" s="618"/>
      <c r="F874" s="669"/>
      <c r="G874" s="618"/>
      <c r="H874" s="618"/>
      <c r="I874" s="618"/>
      <c r="J874" s="669"/>
      <c r="K874" s="669">
        <v>150000000</v>
      </c>
      <c r="L874" s="1306">
        <v>150000000</v>
      </c>
      <c r="M874" s="761"/>
      <c r="N874" s="837"/>
      <c r="O874" s="837"/>
      <c r="P874" s="1157"/>
      <c r="Q874" s="1157"/>
      <c r="R874" s="1157"/>
      <c r="S874" s="867"/>
      <c r="T874" s="856"/>
      <c r="U874" s="667"/>
      <c r="V874" s="619"/>
      <c r="W874" s="619"/>
      <c r="X874" s="620"/>
    </row>
    <row r="875" spans="1:257" s="621" customFormat="1" ht="31.5">
      <c r="A875" s="635"/>
      <c r="B875" s="696" t="s">
        <v>471</v>
      </c>
      <c r="C875" s="617"/>
      <c r="D875" s="617"/>
      <c r="E875" s="618"/>
      <c r="F875" s="669"/>
      <c r="G875" s="618"/>
      <c r="H875" s="618"/>
      <c r="I875" s="618"/>
      <c r="J875" s="669"/>
      <c r="K875" s="669">
        <v>1250000000</v>
      </c>
      <c r="L875" s="1306">
        <v>1250000000</v>
      </c>
      <c r="M875" s="669" t="s">
        <v>1540</v>
      </c>
      <c r="N875" s="837"/>
      <c r="O875" s="837"/>
      <c r="P875" s="1157"/>
      <c r="Q875" s="1157"/>
      <c r="R875" s="1157"/>
      <c r="S875" s="867"/>
      <c r="T875" s="856"/>
      <c r="U875" s="667"/>
      <c r="V875" s="619"/>
      <c r="W875" s="619"/>
      <c r="X875" s="620"/>
    </row>
    <row r="876" spans="1:257" s="681" customFormat="1" ht="31.5">
      <c r="A876" s="635" t="s">
        <v>258</v>
      </c>
      <c r="B876" s="696" t="s">
        <v>1538</v>
      </c>
      <c r="C876" s="683"/>
      <c r="D876" s="683"/>
      <c r="E876" s="669"/>
      <c r="F876" s="669">
        <v>250000000</v>
      </c>
      <c r="G876" s="669"/>
      <c r="H876" s="669"/>
      <c r="I876" s="669"/>
      <c r="J876" s="669">
        <v>300000000</v>
      </c>
      <c r="K876" s="669">
        <v>300000000</v>
      </c>
      <c r="L876" s="1306">
        <v>300000000</v>
      </c>
      <c r="M876" s="669" t="s">
        <v>1537</v>
      </c>
      <c r="N876" s="837"/>
      <c r="O876" s="837"/>
      <c r="P876" s="1156"/>
      <c r="Q876" s="1156"/>
      <c r="R876" s="1156"/>
      <c r="S876" s="908"/>
      <c r="T876" s="1017"/>
      <c r="U876" s="670"/>
      <c r="V876" s="680"/>
      <c r="W876" s="680"/>
      <c r="X876" s="677"/>
    </row>
    <row r="877" spans="1:257" s="681" customFormat="1">
      <c r="A877" s="635" t="s">
        <v>258</v>
      </c>
      <c r="B877" s="696" t="s">
        <v>473</v>
      </c>
      <c r="C877" s="683"/>
      <c r="D877" s="683"/>
      <c r="E877" s="669"/>
      <c r="F877" s="669">
        <v>250000000</v>
      </c>
      <c r="G877" s="669"/>
      <c r="H877" s="669"/>
      <c r="I877" s="669"/>
      <c r="J877" s="669">
        <v>250000000</v>
      </c>
      <c r="K877" s="669">
        <v>250000000</v>
      </c>
      <c r="L877" s="1306">
        <v>250000000</v>
      </c>
      <c r="M877" s="669"/>
      <c r="N877" s="837"/>
      <c r="O877" s="837"/>
      <c r="P877" s="1156"/>
      <c r="Q877" s="1156"/>
      <c r="R877" s="1156" t="s">
        <v>1157</v>
      </c>
      <c r="S877" s="908"/>
      <c r="T877" s="1017"/>
      <c r="U877" s="670"/>
      <c r="V877" s="680"/>
      <c r="W877" s="680"/>
      <c r="X877" s="677"/>
    </row>
    <row r="878" spans="1:257" s="582" customFormat="1" ht="48" customHeight="1">
      <c r="A878" s="635" t="s">
        <v>258</v>
      </c>
      <c r="B878" s="696" t="s">
        <v>474</v>
      </c>
      <c r="C878" s="683"/>
      <c r="D878" s="683"/>
      <c r="E878" s="669"/>
      <c r="F878" s="669">
        <v>1200000000</v>
      </c>
      <c r="G878" s="669"/>
      <c r="H878" s="669"/>
      <c r="I878" s="669"/>
      <c r="J878" s="669">
        <v>1500000000</v>
      </c>
      <c r="K878" s="669">
        <v>2000000000</v>
      </c>
      <c r="L878" s="1306">
        <v>2100000000</v>
      </c>
      <c r="M878" s="669"/>
      <c r="N878" s="837"/>
      <c r="O878" s="837"/>
      <c r="P878" s="837"/>
      <c r="Q878" s="837"/>
      <c r="R878" s="908"/>
      <c r="S878" s="908"/>
      <c r="T878" s="1017"/>
      <c r="U878" s="670"/>
      <c r="V878" s="680"/>
      <c r="W878" s="581"/>
      <c r="X878" s="578"/>
    </row>
    <row r="879" spans="1:257" s="582" customFormat="1" ht="45.75" customHeight="1">
      <c r="A879" s="635" t="s">
        <v>258</v>
      </c>
      <c r="B879" s="696" t="s">
        <v>475</v>
      </c>
      <c r="C879" s="683"/>
      <c r="D879" s="683"/>
      <c r="E879" s="669"/>
      <c r="F879" s="669">
        <v>120000000</v>
      </c>
      <c r="G879" s="669"/>
      <c r="H879" s="669"/>
      <c r="I879" s="669"/>
      <c r="J879" s="669">
        <v>120000000</v>
      </c>
      <c r="K879" s="669">
        <v>120000000</v>
      </c>
      <c r="L879" s="1306">
        <v>120000000</v>
      </c>
      <c r="M879" s="669" t="s">
        <v>1537</v>
      </c>
      <c r="N879" s="837"/>
      <c r="O879" s="837"/>
      <c r="P879" s="837"/>
      <c r="Q879" s="837"/>
      <c r="R879" s="908"/>
      <c r="S879" s="908"/>
      <c r="T879" s="1017"/>
      <c r="U879" s="670"/>
      <c r="V879" s="581"/>
      <c r="W879" s="581"/>
      <c r="X879" s="578"/>
    </row>
    <row r="880" spans="1:257" s="582" customFormat="1" ht="36.75" customHeight="1">
      <c r="A880" s="635" t="s">
        <v>258</v>
      </c>
      <c r="B880" s="696" t="s">
        <v>476</v>
      </c>
      <c r="C880" s="683"/>
      <c r="D880" s="683"/>
      <c r="E880" s="669"/>
      <c r="F880" s="669">
        <v>80000000</v>
      </c>
      <c r="G880" s="669"/>
      <c r="H880" s="669"/>
      <c r="I880" s="669"/>
      <c r="J880" s="669">
        <v>80000000</v>
      </c>
      <c r="K880" s="669">
        <v>80000000</v>
      </c>
      <c r="L880" s="1306">
        <v>80000000</v>
      </c>
      <c r="M880" s="669" t="s">
        <v>1536</v>
      </c>
      <c r="N880" s="837"/>
      <c r="O880" s="837"/>
      <c r="P880" s="837"/>
      <c r="Q880" s="837"/>
      <c r="R880" s="908"/>
      <c r="S880" s="908"/>
      <c r="T880" s="1017"/>
      <c r="U880" s="670"/>
      <c r="V880" s="581"/>
      <c r="W880" s="581"/>
      <c r="X880" s="578"/>
    </row>
    <row r="881" spans="1:257" s="681" customFormat="1">
      <c r="A881" s="635" t="s">
        <v>258</v>
      </c>
      <c r="B881" s="696" t="s">
        <v>477</v>
      </c>
      <c r="C881" s="683"/>
      <c r="D881" s="683"/>
      <c r="E881" s="669"/>
      <c r="F881" s="669">
        <v>150000000</v>
      </c>
      <c r="G881" s="669"/>
      <c r="H881" s="669"/>
      <c r="I881" s="669"/>
      <c r="J881" s="669">
        <v>75000000</v>
      </c>
      <c r="K881" s="669">
        <v>75000000</v>
      </c>
      <c r="L881" s="1306">
        <v>99200000</v>
      </c>
      <c r="M881" s="669"/>
      <c r="N881" s="837"/>
      <c r="O881" s="837"/>
      <c r="P881" s="837"/>
      <c r="Q881" s="837"/>
      <c r="R881" s="908"/>
      <c r="S881" s="908"/>
      <c r="T881" s="1017"/>
      <c r="U881" s="670"/>
      <c r="V881" s="581"/>
      <c r="W881" s="581"/>
      <c r="X881" s="578"/>
      <c r="Y881" s="582"/>
      <c r="Z881" s="582"/>
      <c r="AA881" s="582"/>
      <c r="AB881" s="582"/>
      <c r="AC881" s="582"/>
      <c r="AD881" s="582"/>
      <c r="AE881" s="582"/>
      <c r="AF881" s="582"/>
      <c r="AG881" s="582"/>
      <c r="AH881" s="582"/>
      <c r="AI881" s="582"/>
      <c r="AJ881" s="582"/>
      <c r="AK881" s="582"/>
      <c r="AL881" s="582"/>
      <c r="AM881" s="582"/>
      <c r="AN881" s="582"/>
      <c r="AO881" s="582"/>
      <c r="AP881" s="582"/>
      <c r="AQ881" s="582"/>
      <c r="AR881" s="582"/>
      <c r="AS881" s="582"/>
      <c r="AT881" s="582"/>
      <c r="AU881" s="582"/>
      <c r="AV881" s="582"/>
      <c r="AW881" s="582"/>
      <c r="AX881" s="582"/>
      <c r="AY881" s="582"/>
      <c r="AZ881" s="582"/>
      <c r="BA881" s="582"/>
      <c r="BB881" s="582"/>
      <c r="BC881" s="582"/>
      <c r="BD881" s="582"/>
      <c r="BE881" s="582"/>
      <c r="BF881" s="582"/>
      <c r="BG881" s="582"/>
      <c r="BH881" s="582"/>
      <c r="BI881" s="582"/>
      <c r="BJ881" s="582"/>
      <c r="BK881" s="582"/>
      <c r="BL881" s="582"/>
      <c r="BM881" s="582"/>
      <c r="BN881" s="582"/>
      <c r="BO881" s="582"/>
      <c r="BP881" s="582"/>
      <c r="BQ881" s="582"/>
      <c r="BR881" s="582"/>
      <c r="BS881" s="582"/>
      <c r="BT881" s="582"/>
      <c r="BU881" s="582"/>
      <c r="BV881" s="582"/>
      <c r="BW881" s="582"/>
      <c r="BX881" s="582"/>
      <c r="BY881" s="582"/>
      <c r="BZ881" s="582"/>
      <c r="CA881" s="582"/>
      <c r="CB881" s="582"/>
      <c r="CC881" s="582"/>
      <c r="CD881" s="582"/>
      <c r="CE881" s="582"/>
      <c r="CF881" s="582"/>
      <c r="CG881" s="582"/>
      <c r="CH881" s="582"/>
      <c r="CI881" s="582"/>
      <c r="CJ881" s="582"/>
      <c r="CK881" s="582"/>
      <c r="CL881" s="582"/>
      <c r="CM881" s="582"/>
      <c r="CN881" s="582"/>
      <c r="CO881" s="582"/>
      <c r="CP881" s="582"/>
      <c r="CQ881" s="582"/>
      <c r="CR881" s="582"/>
      <c r="CS881" s="582"/>
      <c r="CT881" s="582"/>
      <c r="CU881" s="582"/>
      <c r="CV881" s="582"/>
      <c r="CW881" s="582"/>
      <c r="CX881" s="582"/>
      <c r="CY881" s="582"/>
      <c r="CZ881" s="582"/>
      <c r="DA881" s="582"/>
      <c r="DB881" s="582"/>
      <c r="DC881" s="582"/>
      <c r="DD881" s="582"/>
      <c r="DE881" s="582"/>
      <c r="DF881" s="582"/>
      <c r="DG881" s="582"/>
      <c r="DH881" s="582"/>
      <c r="DI881" s="582"/>
      <c r="DJ881" s="582"/>
      <c r="DK881" s="582"/>
      <c r="DL881" s="582"/>
      <c r="DM881" s="582"/>
      <c r="DN881" s="582"/>
      <c r="DO881" s="582"/>
      <c r="DP881" s="582"/>
      <c r="DQ881" s="582"/>
      <c r="DR881" s="582"/>
      <c r="DS881" s="582"/>
      <c r="DT881" s="582"/>
      <c r="DU881" s="582"/>
      <c r="DV881" s="582"/>
      <c r="DW881" s="582"/>
      <c r="DX881" s="582"/>
      <c r="DY881" s="582"/>
      <c r="DZ881" s="582"/>
      <c r="EA881" s="582"/>
      <c r="EB881" s="582"/>
      <c r="EC881" s="582"/>
      <c r="ED881" s="582"/>
      <c r="EE881" s="582"/>
      <c r="EF881" s="582"/>
      <c r="EG881" s="582"/>
      <c r="EH881" s="582"/>
      <c r="EI881" s="582"/>
      <c r="EJ881" s="582"/>
      <c r="EK881" s="582"/>
      <c r="EL881" s="582"/>
      <c r="EM881" s="582"/>
      <c r="EN881" s="582"/>
      <c r="EO881" s="582"/>
      <c r="EP881" s="582"/>
      <c r="EQ881" s="582"/>
      <c r="ER881" s="582"/>
      <c r="ES881" s="582"/>
      <c r="ET881" s="582"/>
      <c r="EU881" s="582"/>
      <c r="EV881" s="582"/>
      <c r="EW881" s="582"/>
      <c r="EX881" s="582"/>
      <c r="EY881" s="582"/>
      <c r="EZ881" s="582"/>
      <c r="FA881" s="582"/>
      <c r="FB881" s="582"/>
      <c r="FC881" s="582"/>
      <c r="FD881" s="582"/>
      <c r="FE881" s="582"/>
      <c r="FF881" s="582"/>
      <c r="FG881" s="582"/>
      <c r="FH881" s="582"/>
      <c r="FI881" s="582"/>
      <c r="FJ881" s="582"/>
      <c r="FK881" s="582"/>
      <c r="FL881" s="582"/>
      <c r="FM881" s="582"/>
      <c r="FN881" s="582"/>
      <c r="FO881" s="582"/>
      <c r="FP881" s="582"/>
      <c r="FQ881" s="582"/>
      <c r="FR881" s="582"/>
      <c r="FS881" s="582"/>
      <c r="FT881" s="582"/>
      <c r="FU881" s="582"/>
      <c r="FV881" s="582"/>
      <c r="FW881" s="582"/>
      <c r="FX881" s="582"/>
      <c r="FY881" s="582"/>
      <c r="FZ881" s="582"/>
      <c r="GA881" s="582"/>
      <c r="GB881" s="582"/>
      <c r="GC881" s="582"/>
      <c r="GD881" s="582"/>
      <c r="GE881" s="582"/>
      <c r="GF881" s="582"/>
      <c r="GG881" s="582"/>
      <c r="GH881" s="582"/>
      <c r="GI881" s="582"/>
      <c r="GJ881" s="582"/>
      <c r="GK881" s="582"/>
      <c r="GL881" s="582"/>
      <c r="GM881" s="582"/>
      <c r="GN881" s="582"/>
      <c r="GO881" s="582"/>
      <c r="GP881" s="582"/>
      <c r="GQ881" s="582"/>
      <c r="GR881" s="582"/>
      <c r="GS881" s="582"/>
      <c r="GT881" s="582"/>
      <c r="GU881" s="582"/>
      <c r="GV881" s="582"/>
      <c r="GW881" s="582"/>
      <c r="GX881" s="582"/>
      <c r="GY881" s="582"/>
      <c r="GZ881" s="582"/>
      <c r="HA881" s="582"/>
      <c r="HB881" s="582"/>
      <c r="HC881" s="582"/>
      <c r="HD881" s="582"/>
      <c r="HE881" s="582"/>
      <c r="HF881" s="582"/>
      <c r="HG881" s="582"/>
      <c r="HH881" s="582"/>
      <c r="HI881" s="582"/>
      <c r="HJ881" s="582"/>
      <c r="HK881" s="582"/>
      <c r="HL881" s="582"/>
      <c r="HM881" s="582"/>
      <c r="HN881" s="582"/>
      <c r="HO881" s="582"/>
      <c r="HP881" s="582"/>
      <c r="HQ881" s="582"/>
      <c r="HR881" s="582"/>
      <c r="HS881" s="582"/>
      <c r="HT881" s="582"/>
      <c r="HU881" s="582"/>
      <c r="HV881" s="582"/>
      <c r="HW881" s="582"/>
      <c r="HX881" s="582"/>
      <c r="HY881" s="582"/>
      <c r="HZ881" s="582"/>
      <c r="IA881" s="582"/>
      <c r="IB881" s="582"/>
      <c r="IC881" s="582"/>
      <c r="ID881" s="582"/>
      <c r="IE881" s="582"/>
      <c r="IF881" s="582"/>
      <c r="IG881" s="582"/>
      <c r="IH881" s="582"/>
      <c r="II881" s="582"/>
      <c r="IJ881" s="582"/>
      <c r="IK881" s="582"/>
      <c r="IL881" s="582"/>
      <c r="IM881" s="582"/>
      <c r="IN881" s="582"/>
      <c r="IO881" s="582"/>
      <c r="IP881" s="582"/>
      <c r="IQ881" s="582"/>
      <c r="IR881" s="582"/>
      <c r="IS881" s="582"/>
      <c r="IT881" s="582"/>
      <c r="IU881" s="582"/>
      <c r="IV881" s="582"/>
      <c r="IW881" s="582"/>
    </row>
    <row r="882" spans="1:257" s="681" customFormat="1">
      <c r="A882" s="635"/>
      <c r="B882" s="696" t="s">
        <v>1531</v>
      </c>
      <c r="C882" s="683"/>
      <c r="D882" s="683"/>
      <c r="E882" s="669"/>
      <c r="F882" s="669"/>
      <c r="G882" s="669"/>
      <c r="H882" s="669"/>
      <c r="I882" s="669"/>
      <c r="J882" s="669"/>
      <c r="K882" s="669"/>
      <c r="L882" s="1306">
        <v>81400000</v>
      </c>
      <c r="M882" s="669"/>
      <c r="N882" s="837"/>
      <c r="O882" s="837"/>
      <c r="P882" s="837"/>
      <c r="Q882" s="837"/>
      <c r="R882" s="908"/>
      <c r="S882" s="908"/>
      <c r="T882" s="1017"/>
      <c r="U882" s="670"/>
      <c r="V882" s="581"/>
      <c r="W882" s="581"/>
      <c r="X882" s="578"/>
      <c r="Y882" s="582"/>
      <c r="Z882" s="582"/>
      <c r="AA882" s="582"/>
      <c r="AB882" s="582"/>
      <c r="AC882" s="582"/>
      <c r="AD882" s="582"/>
      <c r="AE882" s="582"/>
      <c r="AF882" s="582"/>
      <c r="AG882" s="582"/>
      <c r="AH882" s="582"/>
      <c r="AI882" s="582"/>
      <c r="AJ882" s="582"/>
      <c r="AK882" s="582"/>
      <c r="AL882" s="582"/>
      <c r="AM882" s="582"/>
      <c r="AN882" s="582"/>
      <c r="AO882" s="582"/>
      <c r="AP882" s="582"/>
      <c r="AQ882" s="582"/>
      <c r="AR882" s="582"/>
      <c r="AS882" s="582"/>
      <c r="AT882" s="582"/>
      <c r="AU882" s="582"/>
      <c r="AV882" s="582"/>
      <c r="AW882" s="582"/>
      <c r="AX882" s="582"/>
      <c r="AY882" s="582"/>
      <c r="AZ882" s="582"/>
      <c r="BA882" s="582"/>
      <c r="BB882" s="582"/>
      <c r="BC882" s="582"/>
      <c r="BD882" s="582"/>
      <c r="BE882" s="582"/>
      <c r="BF882" s="582"/>
      <c r="BG882" s="582"/>
      <c r="BH882" s="582"/>
      <c r="BI882" s="582"/>
      <c r="BJ882" s="582"/>
      <c r="BK882" s="582"/>
      <c r="BL882" s="582"/>
      <c r="BM882" s="582"/>
      <c r="BN882" s="582"/>
      <c r="BO882" s="582"/>
      <c r="BP882" s="582"/>
      <c r="BQ882" s="582"/>
      <c r="BR882" s="582"/>
      <c r="BS882" s="582"/>
      <c r="BT882" s="582"/>
      <c r="BU882" s="582"/>
      <c r="BV882" s="582"/>
      <c r="BW882" s="582"/>
      <c r="BX882" s="582"/>
      <c r="BY882" s="582"/>
      <c r="BZ882" s="582"/>
      <c r="CA882" s="582"/>
      <c r="CB882" s="582"/>
      <c r="CC882" s="582"/>
      <c r="CD882" s="582"/>
      <c r="CE882" s="582"/>
      <c r="CF882" s="582"/>
      <c r="CG882" s="582"/>
      <c r="CH882" s="582"/>
      <c r="CI882" s="582"/>
      <c r="CJ882" s="582"/>
      <c r="CK882" s="582"/>
      <c r="CL882" s="582"/>
      <c r="CM882" s="582"/>
      <c r="CN882" s="582"/>
      <c r="CO882" s="582"/>
      <c r="CP882" s="582"/>
      <c r="CQ882" s="582"/>
      <c r="CR882" s="582"/>
      <c r="CS882" s="582"/>
      <c r="CT882" s="582"/>
      <c r="CU882" s="582"/>
      <c r="CV882" s="582"/>
      <c r="CW882" s="582"/>
      <c r="CX882" s="582"/>
      <c r="CY882" s="582"/>
      <c r="CZ882" s="582"/>
      <c r="DA882" s="582"/>
      <c r="DB882" s="582"/>
      <c r="DC882" s="582"/>
      <c r="DD882" s="582"/>
      <c r="DE882" s="582"/>
      <c r="DF882" s="582"/>
      <c r="DG882" s="582"/>
      <c r="DH882" s="582"/>
      <c r="DI882" s="582"/>
      <c r="DJ882" s="582"/>
      <c r="DK882" s="582"/>
      <c r="DL882" s="582"/>
      <c r="DM882" s="582"/>
      <c r="DN882" s="582"/>
      <c r="DO882" s="582"/>
      <c r="DP882" s="582"/>
      <c r="DQ882" s="582"/>
      <c r="DR882" s="582"/>
      <c r="DS882" s="582"/>
      <c r="DT882" s="582"/>
      <c r="DU882" s="582"/>
      <c r="DV882" s="582"/>
      <c r="DW882" s="582"/>
      <c r="DX882" s="582"/>
      <c r="DY882" s="582"/>
      <c r="DZ882" s="582"/>
      <c r="EA882" s="582"/>
      <c r="EB882" s="582"/>
      <c r="EC882" s="582"/>
      <c r="ED882" s="582"/>
      <c r="EE882" s="582"/>
      <c r="EF882" s="582"/>
      <c r="EG882" s="582"/>
      <c r="EH882" s="582"/>
      <c r="EI882" s="582"/>
      <c r="EJ882" s="582"/>
      <c r="EK882" s="582"/>
      <c r="EL882" s="582"/>
      <c r="EM882" s="582"/>
      <c r="EN882" s="582"/>
      <c r="EO882" s="582"/>
      <c r="EP882" s="582"/>
      <c r="EQ882" s="582"/>
      <c r="ER882" s="582"/>
      <c r="ES882" s="582"/>
      <c r="ET882" s="582"/>
      <c r="EU882" s="582"/>
      <c r="EV882" s="582"/>
      <c r="EW882" s="582"/>
      <c r="EX882" s="582"/>
      <c r="EY882" s="582"/>
      <c r="EZ882" s="582"/>
      <c r="FA882" s="582"/>
      <c r="FB882" s="582"/>
      <c r="FC882" s="582"/>
      <c r="FD882" s="582"/>
      <c r="FE882" s="582"/>
      <c r="FF882" s="582"/>
      <c r="FG882" s="582"/>
      <c r="FH882" s="582"/>
      <c r="FI882" s="582"/>
      <c r="FJ882" s="582"/>
      <c r="FK882" s="582"/>
      <c r="FL882" s="582"/>
      <c r="FM882" s="582"/>
      <c r="FN882" s="582"/>
      <c r="FO882" s="582"/>
      <c r="FP882" s="582"/>
      <c r="FQ882" s="582"/>
      <c r="FR882" s="582"/>
      <c r="FS882" s="582"/>
      <c r="FT882" s="582"/>
      <c r="FU882" s="582"/>
      <c r="FV882" s="582"/>
      <c r="FW882" s="582"/>
      <c r="FX882" s="582"/>
      <c r="FY882" s="582"/>
      <c r="FZ882" s="582"/>
      <c r="GA882" s="582"/>
      <c r="GB882" s="582"/>
      <c r="GC882" s="582"/>
      <c r="GD882" s="582"/>
      <c r="GE882" s="582"/>
      <c r="GF882" s="582"/>
      <c r="GG882" s="582"/>
      <c r="GH882" s="582"/>
      <c r="GI882" s="582"/>
      <c r="GJ882" s="582"/>
      <c r="GK882" s="582"/>
      <c r="GL882" s="582"/>
      <c r="GM882" s="582"/>
      <c r="GN882" s="582"/>
      <c r="GO882" s="582"/>
      <c r="GP882" s="582"/>
      <c r="GQ882" s="582"/>
      <c r="GR882" s="582"/>
      <c r="GS882" s="582"/>
      <c r="GT882" s="582"/>
      <c r="GU882" s="582"/>
      <c r="GV882" s="582"/>
      <c r="GW882" s="582"/>
      <c r="GX882" s="582"/>
      <c r="GY882" s="582"/>
      <c r="GZ882" s="582"/>
      <c r="HA882" s="582"/>
      <c r="HB882" s="582"/>
      <c r="HC882" s="582"/>
      <c r="HD882" s="582"/>
      <c r="HE882" s="582"/>
      <c r="HF882" s="582"/>
      <c r="HG882" s="582"/>
      <c r="HH882" s="582"/>
      <c r="HI882" s="582"/>
      <c r="HJ882" s="582"/>
      <c r="HK882" s="582"/>
      <c r="HL882" s="582"/>
      <c r="HM882" s="582"/>
      <c r="HN882" s="582"/>
      <c r="HO882" s="582"/>
      <c r="HP882" s="582"/>
      <c r="HQ882" s="582"/>
      <c r="HR882" s="582"/>
      <c r="HS882" s="582"/>
      <c r="HT882" s="582"/>
      <c r="HU882" s="582"/>
      <c r="HV882" s="582"/>
      <c r="HW882" s="582"/>
      <c r="HX882" s="582"/>
      <c r="HY882" s="582"/>
      <c r="HZ882" s="582"/>
      <c r="IA882" s="582"/>
      <c r="IB882" s="582"/>
      <c r="IC882" s="582"/>
      <c r="ID882" s="582"/>
      <c r="IE882" s="582"/>
      <c r="IF882" s="582"/>
      <c r="IG882" s="582"/>
      <c r="IH882" s="582"/>
      <c r="II882" s="582"/>
      <c r="IJ882" s="582"/>
      <c r="IK882" s="582"/>
      <c r="IL882" s="582"/>
      <c r="IM882" s="582"/>
      <c r="IN882" s="582"/>
      <c r="IO882" s="582"/>
      <c r="IP882" s="582"/>
      <c r="IQ882" s="582"/>
      <c r="IR882" s="582"/>
      <c r="IS882" s="582"/>
      <c r="IT882" s="582"/>
      <c r="IU882" s="582"/>
      <c r="IV882" s="582"/>
      <c r="IW882" s="582"/>
    </row>
    <row r="883" spans="1:257" s="681" customFormat="1">
      <c r="A883" s="635"/>
      <c r="B883" s="696" t="s">
        <v>1533</v>
      </c>
      <c r="C883" s="683"/>
      <c r="D883" s="683"/>
      <c r="E883" s="669"/>
      <c r="F883" s="669"/>
      <c r="G883" s="669"/>
      <c r="H883" s="669"/>
      <c r="I883" s="669"/>
      <c r="J883" s="669"/>
      <c r="K883" s="669"/>
      <c r="L883" s="1306">
        <f>4454100000-550000000</f>
        <v>3904100000</v>
      </c>
      <c r="M883" s="669" t="s">
        <v>1534</v>
      </c>
      <c r="N883" s="837"/>
      <c r="O883" s="837"/>
      <c r="P883" s="837"/>
      <c r="Q883" s="837"/>
      <c r="R883" s="908"/>
      <c r="S883" s="908"/>
      <c r="T883" s="1017"/>
      <c r="U883" s="670"/>
      <c r="V883" s="581"/>
      <c r="W883" s="581"/>
      <c r="X883" s="578"/>
      <c r="Y883" s="582"/>
      <c r="Z883" s="582"/>
      <c r="AA883" s="582"/>
      <c r="AB883" s="582"/>
      <c r="AC883" s="582"/>
      <c r="AD883" s="582"/>
      <c r="AE883" s="582"/>
      <c r="AF883" s="582"/>
      <c r="AG883" s="582"/>
      <c r="AH883" s="582"/>
      <c r="AI883" s="582"/>
      <c r="AJ883" s="582"/>
      <c r="AK883" s="582"/>
      <c r="AL883" s="582"/>
      <c r="AM883" s="582"/>
      <c r="AN883" s="582"/>
      <c r="AO883" s="582"/>
      <c r="AP883" s="582"/>
      <c r="AQ883" s="582"/>
      <c r="AR883" s="582"/>
      <c r="AS883" s="582"/>
      <c r="AT883" s="582"/>
      <c r="AU883" s="582"/>
      <c r="AV883" s="582"/>
      <c r="AW883" s="582"/>
      <c r="AX883" s="582"/>
      <c r="AY883" s="582"/>
      <c r="AZ883" s="582"/>
      <c r="BA883" s="582"/>
      <c r="BB883" s="582"/>
      <c r="BC883" s="582"/>
      <c r="BD883" s="582"/>
      <c r="BE883" s="582"/>
      <c r="BF883" s="582"/>
      <c r="BG883" s="582"/>
      <c r="BH883" s="582"/>
      <c r="BI883" s="582"/>
      <c r="BJ883" s="582"/>
      <c r="BK883" s="582"/>
      <c r="BL883" s="582"/>
      <c r="BM883" s="582"/>
      <c r="BN883" s="582"/>
      <c r="BO883" s="582"/>
      <c r="BP883" s="582"/>
      <c r="BQ883" s="582"/>
      <c r="BR883" s="582"/>
      <c r="BS883" s="582"/>
      <c r="BT883" s="582"/>
      <c r="BU883" s="582"/>
      <c r="BV883" s="582"/>
      <c r="BW883" s="582"/>
      <c r="BX883" s="582"/>
      <c r="BY883" s="582"/>
      <c r="BZ883" s="582"/>
      <c r="CA883" s="582"/>
      <c r="CB883" s="582"/>
      <c r="CC883" s="582"/>
      <c r="CD883" s="582"/>
      <c r="CE883" s="582"/>
      <c r="CF883" s="582"/>
      <c r="CG883" s="582"/>
      <c r="CH883" s="582"/>
      <c r="CI883" s="582"/>
      <c r="CJ883" s="582"/>
      <c r="CK883" s="582"/>
      <c r="CL883" s="582"/>
      <c r="CM883" s="582"/>
      <c r="CN883" s="582"/>
      <c r="CO883" s="582"/>
      <c r="CP883" s="582"/>
      <c r="CQ883" s="582"/>
      <c r="CR883" s="582"/>
      <c r="CS883" s="582"/>
      <c r="CT883" s="582"/>
      <c r="CU883" s="582"/>
      <c r="CV883" s="582"/>
      <c r="CW883" s="582"/>
      <c r="CX883" s="582"/>
      <c r="CY883" s="582"/>
      <c r="CZ883" s="582"/>
      <c r="DA883" s="582"/>
      <c r="DB883" s="582"/>
      <c r="DC883" s="582"/>
      <c r="DD883" s="582"/>
      <c r="DE883" s="582"/>
      <c r="DF883" s="582"/>
      <c r="DG883" s="582"/>
      <c r="DH883" s="582"/>
      <c r="DI883" s="582"/>
      <c r="DJ883" s="582"/>
      <c r="DK883" s="582"/>
      <c r="DL883" s="582"/>
      <c r="DM883" s="582"/>
      <c r="DN883" s="582"/>
      <c r="DO883" s="582"/>
      <c r="DP883" s="582"/>
      <c r="DQ883" s="582"/>
      <c r="DR883" s="582"/>
      <c r="DS883" s="582"/>
      <c r="DT883" s="582"/>
      <c r="DU883" s="582"/>
      <c r="DV883" s="582"/>
      <c r="DW883" s="582"/>
      <c r="DX883" s="582"/>
      <c r="DY883" s="582"/>
      <c r="DZ883" s="582"/>
      <c r="EA883" s="582"/>
      <c r="EB883" s="582"/>
      <c r="EC883" s="582"/>
      <c r="ED883" s="582"/>
      <c r="EE883" s="582"/>
      <c r="EF883" s="582"/>
      <c r="EG883" s="582"/>
      <c r="EH883" s="582"/>
      <c r="EI883" s="582"/>
      <c r="EJ883" s="582"/>
      <c r="EK883" s="582"/>
      <c r="EL883" s="582"/>
      <c r="EM883" s="582"/>
      <c r="EN883" s="582"/>
      <c r="EO883" s="582"/>
      <c r="EP883" s="582"/>
      <c r="EQ883" s="582"/>
      <c r="ER883" s="582"/>
      <c r="ES883" s="582"/>
      <c r="ET883" s="582"/>
      <c r="EU883" s="582"/>
      <c r="EV883" s="582"/>
      <c r="EW883" s="582"/>
      <c r="EX883" s="582"/>
      <c r="EY883" s="582"/>
      <c r="EZ883" s="582"/>
      <c r="FA883" s="582"/>
      <c r="FB883" s="582"/>
      <c r="FC883" s="582"/>
      <c r="FD883" s="582"/>
      <c r="FE883" s="582"/>
      <c r="FF883" s="582"/>
      <c r="FG883" s="582"/>
      <c r="FH883" s="582"/>
      <c r="FI883" s="582"/>
      <c r="FJ883" s="582"/>
      <c r="FK883" s="582"/>
      <c r="FL883" s="582"/>
      <c r="FM883" s="582"/>
      <c r="FN883" s="582"/>
      <c r="FO883" s="582"/>
      <c r="FP883" s="582"/>
      <c r="FQ883" s="582"/>
      <c r="FR883" s="582"/>
      <c r="FS883" s="582"/>
      <c r="FT883" s="582"/>
      <c r="FU883" s="582"/>
      <c r="FV883" s="582"/>
      <c r="FW883" s="582"/>
      <c r="FX883" s="582"/>
      <c r="FY883" s="582"/>
      <c r="FZ883" s="582"/>
      <c r="GA883" s="582"/>
      <c r="GB883" s="582"/>
      <c r="GC883" s="582"/>
      <c r="GD883" s="582"/>
      <c r="GE883" s="582"/>
      <c r="GF883" s="582"/>
      <c r="GG883" s="582"/>
      <c r="GH883" s="582"/>
      <c r="GI883" s="582"/>
      <c r="GJ883" s="582"/>
      <c r="GK883" s="582"/>
      <c r="GL883" s="582"/>
      <c r="GM883" s="582"/>
      <c r="GN883" s="582"/>
      <c r="GO883" s="582"/>
      <c r="GP883" s="582"/>
      <c r="GQ883" s="582"/>
      <c r="GR883" s="582"/>
      <c r="GS883" s="582"/>
      <c r="GT883" s="582"/>
      <c r="GU883" s="582"/>
      <c r="GV883" s="582"/>
      <c r="GW883" s="582"/>
      <c r="GX883" s="582"/>
      <c r="GY883" s="582"/>
      <c r="GZ883" s="582"/>
      <c r="HA883" s="582"/>
      <c r="HB883" s="582"/>
      <c r="HC883" s="582"/>
      <c r="HD883" s="582"/>
      <c r="HE883" s="582"/>
      <c r="HF883" s="582"/>
      <c r="HG883" s="582"/>
      <c r="HH883" s="582"/>
      <c r="HI883" s="582"/>
      <c r="HJ883" s="582"/>
      <c r="HK883" s="582"/>
      <c r="HL883" s="582"/>
      <c r="HM883" s="582"/>
      <c r="HN883" s="582"/>
      <c r="HO883" s="582"/>
      <c r="HP883" s="582"/>
      <c r="HQ883" s="582"/>
      <c r="HR883" s="582"/>
      <c r="HS883" s="582"/>
      <c r="HT883" s="582"/>
      <c r="HU883" s="582"/>
      <c r="HV883" s="582"/>
      <c r="HW883" s="582"/>
      <c r="HX883" s="582"/>
      <c r="HY883" s="582"/>
      <c r="HZ883" s="582"/>
      <c r="IA883" s="582"/>
      <c r="IB883" s="582"/>
      <c r="IC883" s="582"/>
      <c r="ID883" s="582"/>
      <c r="IE883" s="582"/>
      <c r="IF883" s="582"/>
      <c r="IG883" s="582"/>
      <c r="IH883" s="582"/>
      <c r="II883" s="582"/>
      <c r="IJ883" s="582"/>
      <c r="IK883" s="582"/>
      <c r="IL883" s="582"/>
      <c r="IM883" s="582"/>
      <c r="IN883" s="582"/>
      <c r="IO883" s="582"/>
      <c r="IP883" s="582"/>
      <c r="IQ883" s="582"/>
      <c r="IR883" s="582"/>
      <c r="IS883" s="582"/>
      <c r="IT883" s="582"/>
      <c r="IU883" s="582"/>
      <c r="IV883" s="582"/>
      <c r="IW883" s="582"/>
    </row>
    <row r="884" spans="1:257" s="681" customFormat="1">
      <c r="A884" s="635" t="s">
        <v>258</v>
      </c>
      <c r="B884" s="696" t="s">
        <v>1532</v>
      </c>
      <c r="C884" s="683"/>
      <c r="D884" s="683"/>
      <c r="E884" s="669"/>
      <c r="F884" s="669"/>
      <c r="G884" s="669"/>
      <c r="H884" s="669"/>
      <c r="I884" s="669"/>
      <c r="J884" s="669">
        <v>80000000</v>
      </c>
      <c r="K884" s="669">
        <v>80000000</v>
      </c>
      <c r="L884" s="1306">
        <v>50000000</v>
      </c>
      <c r="M884" s="669"/>
      <c r="N884" s="837"/>
      <c r="O884" s="837"/>
      <c r="P884" s="837"/>
      <c r="Q884" s="837"/>
      <c r="R884" s="908"/>
      <c r="S884" s="908"/>
      <c r="T884" s="1017"/>
      <c r="U884" s="670"/>
      <c r="V884" s="581"/>
      <c r="W884" s="581"/>
      <c r="X884" s="578"/>
      <c r="Y884" s="582"/>
      <c r="Z884" s="582"/>
      <c r="AA884" s="582"/>
      <c r="AB884" s="582"/>
      <c r="AC884" s="582"/>
      <c r="AD884" s="582"/>
      <c r="AE884" s="582"/>
      <c r="AF884" s="582"/>
      <c r="AG884" s="582"/>
      <c r="AH884" s="582"/>
      <c r="AI884" s="582"/>
      <c r="AJ884" s="582"/>
      <c r="AK884" s="582"/>
      <c r="AL884" s="582"/>
      <c r="AM884" s="582"/>
      <c r="AN884" s="582"/>
      <c r="AO884" s="582"/>
      <c r="AP884" s="582"/>
      <c r="AQ884" s="582"/>
      <c r="AR884" s="582"/>
      <c r="AS884" s="582"/>
      <c r="AT884" s="582"/>
      <c r="AU884" s="582"/>
      <c r="AV884" s="582"/>
      <c r="AW884" s="582"/>
      <c r="AX884" s="582"/>
      <c r="AY884" s="582"/>
      <c r="AZ884" s="582"/>
      <c r="BA884" s="582"/>
      <c r="BB884" s="582"/>
      <c r="BC884" s="582"/>
      <c r="BD884" s="582"/>
      <c r="BE884" s="582"/>
      <c r="BF884" s="582"/>
      <c r="BG884" s="582"/>
      <c r="BH884" s="582"/>
      <c r="BI884" s="582"/>
      <c r="BJ884" s="582"/>
      <c r="BK884" s="582"/>
      <c r="BL884" s="582"/>
      <c r="BM884" s="582"/>
      <c r="BN884" s="582"/>
      <c r="BO884" s="582"/>
      <c r="BP884" s="582"/>
      <c r="BQ884" s="582"/>
      <c r="BR884" s="582"/>
      <c r="BS884" s="582"/>
      <c r="BT884" s="582"/>
      <c r="BU884" s="582"/>
      <c r="BV884" s="582"/>
      <c r="BW884" s="582"/>
      <c r="BX884" s="582"/>
      <c r="BY884" s="582"/>
      <c r="BZ884" s="582"/>
      <c r="CA884" s="582"/>
      <c r="CB884" s="582"/>
      <c r="CC884" s="582"/>
      <c r="CD884" s="582"/>
      <c r="CE884" s="582"/>
      <c r="CF884" s="582"/>
      <c r="CG884" s="582"/>
      <c r="CH884" s="582"/>
      <c r="CI884" s="582"/>
      <c r="CJ884" s="582"/>
      <c r="CK884" s="582"/>
      <c r="CL884" s="582"/>
      <c r="CM884" s="582"/>
      <c r="CN884" s="582"/>
      <c r="CO884" s="582"/>
      <c r="CP884" s="582"/>
      <c r="CQ884" s="582"/>
      <c r="CR884" s="582"/>
      <c r="CS884" s="582"/>
      <c r="CT884" s="582"/>
      <c r="CU884" s="582"/>
      <c r="CV884" s="582"/>
      <c r="CW884" s="582"/>
      <c r="CX884" s="582"/>
      <c r="CY884" s="582"/>
      <c r="CZ884" s="582"/>
      <c r="DA884" s="582"/>
      <c r="DB884" s="582"/>
      <c r="DC884" s="582"/>
      <c r="DD884" s="582"/>
      <c r="DE884" s="582"/>
      <c r="DF884" s="582"/>
      <c r="DG884" s="582"/>
      <c r="DH884" s="582"/>
      <c r="DI884" s="582"/>
      <c r="DJ884" s="582"/>
      <c r="DK884" s="582"/>
      <c r="DL884" s="582"/>
      <c r="DM884" s="582"/>
      <c r="DN884" s="582"/>
      <c r="DO884" s="582"/>
      <c r="DP884" s="582"/>
      <c r="DQ884" s="582"/>
      <c r="DR884" s="582"/>
      <c r="DS884" s="582"/>
      <c r="DT884" s="582"/>
      <c r="DU884" s="582"/>
      <c r="DV884" s="582"/>
      <c r="DW884" s="582"/>
      <c r="DX884" s="582"/>
      <c r="DY884" s="582"/>
      <c r="DZ884" s="582"/>
      <c r="EA884" s="582"/>
      <c r="EB884" s="582"/>
      <c r="EC884" s="582"/>
      <c r="ED884" s="582"/>
      <c r="EE884" s="582"/>
      <c r="EF884" s="582"/>
      <c r="EG884" s="582"/>
      <c r="EH884" s="582"/>
      <c r="EI884" s="582"/>
      <c r="EJ884" s="582"/>
      <c r="EK884" s="582"/>
      <c r="EL884" s="582"/>
      <c r="EM884" s="582"/>
      <c r="EN884" s="582"/>
      <c r="EO884" s="582"/>
      <c r="EP884" s="582"/>
      <c r="EQ884" s="582"/>
      <c r="ER884" s="582"/>
      <c r="ES884" s="582"/>
      <c r="ET884" s="582"/>
      <c r="EU884" s="582"/>
      <c r="EV884" s="582"/>
      <c r="EW884" s="582"/>
      <c r="EX884" s="582"/>
      <c r="EY884" s="582"/>
      <c r="EZ884" s="582"/>
      <c r="FA884" s="582"/>
      <c r="FB884" s="582"/>
      <c r="FC884" s="582"/>
      <c r="FD884" s="582"/>
      <c r="FE884" s="582"/>
      <c r="FF884" s="582"/>
      <c r="FG884" s="582"/>
      <c r="FH884" s="582"/>
      <c r="FI884" s="582"/>
      <c r="FJ884" s="582"/>
      <c r="FK884" s="582"/>
      <c r="FL884" s="582"/>
      <c r="FM884" s="582"/>
      <c r="FN884" s="582"/>
      <c r="FO884" s="582"/>
      <c r="FP884" s="582"/>
      <c r="FQ884" s="582"/>
      <c r="FR884" s="582"/>
      <c r="FS884" s="582"/>
      <c r="FT884" s="582"/>
      <c r="FU884" s="582"/>
      <c r="FV884" s="582"/>
      <c r="FW884" s="582"/>
      <c r="FX884" s="582"/>
      <c r="FY884" s="582"/>
      <c r="FZ884" s="582"/>
      <c r="GA884" s="582"/>
      <c r="GB884" s="582"/>
      <c r="GC884" s="582"/>
      <c r="GD884" s="582"/>
      <c r="GE884" s="582"/>
      <c r="GF884" s="582"/>
      <c r="GG884" s="582"/>
      <c r="GH884" s="582"/>
      <c r="GI884" s="582"/>
      <c r="GJ884" s="582"/>
      <c r="GK884" s="582"/>
      <c r="GL884" s="582"/>
      <c r="GM884" s="582"/>
      <c r="GN884" s="582"/>
      <c r="GO884" s="582"/>
      <c r="GP884" s="582"/>
      <c r="GQ884" s="582"/>
      <c r="GR884" s="582"/>
      <c r="GS884" s="582"/>
      <c r="GT884" s="582"/>
      <c r="GU884" s="582"/>
      <c r="GV884" s="582"/>
      <c r="GW884" s="582"/>
      <c r="GX884" s="582"/>
      <c r="GY884" s="582"/>
      <c r="GZ884" s="582"/>
      <c r="HA884" s="582"/>
      <c r="HB884" s="582"/>
      <c r="HC884" s="582"/>
      <c r="HD884" s="582"/>
      <c r="HE884" s="582"/>
      <c r="HF884" s="582"/>
      <c r="HG884" s="582"/>
      <c r="HH884" s="582"/>
      <c r="HI884" s="582"/>
      <c r="HJ884" s="582"/>
      <c r="HK884" s="582"/>
      <c r="HL884" s="582"/>
      <c r="HM884" s="582"/>
      <c r="HN884" s="582"/>
      <c r="HO884" s="582"/>
      <c r="HP884" s="582"/>
      <c r="HQ884" s="582"/>
      <c r="HR884" s="582"/>
      <c r="HS884" s="582"/>
      <c r="HT884" s="582"/>
      <c r="HU884" s="582"/>
      <c r="HV884" s="582"/>
      <c r="HW884" s="582"/>
      <c r="HX884" s="582"/>
      <c r="HY884" s="582"/>
      <c r="HZ884" s="582"/>
      <c r="IA884" s="582"/>
      <c r="IB884" s="582"/>
      <c r="IC884" s="582"/>
      <c r="ID884" s="582"/>
      <c r="IE884" s="582"/>
      <c r="IF884" s="582"/>
      <c r="IG884" s="582"/>
      <c r="IH884" s="582"/>
      <c r="II884" s="582"/>
      <c r="IJ884" s="582"/>
      <c r="IK884" s="582"/>
      <c r="IL884" s="582"/>
      <c r="IM884" s="582"/>
      <c r="IN884" s="582"/>
      <c r="IO884" s="582"/>
      <c r="IP884" s="582"/>
      <c r="IQ884" s="582"/>
      <c r="IR884" s="582"/>
      <c r="IS884" s="582"/>
      <c r="IT884" s="582"/>
      <c r="IU884" s="582"/>
      <c r="IV884" s="582"/>
      <c r="IW884" s="582"/>
    </row>
    <row r="885" spans="1:257" s="681" customFormat="1" ht="31.5">
      <c r="A885" s="635" t="s">
        <v>258</v>
      </c>
      <c r="B885" s="696" t="s">
        <v>479</v>
      </c>
      <c r="C885" s="683"/>
      <c r="D885" s="683"/>
      <c r="E885" s="669"/>
      <c r="F885" s="669">
        <v>200000000</v>
      </c>
      <c r="G885" s="669"/>
      <c r="H885" s="669"/>
      <c r="I885" s="669"/>
      <c r="J885" s="669">
        <v>300000000</v>
      </c>
      <c r="K885" s="669">
        <v>300000000</v>
      </c>
      <c r="L885" s="1306">
        <v>200000000</v>
      </c>
      <c r="M885" s="669"/>
      <c r="N885" s="837"/>
      <c r="O885" s="837"/>
      <c r="P885" s="837"/>
      <c r="Q885" s="837"/>
      <c r="R885" s="1158">
        <f>9*16.5</f>
        <v>148.5</v>
      </c>
      <c r="S885" s="908"/>
      <c r="T885" s="1017"/>
      <c r="U885" s="670"/>
      <c r="V885" s="581"/>
      <c r="W885" s="581"/>
      <c r="X885" s="578"/>
      <c r="Y885" s="582"/>
      <c r="Z885" s="582"/>
      <c r="AA885" s="582"/>
      <c r="AB885" s="582"/>
      <c r="AC885" s="582"/>
      <c r="AD885" s="582"/>
      <c r="AE885" s="582"/>
      <c r="AF885" s="582"/>
      <c r="AG885" s="582"/>
      <c r="AH885" s="582"/>
      <c r="AI885" s="582"/>
      <c r="AJ885" s="582"/>
      <c r="AK885" s="582"/>
      <c r="AL885" s="582"/>
      <c r="AM885" s="582"/>
      <c r="AN885" s="582"/>
      <c r="AO885" s="582"/>
      <c r="AP885" s="582"/>
      <c r="AQ885" s="582"/>
      <c r="AR885" s="582"/>
      <c r="AS885" s="582"/>
      <c r="AT885" s="582"/>
      <c r="AU885" s="582"/>
      <c r="AV885" s="582"/>
      <c r="AW885" s="582"/>
      <c r="AX885" s="582"/>
      <c r="AY885" s="582"/>
      <c r="AZ885" s="582"/>
      <c r="BA885" s="582"/>
      <c r="BB885" s="582"/>
      <c r="BC885" s="582"/>
      <c r="BD885" s="582"/>
      <c r="BE885" s="582"/>
      <c r="BF885" s="582"/>
      <c r="BG885" s="582"/>
      <c r="BH885" s="582"/>
      <c r="BI885" s="582"/>
      <c r="BJ885" s="582"/>
      <c r="BK885" s="582"/>
      <c r="BL885" s="582"/>
      <c r="BM885" s="582"/>
      <c r="BN885" s="582"/>
      <c r="BO885" s="582"/>
      <c r="BP885" s="582"/>
      <c r="BQ885" s="582"/>
      <c r="BR885" s="582"/>
      <c r="BS885" s="582"/>
      <c r="BT885" s="582"/>
      <c r="BU885" s="582"/>
      <c r="BV885" s="582"/>
      <c r="BW885" s="582"/>
      <c r="BX885" s="582"/>
      <c r="BY885" s="582"/>
      <c r="BZ885" s="582"/>
      <c r="CA885" s="582"/>
      <c r="CB885" s="582"/>
      <c r="CC885" s="582"/>
      <c r="CD885" s="582"/>
      <c r="CE885" s="582"/>
      <c r="CF885" s="582"/>
      <c r="CG885" s="582"/>
      <c r="CH885" s="582"/>
      <c r="CI885" s="582"/>
      <c r="CJ885" s="582"/>
      <c r="CK885" s="582"/>
      <c r="CL885" s="582"/>
      <c r="CM885" s="582"/>
      <c r="CN885" s="582"/>
      <c r="CO885" s="582"/>
      <c r="CP885" s="582"/>
      <c r="CQ885" s="582"/>
      <c r="CR885" s="582"/>
      <c r="CS885" s="582"/>
      <c r="CT885" s="582"/>
      <c r="CU885" s="582"/>
      <c r="CV885" s="582"/>
      <c r="CW885" s="582"/>
      <c r="CX885" s="582"/>
      <c r="CY885" s="582"/>
      <c r="CZ885" s="582"/>
      <c r="DA885" s="582"/>
      <c r="DB885" s="582"/>
      <c r="DC885" s="582"/>
      <c r="DD885" s="582"/>
      <c r="DE885" s="582"/>
      <c r="DF885" s="582"/>
      <c r="DG885" s="582"/>
      <c r="DH885" s="582"/>
      <c r="DI885" s="582"/>
      <c r="DJ885" s="582"/>
      <c r="DK885" s="582"/>
      <c r="DL885" s="582"/>
      <c r="DM885" s="582"/>
      <c r="DN885" s="582"/>
      <c r="DO885" s="582"/>
      <c r="DP885" s="582"/>
      <c r="DQ885" s="582"/>
      <c r="DR885" s="582"/>
      <c r="DS885" s="582"/>
      <c r="DT885" s="582"/>
      <c r="DU885" s="582"/>
      <c r="DV885" s="582"/>
      <c r="DW885" s="582"/>
      <c r="DX885" s="582"/>
      <c r="DY885" s="582"/>
      <c r="DZ885" s="582"/>
      <c r="EA885" s="582"/>
      <c r="EB885" s="582"/>
      <c r="EC885" s="582"/>
      <c r="ED885" s="582"/>
      <c r="EE885" s="582"/>
      <c r="EF885" s="582"/>
      <c r="EG885" s="582"/>
      <c r="EH885" s="582"/>
      <c r="EI885" s="582"/>
      <c r="EJ885" s="582"/>
      <c r="EK885" s="582"/>
      <c r="EL885" s="582"/>
      <c r="EM885" s="582"/>
      <c r="EN885" s="582"/>
      <c r="EO885" s="582"/>
      <c r="EP885" s="582"/>
      <c r="EQ885" s="582"/>
      <c r="ER885" s="582"/>
      <c r="ES885" s="582"/>
      <c r="ET885" s="582"/>
      <c r="EU885" s="582"/>
      <c r="EV885" s="582"/>
      <c r="EW885" s="582"/>
      <c r="EX885" s="582"/>
      <c r="EY885" s="582"/>
      <c r="EZ885" s="582"/>
      <c r="FA885" s="582"/>
      <c r="FB885" s="582"/>
      <c r="FC885" s="582"/>
      <c r="FD885" s="582"/>
      <c r="FE885" s="582"/>
      <c r="FF885" s="582"/>
      <c r="FG885" s="582"/>
      <c r="FH885" s="582"/>
      <c r="FI885" s="582"/>
      <c r="FJ885" s="582"/>
      <c r="FK885" s="582"/>
      <c r="FL885" s="582"/>
      <c r="FM885" s="582"/>
      <c r="FN885" s="582"/>
      <c r="FO885" s="582"/>
      <c r="FP885" s="582"/>
      <c r="FQ885" s="582"/>
      <c r="FR885" s="582"/>
      <c r="FS885" s="582"/>
      <c r="FT885" s="582"/>
      <c r="FU885" s="582"/>
      <c r="FV885" s="582"/>
      <c r="FW885" s="582"/>
      <c r="FX885" s="582"/>
      <c r="FY885" s="582"/>
      <c r="FZ885" s="582"/>
      <c r="GA885" s="582"/>
      <c r="GB885" s="582"/>
      <c r="GC885" s="582"/>
      <c r="GD885" s="582"/>
      <c r="GE885" s="582"/>
      <c r="GF885" s="582"/>
      <c r="GG885" s="582"/>
      <c r="GH885" s="582"/>
      <c r="GI885" s="582"/>
      <c r="GJ885" s="582"/>
      <c r="GK885" s="582"/>
      <c r="GL885" s="582"/>
      <c r="GM885" s="582"/>
      <c r="GN885" s="582"/>
      <c r="GO885" s="582"/>
      <c r="GP885" s="582"/>
      <c r="GQ885" s="582"/>
      <c r="GR885" s="582"/>
      <c r="GS885" s="582"/>
      <c r="GT885" s="582"/>
      <c r="GU885" s="582"/>
      <c r="GV885" s="582"/>
      <c r="GW885" s="582"/>
      <c r="GX885" s="582"/>
      <c r="GY885" s="582"/>
      <c r="GZ885" s="582"/>
      <c r="HA885" s="582"/>
      <c r="HB885" s="582"/>
      <c r="HC885" s="582"/>
      <c r="HD885" s="582"/>
      <c r="HE885" s="582"/>
      <c r="HF885" s="582"/>
      <c r="HG885" s="582"/>
      <c r="HH885" s="582"/>
      <c r="HI885" s="582"/>
      <c r="HJ885" s="582"/>
      <c r="HK885" s="582"/>
      <c r="HL885" s="582"/>
      <c r="HM885" s="582"/>
      <c r="HN885" s="582"/>
      <c r="HO885" s="582"/>
      <c r="HP885" s="582"/>
      <c r="HQ885" s="582"/>
      <c r="HR885" s="582"/>
      <c r="HS885" s="582"/>
      <c r="HT885" s="582"/>
      <c r="HU885" s="582"/>
      <c r="HV885" s="582"/>
      <c r="HW885" s="582"/>
      <c r="HX885" s="582"/>
      <c r="HY885" s="582"/>
      <c r="HZ885" s="582"/>
      <c r="IA885" s="582"/>
      <c r="IB885" s="582"/>
      <c r="IC885" s="582"/>
      <c r="ID885" s="582"/>
      <c r="IE885" s="582"/>
      <c r="IF885" s="582"/>
      <c r="IG885" s="582"/>
      <c r="IH885" s="582"/>
      <c r="II885" s="582"/>
      <c r="IJ885" s="582"/>
      <c r="IK885" s="582"/>
      <c r="IL885" s="582"/>
      <c r="IM885" s="582"/>
      <c r="IN885" s="582"/>
      <c r="IO885" s="582"/>
      <c r="IP885" s="582"/>
      <c r="IQ885" s="582"/>
      <c r="IR885" s="582"/>
      <c r="IS885" s="582"/>
      <c r="IT885" s="582"/>
      <c r="IU885" s="582"/>
      <c r="IV885" s="582"/>
      <c r="IW885" s="582"/>
    </row>
    <row r="886" spans="1:257" s="681" customFormat="1" ht="31.5">
      <c r="A886" s="635" t="s">
        <v>258</v>
      </c>
      <c r="B886" s="696" t="s">
        <v>480</v>
      </c>
      <c r="C886" s="683"/>
      <c r="D886" s="683"/>
      <c r="E886" s="669"/>
      <c r="F886" s="669">
        <v>101000000</v>
      </c>
      <c r="G886" s="669"/>
      <c r="H886" s="669"/>
      <c r="I886" s="669"/>
      <c r="J886" s="669">
        <v>101000000</v>
      </c>
      <c r="K886" s="669">
        <v>150000000</v>
      </c>
      <c r="L886" s="1306">
        <v>150000000</v>
      </c>
      <c r="M886" s="669" t="s">
        <v>1537</v>
      </c>
      <c r="N886" s="837"/>
      <c r="O886" s="837"/>
      <c r="P886" s="837"/>
      <c r="Q886" s="837"/>
      <c r="R886" s="1158">
        <f>R885*10%</f>
        <v>14.850000000000001</v>
      </c>
      <c r="S886" s="908"/>
      <c r="T886" s="1017"/>
      <c r="U886" s="670"/>
      <c r="V886" s="581"/>
      <c r="W886" s="581"/>
      <c r="X886" s="578"/>
      <c r="Y886" s="582"/>
      <c r="Z886" s="582"/>
      <c r="AA886" s="582"/>
      <c r="AB886" s="582"/>
      <c r="AC886" s="582"/>
      <c r="AD886" s="582"/>
      <c r="AE886" s="582"/>
      <c r="AF886" s="582"/>
      <c r="AG886" s="582"/>
      <c r="AH886" s="582"/>
      <c r="AI886" s="582"/>
      <c r="AJ886" s="582"/>
      <c r="AK886" s="582"/>
      <c r="AL886" s="582"/>
      <c r="AM886" s="582"/>
      <c r="AN886" s="582"/>
      <c r="AO886" s="582"/>
      <c r="AP886" s="582"/>
      <c r="AQ886" s="582"/>
      <c r="AR886" s="582"/>
      <c r="AS886" s="582"/>
      <c r="AT886" s="582"/>
      <c r="AU886" s="582"/>
      <c r="AV886" s="582"/>
      <c r="AW886" s="582"/>
      <c r="AX886" s="582"/>
      <c r="AY886" s="582"/>
      <c r="AZ886" s="582"/>
      <c r="BA886" s="582"/>
      <c r="BB886" s="582"/>
      <c r="BC886" s="582"/>
      <c r="BD886" s="582"/>
      <c r="BE886" s="582"/>
      <c r="BF886" s="582"/>
      <c r="BG886" s="582"/>
      <c r="BH886" s="582"/>
      <c r="BI886" s="582"/>
      <c r="BJ886" s="582"/>
      <c r="BK886" s="582"/>
      <c r="BL886" s="582"/>
      <c r="BM886" s="582"/>
      <c r="BN886" s="582"/>
      <c r="BO886" s="582"/>
      <c r="BP886" s="582"/>
      <c r="BQ886" s="582"/>
      <c r="BR886" s="582"/>
      <c r="BS886" s="582"/>
      <c r="BT886" s="582"/>
      <c r="BU886" s="582"/>
      <c r="BV886" s="582"/>
      <c r="BW886" s="582"/>
      <c r="BX886" s="582"/>
      <c r="BY886" s="582"/>
      <c r="BZ886" s="582"/>
      <c r="CA886" s="582"/>
      <c r="CB886" s="582"/>
      <c r="CC886" s="582"/>
      <c r="CD886" s="582"/>
      <c r="CE886" s="582"/>
      <c r="CF886" s="582"/>
      <c r="CG886" s="582"/>
      <c r="CH886" s="582"/>
      <c r="CI886" s="582"/>
      <c r="CJ886" s="582"/>
      <c r="CK886" s="582"/>
      <c r="CL886" s="582"/>
      <c r="CM886" s="582"/>
      <c r="CN886" s="582"/>
      <c r="CO886" s="582"/>
      <c r="CP886" s="582"/>
      <c r="CQ886" s="582"/>
      <c r="CR886" s="582"/>
      <c r="CS886" s="582"/>
      <c r="CT886" s="582"/>
      <c r="CU886" s="582"/>
      <c r="CV886" s="582"/>
      <c r="CW886" s="582"/>
      <c r="CX886" s="582"/>
      <c r="CY886" s="582"/>
      <c r="CZ886" s="582"/>
      <c r="DA886" s="582"/>
      <c r="DB886" s="582"/>
      <c r="DC886" s="582"/>
      <c r="DD886" s="582"/>
      <c r="DE886" s="582"/>
      <c r="DF886" s="582"/>
      <c r="DG886" s="582"/>
      <c r="DH886" s="582"/>
      <c r="DI886" s="582"/>
      <c r="DJ886" s="582"/>
      <c r="DK886" s="582"/>
      <c r="DL886" s="582"/>
      <c r="DM886" s="582"/>
      <c r="DN886" s="582"/>
      <c r="DO886" s="582"/>
      <c r="DP886" s="582"/>
      <c r="DQ886" s="582"/>
      <c r="DR886" s="582"/>
      <c r="DS886" s="582"/>
      <c r="DT886" s="582"/>
      <c r="DU886" s="582"/>
      <c r="DV886" s="582"/>
      <c r="DW886" s="582"/>
      <c r="DX886" s="582"/>
      <c r="DY886" s="582"/>
      <c r="DZ886" s="582"/>
      <c r="EA886" s="582"/>
      <c r="EB886" s="582"/>
      <c r="EC886" s="582"/>
      <c r="ED886" s="582"/>
      <c r="EE886" s="582"/>
      <c r="EF886" s="582"/>
      <c r="EG886" s="582"/>
      <c r="EH886" s="582"/>
      <c r="EI886" s="582"/>
      <c r="EJ886" s="582"/>
      <c r="EK886" s="582"/>
      <c r="EL886" s="582"/>
      <c r="EM886" s="582"/>
      <c r="EN886" s="582"/>
      <c r="EO886" s="582"/>
      <c r="EP886" s="582"/>
      <c r="EQ886" s="582"/>
      <c r="ER886" s="582"/>
      <c r="ES886" s="582"/>
      <c r="ET886" s="582"/>
      <c r="EU886" s="582"/>
      <c r="EV886" s="582"/>
      <c r="EW886" s="582"/>
      <c r="EX886" s="582"/>
      <c r="EY886" s="582"/>
      <c r="EZ886" s="582"/>
      <c r="FA886" s="582"/>
      <c r="FB886" s="582"/>
      <c r="FC886" s="582"/>
      <c r="FD886" s="582"/>
      <c r="FE886" s="582"/>
      <c r="FF886" s="582"/>
      <c r="FG886" s="582"/>
      <c r="FH886" s="582"/>
      <c r="FI886" s="582"/>
      <c r="FJ886" s="582"/>
      <c r="FK886" s="582"/>
      <c r="FL886" s="582"/>
      <c r="FM886" s="582"/>
      <c r="FN886" s="582"/>
      <c r="FO886" s="582"/>
      <c r="FP886" s="582"/>
      <c r="FQ886" s="582"/>
      <c r="FR886" s="582"/>
      <c r="FS886" s="582"/>
      <c r="FT886" s="582"/>
      <c r="FU886" s="582"/>
      <c r="FV886" s="582"/>
      <c r="FW886" s="582"/>
      <c r="FX886" s="582"/>
      <c r="FY886" s="582"/>
      <c r="FZ886" s="582"/>
      <c r="GA886" s="582"/>
      <c r="GB886" s="582"/>
      <c r="GC886" s="582"/>
      <c r="GD886" s="582"/>
      <c r="GE886" s="582"/>
      <c r="GF886" s="582"/>
      <c r="GG886" s="582"/>
      <c r="GH886" s="582"/>
      <c r="GI886" s="582"/>
      <c r="GJ886" s="582"/>
      <c r="GK886" s="582"/>
      <c r="GL886" s="582"/>
      <c r="GM886" s="582"/>
      <c r="GN886" s="582"/>
      <c r="GO886" s="582"/>
      <c r="GP886" s="582"/>
      <c r="GQ886" s="582"/>
      <c r="GR886" s="582"/>
      <c r="GS886" s="582"/>
      <c r="GT886" s="582"/>
      <c r="GU886" s="582"/>
      <c r="GV886" s="582"/>
      <c r="GW886" s="582"/>
      <c r="GX886" s="582"/>
      <c r="GY886" s="582"/>
      <c r="GZ886" s="582"/>
      <c r="HA886" s="582"/>
      <c r="HB886" s="582"/>
      <c r="HC886" s="582"/>
      <c r="HD886" s="582"/>
      <c r="HE886" s="582"/>
      <c r="HF886" s="582"/>
      <c r="HG886" s="582"/>
      <c r="HH886" s="582"/>
      <c r="HI886" s="582"/>
      <c r="HJ886" s="582"/>
      <c r="HK886" s="582"/>
      <c r="HL886" s="582"/>
      <c r="HM886" s="582"/>
      <c r="HN886" s="582"/>
      <c r="HO886" s="582"/>
      <c r="HP886" s="582"/>
      <c r="HQ886" s="582"/>
      <c r="HR886" s="582"/>
      <c r="HS886" s="582"/>
      <c r="HT886" s="582"/>
      <c r="HU886" s="582"/>
      <c r="HV886" s="582"/>
      <c r="HW886" s="582"/>
      <c r="HX886" s="582"/>
      <c r="HY886" s="582"/>
      <c r="HZ886" s="582"/>
      <c r="IA886" s="582"/>
      <c r="IB886" s="582"/>
      <c r="IC886" s="582"/>
      <c r="ID886" s="582"/>
      <c r="IE886" s="582"/>
      <c r="IF886" s="582"/>
      <c r="IG886" s="582"/>
      <c r="IH886" s="582"/>
      <c r="II886" s="582"/>
      <c r="IJ886" s="582"/>
      <c r="IK886" s="582"/>
      <c r="IL886" s="582"/>
      <c r="IM886" s="582"/>
      <c r="IN886" s="582"/>
      <c r="IO886" s="582"/>
      <c r="IP886" s="582"/>
      <c r="IQ886" s="582"/>
      <c r="IR886" s="582"/>
      <c r="IS886" s="582"/>
      <c r="IT886" s="582"/>
      <c r="IU886" s="582"/>
      <c r="IV886" s="582"/>
      <c r="IW886" s="582"/>
    </row>
    <row r="887" spans="1:257" s="681" customFormat="1" ht="31.5">
      <c r="A887" s="774" t="s">
        <v>258</v>
      </c>
      <c r="B887" s="902" t="s">
        <v>481</v>
      </c>
      <c r="C887" s="1008"/>
      <c r="D887" s="1008"/>
      <c r="E887" s="761"/>
      <c r="F887" s="761">
        <v>50000000</v>
      </c>
      <c r="G887" s="761"/>
      <c r="H887" s="761"/>
      <c r="I887" s="761"/>
      <c r="J887" s="761">
        <v>50000000</v>
      </c>
      <c r="K887" s="761">
        <v>50000000</v>
      </c>
      <c r="L887" s="1306">
        <v>0</v>
      </c>
      <c r="M887" s="761"/>
      <c r="N887" s="837"/>
      <c r="O887" s="837"/>
      <c r="P887" s="837"/>
      <c r="Q887" s="837"/>
      <c r="R887" s="1158">
        <f>R885-R886</f>
        <v>133.65</v>
      </c>
      <c r="S887" s="908"/>
      <c r="T887" s="1017"/>
      <c r="U887" s="670"/>
      <c r="V887" s="581"/>
      <c r="W887" s="581"/>
      <c r="X887" s="578"/>
      <c r="Y887" s="582"/>
      <c r="Z887" s="582"/>
      <c r="AA887" s="582"/>
      <c r="AB887" s="582"/>
      <c r="AC887" s="582"/>
      <c r="AD887" s="582"/>
      <c r="AE887" s="582"/>
      <c r="AF887" s="582"/>
      <c r="AG887" s="582"/>
      <c r="AH887" s="582"/>
      <c r="AI887" s="582"/>
      <c r="AJ887" s="582"/>
      <c r="AK887" s="582"/>
      <c r="AL887" s="582"/>
      <c r="AM887" s="582"/>
      <c r="AN887" s="582"/>
      <c r="AO887" s="582"/>
      <c r="AP887" s="582"/>
      <c r="AQ887" s="582"/>
      <c r="AR887" s="582"/>
      <c r="AS887" s="582"/>
      <c r="AT887" s="582"/>
      <c r="AU887" s="582"/>
      <c r="AV887" s="582"/>
      <c r="AW887" s="582"/>
      <c r="AX887" s="582"/>
      <c r="AY887" s="582"/>
      <c r="AZ887" s="582"/>
      <c r="BA887" s="582"/>
      <c r="BB887" s="582"/>
      <c r="BC887" s="582"/>
      <c r="BD887" s="582"/>
      <c r="BE887" s="582"/>
      <c r="BF887" s="582"/>
      <c r="BG887" s="582"/>
      <c r="BH887" s="582"/>
      <c r="BI887" s="582"/>
      <c r="BJ887" s="582"/>
      <c r="BK887" s="582"/>
      <c r="BL887" s="582"/>
      <c r="BM887" s="582"/>
      <c r="BN887" s="582"/>
      <c r="BO887" s="582"/>
      <c r="BP887" s="582"/>
      <c r="BQ887" s="582"/>
      <c r="BR887" s="582"/>
      <c r="BS887" s="582"/>
      <c r="BT887" s="582"/>
      <c r="BU887" s="582"/>
      <c r="BV887" s="582"/>
      <c r="BW887" s="582"/>
      <c r="BX887" s="582"/>
      <c r="BY887" s="582"/>
      <c r="BZ887" s="582"/>
      <c r="CA887" s="582"/>
      <c r="CB887" s="582"/>
      <c r="CC887" s="582"/>
      <c r="CD887" s="582"/>
      <c r="CE887" s="582"/>
      <c r="CF887" s="582"/>
      <c r="CG887" s="582"/>
      <c r="CH887" s="582"/>
      <c r="CI887" s="582"/>
      <c r="CJ887" s="582"/>
      <c r="CK887" s="582"/>
      <c r="CL887" s="582"/>
      <c r="CM887" s="582"/>
      <c r="CN887" s="582"/>
      <c r="CO887" s="582"/>
      <c r="CP887" s="582"/>
      <c r="CQ887" s="582"/>
      <c r="CR887" s="582"/>
      <c r="CS887" s="582"/>
      <c r="CT887" s="582"/>
      <c r="CU887" s="582"/>
      <c r="CV887" s="582"/>
      <c r="CW887" s="582"/>
      <c r="CX887" s="582"/>
      <c r="CY887" s="582"/>
      <c r="CZ887" s="582"/>
      <c r="DA887" s="582"/>
      <c r="DB887" s="582"/>
      <c r="DC887" s="582"/>
      <c r="DD887" s="582"/>
      <c r="DE887" s="582"/>
      <c r="DF887" s="582"/>
      <c r="DG887" s="582"/>
      <c r="DH887" s="582"/>
      <c r="DI887" s="582"/>
      <c r="DJ887" s="582"/>
      <c r="DK887" s="582"/>
      <c r="DL887" s="582"/>
      <c r="DM887" s="582"/>
      <c r="DN887" s="582"/>
      <c r="DO887" s="582"/>
      <c r="DP887" s="582"/>
      <c r="DQ887" s="582"/>
      <c r="DR887" s="582"/>
      <c r="DS887" s="582"/>
      <c r="DT887" s="582"/>
      <c r="DU887" s="582"/>
      <c r="DV887" s="582"/>
      <c r="DW887" s="582"/>
      <c r="DX887" s="582"/>
      <c r="DY887" s="582"/>
      <c r="DZ887" s="582"/>
      <c r="EA887" s="582"/>
      <c r="EB887" s="582"/>
      <c r="EC887" s="582"/>
      <c r="ED887" s="582"/>
      <c r="EE887" s="582"/>
      <c r="EF887" s="582"/>
      <c r="EG887" s="582"/>
      <c r="EH887" s="582"/>
      <c r="EI887" s="582"/>
      <c r="EJ887" s="582"/>
      <c r="EK887" s="582"/>
      <c r="EL887" s="582"/>
      <c r="EM887" s="582"/>
      <c r="EN887" s="582"/>
      <c r="EO887" s="582"/>
      <c r="EP887" s="582"/>
      <c r="EQ887" s="582"/>
      <c r="ER887" s="582"/>
      <c r="ES887" s="582"/>
      <c r="ET887" s="582"/>
      <c r="EU887" s="582"/>
      <c r="EV887" s="582"/>
      <c r="EW887" s="582"/>
      <c r="EX887" s="582"/>
      <c r="EY887" s="582"/>
      <c r="EZ887" s="582"/>
      <c r="FA887" s="582"/>
      <c r="FB887" s="582"/>
      <c r="FC887" s="582"/>
      <c r="FD887" s="582"/>
      <c r="FE887" s="582"/>
      <c r="FF887" s="582"/>
      <c r="FG887" s="582"/>
      <c r="FH887" s="582"/>
      <c r="FI887" s="582"/>
      <c r="FJ887" s="582"/>
      <c r="FK887" s="582"/>
      <c r="FL887" s="582"/>
      <c r="FM887" s="582"/>
      <c r="FN887" s="582"/>
      <c r="FO887" s="582"/>
      <c r="FP887" s="582"/>
      <c r="FQ887" s="582"/>
      <c r="FR887" s="582"/>
      <c r="FS887" s="582"/>
      <c r="FT887" s="582"/>
      <c r="FU887" s="582"/>
      <c r="FV887" s="582"/>
      <c r="FW887" s="582"/>
      <c r="FX887" s="582"/>
      <c r="FY887" s="582"/>
      <c r="FZ887" s="582"/>
      <c r="GA887" s="582"/>
      <c r="GB887" s="582"/>
      <c r="GC887" s="582"/>
      <c r="GD887" s="582"/>
      <c r="GE887" s="582"/>
      <c r="GF887" s="582"/>
      <c r="GG887" s="582"/>
      <c r="GH887" s="582"/>
      <c r="GI887" s="582"/>
      <c r="GJ887" s="582"/>
      <c r="GK887" s="582"/>
      <c r="GL887" s="582"/>
      <c r="GM887" s="582"/>
      <c r="GN887" s="582"/>
      <c r="GO887" s="582"/>
      <c r="GP887" s="582"/>
      <c r="GQ887" s="582"/>
      <c r="GR887" s="582"/>
      <c r="GS887" s="582"/>
      <c r="GT887" s="582"/>
      <c r="GU887" s="582"/>
      <c r="GV887" s="582"/>
      <c r="GW887" s="582"/>
      <c r="GX887" s="582"/>
      <c r="GY887" s="582"/>
      <c r="GZ887" s="582"/>
      <c r="HA887" s="582"/>
      <c r="HB887" s="582"/>
      <c r="HC887" s="582"/>
      <c r="HD887" s="582"/>
      <c r="HE887" s="582"/>
      <c r="HF887" s="582"/>
      <c r="HG887" s="582"/>
      <c r="HH887" s="582"/>
      <c r="HI887" s="582"/>
      <c r="HJ887" s="582"/>
      <c r="HK887" s="582"/>
      <c r="HL887" s="582"/>
      <c r="HM887" s="582"/>
      <c r="HN887" s="582"/>
      <c r="HO887" s="582"/>
      <c r="HP887" s="582"/>
      <c r="HQ887" s="582"/>
      <c r="HR887" s="582"/>
      <c r="HS887" s="582"/>
      <c r="HT887" s="582"/>
      <c r="HU887" s="582"/>
      <c r="HV887" s="582"/>
      <c r="HW887" s="582"/>
      <c r="HX887" s="582"/>
      <c r="HY887" s="582"/>
      <c r="HZ887" s="582"/>
      <c r="IA887" s="582"/>
      <c r="IB887" s="582"/>
      <c r="IC887" s="582"/>
      <c r="ID887" s="582"/>
      <c r="IE887" s="582"/>
      <c r="IF887" s="582"/>
      <c r="IG887" s="582"/>
      <c r="IH887" s="582"/>
      <c r="II887" s="582"/>
      <c r="IJ887" s="582"/>
      <c r="IK887" s="582"/>
      <c r="IL887" s="582"/>
      <c r="IM887" s="582"/>
      <c r="IN887" s="582"/>
      <c r="IO887" s="582"/>
      <c r="IP887" s="582"/>
      <c r="IQ887" s="582"/>
      <c r="IR887" s="582"/>
      <c r="IS887" s="582"/>
      <c r="IT887" s="582"/>
      <c r="IU887" s="582"/>
      <c r="IV887" s="582"/>
      <c r="IW887" s="582"/>
    </row>
    <row r="888" spans="1:257" s="681" customFormat="1" ht="31.5">
      <c r="A888" s="635" t="s">
        <v>258</v>
      </c>
      <c r="B888" s="696" t="s">
        <v>1539</v>
      </c>
      <c r="C888" s="683"/>
      <c r="D888" s="683"/>
      <c r="E888" s="669"/>
      <c r="F888" s="669">
        <v>450000000</v>
      </c>
      <c r="G888" s="669"/>
      <c r="H888" s="669"/>
      <c r="I888" s="669"/>
      <c r="J888" s="669">
        <v>450000000</v>
      </c>
      <c r="K888" s="669">
        <v>285000000</v>
      </c>
      <c r="L888" s="1306">
        <v>200000000</v>
      </c>
      <c r="M888" s="669" t="s">
        <v>1537</v>
      </c>
      <c r="N888" s="837"/>
      <c r="O888" s="837"/>
      <c r="P888" s="837"/>
      <c r="Q888" s="837"/>
      <c r="R888" s="1158">
        <f>R887/9</f>
        <v>14.850000000000001</v>
      </c>
      <c r="S888" s="908"/>
      <c r="T888" s="1017"/>
      <c r="U888" s="670"/>
      <c r="V888" s="581"/>
      <c r="W888" s="581"/>
      <c r="X888" s="578"/>
      <c r="Y888" s="582"/>
      <c r="Z888" s="582"/>
      <c r="AA888" s="582"/>
      <c r="AB888" s="582"/>
      <c r="AC888" s="582"/>
      <c r="AD888" s="582"/>
      <c r="AE888" s="582"/>
      <c r="AF888" s="582"/>
      <c r="AG888" s="582"/>
      <c r="AH888" s="582"/>
      <c r="AI888" s="582"/>
      <c r="AJ888" s="582"/>
      <c r="AK888" s="582"/>
      <c r="AL888" s="582"/>
      <c r="AM888" s="582"/>
      <c r="AN888" s="582"/>
      <c r="AO888" s="582"/>
      <c r="AP888" s="582"/>
      <c r="AQ888" s="582"/>
      <c r="AR888" s="582"/>
      <c r="AS888" s="582"/>
      <c r="AT888" s="582"/>
      <c r="AU888" s="582"/>
      <c r="AV888" s="582"/>
      <c r="AW888" s="582"/>
      <c r="AX888" s="582"/>
      <c r="AY888" s="582"/>
      <c r="AZ888" s="582"/>
      <c r="BA888" s="582"/>
      <c r="BB888" s="582"/>
      <c r="BC888" s="582"/>
      <c r="BD888" s="582"/>
      <c r="BE888" s="582"/>
      <c r="BF888" s="582"/>
      <c r="BG888" s="582"/>
      <c r="BH888" s="582"/>
      <c r="BI888" s="582"/>
      <c r="BJ888" s="582"/>
      <c r="BK888" s="582"/>
      <c r="BL888" s="582"/>
      <c r="BM888" s="582"/>
      <c r="BN888" s="582"/>
      <c r="BO888" s="582"/>
      <c r="BP888" s="582"/>
      <c r="BQ888" s="582"/>
      <c r="BR888" s="582"/>
      <c r="BS888" s="582"/>
      <c r="BT888" s="582"/>
      <c r="BU888" s="582"/>
      <c r="BV888" s="582"/>
      <c r="BW888" s="582"/>
      <c r="BX888" s="582"/>
      <c r="BY888" s="582"/>
      <c r="BZ888" s="582"/>
      <c r="CA888" s="582"/>
      <c r="CB888" s="582"/>
      <c r="CC888" s="582"/>
      <c r="CD888" s="582"/>
      <c r="CE888" s="582"/>
      <c r="CF888" s="582"/>
      <c r="CG888" s="582"/>
      <c r="CH888" s="582"/>
      <c r="CI888" s="582"/>
      <c r="CJ888" s="582"/>
      <c r="CK888" s="582"/>
      <c r="CL888" s="582"/>
      <c r="CM888" s="582"/>
      <c r="CN888" s="582"/>
      <c r="CO888" s="582"/>
      <c r="CP888" s="582"/>
      <c r="CQ888" s="582"/>
      <c r="CR888" s="582"/>
      <c r="CS888" s="582"/>
      <c r="CT888" s="582"/>
      <c r="CU888" s="582"/>
      <c r="CV888" s="582"/>
      <c r="CW888" s="582"/>
      <c r="CX888" s="582"/>
      <c r="CY888" s="582"/>
      <c r="CZ888" s="582"/>
      <c r="DA888" s="582"/>
      <c r="DB888" s="582"/>
      <c r="DC888" s="582"/>
      <c r="DD888" s="582"/>
      <c r="DE888" s="582"/>
      <c r="DF888" s="582"/>
      <c r="DG888" s="582"/>
      <c r="DH888" s="582"/>
      <c r="DI888" s="582"/>
      <c r="DJ888" s="582"/>
      <c r="DK888" s="582"/>
      <c r="DL888" s="582"/>
      <c r="DM888" s="582"/>
      <c r="DN888" s="582"/>
      <c r="DO888" s="582"/>
      <c r="DP888" s="582"/>
      <c r="DQ888" s="582"/>
      <c r="DR888" s="582"/>
      <c r="DS888" s="582"/>
      <c r="DT888" s="582"/>
      <c r="DU888" s="582"/>
      <c r="DV888" s="582"/>
      <c r="DW888" s="582"/>
      <c r="DX888" s="582"/>
      <c r="DY888" s="582"/>
      <c r="DZ888" s="582"/>
      <c r="EA888" s="582"/>
      <c r="EB888" s="582"/>
      <c r="EC888" s="582"/>
      <c r="ED888" s="582"/>
      <c r="EE888" s="582"/>
      <c r="EF888" s="582"/>
      <c r="EG888" s="582"/>
      <c r="EH888" s="582"/>
      <c r="EI888" s="582"/>
      <c r="EJ888" s="582"/>
      <c r="EK888" s="582"/>
      <c r="EL888" s="582"/>
      <c r="EM888" s="582"/>
      <c r="EN888" s="582"/>
      <c r="EO888" s="582"/>
      <c r="EP888" s="582"/>
      <c r="EQ888" s="582"/>
      <c r="ER888" s="582"/>
      <c r="ES888" s="582"/>
      <c r="ET888" s="582"/>
      <c r="EU888" s="582"/>
      <c r="EV888" s="582"/>
      <c r="EW888" s="582"/>
      <c r="EX888" s="582"/>
      <c r="EY888" s="582"/>
      <c r="EZ888" s="582"/>
      <c r="FA888" s="582"/>
      <c r="FB888" s="582"/>
      <c r="FC888" s="582"/>
      <c r="FD888" s="582"/>
      <c r="FE888" s="582"/>
      <c r="FF888" s="582"/>
      <c r="FG888" s="582"/>
      <c r="FH888" s="582"/>
      <c r="FI888" s="582"/>
      <c r="FJ888" s="582"/>
      <c r="FK888" s="582"/>
      <c r="FL888" s="582"/>
      <c r="FM888" s="582"/>
      <c r="FN888" s="582"/>
      <c r="FO888" s="582"/>
      <c r="FP888" s="582"/>
      <c r="FQ888" s="582"/>
      <c r="FR888" s="582"/>
      <c r="FS888" s="582"/>
      <c r="FT888" s="582"/>
      <c r="FU888" s="582"/>
      <c r="FV888" s="582"/>
      <c r="FW888" s="582"/>
      <c r="FX888" s="582"/>
      <c r="FY888" s="582"/>
      <c r="FZ888" s="582"/>
      <c r="GA888" s="582"/>
      <c r="GB888" s="582"/>
      <c r="GC888" s="582"/>
      <c r="GD888" s="582"/>
      <c r="GE888" s="582"/>
      <c r="GF888" s="582"/>
      <c r="GG888" s="582"/>
      <c r="GH888" s="582"/>
      <c r="GI888" s="582"/>
      <c r="GJ888" s="582"/>
      <c r="GK888" s="582"/>
      <c r="GL888" s="582"/>
      <c r="GM888" s="582"/>
      <c r="GN888" s="582"/>
      <c r="GO888" s="582"/>
      <c r="GP888" s="582"/>
      <c r="GQ888" s="582"/>
      <c r="GR888" s="582"/>
      <c r="GS888" s="582"/>
      <c r="GT888" s="582"/>
      <c r="GU888" s="582"/>
      <c r="GV888" s="582"/>
      <c r="GW888" s="582"/>
      <c r="GX888" s="582"/>
      <c r="GY888" s="582"/>
      <c r="GZ888" s="582"/>
      <c r="HA888" s="582"/>
      <c r="HB888" s="582"/>
      <c r="HC888" s="582"/>
      <c r="HD888" s="582"/>
      <c r="HE888" s="582"/>
      <c r="HF888" s="582"/>
      <c r="HG888" s="582"/>
      <c r="HH888" s="582"/>
      <c r="HI888" s="582"/>
      <c r="HJ888" s="582"/>
      <c r="HK888" s="582"/>
      <c r="HL888" s="582"/>
      <c r="HM888" s="582"/>
      <c r="HN888" s="582"/>
      <c r="HO888" s="582"/>
      <c r="HP888" s="582"/>
      <c r="HQ888" s="582"/>
      <c r="HR888" s="582"/>
      <c r="HS888" s="582"/>
      <c r="HT888" s="582"/>
      <c r="HU888" s="582"/>
      <c r="HV888" s="582"/>
      <c r="HW888" s="582"/>
      <c r="HX888" s="582"/>
      <c r="HY888" s="582"/>
      <c r="HZ888" s="582"/>
      <c r="IA888" s="582"/>
      <c r="IB888" s="582"/>
      <c r="IC888" s="582"/>
      <c r="ID888" s="582"/>
      <c r="IE888" s="582"/>
      <c r="IF888" s="582"/>
      <c r="IG888" s="582"/>
      <c r="IH888" s="582"/>
      <c r="II888" s="582"/>
      <c r="IJ888" s="582"/>
      <c r="IK888" s="582"/>
      <c r="IL888" s="582"/>
      <c r="IM888" s="582"/>
      <c r="IN888" s="582"/>
      <c r="IO888" s="582"/>
      <c r="IP888" s="582"/>
      <c r="IQ888" s="582"/>
      <c r="IR888" s="582"/>
      <c r="IS888" s="582"/>
      <c r="IT888" s="582"/>
      <c r="IU888" s="582"/>
      <c r="IV888" s="582"/>
      <c r="IW888" s="582"/>
    </row>
    <row r="889" spans="1:257" s="681" customFormat="1" ht="31.5">
      <c r="A889" s="774" t="s">
        <v>258</v>
      </c>
      <c r="B889" s="902" t="s">
        <v>1158</v>
      </c>
      <c r="C889" s="1008"/>
      <c r="D889" s="1008"/>
      <c r="E889" s="761"/>
      <c r="F889" s="761"/>
      <c r="G889" s="761">
        <f>(90+45+23+15+75+40+75+20)*1000000</f>
        <v>383000000</v>
      </c>
      <c r="H889" s="761"/>
      <c r="I889" s="761"/>
      <c r="J889" s="761"/>
      <c r="K889" s="761">
        <f>9*15000000/0.9+4*8500000+15000000</f>
        <v>199000000</v>
      </c>
      <c r="L889" s="1306"/>
      <c r="M889" s="761" t="s">
        <v>1542</v>
      </c>
      <c r="N889" s="837"/>
      <c r="O889" s="837"/>
      <c r="P889" s="837"/>
      <c r="Q889" s="837"/>
      <c r="R889" s="908"/>
      <c r="S889" s="908"/>
      <c r="T889" s="1017"/>
      <c r="U889" s="670"/>
      <c r="V889" s="581"/>
      <c r="W889" s="581"/>
      <c r="X889" s="578"/>
      <c r="Y889" s="582"/>
      <c r="Z889" s="582"/>
      <c r="AA889" s="582"/>
      <c r="AB889" s="582"/>
      <c r="AC889" s="582"/>
      <c r="AD889" s="582"/>
      <c r="AE889" s="582"/>
      <c r="AF889" s="582"/>
      <c r="AG889" s="582"/>
      <c r="AH889" s="582"/>
      <c r="AI889" s="582"/>
      <c r="AJ889" s="582"/>
      <c r="AK889" s="582"/>
      <c r="AL889" s="582"/>
      <c r="AM889" s="582"/>
      <c r="AN889" s="582"/>
      <c r="AO889" s="582"/>
      <c r="AP889" s="582"/>
      <c r="AQ889" s="582"/>
      <c r="AR889" s="582"/>
      <c r="AS889" s="582"/>
      <c r="AT889" s="582"/>
      <c r="AU889" s="582"/>
      <c r="AV889" s="582"/>
      <c r="AW889" s="582"/>
      <c r="AX889" s="582"/>
      <c r="AY889" s="582"/>
      <c r="AZ889" s="582"/>
      <c r="BA889" s="582"/>
      <c r="BB889" s="582"/>
      <c r="BC889" s="582"/>
      <c r="BD889" s="582"/>
      <c r="BE889" s="582"/>
      <c r="BF889" s="582"/>
      <c r="BG889" s="582"/>
      <c r="BH889" s="582"/>
      <c r="BI889" s="582"/>
      <c r="BJ889" s="582"/>
      <c r="BK889" s="582"/>
      <c r="BL889" s="582"/>
      <c r="BM889" s="582"/>
      <c r="BN889" s="582"/>
      <c r="BO889" s="582"/>
      <c r="BP889" s="582"/>
      <c r="BQ889" s="582"/>
      <c r="BR889" s="582"/>
      <c r="BS889" s="582"/>
      <c r="BT889" s="582"/>
      <c r="BU889" s="582"/>
      <c r="BV889" s="582"/>
      <c r="BW889" s="582"/>
      <c r="BX889" s="582"/>
      <c r="BY889" s="582"/>
      <c r="BZ889" s="582"/>
      <c r="CA889" s="582"/>
      <c r="CB889" s="582"/>
      <c r="CC889" s="582"/>
      <c r="CD889" s="582"/>
      <c r="CE889" s="582"/>
      <c r="CF889" s="582"/>
      <c r="CG889" s="582"/>
      <c r="CH889" s="582"/>
      <c r="CI889" s="582"/>
      <c r="CJ889" s="582"/>
      <c r="CK889" s="582"/>
      <c r="CL889" s="582"/>
      <c r="CM889" s="582"/>
      <c r="CN889" s="582"/>
      <c r="CO889" s="582"/>
      <c r="CP889" s="582"/>
      <c r="CQ889" s="582"/>
      <c r="CR889" s="582"/>
      <c r="CS889" s="582"/>
      <c r="CT889" s="582"/>
      <c r="CU889" s="582"/>
      <c r="CV889" s="582"/>
      <c r="CW889" s="582"/>
      <c r="CX889" s="582"/>
      <c r="CY889" s="582"/>
      <c r="CZ889" s="582"/>
      <c r="DA889" s="582"/>
      <c r="DB889" s="582"/>
      <c r="DC889" s="582"/>
      <c r="DD889" s="582"/>
      <c r="DE889" s="582"/>
      <c r="DF889" s="582"/>
      <c r="DG889" s="582"/>
      <c r="DH889" s="582"/>
      <c r="DI889" s="582"/>
      <c r="DJ889" s="582"/>
      <c r="DK889" s="582"/>
      <c r="DL889" s="582"/>
      <c r="DM889" s="582"/>
      <c r="DN889" s="582"/>
      <c r="DO889" s="582"/>
      <c r="DP889" s="582"/>
      <c r="DQ889" s="582"/>
      <c r="DR889" s="582"/>
      <c r="DS889" s="582"/>
      <c r="DT889" s="582"/>
      <c r="DU889" s="582"/>
      <c r="DV889" s="582"/>
      <c r="DW889" s="582"/>
      <c r="DX889" s="582"/>
      <c r="DY889" s="582"/>
      <c r="DZ889" s="582"/>
      <c r="EA889" s="582"/>
      <c r="EB889" s="582"/>
      <c r="EC889" s="582"/>
      <c r="ED889" s="582"/>
      <c r="EE889" s="582"/>
      <c r="EF889" s="582"/>
      <c r="EG889" s="582"/>
      <c r="EH889" s="582"/>
      <c r="EI889" s="582"/>
      <c r="EJ889" s="582"/>
      <c r="EK889" s="582"/>
      <c r="EL889" s="582"/>
      <c r="EM889" s="582"/>
      <c r="EN889" s="582"/>
      <c r="EO889" s="582"/>
      <c r="EP889" s="582"/>
      <c r="EQ889" s="582"/>
      <c r="ER889" s="582"/>
      <c r="ES889" s="582"/>
      <c r="ET889" s="582"/>
      <c r="EU889" s="582"/>
      <c r="EV889" s="582"/>
      <c r="EW889" s="582"/>
      <c r="EX889" s="582"/>
      <c r="EY889" s="582"/>
      <c r="EZ889" s="582"/>
      <c r="FA889" s="582"/>
      <c r="FB889" s="582"/>
      <c r="FC889" s="582"/>
      <c r="FD889" s="582"/>
      <c r="FE889" s="582"/>
      <c r="FF889" s="582"/>
      <c r="FG889" s="582"/>
      <c r="FH889" s="582"/>
      <c r="FI889" s="582"/>
      <c r="FJ889" s="582"/>
      <c r="FK889" s="582"/>
      <c r="FL889" s="582"/>
      <c r="FM889" s="582"/>
      <c r="FN889" s="582"/>
      <c r="FO889" s="582"/>
      <c r="FP889" s="582"/>
      <c r="FQ889" s="582"/>
      <c r="FR889" s="582"/>
      <c r="FS889" s="582"/>
      <c r="FT889" s="582"/>
      <c r="FU889" s="582"/>
      <c r="FV889" s="582"/>
      <c r="FW889" s="582"/>
      <c r="FX889" s="582"/>
      <c r="FY889" s="582"/>
      <c r="FZ889" s="582"/>
      <c r="GA889" s="582"/>
      <c r="GB889" s="582"/>
      <c r="GC889" s="582"/>
      <c r="GD889" s="582"/>
      <c r="GE889" s="582"/>
      <c r="GF889" s="582"/>
      <c r="GG889" s="582"/>
      <c r="GH889" s="582"/>
      <c r="GI889" s="582"/>
      <c r="GJ889" s="582"/>
      <c r="GK889" s="582"/>
      <c r="GL889" s="582"/>
      <c r="GM889" s="582"/>
      <c r="GN889" s="582"/>
      <c r="GO889" s="582"/>
      <c r="GP889" s="582"/>
      <c r="GQ889" s="582"/>
      <c r="GR889" s="582"/>
      <c r="GS889" s="582"/>
      <c r="GT889" s="582"/>
      <c r="GU889" s="582"/>
      <c r="GV889" s="582"/>
      <c r="GW889" s="582"/>
      <c r="GX889" s="582"/>
      <c r="GY889" s="582"/>
      <c r="GZ889" s="582"/>
      <c r="HA889" s="582"/>
      <c r="HB889" s="582"/>
      <c r="HC889" s="582"/>
      <c r="HD889" s="582"/>
      <c r="HE889" s="582"/>
      <c r="HF889" s="582"/>
      <c r="HG889" s="582"/>
      <c r="HH889" s="582"/>
      <c r="HI889" s="582"/>
      <c r="HJ889" s="582"/>
      <c r="HK889" s="582"/>
      <c r="HL889" s="582"/>
      <c r="HM889" s="582"/>
      <c r="HN889" s="582"/>
      <c r="HO889" s="582"/>
      <c r="HP889" s="582"/>
      <c r="HQ889" s="582"/>
      <c r="HR889" s="582"/>
      <c r="HS889" s="582"/>
      <c r="HT889" s="582"/>
      <c r="HU889" s="582"/>
      <c r="HV889" s="582"/>
      <c r="HW889" s="582"/>
      <c r="HX889" s="582"/>
      <c r="HY889" s="582"/>
      <c r="HZ889" s="582"/>
      <c r="IA889" s="582"/>
      <c r="IB889" s="582"/>
      <c r="IC889" s="582"/>
      <c r="ID889" s="582"/>
      <c r="IE889" s="582"/>
      <c r="IF889" s="582"/>
      <c r="IG889" s="582"/>
      <c r="IH889" s="582"/>
      <c r="II889" s="582"/>
      <c r="IJ889" s="582"/>
      <c r="IK889" s="582"/>
      <c r="IL889" s="582"/>
      <c r="IM889" s="582"/>
      <c r="IN889" s="582"/>
      <c r="IO889" s="582"/>
      <c r="IP889" s="582"/>
      <c r="IQ889" s="582"/>
      <c r="IR889" s="582"/>
      <c r="IS889" s="582"/>
      <c r="IT889" s="582"/>
      <c r="IU889" s="582"/>
      <c r="IV889" s="582"/>
      <c r="IW889" s="582"/>
    </row>
    <row r="890" spans="1:257" s="681" customFormat="1">
      <c r="A890" s="635" t="s">
        <v>258</v>
      </c>
      <c r="B890" s="696" t="s">
        <v>1159</v>
      </c>
      <c r="C890" s="683"/>
      <c r="D890" s="683"/>
      <c r="E890" s="669"/>
      <c r="F890" s="669"/>
      <c r="G890" s="669"/>
      <c r="H890" s="669"/>
      <c r="I890" s="669"/>
      <c r="J890" s="669"/>
      <c r="K890" s="669">
        <v>120000000</v>
      </c>
      <c r="L890" s="1306">
        <v>80000000</v>
      </c>
      <c r="M890" s="669"/>
      <c r="N890" s="837"/>
      <c r="O890" s="837"/>
      <c r="P890" s="837"/>
      <c r="Q890" s="837"/>
      <c r="R890" s="908"/>
      <c r="S890" s="1159">
        <f>15/0.9</f>
        <v>16.666666666666668</v>
      </c>
      <c r="T890" s="1017"/>
      <c r="U890" s="670"/>
      <c r="V890" s="581"/>
      <c r="W890" s="581"/>
      <c r="X890" s="578"/>
      <c r="Y890" s="582"/>
      <c r="Z890" s="582"/>
      <c r="AA890" s="582"/>
      <c r="AB890" s="582"/>
      <c r="AC890" s="582"/>
      <c r="AD890" s="582"/>
      <c r="AE890" s="582"/>
      <c r="AF890" s="582"/>
      <c r="AG890" s="582"/>
      <c r="AH890" s="582"/>
      <c r="AI890" s="582"/>
      <c r="AJ890" s="582"/>
      <c r="AK890" s="582"/>
      <c r="AL890" s="582"/>
      <c r="AM890" s="582"/>
      <c r="AN890" s="582"/>
      <c r="AO890" s="582"/>
      <c r="AP890" s="582"/>
      <c r="AQ890" s="582"/>
      <c r="AR890" s="582"/>
      <c r="AS890" s="582"/>
      <c r="AT890" s="582"/>
      <c r="AU890" s="582"/>
      <c r="AV890" s="582"/>
      <c r="AW890" s="582"/>
      <c r="AX890" s="582"/>
      <c r="AY890" s="582"/>
      <c r="AZ890" s="582"/>
      <c r="BA890" s="582"/>
      <c r="BB890" s="582"/>
      <c r="BC890" s="582"/>
      <c r="BD890" s="582"/>
      <c r="BE890" s="582"/>
      <c r="BF890" s="582"/>
      <c r="BG890" s="582"/>
      <c r="BH890" s="582"/>
      <c r="BI890" s="582"/>
      <c r="BJ890" s="582"/>
      <c r="BK890" s="582"/>
      <c r="BL890" s="582"/>
      <c r="BM890" s="582"/>
      <c r="BN890" s="582"/>
      <c r="BO890" s="582"/>
      <c r="BP890" s="582"/>
      <c r="BQ890" s="582"/>
      <c r="BR890" s="582"/>
      <c r="BS890" s="582"/>
      <c r="BT890" s="582"/>
      <c r="BU890" s="582"/>
      <c r="BV890" s="582"/>
      <c r="BW890" s="582"/>
      <c r="BX890" s="582"/>
      <c r="BY890" s="582"/>
      <c r="BZ890" s="582"/>
      <c r="CA890" s="582"/>
      <c r="CB890" s="582"/>
      <c r="CC890" s="582"/>
      <c r="CD890" s="582"/>
      <c r="CE890" s="582"/>
      <c r="CF890" s="582"/>
      <c r="CG890" s="582"/>
      <c r="CH890" s="582"/>
      <c r="CI890" s="582"/>
      <c r="CJ890" s="582"/>
      <c r="CK890" s="582"/>
      <c r="CL890" s="582"/>
      <c r="CM890" s="582"/>
      <c r="CN890" s="582"/>
      <c r="CO890" s="582"/>
      <c r="CP890" s="582"/>
      <c r="CQ890" s="582"/>
      <c r="CR890" s="582"/>
      <c r="CS890" s="582"/>
      <c r="CT890" s="582"/>
      <c r="CU890" s="582"/>
      <c r="CV890" s="582"/>
      <c r="CW890" s="582"/>
      <c r="CX890" s="582"/>
      <c r="CY890" s="582"/>
      <c r="CZ890" s="582"/>
      <c r="DA890" s="582"/>
      <c r="DB890" s="582"/>
      <c r="DC890" s="582"/>
      <c r="DD890" s="582"/>
      <c r="DE890" s="582"/>
      <c r="DF890" s="582"/>
      <c r="DG890" s="582"/>
      <c r="DH890" s="582"/>
      <c r="DI890" s="582"/>
      <c r="DJ890" s="582"/>
      <c r="DK890" s="582"/>
      <c r="DL890" s="582"/>
      <c r="DM890" s="582"/>
      <c r="DN890" s="582"/>
      <c r="DO890" s="582"/>
      <c r="DP890" s="582"/>
      <c r="DQ890" s="582"/>
      <c r="DR890" s="582"/>
      <c r="DS890" s="582"/>
      <c r="DT890" s="582"/>
      <c r="DU890" s="582"/>
      <c r="DV890" s="582"/>
      <c r="DW890" s="582"/>
      <c r="DX890" s="582"/>
      <c r="DY890" s="582"/>
      <c r="DZ890" s="582"/>
      <c r="EA890" s="582"/>
      <c r="EB890" s="582"/>
      <c r="EC890" s="582"/>
      <c r="ED890" s="582"/>
      <c r="EE890" s="582"/>
      <c r="EF890" s="582"/>
      <c r="EG890" s="582"/>
      <c r="EH890" s="582"/>
      <c r="EI890" s="582"/>
      <c r="EJ890" s="582"/>
      <c r="EK890" s="582"/>
      <c r="EL890" s="582"/>
      <c r="EM890" s="582"/>
      <c r="EN890" s="582"/>
      <c r="EO890" s="582"/>
      <c r="EP890" s="582"/>
      <c r="EQ890" s="582"/>
      <c r="ER890" s="582"/>
      <c r="ES890" s="582"/>
      <c r="ET890" s="582"/>
      <c r="EU890" s="582"/>
      <c r="EV890" s="582"/>
      <c r="EW890" s="582"/>
      <c r="EX890" s="582"/>
      <c r="EY890" s="582"/>
      <c r="EZ890" s="582"/>
      <c r="FA890" s="582"/>
      <c r="FB890" s="582"/>
      <c r="FC890" s="582"/>
      <c r="FD890" s="582"/>
      <c r="FE890" s="582"/>
      <c r="FF890" s="582"/>
      <c r="FG890" s="582"/>
      <c r="FH890" s="582"/>
      <c r="FI890" s="582"/>
      <c r="FJ890" s="582"/>
      <c r="FK890" s="582"/>
      <c r="FL890" s="582"/>
      <c r="FM890" s="582"/>
      <c r="FN890" s="582"/>
      <c r="FO890" s="582"/>
      <c r="FP890" s="582"/>
      <c r="FQ890" s="582"/>
      <c r="FR890" s="582"/>
      <c r="FS890" s="582"/>
      <c r="FT890" s="582"/>
      <c r="FU890" s="582"/>
      <c r="FV890" s="582"/>
      <c r="FW890" s="582"/>
      <c r="FX890" s="582"/>
      <c r="FY890" s="582"/>
      <c r="FZ890" s="582"/>
      <c r="GA890" s="582"/>
      <c r="GB890" s="582"/>
      <c r="GC890" s="582"/>
      <c r="GD890" s="582"/>
      <c r="GE890" s="582"/>
      <c r="GF890" s="582"/>
      <c r="GG890" s="582"/>
      <c r="GH890" s="582"/>
      <c r="GI890" s="582"/>
      <c r="GJ890" s="582"/>
      <c r="GK890" s="582"/>
      <c r="GL890" s="582"/>
      <c r="GM890" s="582"/>
      <c r="GN890" s="582"/>
      <c r="GO890" s="582"/>
      <c r="GP890" s="582"/>
      <c r="GQ890" s="582"/>
      <c r="GR890" s="582"/>
      <c r="GS890" s="582"/>
      <c r="GT890" s="582"/>
      <c r="GU890" s="582"/>
      <c r="GV890" s="582"/>
      <c r="GW890" s="582"/>
      <c r="GX890" s="582"/>
      <c r="GY890" s="582"/>
      <c r="GZ890" s="582"/>
      <c r="HA890" s="582"/>
      <c r="HB890" s="582"/>
      <c r="HC890" s="582"/>
      <c r="HD890" s="582"/>
      <c r="HE890" s="582"/>
      <c r="HF890" s="582"/>
      <c r="HG890" s="582"/>
      <c r="HH890" s="582"/>
      <c r="HI890" s="582"/>
      <c r="HJ890" s="582"/>
      <c r="HK890" s="582"/>
      <c r="HL890" s="582"/>
      <c r="HM890" s="582"/>
      <c r="HN890" s="582"/>
      <c r="HO890" s="582"/>
      <c r="HP890" s="582"/>
      <c r="HQ890" s="582"/>
      <c r="HR890" s="582"/>
      <c r="HS890" s="582"/>
      <c r="HT890" s="582"/>
      <c r="HU890" s="582"/>
      <c r="HV890" s="582"/>
      <c r="HW890" s="582"/>
      <c r="HX890" s="582"/>
      <c r="HY890" s="582"/>
      <c r="HZ890" s="582"/>
      <c r="IA890" s="582"/>
      <c r="IB890" s="582"/>
      <c r="IC890" s="582"/>
      <c r="ID890" s="582"/>
      <c r="IE890" s="582"/>
      <c r="IF890" s="582"/>
      <c r="IG890" s="582"/>
      <c r="IH890" s="582"/>
      <c r="II890" s="582"/>
      <c r="IJ890" s="582"/>
      <c r="IK890" s="582"/>
      <c r="IL890" s="582"/>
      <c r="IM890" s="582"/>
      <c r="IN890" s="582"/>
      <c r="IO890" s="582"/>
      <c r="IP890" s="582"/>
      <c r="IQ890" s="582"/>
      <c r="IR890" s="582"/>
      <c r="IS890" s="582"/>
      <c r="IT890" s="582"/>
      <c r="IU890" s="582"/>
      <c r="IV890" s="582"/>
      <c r="IW890" s="582"/>
    </row>
    <row r="891" spans="1:257" s="681" customFormat="1" ht="47.25">
      <c r="A891" s="635" t="s">
        <v>258</v>
      </c>
      <c r="B891" s="696" t="s">
        <v>483</v>
      </c>
      <c r="C891" s="683"/>
      <c r="D891" s="683"/>
      <c r="E891" s="669"/>
      <c r="F891" s="669">
        <v>30000000</v>
      </c>
      <c r="G891" s="669"/>
      <c r="H891" s="669"/>
      <c r="I891" s="669"/>
      <c r="J891" s="669">
        <v>30000000</v>
      </c>
      <c r="K891" s="669">
        <v>50000000</v>
      </c>
      <c r="L891" s="1306">
        <v>50000000</v>
      </c>
      <c r="M891" s="669" t="s">
        <v>1535</v>
      </c>
      <c r="N891" s="837"/>
      <c r="O891" s="837"/>
      <c r="P891" s="837"/>
      <c r="Q891" s="837"/>
      <c r="R891" s="908"/>
      <c r="S891" s="908"/>
      <c r="T891" s="1017"/>
      <c r="U891" s="670"/>
      <c r="V891" s="581"/>
      <c r="W891" s="581"/>
      <c r="X891" s="578"/>
      <c r="Y891" s="582"/>
      <c r="Z891" s="582"/>
      <c r="AA891" s="582"/>
      <c r="AB891" s="582"/>
      <c r="AC891" s="582"/>
      <c r="AD891" s="582"/>
      <c r="AE891" s="582"/>
      <c r="AF891" s="582"/>
      <c r="AG891" s="582"/>
      <c r="AH891" s="582"/>
      <c r="AI891" s="582"/>
      <c r="AJ891" s="582"/>
      <c r="AK891" s="582"/>
      <c r="AL891" s="582"/>
      <c r="AM891" s="582"/>
      <c r="AN891" s="582"/>
      <c r="AO891" s="582"/>
      <c r="AP891" s="582"/>
      <c r="AQ891" s="582"/>
      <c r="AR891" s="582"/>
      <c r="AS891" s="582"/>
      <c r="AT891" s="582"/>
      <c r="AU891" s="582"/>
      <c r="AV891" s="582"/>
      <c r="AW891" s="582"/>
      <c r="AX891" s="582"/>
      <c r="AY891" s="582"/>
      <c r="AZ891" s="582"/>
      <c r="BA891" s="582"/>
      <c r="BB891" s="582"/>
      <c r="BC891" s="582"/>
      <c r="BD891" s="582"/>
      <c r="BE891" s="582"/>
      <c r="BF891" s="582"/>
      <c r="BG891" s="582"/>
      <c r="BH891" s="582"/>
      <c r="BI891" s="582"/>
      <c r="BJ891" s="582"/>
      <c r="BK891" s="582"/>
      <c r="BL891" s="582"/>
      <c r="BM891" s="582"/>
      <c r="BN891" s="582"/>
      <c r="BO891" s="582"/>
      <c r="BP891" s="582"/>
      <c r="BQ891" s="582"/>
      <c r="BR891" s="582"/>
      <c r="BS891" s="582"/>
      <c r="BT891" s="582"/>
      <c r="BU891" s="582"/>
      <c r="BV891" s="582"/>
      <c r="BW891" s="582"/>
      <c r="BX891" s="582"/>
      <c r="BY891" s="582"/>
      <c r="BZ891" s="582"/>
      <c r="CA891" s="582"/>
      <c r="CB891" s="582"/>
      <c r="CC891" s="582"/>
      <c r="CD891" s="582"/>
      <c r="CE891" s="582"/>
      <c r="CF891" s="582"/>
      <c r="CG891" s="582"/>
      <c r="CH891" s="582"/>
      <c r="CI891" s="582"/>
      <c r="CJ891" s="582"/>
      <c r="CK891" s="582"/>
      <c r="CL891" s="582"/>
      <c r="CM891" s="582"/>
      <c r="CN891" s="582"/>
      <c r="CO891" s="582"/>
      <c r="CP891" s="582"/>
      <c r="CQ891" s="582"/>
      <c r="CR891" s="582"/>
      <c r="CS891" s="582"/>
      <c r="CT891" s="582"/>
      <c r="CU891" s="582"/>
      <c r="CV891" s="582"/>
      <c r="CW891" s="582"/>
      <c r="CX891" s="582"/>
      <c r="CY891" s="582"/>
      <c r="CZ891" s="582"/>
      <c r="DA891" s="582"/>
      <c r="DB891" s="582"/>
      <c r="DC891" s="582"/>
      <c r="DD891" s="582"/>
      <c r="DE891" s="582"/>
      <c r="DF891" s="582"/>
      <c r="DG891" s="582"/>
      <c r="DH891" s="582"/>
      <c r="DI891" s="582"/>
      <c r="DJ891" s="582"/>
      <c r="DK891" s="582"/>
      <c r="DL891" s="582"/>
      <c r="DM891" s="582"/>
      <c r="DN891" s="582"/>
      <c r="DO891" s="582"/>
      <c r="DP891" s="582"/>
      <c r="DQ891" s="582"/>
      <c r="DR891" s="582"/>
      <c r="DS891" s="582"/>
      <c r="DT891" s="582"/>
      <c r="DU891" s="582"/>
      <c r="DV891" s="582"/>
      <c r="DW891" s="582"/>
      <c r="DX891" s="582"/>
      <c r="DY891" s="582"/>
      <c r="DZ891" s="582"/>
      <c r="EA891" s="582"/>
      <c r="EB891" s="582"/>
      <c r="EC891" s="582"/>
      <c r="ED891" s="582"/>
      <c r="EE891" s="582"/>
      <c r="EF891" s="582"/>
      <c r="EG891" s="582"/>
      <c r="EH891" s="582"/>
      <c r="EI891" s="582"/>
      <c r="EJ891" s="582"/>
      <c r="EK891" s="582"/>
      <c r="EL891" s="582"/>
      <c r="EM891" s="582"/>
      <c r="EN891" s="582"/>
      <c r="EO891" s="582"/>
      <c r="EP891" s="582"/>
      <c r="EQ891" s="582"/>
      <c r="ER891" s="582"/>
      <c r="ES891" s="582"/>
      <c r="ET891" s="582"/>
      <c r="EU891" s="582"/>
      <c r="EV891" s="582"/>
      <c r="EW891" s="582"/>
      <c r="EX891" s="582"/>
      <c r="EY891" s="582"/>
      <c r="EZ891" s="582"/>
      <c r="FA891" s="582"/>
      <c r="FB891" s="582"/>
      <c r="FC891" s="582"/>
      <c r="FD891" s="582"/>
      <c r="FE891" s="582"/>
      <c r="FF891" s="582"/>
      <c r="FG891" s="582"/>
      <c r="FH891" s="582"/>
      <c r="FI891" s="582"/>
      <c r="FJ891" s="582"/>
      <c r="FK891" s="582"/>
      <c r="FL891" s="582"/>
      <c r="FM891" s="582"/>
      <c r="FN891" s="582"/>
      <c r="FO891" s="582"/>
      <c r="FP891" s="582"/>
      <c r="FQ891" s="582"/>
      <c r="FR891" s="582"/>
      <c r="FS891" s="582"/>
      <c r="FT891" s="582"/>
      <c r="FU891" s="582"/>
      <c r="FV891" s="582"/>
      <c r="FW891" s="582"/>
      <c r="FX891" s="582"/>
      <c r="FY891" s="582"/>
      <c r="FZ891" s="582"/>
      <c r="GA891" s="582"/>
      <c r="GB891" s="582"/>
      <c r="GC891" s="582"/>
      <c r="GD891" s="582"/>
      <c r="GE891" s="582"/>
      <c r="GF891" s="582"/>
      <c r="GG891" s="582"/>
      <c r="GH891" s="582"/>
      <c r="GI891" s="582"/>
      <c r="GJ891" s="582"/>
      <c r="GK891" s="582"/>
      <c r="GL891" s="582"/>
      <c r="GM891" s="582"/>
      <c r="GN891" s="582"/>
      <c r="GO891" s="582"/>
      <c r="GP891" s="582"/>
      <c r="GQ891" s="582"/>
      <c r="GR891" s="582"/>
      <c r="GS891" s="582"/>
      <c r="GT891" s="582"/>
      <c r="GU891" s="582"/>
      <c r="GV891" s="582"/>
      <c r="GW891" s="582"/>
      <c r="GX891" s="582"/>
      <c r="GY891" s="582"/>
      <c r="GZ891" s="582"/>
      <c r="HA891" s="582"/>
      <c r="HB891" s="582"/>
      <c r="HC891" s="582"/>
      <c r="HD891" s="582"/>
      <c r="HE891" s="582"/>
      <c r="HF891" s="582"/>
      <c r="HG891" s="582"/>
      <c r="HH891" s="582"/>
      <c r="HI891" s="582"/>
      <c r="HJ891" s="582"/>
      <c r="HK891" s="582"/>
      <c r="HL891" s="582"/>
      <c r="HM891" s="582"/>
      <c r="HN891" s="582"/>
      <c r="HO891" s="582"/>
      <c r="HP891" s="582"/>
      <c r="HQ891" s="582"/>
      <c r="HR891" s="582"/>
      <c r="HS891" s="582"/>
      <c r="HT891" s="582"/>
      <c r="HU891" s="582"/>
      <c r="HV891" s="582"/>
      <c r="HW891" s="582"/>
      <c r="HX891" s="582"/>
      <c r="HY891" s="582"/>
      <c r="HZ891" s="582"/>
      <c r="IA891" s="582"/>
      <c r="IB891" s="582"/>
      <c r="IC891" s="582"/>
      <c r="ID891" s="582"/>
      <c r="IE891" s="582"/>
      <c r="IF891" s="582"/>
      <c r="IG891" s="582"/>
      <c r="IH891" s="582"/>
      <c r="II891" s="582"/>
      <c r="IJ891" s="582"/>
      <c r="IK891" s="582"/>
      <c r="IL891" s="582"/>
      <c r="IM891" s="582"/>
      <c r="IN891" s="582"/>
      <c r="IO891" s="582"/>
      <c r="IP891" s="582"/>
      <c r="IQ891" s="582"/>
      <c r="IR891" s="582"/>
      <c r="IS891" s="582"/>
      <c r="IT891" s="582"/>
      <c r="IU891" s="582"/>
      <c r="IV891" s="582"/>
      <c r="IW891" s="582"/>
    </row>
    <row r="892" spans="1:257" s="681" customFormat="1" ht="31.5">
      <c r="A892" s="635" t="s">
        <v>258</v>
      </c>
      <c r="B892" s="696" t="s">
        <v>499</v>
      </c>
      <c r="C892" s="635"/>
      <c r="D892" s="635"/>
      <c r="E892" s="651"/>
      <c r="F892" s="651"/>
      <c r="G892" s="651"/>
      <c r="H892" s="651"/>
      <c r="I892" s="651"/>
      <c r="J892" s="651">
        <v>40000000</v>
      </c>
      <c r="K892" s="651">
        <v>40000000</v>
      </c>
      <c r="L892" s="1305">
        <v>40000000</v>
      </c>
      <c r="M892" s="669" t="s">
        <v>1540</v>
      </c>
      <c r="N892" s="837"/>
      <c r="O892" s="837"/>
      <c r="P892" s="837"/>
      <c r="Q892" s="837"/>
      <c r="R892" s="908"/>
      <c r="S892" s="908"/>
      <c r="T892" s="1017"/>
      <c r="U892" s="670"/>
      <c r="V892" s="581"/>
      <c r="W892" s="581"/>
      <c r="X892" s="578"/>
      <c r="Y892" s="582"/>
      <c r="Z892" s="582"/>
      <c r="AA892" s="582"/>
      <c r="AB892" s="582"/>
      <c r="AC892" s="582"/>
      <c r="AD892" s="582"/>
      <c r="AE892" s="582"/>
      <c r="AF892" s="582"/>
      <c r="AG892" s="582"/>
      <c r="AH892" s="582"/>
      <c r="AI892" s="582"/>
      <c r="AJ892" s="582"/>
      <c r="AK892" s="582"/>
      <c r="AL892" s="582"/>
      <c r="AM892" s="582"/>
      <c r="AN892" s="582"/>
      <c r="AO892" s="582"/>
      <c r="AP892" s="582"/>
      <c r="AQ892" s="582"/>
      <c r="AR892" s="582"/>
      <c r="AS892" s="582"/>
      <c r="AT892" s="582"/>
      <c r="AU892" s="582"/>
      <c r="AV892" s="582"/>
      <c r="AW892" s="582"/>
      <c r="AX892" s="582"/>
      <c r="AY892" s="582"/>
      <c r="AZ892" s="582"/>
      <c r="BA892" s="582"/>
      <c r="BB892" s="582"/>
      <c r="BC892" s="582"/>
      <c r="BD892" s="582"/>
      <c r="BE892" s="582"/>
      <c r="BF892" s="582"/>
      <c r="BG892" s="582"/>
      <c r="BH892" s="582"/>
      <c r="BI892" s="582"/>
      <c r="BJ892" s="582"/>
      <c r="BK892" s="582"/>
      <c r="BL892" s="582"/>
      <c r="BM892" s="582"/>
      <c r="BN892" s="582"/>
      <c r="BO892" s="582"/>
      <c r="BP892" s="582"/>
      <c r="BQ892" s="582"/>
      <c r="BR892" s="582"/>
      <c r="BS892" s="582"/>
      <c r="BT892" s="582"/>
      <c r="BU892" s="582"/>
      <c r="BV892" s="582"/>
      <c r="BW892" s="582"/>
      <c r="BX892" s="582"/>
      <c r="BY892" s="582"/>
      <c r="BZ892" s="582"/>
      <c r="CA892" s="582"/>
      <c r="CB892" s="582"/>
      <c r="CC892" s="582"/>
      <c r="CD892" s="582"/>
      <c r="CE892" s="582"/>
      <c r="CF892" s="582"/>
      <c r="CG892" s="582"/>
      <c r="CH892" s="582"/>
      <c r="CI892" s="582"/>
      <c r="CJ892" s="582"/>
      <c r="CK892" s="582"/>
      <c r="CL892" s="582"/>
      <c r="CM892" s="582"/>
      <c r="CN892" s="582"/>
      <c r="CO892" s="582"/>
      <c r="CP892" s="582"/>
      <c r="CQ892" s="582"/>
      <c r="CR892" s="582"/>
      <c r="CS892" s="582"/>
      <c r="CT892" s="582"/>
      <c r="CU892" s="582"/>
      <c r="CV892" s="582"/>
      <c r="CW892" s="582"/>
      <c r="CX892" s="582"/>
      <c r="CY892" s="582"/>
      <c r="CZ892" s="582"/>
      <c r="DA892" s="582"/>
      <c r="DB892" s="582"/>
      <c r="DC892" s="582"/>
      <c r="DD892" s="582"/>
      <c r="DE892" s="582"/>
      <c r="DF892" s="582"/>
      <c r="DG892" s="582"/>
      <c r="DH892" s="582"/>
      <c r="DI892" s="582"/>
      <c r="DJ892" s="582"/>
      <c r="DK892" s="582"/>
      <c r="DL892" s="582"/>
      <c r="DM892" s="582"/>
      <c r="DN892" s="582"/>
      <c r="DO892" s="582"/>
      <c r="DP892" s="582"/>
      <c r="DQ892" s="582"/>
      <c r="DR892" s="582"/>
      <c r="DS892" s="582"/>
      <c r="DT892" s="582"/>
      <c r="DU892" s="582"/>
      <c r="DV892" s="582"/>
      <c r="DW892" s="582"/>
      <c r="DX892" s="582"/>
      <c r="DY892" s="582"/>
      <c r="DZ892" s="582"/>
      <c r="EA892" s="582"/>
      <c r="EB892" s="582"/>
      <c r="EC892" s="582"/>
      <c r="ED892" s="582"/>
      <c r="EE892" s="582"/>
      <c r="EF892" s="582"/>
      <c r="EG892" s="582"/>
      <c r="EH892" s="582"/>
      <c r="EI892" s="582"/>
      <c r="EJ892" s="582"/>
      <c r="EK892" s="582"/>
      <c r="EL892" s="582"/>
      <c r="EM892" s="582"/>
      <c r="EN892" s="582"/>
      <c r="EO892" s="582"/>
      <c r="EP892" s="582"/>
      <c r="EQ892" s="582"/>
      <c r="ER892" s="582"/>
      <c r="ES892" s="582"/>
      <c r="ET892" s="582"/>
      <c r="EU892" s="582"/>
      <c r="EV892" s="582"/>
      <c r="EW892" s="582"/>
      <c r="EX892" s="582"/>
      <c r="EY892" s="582"/>
      <c r="EZ892" s="582"/>
      <c r="FA892" s="582"/>
      <c r="FB892" s="582"/>
      <c r="FC892" s="582"/>
      <c r="FD892" s="582"/>
      <c r="FE892" s="582"/>
      <c r="FF892" s="582"/>
      <c r="FG892" s="582"/>
      <c r="FH892" s="582"/>
      <c r="FI892" s="582"/>
      <c r="FJ892" s="582"/>
      <c r="FK892" s="582"/>
      <c r="FL892" s="582"/>
      <c r="FM892" s="582"/>
      <c r="FN892" s="582"/>
      <c r="FO892" s="582"/>
      <c r="FP892" s="582"/>
      <c r="FQ892" s="582"/>
      <c r="FR892" s="582"/>
      <c r="FS892" s="582"/>
      <c r="FT892" s="582"/>
      <c r="FU892" s="582"/>
      <c r="FV892" s="582"/>
      <c r="FW892" s="582"/>
      <c r="FX892" s="582"/>
      <c r="FY892" s="582"/>
      <c r="FZ892" s="582"/>
      <c r="GA892" s="582"/>
      <c r="GB892" s="582"/>
      <c r="GC892" s="582"/>
      <c r="GD892" s="582"/>
      <c r="GE892" s="582"/>
      <c r="GF892" s="582"/>
      <c r="GG892" s="582"/>
      <c r="GH892" s="582"/>
      <c r="GI892" s="582"/>
      <c r="GJ892" s="582"/>
      <c r="GK892" s="582"/>
      <c r="GL892" s="582"/>
      <c r="GM892" s="582"/>
      <c r="GN892" s="582"/>
      <c r="GO892" s="582"/>
      <c r="GP892" s="582"/>
      <c r="GQ892" s="582"/>
      <c r="GR892" s="582"/>
      <c r="GS892" s="582"/>
      <c r="GT892" s="582"/>
      <c r="GU892" s="582"/>
      <c r="GV892" s="582"/>
      <c r="GW892" s="582"/>
      <c r="GX892" s="582"/>
      <c r="GY892" s="582"/>
      <c r="GZ892" s="582"/>
      <c r="HA892" s="582"/>
      <c r="HB892" s="582"/>
      <c r="HC892" s="582"/>
      <c r="HD892" s="582"/>
      <c r="HE892" s="582"/>
      <c r="HF892" s="582"/>
      <c r="HG892" s="582"/>
      <c r="HH892" s="582"/>
      <c r="HI892" s="582"/>
      <c r="HJ892" s="582"/>
      <c r="HK892" s="582"/>
      <c r="HL892" s="582"/>
      <c r="HM892" s="582"/>
      <c r="HN892" s="582"/>
      <c r="HO892" s="582"/>
      <c r="HP892" s="582"/>
      <c r="HQ892" s="582"/>
      <c r="HR892" s="582"/>
      <c r="HS892" s="582"/>
      <c r="HT892" s="582"/>
      <c r="HU892" s="582"/>
      <c r="HV892" s="582"/>
      <c r="HW892" s="582"/>
      <c r="HX892" s="582"/>
      <c r="HY892" s="582"/>
      <c r="HZ892" s="582"/>
      <c r="IA892" s="582"/>
      <c r="IB892" s="582"/>
      <c r="IC892" s="582"/>
      <c r="ID892" s="582"/>
      <c r="IE892" s="582"/>
      <c r="IF892" s="582"/>
      <c r="IG892" s="582"/>
      <c r="IH892" s="582"/>
      <c r="II892" s="582"/>
      <c r="IJ892" s="582"/>
      <c r="IK892" s="582"/>
      <c r="IL892" s="582"/>
      <c r="IM892" s="582"/>
      <c r="IN892" s="582"/>
      <c r="IO892" s="582"/>
      <c r="IP892" s="582"/>
      <c r="IQ892" s="582"/>
      <c r="IR892" s="582"/>
      <c r="IS892" s="582"/>
      <c r="IT892" s="582"/>
      <c r="IU892" s="582"/>
      <c r="IV892" s="582"/>
      <c r="IW892" s="582"/>
    </row>
    <row r="893" spans="1:257" s="681" customFormat="1" ht="79.5" customHeight="1">
      <c r="A893" s="635" t="s">
        <v>258</v>
      </c>
      <c r="B893" s="1160" t="s">
        <v>1160</v>
      </c>
      <c r="C893" s="635"/>
      <c r="D893" s="635"/>
      <c r="E893" s="651"/>
      <c r="F893" s="651"/>
      <c r="G893" s="651"/>
      <c r="H893" s="651"/>
      <c r="I893" s="651"/>
      <c r="J893" s="651"/>
      <c r="K893" s="651">
        <v>90000000</v>
      </c>
      <c r="L893" s="1305">
        <v>90000000</v>
      </c>
      <c r="M893" s="669" t="s">
        <v>1541</v>
      </c>
      <c r="N893" s="837"/>
      <c r="O893" s="837"/>
      <c r="P893" s="837"/>
      <c r="Q893" s="837"/>
      <c r="R893" s="908"/>
      <c r="S893" s="908"/>
      <c r="T893" s="1017"/>
      <c r="U893" s="670"/>
      <c r="V893" s="581"/>
      <c r="W893" s="581"/>
      <c r="X893" s="578"/>
      <c r="Y893" s="582"/>
      <c r="Z893" s="582"/>
      <c r="AA893" s="582"/>
      <c r="AB893" s="582"/>
      <c r="AC893" s="582"/>
      <c r="AD893" s="582"/>
      <c r="AE893" s="582"/>
      <c r="AF893" s="582"/>
      <c r="AG893" s="582"/>
      <c r="AH893" s="582"/>
      <c r="AI893" s="582"/>
      <c r="AJ893" s="582"/>
      <c r="AK893" s="582"/>
      <c r="AL893" s="582"/>
      <c r="AM893" s="582"/>
      <c r="AN893" s="582"/>
      <c r="AO893" s="582"/>
      <c r="AP893" s="582"/>
      <c r="AQ893" s="582"/>
      <c r="AR893" s="582"/>
      <c r="AS893" s="582"/>
      <c r="AT893" s="582"/>
      <c r="AU893" s="582"/>
      <c r="AV893" s="582"/>
      <c r="AW893" s="582"/>
      <c r="AX893" s="582"/>
      <c r="AY893" s="582"/>
      <c r="AZ893" s="582"/>
      <c r="BA893" s="582"/>
      <c r="BB893" s="582"/>
      <c r="BC893" s="582"/>
      <c r="BD893" s="582"/>
      <c r="BE893" s="582"/>
      <c r="BF893" s="582"/>
      <c r="BG893" s="582"/>
      <c r="BH893" s="582"/>
      <c r="BI893" s="582"/>
      <c r="BJ893" s="582"/>
      <c r="BK893" s="582"/>
      <c r="BL893" s="582"/>
      <c r="BM893" s="582"/>
      <c r="BN893" s="582"/>
      <c r="BO893" s="582"/>
      <c r="BP893" s="582"/>
      <c r="BQ893" s="582"/>
      <c r="BR893" s="582"/>
      <c r="BS893" s="582"/>
      <c r="BT893" s="582"/>
      <c r="BU893" s="582"/>
      <c r="BV893" s="582"/>
      <c r="BW893" s="582"/>
      <c r="BX893" s="582"/>
      <c r="BY893" s="582"/>
      <c r="BZ893" s="582"/>
      <c r="CA893" s="582"/>
      <c r="CB893" s="582"/>
      <c r="CC893" s="582"/>
      <c r="CD893" s="582"/>
      <c r="CE893" s="582"/>
      <c r="CF893" s="582"/>
      <c r="CG893" s="582"/>
      <c r="CH893" s="582"/>
      <c r="CI893" s="582"/>
      <c r="CJ893" s="582"/>
      <c r="CK893" s="582"/>
      <c r="CL893" s="582"/>
      <c r="CM893" s="582"/>
      <c r="CN893" s="582"/>
      <c r="CO893" s="582"/>
      <c r="CP893" s="582"/>
      <c r="CQ893" s="582"/>
      <c r="CR893" s="582"/>
      <c r="CS893" s="582"/>
      <c r="CT893" s="582"/>
      <c r="CU893" s="582"/>
      <c r="CV893" s="582"/>
      <c r="CW893" s="582"/>
      <c r="CX893" s="582"/>
      <c r="CY893" s="582"/>
      <c r="CZ893" s="582"/>
      <c r="DA893" s="582"/>
      <c r="DB893" s="582"/>
      <c r="DC893" s="582"/>
      <c r="DD893" s="582"/>
      <c r="DE893" s="582"/>
      <c r="DF893" s="582"/>
      <c r="DG893" s="582"/>
      <c r="DH893" s="582"/>
      <c r="DI893" s="582"/>
      <c r="DJ893" s="582"/>
      <c r="DK893" s="582"/>
      <c r="DL893" s="582"/>
      <c r="DM893" s="582"/>
      <c r="DN893" s="582"/>
      <c r="DO893" s="582"/>
      <c r="DP893" s="582"/>
      <c r="DQ893" s="582"/>
      <c r="DR893" s="582"/>
      <c r="DS893" s="582"/>
      <c r="DT893" s="582"/>
      <c r="DU893" s="582"/>
      <c r="DV893" s="582"/>
      <c r="DW893" s="582"/>
      <c r="DX893" s="582"/>
      <c r="DY893" s="582"/>
      <c r="DZ893" s="582"/>
      <c r="EA893" s="582"/>
      <c r="EB893" s="582"/>
      <c r="EC893" s="582"/>
      <c r="ED893" s="582"/>
      <c r="EE893" s="582"/>
      <c r="EF893" s="582"/>
      <c r="EG893" s="582"/>
      <c r="EH893" s="582"/>
      <c r="EI893" s="582"/>
      <c r="EJ893" s="582"/>
      <c r="EK893" s="582"/>
      <c r="EL893" s="582"/>
      <c r="EM893" s="582"/>
      <c r="EN893" s="582"/>
      <c r="EO893" s="582"/>
      <c r="EP893" s="582"/>
      <c r="EQ893" s="582"/>
      <c r="ER893" s="582"/>
      <c r="ES893" s="582"/>
      <c r="ET893" s="582"/>
      <c r="EU893" s="582"/>
      <c r="EV893" s="582"/>
      <c r="EW893" s="582"/>
      <c r="EX893" s="582"/>
      <c r="EY893" s="582"/>
      <c r="EZ893" s="582"/>
      <c r="FA893" s="582"/>
      <c r="FB893" s="582"/>
      <c r="FC893" s="582"/>
      <c r="FD893" s="582"/>
      <c r="FE893" s="582"/>
      <c r="FF893" s="582"/>
      <c r="FG893" s="582"/>
      <c r="FH893" s="582"/>
      <c r="FI893" s="582"/>
      <c r="FJ893" s="582"/>
      <c r="FK893" s="582"/>
      <c r="FL893" s="582"/>
      <c r="FM893" s="582"/>
      <c r="FN893" s="582"/>
      <c r="FO893" s="582"/>
      <c r="FP893" s="582"/>
      <c r="FQ893" s="582"/>
      <c r="FR893" s="582"/>
      <c r="FS893" s="582"/>
      <c r="FT893" s="582"/>
      <c r="FU893" s="582"/>
      <c r="FV893" s="582"/>
      <c r="FW893" s="582"/>
      <c r="FX893" s="582"/>
      <c r="FY893" s="582"/>
      <c r="FZ893" s="582"/>
      <c r="GA893" s="582"/>
      <c r="GB893" s="582"/>
      <c r="GC893" s="582"/>
      <c r="GD893" s="582"/>
      <c r="GE893" s="582"/>
      <c r="GF893" s="582"/>
      <c r="GG893" s="582"/>
      <c r="GH893" s="582"/>
      <c r="GI893" s="582"/>
      <c r="GJ893" s="582"/>
      <c r="GK893" s="582"/>
      <c r="GL893" s="582"/>
      <c r="GM893" s="582"/>
      <c r="GN893" s="582"/>
      <c r="GO893" s="582"/>
      <c r="GP893" s="582"/>
      <c r="GQ893" s="582"/>
      <c r="GR893" s="582"/>
      <c r="GS893" s="582"/>
      <c r="GT893" s="582"/>
      <c r="GU893" s="582"/>
      <c r="GV893" s="582"/>
      <c r="GW893" s="582"/>
      <c r="GX893" s="582"/>
      <c r="GY893" s="582"/>
      <c r="GZ893" s="582"/>
      <c r="HA893" s="582"/>
      <c r="HB893" s="582"/>
      <c r="HC893" s="582"/>
      <c r="HD893" s="582"/>
      <c r="HE893" s="582"/>
      <c r="HF893" s="582"/>
      <c r="HG893" s="582"/>
      <c r="HH893" s="582"/>
      <c r="HI893" s="582"/>
      <c r="HJ893" s="582"/>
      <c r="HK893" s="582"/>
      <c r="HL893" s="582"/>
      <c r="HM893" s="582"/>
      <c r="HN893" s="582"/>
      <c r="HO893" s="582"/>
      <c r="HP893" s="582"/>
      <c r="HQ893" s="582"/>
      <c r="HR893" s="582"/>
      <c r="HS893" s="582"/>
      <c r="HT893" s="582"/>
      <c r="HU893" s="582"/>
      <c r="HV893" s="582"/>
      <c r="HW893" s="582"/>
      <c r="HX893" s="582"/>
      <c r="HY893" s="582"/>
      <c r="HZ893" s="582"/>
      <c r="IA893" s="582"/>
      <c r="IB893" s="582"/>
      <c r="IC893" s="582"/>
      <c r="ID893" s="582"/>
      <c r="IE893" s="582"/>
      <c r="IF893" s="582"/>
      <c r="IG893" s="582"/>
      <c r="IH893" s="582"/>
      <c r="II893" s="582"/>
      <c r="IJ893" s="582"/>
      <c r="IK893" s="582"/>
      <c r="IL893" s="582"/>
      <c r="IM893" s="582"/>
      <c r="IN893" s="582"/>
      <c r="IO893" s="582"/>
      <c r="IP893" s="582"/>
      <c r="IQ893" s="582"/>
      <c r="IR893" s="582"/>
      <c r="IS893" s="582"/>
      <c r="IT893" s="582"/>
      <c r="IU893" s="582"/>
      <c r="IV893" s="582"/>
      <c r="IW893" s="582"/>
    </row>
    <row r="894" spans="1:257" s="681" customFormat="1">
      <c r="A894" s="635" t="s">
        <v>258</v>
      </c>
      <c r="B894" s="1160" t="s">
        <v>1161</v>
      </c>
      <c r="C894" s="635"/>
      <c r="D894" s="635"/>
      <c r="E894" s="651"/>
      <c r="F894" s="651"/>
      <c r="G894" s="651"/>
      <c r="H894" s="651"/>
      <c r="I894" s="651"/>
      <c r="J894" s="651"/>
      <c r="K894" s="651">
        <v>20000000</v>
      </c>
      <c r="L894" s="1305">
        <v>20000000</v>
      </c>
      <c r="M894" s="669" t="s">
        <v>1541</v>
      </c>
      <c r="N894" s="837"/>
      <c r="O894" s="837"/>
      <c r="P894" s="837"/>
      <c r="Q894" s="837"/>
      <c r="R894" s="908"/>
      <c r="S894" s="908"/>
      <c r="T894" s="1017"/>
      <c r="U894" s="670"/>
      <c r="V894" s="581"/>
      <c r="W894" s="581"/>
      <c r="X894" s="578"/>
      <c r="Y894" s="582"/>
      <c r="Z894" s="582"/>
      <c r="AA894" s="582"/>
      <c r="AB894" s="582"/>
      <c r="AC894" s="582"/>
      <c r="AD894" s="582"/>
      <c r="AE894" s="582"/>
      <c r="AF894" s="582"/>
      <c r="AG894" s="582"/>
      <c r="AH894" s="582"/>
      <c r="AI894" s="582"/>
      <c r="AJ894" s="582"/>
      <c r="AK894" s="582"/>
      <c r="AL894" s="582"/>
      <c r="AM894" s="582"/>
      <c r="AN894" s="582"/>
      <c r="AO894" s="582"/>
      <c r="AP894" s="582"/>
      <c r="AQ894" s="582"/>
      <c r="AR894" s="582"/>
      <c r="AS894" s="582"/>
      <c r="AT894" s="582"/>
      <c r="AU894" s="582"/>
      <c r="AV894" s="582"/>
      <c r="AW894" s="582"/>
      <c r="AX894" s="582"/>
      <c r="AY894" s="582"/>
      <c r="AZ894" s="582"/>
      <c r="BA894" s="582"/>
      <c r="BB894" s="582"/>
      <c r="BC894" s="582"/>
      <c r="BD894" s="582"/>
      <c r="BE894" s="582"/>
      <c r="BF894" s="582"/>
      <c r="BG894" s="582"/>
      <c r="BH894" s="582"/>
      <c r="BI894" s="582"/>
      <c r="BJ894" s="582"/>
      <c r="BK894" s="582"/>
      <c r="BL894" s="582"/>
      <c r="BM894" s="582"/>
      <c r="BN894" s="582"/>
      <c r="BO894" s="582"/>
      <c r="BP894" s="582"/>
      <c r="BQ894" s="582"/>
      <c r="BR894" s="582"/>
      <c r="BS894" s="582"/>
      <c r="BT894" s="582"/>
      <c r="BU894" s="582"/>
      <c r="BV894" s="582"/>
      <c r="BW894" s="582"/>
      <c r="BX894" s="582"/>
      <c r="BY894" s="582"/>
      <c r="BZ894" s="582"/>
      <c r="CA894" s="582"/>
      <c r="CB894" s="582"/>
      <c r="CC894" s="582"/>
      <c r="CD894" s="582"/>
      <c r="CE894" s="582"/>
      <c r="CF894" s="582"/>
      <c r="CG894" s="582"/>
      <c r="CH894" s="582"/>
      <c r="CI894" s="582"/>
      <c r="CJ894" s="582"/>
      <c r="CK894" s="582"/>
      <c r="CL894" s="582"/>
      <c r="CM894" s="582"/>
      <c r="CN894" s="582"/>
      <c r="CO894" s="582"/>
      <c r="CP894" s="582"/>
      <c r="CQ894" s="582"/>
      <c r="CR894" s="582"/>
      <c r="CS894" s="582"/>
      <c r="CT894" s="582"/>
      <c r="CU894" s="582"/>
      <c r="CV894" s="582"/>
      <c r="CW894" s="582"/>
      <c r="CX894" s="582"/>
      <c r="CY894" s="582"/>
      <c r="CZ894" s="582"/>
      <c r="DA894" s="582"/>
      <c r="DB894" s="582"/>
      <c r="DC894" s="582"/>
      <c r="DD894" s="582"/>
      <c r="DE894" s="582"/>
      <c r="DF894" s="582"/>
      <c r="DG894" s="582"/>
      <c r="DH894" s="582"/>
      <c r="DI894" s="582"/>
      <c r="DJ894" s="582"/>
      <c r="DK894" s="582"/>
      <c r="DL894" s="582"/>
      <c r="DM894" s="582"/>
      <c r="DN894" s="582"/>
      <c r="DO894" s="582"/>
      <c r="DP894" s="582"/>
      <c r="DQ894" s="582"/>
      <c r="DR894" s="582"/>
      <c r="DS894" s="582"/>
      <c r="DT894" s="582"/>
      <c r="DU894" s="582"/>
      <c r="DV894" s="582"/>
      <c r="DW894" s="582"/>
      <c r="DX894" s="582"/>
      <c r="DY894" s="582"/>
      <c r="DZ894" s="582"/>
      <c r="EA894" s="582"/>
      <c r="EB894" s="582"/>
      <c r="EC894" s="582"/>
      <c r="ED894" s="582"/>
      <c r="EE894" s="582"/>
      <c r="EF894" s="582"/>
      <c r="EG894" s="582"/>
      <c r="EH894" s="582"/>
      <c r="EI894" s="582"/>
      <c r="EJ894" s="582"/>
      <c r="EK894" s="582"/>
      <c r="EL894" s="582"/>
      <c r="EM894" s="582"/>
      <c r="EN894" s="582"/>
      <c r="EO894" s="582"/>
      <c r="EP894" s="582"/>
      <c r="EQ894" s="582"/>
      <c r="ER894" s="582"/>
      <c r="ES894" s="582"/>
      <c r="ET894" s="582"/>
      <c r="EU894" s="582"/>
      <c r="EV894" s="582"/>
      <c r="EW894" s="582"/>
      <c r="EX894" s="582"/>
      <c r="EY894" s="582"/>
      <c r="EZ894" s="582"/>
      <c r="FA894" s="582"/>
      <c r="FB894" s="582"/>
      <c r="FC894" s="582"/>
      <c r="FD894" s="582"/>
      <c r="FE894" s="582"/>
      <c r="FF894" s="582"/>
      <c r="FG894" s="582"/>
      <c r="FH894" s="582"/>
      <c r="FI894" s="582"/>
      <c r="FJ894" s="582"/>
      <c r="FK894" s="582"/>
      <c r="FL894" s="582"/>
      <c r="FM894" s="582"/>
      <c r="FN894" s="582"/>
      <c r="FO894" s="582"/>
      <c r="FP894" s="582"/>
      <c r="FQ894" s="582"/>
      <c r="FR894" s="582"/>
      <c r="FS894" s="582"/>
      <c r="FT894" s="582"/>
      <c r="FU894" s="582"/>
      <c r="FV894" s="582"/>
      <c r="FW894" s="582"/>
      <c r="FX894" s="582"/>
      <c r="FY894" s="582"/>
      <c r="FZ894" s="582"/>
      <c r="GA894" s="582"/>
      <c r="GB894" s="582"/>
      <c r="GC894" s="582"/>
      <c r="GD894" s="582"/>
      <c r="GE894" s="582"/>
      <c r="GF894" s="582"/>
      <c r="GG894" s="582"/>
      <c r="GH894" s="582"/>
      <c r="GI894" s="582"/>
      <c r="GJ894" s="582"/>
      <c r="GK894" s="582"/>
      <c r="GL894" s="582"/>
      <c r="GM894" s="582"/>
      <c r="GN894" s="582"/>
      <c r="GO894" s="582"/>
      <c r="GP894" s="582"/>
      <c r="GQ894" s="582"/>
      <c r="GR894" s="582"/>
      <c r="GS894" s="582"/>
      <c r="GT894" s="582"/>
      <c r="GU894" s="582"/>
      <c r="GV894" s="582"/>
      <c r="GW894" s="582"/>
      <c r="GX894" s="582"/>
      <c r="GY894" s="582"/>
      <c r="GZ894" s="582"/>
      <c r="HA894" s="582"/>
      <c r="HB894" s="582"/>
      <c r="HC894" s="582"/>
      <c r="HD894" s="582"/>
      <c r="HE894" s="582"/>
      <c r="HF894" s="582"/>
      <c r="HG894" s="582"/>
      <c r="HH894" s="582"/>
      <c r="HI894" s="582"/>
      <c r="HJ894" s="582"/>
      <c r="HK894" s="582"/>
      <c r="HL894" s="582"/>
      <c r="HM894" s="582"/>
      <c r="HN894" s="582"/>
      <c r="HO894" s="582"/>
      <c r="HP894" s="582"/>
      <c r="HQ894" s="582"/>
      <c r="HR894" s="582"/>
      <c r="HS894" s="582"/>
      <c r="HT894" s="582"/>
      <c r="HU894" s="582"/>
      <c r="HV894" s="582"/>
      <c r="HW894" s="582"/>
      <c r="HX894" s="582"/>
      <c r="HY894" s="582"/>
      <c r="HZ894" s="582"/>
      <c r="IA894" s="582"/>
      <c r="IB894" s="582"/>
      <c r="IC894" s="582"/>
      <c r="ID894" s="582"/>
      <c r="IE894" s="582"/>
      <c r="IF894" s="582"/>
      <c r="IG894" s="582"/>
      <c r="IH894" s="582"/>
      <c r="II894" s="582"/>
      <c r="IJ894" s="582"/>
      <c r="IK894" s="582"/>
      <c r="IL894" s="582"/>
      <c r="IM894" s="582"/>
      <c r="IN894" s="582"/>
      <c r="IO894" s="582"/>
      <c r="IP894" s="582"/>
      <c r="IQ894" s="582"/>
      <c r="IR894" s="582"/>
      <c r="IS894" s="582"/>
      <c r="IT894" s="582"/>
      <c r="IU894" s="582"/>
      <c r="IV894" s="582"/>
      <c r="IW894" s="582"/>
    </row>
    <row r="895" spans="1:257" s="582" customFormat="1" ht="31.5">
      <c r="A895" s="635" t="s">
        <v>258</v>
      </c>
      <c r="B895" s="696" t="s">
        <v>1162</v>
      </c>
      <c r="C895" s="683"/>
      <c r="D895" s="683"/>
      <c r="E895" s="669"/>
      <c r="F895" s="669">
        <f>270000000-15000000</f>
        <v>255000000</v>
      </c>
      <c r="G895" s="669" t="s">
        <v>1163</v>
      </c>
      <c r="H895" s="669"/>
      <c r="I895" s="669"/>
      <c r="J895" s="669">
        <v>225000000</v>
      </c>
      <c r="K895" s="669">
        <v>400000000</v>
      </c>
      <c r="L895" s="1306">
        <v>0</v>
      </c>
      <c r="M895" s="669" t="s">
        <v>1543</v>
      </c>
      <c r="N895" s="837"/>
      <c r="O895" s="837"/>
      <c r="P895" s="837"/>
      <c r="Q895" s="837"/>
      <c r="R895" s="908"/>
      <c r="S895" s="908"/>
      <c r="T895" s="1017"/>
      <c r="U895" s="670"/>
      <c r="V895" s="581"/>
      <c r="W895" s="680"/>
      <c r="X895" s="677"/>
      <c r="Y895" s="681"/>
      <c r="Z895" s="681"/>
      <c r="AA895" s="681"/>
      <c r="AB895" s="681"/>
      <c r="AC895" s="681"/>
      <c r="AD895" s="681"/>
      <c r="AE895" s="681"/>
      <c r="AF895" s="681"/>
      <c r="AG895" s="681"/>
      <c r="AH895" s="681"/>
      <c r="AI895" s="681"/>
      <c r="AJ895" s="681"/>
      <c r="AK895" s="681"/>
      <c r="AL895" s="681"/>
      <c r="AM895" s="681"/>
      <c r="AN895" s="681"/>
      <c r="AO895" s="681"/>
      <c r="AP895" s="681"/>
      <c r="AQ895" s="681"/>
      <c r="AR895" s="681"/>
      <c r="AS895" s="681"/>
      <c r="AT895" s="681"/>
      <c r="AU895" s="681"/>
      <c r="AV895" s="681"/>
      <c r="AW895" s="681"/>
      <c r="AX895" s="681"/>
      <c r="AY895" s="681"/>
      <c r="AZ895" s="681"/>
      <c r="BA895" s="681"/>
      <c r="BB895" s="681"/>
      <c r="BC895" s="681"/>
      <c r="BD895" s="681"/>
      <c r="BE895" s="681"/>
      <c r="BF895" s="681"/>
      <c r="BG895" s="681"/>
      <c r="BH895" s="681"/>
      <c r="BI895" s="681"/>
      <c r="BJ895" s="681"/>
      <c r="BK895" s="681"/>
      <c r="BL895" s="681"/>
      <c r="BM895" s="681"/>
      <c r="BN895" s="681"/>
      <c r="BO895" s="681"/>
      <c r="BP895" s="681"/>
      <c r="BQ895" s="681"/>
      <c r="BR895" s="681"/>
      <c r="BS895" s="681"/>
      <c r="BT895" s="681"/>
      <c r="BU895" s="681"/>
      <c r="BV895" s="681"/>
      <c r="BW895" s="681"/>
      <c r="BX895" s="681"/>
      <c r="BY895" s="681"/>
      <c r="BZ895" s="681"/>
      <c r="CA895" s="681"/>
      <c r="CB895" s="681"/>
      <c r="CC895" s="681"/>
      <c r="CD895" s="681"/>
      <c r="CE895" s="681"/>
      <c r="CF895" s="681"/>
      <c r="CG895" s="681"/>
      <c r="CH895" s="681"/>
      <c r="CI895" s="681"/>
      <c r="CJ895" s="681"/>
      <c r="CK895" s="681"/>
      <c r="CL895" s="681"/>
      <c r="CM895" s="681"/>
      <c r="CN895" s="681"/>
      <c r="CO895" s="681"/>
      <c r="CP895" s="681"/>
      <c r="CQ895" s="681"/>
      <c r="CR895" s="681"/>
      <c r="CS895" s="681"/>
      <c r="CT895" s="681"/>
      <c r="CU895" s="681"/>
      <c r="CV895" s="681"/>
      <c r="CW895" s="681"/>
      <c r="CX895" s="681"/>
      <c r="CY895" s="681"/>
      <c r="CZ895" s="681"/>
      <c r="DA895" s="681"/>
      <c r="DB895" s="681"/>
      <c r="DC895" s="681"/>
      <c r="DD895" s="681"/>
      <c r="DE895" s="681"/>
      <c r="DF895" s="681"/>
      <c r="DG895" s="681"/>
      <c r="DH895" s="681"/>
      <c r="DI895" s="681"/>
      <c r="DJ895" s="681"/>
      <c r="DK895" s="681"/>
      <c r="DL895" s="681"/>
      <c r="DM895" s="681"/>
      <c r="DN895" s="681"/>
      <c r="DO895" s="681"/>
      <c r="DP895" s="681"/>
      <c r="DQ895" s="681"/>
      <c r="DR895" s="681"/>
      <c r="DS895" s="681"/>
      <c r="DT895" s="681"/>
      <c r="DU895" s="681"/>
      <c r="DV895" s="681"/>
      <c r="DW895" s="681"/>
      <c r="DX895" s="681"/>
      <c r="DY895" s="681"/>
      <c r="DZ895" s="681"/>
      <c r="EA895" s="681"/>
      <c r="EB895" s="681"/>
      <c r="EC895" s="681"/>
      <c r="ED895" s="681"/>
      <c r="EE895" s="681"/>
      <c r="EF895" s="681"/>
      <c r="EG895" s="681"/>
      <c r="EH895" s="681"/>
      <c r="EI895" s="681"/>
      <c r="EJ895" s="681"/>
      <c r="EK895" s="681"/>
      <c r="EL895" s="681"/>
      <c r="EM895" s="681"/>
      <c r="EN895" s="681"/>
      <c r="EO895" s="681"/>
      <c r="EP895" s="681"/>
      <c r="EQ895" s="681"/>
      <c r="ER895" s="681"/>
      <c r="ES895" s="681"/>
      <c r="ET895" s="681"/>
      <c r="EU895" s="681"/>
      <c r="EV895" s="681"/>
      <c r="EW895" s="681"/>
      <c r="EX895" s="681"/>
      <c r="EY895" s="681"/>
      <c r="EZ895" s="681"/>
      <c r="FA895" s="681"/>
      <c r="FB895" s="681"/>
      <c r="FC895" s="681"/>
      <c r="FD895" s="681"/>
      <c r="FE895" s="681"/>
      <c r="FF895" s="681"/>
      <c r="FG895" s="681"/>
      <c r="FH895" s="681"/>
      <c r="FI895" s="681"/>
      <c r="FJ895" s="681"/>
      <c r="FK895" s="681"/>
      <c r="FL895" s="681"/>
      <c r="FM895" s="681"/>
      <c r="FN895" s="681"/>
      <c r="FO895" s="681"/>
      <c r="FP895" s="681"/>
      <c r="FQ895" s="681"/>
      <c r="FR895" s="681"/>
      <c r="FS895" s="681"/>
      <c r="FT895" s="681"/>
      <c r="FU895" s="681"/>
      <c r="FV895" s="681"/>
      <c r="FW895" s="681"/>
      <c r="FX895" s="681"/>
      <c r="FY895" s="681"/>
      <c r="FZ895" s="681"/>
      <c r="GA895" s="681"/>
      <c r="GB895" s="681"/>
      <c r="GC895" s="681"/>
      <c r="GD895" s="681"/>
      <c r="GE895" s="681"/>
      <c r="GF895" s="681"/>
      <c r="GG895" s="681"/>
      <c r="GH895" s="681"/>
      <c r="GI895" s="681"/>
      <c r="GJ895" s="681"/>
      <c r="GK895" s="681"/>
      <c r="GL895" s="681"/>
      <c r="GM895" s="681"/>
      <c r="GN895" s="681"/>
      <c r="GO895" s="681"/>
      <c r="GP895" s="681"/>
      <c r="GQ895" s="681"/>
      <c r="GR895" s="681"/>
      <c r="GS895" s="681"/>
      <c r="GT895" s="681"/>
      <c r="GU895" s="681"/>
      <c r="GV895" s="681"/>
      <c r="GW895" s="681"/>
      <c r="GX895" s="681"/>
      <c r="GY895" s="681"/>
      <c r="GZ895" s="681"/>
      <c r="HA895" s="681"/>
      <c r="HB895" s="681"/>
      <c r="HC895" s="681"/>
      <c r="HD895" s="681"/>
      <c r="HE895" s="681"/>
      <c r="HF895" s="681"/>
      <c r="HG895" s="681"/>
      <c r="HH895" s="681"/>
      <c r="HI895" s="681"/>
      <c r="HJ895" s="681"/>
      <c r="HK895" s="681"/>
      <c r="HL895" s="681"/>
      <c r="HM895" s="681"/>
      <c r="HN895" s="681"/>
      <c r="HO895" s="681"/>
      <c r="HP895" s="681"/>
      <c r="HQ895" s="681"/>
      <c r="HR895" s="681"/>
      <c r="HS895" s="681"/>
      <c r="HT895" s="681"/>
      <c r="HU895" s="681"/>
      <c r="HV895" s="681"/>
      <c r="HW895" s="681"/>
      <c r="HX895" s="681"/>
      <c r="HY895" s="681"/>
      <c r="HZ895" s="681"/>
      <c r="IA895" s="681"/>
      <c r="IB895" s="681"/>
      <c r="IC895" s="681"/>
      <c r="ID895" s="681"/>
      <c r="IE895" s="681"/>
      <c r="IF895" s="681"/>
      <c r="IG895" s="681"/>
      <c r="IH895" s="681"/>
      <c r="II895" s="681"/>
      <c r="IJ895" s="681"/>
      <c r="IK895" s="681"/>
      <c r="IL895" s="681"/>
      <c r="IM895" s="681"/>
      <c r="IN895" s="681"/>
      <c r="IO895" s="681"/>
      <c r="IP895" s="681"/>
      <c r="IQ895" s="681"/>
      <c r="IR895" s="681"/>
      <c r="IS895" s="681"/>
      <c r="IT895" s="681"/>
      <c r="IU895" s="681"/>
      <c r="IV895" s="681"/>
      <c r="IW895" s="681"/>
    </row>
    <row r="896" spans="1:257" s="582" customFormat="1">
      <c r="A896" s="738" t="s">
        <v>261</v>
      </c>
      <c r="B896" s="965" t="s">
        <v>262</v>
      </c>
      <c r="C896" s="738"/>
      <c r="D896" s="738"/>
      <c r="E896" s="740"/>
      <c r="F896" s="966">
        <f>F897+F898</f>
        <v>770000000</v>
      </c>
      <c r="G896" s="760"/>
      <c r="H896" s="760"/>
      <c r="I896" s="760"/>
      <c r="J896" s="966">
        <f>J897+J898</f>
        <v>859500000</v>
      </c>
      <c r="K896" s="966">
        <f>K897</f>
        <v>886700000</v>
      </c>
      <c r="L896" s="1313">
        <f>L897</f>
        <v>663600000</v>
      </c>
      <c r="M896" s="741"/>
      <c r="N896" s="934"/>
      <c r="O896" s="934"/>
      <c r="P896" s="868"/>
      <c r="Q896" s="868"/>
      <c r="R896" s="866"/>
      <c r="S896" s="871"/>
      <c r="T896" s="824"/>
      <c r="U896" s="596"/>
      <c r="V896" s="581"/>
      <c r="W896" s="581"/>
      <c r="X896" s="578"/>
    </row>
    <row r="897" spans="1:24" s="582" customFormat="1">
      <c r="A897" s="758"/>
      <c r="B897" s="759" t="s">
        <v>263</v>
      </c>
      <c r="C897" s="758"/>
      <c r="D897" s="758"/>
      <c r="E897" s="760"/>
      <c r="F897" s="760">
        <f>(SUM(F868:F895)+F855+F857)*10%</f>
        <v>770000000</v>
      </c>
      <c r="G897" s="760"/>
      <c r="H897" s="760"/>
      <c r="I897" s="760"/>
      <c r="J897" s="760">
        <f>(SUM(J868:J895)+J855+J857)*10%</f>
        <v>859500000</v>
      </c>
      <c r="K897" s="760">
        <f>(K855+K867)*10%</f>
        <v>886700000</v>
      </c>
      <c r="L897" s="1311">
        <f>(L855+L867-L870-L872-L873-L874-L881-L883-L886-L890-L882)*10%</f>
        <v>663600000</v>
      </c>
      <c r="M897" s="761"/>
      <c r="N897" s="868"/>
      <c r="O897" s="868"/>
      <c r="P897" s="868"/>
      <c r="Q897" s="868"/>
      <c r="R897" s="866"/>
      <c r="S897" s="871"/>
      <c r="T897" s="824"/>
      <c r="U897" s="580"/>
      <c r="V897" s="727"/>
      <c r="W897" s="581"/>
      <c r="X897" s="578"/>
    </row>
    <row r="898" spans="1:24" s="582" customFormat="1">
      <c r="A898" s="713"/>
      <c r="B898" s="669"/>
      <c r="C898" s="713"/>
      <c r="D898" s="713"/>
      <c r="E898" s="725"/>
      <c r="F898" s="725"/>
      <c r="G898" s="700"/>
      <c r="H898" s="700"/>
      <c r="I898" s="700"/>
      <c r="J898" s="725"/>
      <c r="K898" s="725"/>
      <c r="L898" s="1311"/>
      <c r="M898" s="669"/>
      <c r="N898" s="868"/>
      <c r="O898" s="868"/>
      <c r="P898" s="820"/>
      <c r="Q898" s="820"/>
      <c r="R898" s="908"/>
      <c r="S898" s="871"/>
      <c r="T898" s="824"/>
      <c r="U898" s="726"/>
      <c r="V898" s="581"/>
      <c r="W898" s="581"/>
      <c r="X898" s="578"/>
    </row>
    <row r="899" spans="1:24" s="681" customFormat="1">
      <c r="A899" s="589" t="s">
        <v>298</v>
      </c>
      <c r="B899" s="804" t="s">
        <v>485</v>
      </c>
      <c r="C899" s="589"/>
      <c r="D899" s="589"/>
      <c r="E899" s="704"/>
      <c r="F899" s="805">
        <f>SUM(F900:F912)</f>
        <v>4980000000</v>
      </c>
      <c r="G899" s="704"/>
      <c r="H899" s="704"/>
      <c r="I899" s="704"/>
      <c r="J899" s="805">
        <f>SUM(J900:J912)</f>
        <v>4235600000</v>
      </c>
      <c r="K899" s="805"/>
      <c r="L899" s="1312"/>
      <c r="M899" s="603"/>
      <c r="N899" s="835"/>
      <c r="O899" s="835"/>
      <c r="P899" s="829"/>
      <c r="Q899" s="829"/>
      <c r="R899" s="866"/>
      <c r="S899" s="908"/>
      <c r="T899" s="1017"/>
      <c r="U899" s="577"/>
      <c r="V899" s="851"/>
      <c r="W899" s="680"/>
      <c r="X899" s="677"/>
    </row>
    <row r="900" spans="1:24" s="681" customFormat="1" ht="30.75" hidden="1" customHeight="1">
      <c r="A900" s="683" t="s">
        <v>258</v>
      </c>
      <c r="B900" s="651" t="s">
        <v>486</v>
      </c>
      <c r="C900" s="683"/>
      <c r="D900" s="683"/>
      <c r="E900" s="669"/>
      <c r="F900" s="669">
        <v>100000000</v>
      </c>
      <c r="G900" s="669"/>
      <c r="H900" s="669"/>
      <c r="I900" s="669"/>
      <c r="J900" s="669">
        <v>100000000</v>
      </c>
      <c r="K900" s="669"/>
      <c r="L900" s="1306"/>
      <c r="M900" s="669"/>
      <c r="N900" s="837"/>
      <c r="O900" s="837"/>
      <c r="P900" s="837"/>
      <c r="Q900" s="837"/>
      <c r="R900" s="908"/>
      <c r="S900" s="908"/>
      <c r="T900" s="1017"/>
      <c r="U900" s="806"/>
      <c r="V900" s="851"/>
      <c r="W900" s="680"/>
      <c r="X900" s="677"/>
    </row>
    <row r="901" spans="1:24" s="681" customFormat="1" ht="15.75" hidden="1" customHeight="1">
      <c r="A901" s="683" t="s">
        <v>258</v>
      </c>
      <c r="B901" s="696" t="s">
        <v>487</v>
      </c>
      <c r="C901" s="683"/>
      <c r="D901" s="683"/>
      <c r="E901" s="669"/>
      <c r="F901" s="669">
        <v>60000000</v>
      </c>
      <c r="G901" s="669"/>
      <c r="H901" s="669"/>
      <c r="I901" s="669"/>
      <c r="J901" s="669">
        <v>80000000</v>
      </c>
      <c r="K901" s="669"/>
      <c r="L901" s="1306"/>
      <c r="M901" s="669"/>
      <c r="N901" s="837"/>
      <c r="O901" s="837"/>
      <c r="P901" s="837"/>
      <c r="Q901" s="837"/>
      <c r="R901" s="908"/>
      <c r="S901" s="908"/>
      <c r="T901" s="1017"/>
      <c r="U901" s="670"/>
      <c r="V901" s="851"/>
      <c r="W901" s="680"/>
      <c r="X901" s="677">
        <v>2380000000</v>
      </c>
    </row>
    <row r="902" spans="1:24" s="681" customFormat="1" ht="31.5" hidden="1" customHeight="1">
      <c r="A902" s="683" t="s">
        <v>258</v>
      </c>
      <c r="B902" s="711" t="s">
        <v>488</v>
      </c>
      <c r="C902" s="683"/>
      <c r="D902" s="683"/>
      <c r="E902" s="669"/>
      <c r="F902" s="669">
        <v>200000000</v>
      </c>
      <c r="G902" s="669"/>
      <c r="H902" s="669"/>
      <c r="I902" s="669"/>
      <c r="J902" s="669">
        <v>200000000</v>
      </c>
      <c r="K902" s="669"/>
      <c r="L902" s="1306"/>
      <c r="M902" s="669"/>
      <c r="N902" s="837"/>
      <c r="O902" s="837"/>
      <c r="P902" s="837"/>
      <c r="Q902" s="837"/>
      <c r="R902" s="908"/>
      <c r="S902" s="908"/>
      <c r="T902" s="1017"/>
      <c r="U902" s="670"/>
      <c r="V902" s="851"/>
      <c r="W902" s="680"/>
      <c r="X902" s="677"/>
    </row>
    <row r="903" spans="1:24" s="681" customFormat="1" ht="31.5" hidden="1" customHeight="1">
      <c r="A903" s="683" t="s">
        <v>258</v>
      </c>
      <c r="B903" s="711" t="s">
        <v>489</v>
      </c>
      <c r="C903" s="683"/>
      <c r="D903" s="683"/>
      <c r="E903" s="669"/>
      <c r="F903" s="669">
        <v>200000000</v>
      </c>
      <c r="G903" s="669"/>
      <c r="H903" s="669"/>
      <c r="I903" s="669"/>
      <c r="J903" s="669">
        <v>200000000</v>
      </c>
      <c r="K903" s="669"/>
      <c r="L903" s="1306"/>
      <c r="M903" s="669"/>
      <c r="N903" s="837"/>
      <c r="O903" s="837"/>
      <c r="P903" s="837"/>
      <c r="Q903" s="837"/>
      <c r="R903" s="908"/>
      <c r="S903" s="908"/>
      <c r="T903" s="1017"/>
      <c r="U903" s="670"/>
      <c r="V903" s="851"/>
      <c r="W903" s="680"/>
      <c r="X903" s="677"/>
    </row>
    <row r="904" spans="1:24" s="681" customFormat="1" ht="31.5" hidden="1" customHeight="1">
      <c r="A904" s="683" t="s">
        <v>258</v>
      </c>
      <c r="B904" s="711" t="s">
        <v>490</v>
      </c>
      <c r="C904" s="683"/>
      <c r="D904" s="683"/>
      <c r="E904" s="669"/>
      <c r="F904" s="669">
        <v>200000000</v>
      </c>
      <c r="G904" s="669"/>
      <c r="H904" s="669"/>
      <c r="I904" s="669"/>
      <c r="J904" s="669">
        <v>300000000</v>
      </c>
      <c r="K904" s="669"/>
      <c r="L904" s="1306"/>
      <c r="M904" s="669"/>
      <c r="N904" s="837"/>
      <c r="O904" s="837"/>
      <c r="P904" s="837"/>
      <c r="Q904" s="837"/>
      <c r="R904" s="908"/>
      <c r="S904" s="908"/>
      <c r="T904" s="1017"/>
      <c r="U904" s="670"/>
      <c r="V904" s="851"/>
      <c r="W904" s="680"/>
      <c r="X904" s="677"/>
    </row>
    <row r="905" spans="1:24" s="681" customFormat="1" ht="15.75" hidden="1" customHeight="1">
      <c r="A905" s="683" t="s">
        <v>258</v>
      </c>
      <c r="B905" s="711" t="s">
        <v>491</v>
      </c>
      <c r="C905" s="683"/>
      <c r="D905" s="683"/>
      <c r="E905" s="669"/>
      <c r="F905" s="669"/>
      <c r="G905" s="669"/>
      <c r="H905" s="669"/>
      <c r="I905" s="669"/>
      <c r="J905" s="669"/>
      <c r="K905" s="669"/>
      <c r="L905" s="1306"/>
      <c r="M905" s="669"/>
      <c r="N905" s="837"/>
      <c r="O905" s="837"/>
      <c r="P905" s="837"/>
      <c r="Q905" s="837"/>
      <c r="R905" s="908"/>
      <c r="S905" s="908"/>
      <c r="T905" s="1017"/>
      <c r="U905" s="670"/>
      <c r="V905" s="851"/>
      <c r="W905" s="680"/>
      <c r="X905" s="677"/>
    </row>
    <row r="906" spans="1:24" s="641" customFormat="1" ht="15.75" hidden="1" customHeight="1">
      <c r="A906" s="683" t="s">
        <v>258</v>
      </c>
      <c r="B906" s="711" t="s">
        <v>492</v>
      </c>
      <c r="C906" s="635"/>
      <c r="D906" s="635"/>
      <c r="E906" s="651"/>
      <c r="F906" s="651">
        <v>30000000</v>
      </c>
      <c r="G906" s="651" t="s">
        <v>1095</v>
      </c>
      <c r="H906" s="651"/>
      <c r="I906" s="651"/>
      <c r="J906" s="651">
        <v>30000000</v>
      </c>
      <c r="K906" s="651"/>
      <c r="L906" s="1305"/>
      <c r="M906" s="651"/>
      <c r="N906" s="826"/>
      <c r="O906" s="826"/>
      <c r="P906" s="826"/>
      <c r="Q906" s="826"/>
      <c r="R906" s="869"/>
      <c r="S906" s="869"/>
      <c r="T906" s="850"/>
      <c r="U906" s="655"/>
      <c r="V906" s="851"/>
      <c r="W906" s="639"/>
      <c r="X906" s="640"/>
    </row>
    <row r="907" spans="1:24" s="681" customFormat="1" ht="15.75" hidden="1" customHeight="1">
      <c r="A907" s="683" t="s">
        <v>258</v>
      </c>
      <c r="B907" s="696" t="s">
        <v>493</v>
      </c>
      <c r="C907" s="683"/>
      <c r="D907" s="683"/>
      <c r="E907" s="669"/>
      <c r="F907" s="669">
        <v>200000000</v>
      </c>
      <c r="G907" s="669"/>
      <c r="H907" s="669"/>
      <c r="I907" s="669"/>
      <c r="J907" s="669">
        <v>200000000</v>
      </c>
      <c r="K907" s="669"/>
      <c r="L907" s="1306"/>
      <c r="M907" s="669"/>
      <c r="N907" s="837"/>
      <c r="O907" s="837"/>
      <c r="P907" s="837"/>
      <c r="Q907" s="837"/>
      <c r="R907" s="908"/>
      <c r="S907" s="908"/>
      <c r="T907" s="1017"/>
      <c r="U907" s="670"/>
      <c r="V907" s="851"/>
      <c r="W907" s="680"/>
      <c r="X907" s="677"/>
    </row>
    <row r="908" spans="1:24" s="681" customFormat="1" ht="31.5" hidden="1" customHeight="1">
      <c r="A908" s="683" t="s">
        <v>258</v>
      </c>
      <c r="B908" s="696" t="s">
        <v>494</v>
      </c>
      <c r="C908" s="683"/>
      <c r="D908" s="683"/>
      <c r="E908" s="669"/>
      <c r="F908" s="669">
        <v>650000000</v>
      </c>
      <c r="G908" s="669"/>
      <c r="H908" s="669"/>
      <c r="I908" s="669"/>
      <c r="J908" s="669">
        <v>725600000</v>
      </c>
      <c r="K908" s="669"/>
      <c r="L908" s="1306"/>
      <c r="M908" s="669"/>
      <c r="N908" s="837"/>
      <c r="O908" s="837"/>
      <c r="P908" s="837"/>
      <c r="Q908" s="837"/>
      <c r="R908" s="908"/>
      <c r="S908" s="908"/>
      <c r="T908" s="1017"/>
      <c r="U908" s="670"/>
      <c r="V908" s="851"/>
      <c r="W908" s="680"/>
      <c r="X908" s="677"/>
    </row>
    <row r="909" spans="1:24" s="681" customFormat="1" ht="15.75" hidden="1" customHeight="1">
      <c r="A909" s="683" t="s">
        <v>258</v>
      </c>
      <c r="B909" s="696" t="s">
        <v>495</v>
      </c>
      <c r="C909" s="683"/>
      <c r="D909" s="683"/>
      <c r="E909" s="669"/>
      <c r="F909" s="669">
        <f>300000000-G909</f>
        <v>200000000</v>
      </c>
      <c r="G909" s="669">
        <f>5*15000000+25000000</f>
        <v>100000000</v>
      </c>
      <c r="H909" s="669"/>
      <c r="I909" s="669"/>
      <c r="J909" s="669">
        <v>300000000</v>
      </c>
      <c r="K909" s="669"/>
      <c r="L909" s="1306"/>
      <c r="M909" s="669"/>
      <c r="N909" s="837"/>
      <c r="O909" s="837"/>
      <c r="P909" s="1156"/>
      <c r="Q909" s="1156"/>
      <c r="R909" s="1156" t="s">
        <v>1164</v>
      </c>
      <c r="S909" s="908"/>
      <c r="T909" s="1017"/>
      <c r="U909" s="670"/>
      <c r="V909" s="851"/>
      <c r="W909" s="680"/>
      <c r="X909" s="677"/>
    </row>
    <row r="910" spans="1:24" s="681" customFormat="1" ht="31.5" hidden="1" customHeight="1">
      <c r="A910" s="683" t="s">
        <v>258</v>
      </c>
      <c r="B910" s="696" t="s">
        <v>496</v>
      </c>
      <c r="C910" s="683"/>
      <c r="D910" s="683"/>
      <c r="E910" s="669"/>
      <c r="F910" s="669">
        <v>1500000000</v>
      </c>
      <c r="G910" s="669"/>
      <c r="H910" s="669"/>
      <c r="I910" s="669"/>
      <c r="J910" s="669">
        <v>1700000000</v>
      </c>
      <c r="K910" s="669"/>
      <c r="L910" s="1306"/>
      <c r="M910" s="669"/>
      <c r="N910" s="837"/>
      <c r="O910" s="837"/>
      <c r="P910" s="837"/>
      <c r="Q910" s="837"/>
      <c r="R910" s="908"/>
      <c r="S910" s="908"/>
      <c r="T910" s="1017"/>
      <c r="U910" s="670"/>
      <c r="V910" s="851"/>
      <c r="W910" s="680"/>
      <c r="X910" s="677"/>
    </row>
    <row r="911" spans="1:24" s="681" customFormat="1" ht="15.75" hidden="1" customHeight="1">
      <c r="A911" s="683"/>
      <c r="B911" s="696" t="s">
        <v>1165</v>
      </c>
      <c r="C911" s="683"/>
      <c r="D911" s="683"/>
      <c r="E911" s="669"/>
      <c r="F911" s="669">
        <v>1240000000</v>
      </c>
      <c r="G911" s="669" t="s">
        <v>1166</v>
      </c>
      <c r="H911" s="669"/>
      <c r="I911" s="669"/>
      <c r="J911" s="669"/>
      <c r="K911" s="669"/>
      <c r="L911" s="1306"/>
      <c r="M911" s="669"/>
      <c r="N911" s="837"/>
      <c r="O911" s="837"/>
      <c r="P911" s="837"/>
      <c r="Q911" s="837"/>
      <c r="R911" s="908"/>
      <c r="S911" s="908"/>
      <c r="T911" s="1017"/>
      <c r="U911" s="670"/>
      <c r="V911" s="851"/>
      <c r="W911" s="680"/>
      <c r="X911" s="677"/>
    </row>
    <row r="912" spans="1:24" s="681" customFormat="1" ht="15.75" hidden="1" customHeight="1">
      <c r="A912" s="683" t="s">
        <v>258</v>
      </c>
      <c r="B912" s="696" t="s">
        <v>497</v>
      </c>
      <c r="C912" s="683"/>
      <c r="D912" s="683"/>
      <c r="E912" s="669"/>
      <c r="F912" s="669">
        <v>400000000</v>
      </c>
      <c r="G912" s="669"/>
      <c r="H912" s="669"/>
      <c r="I912" s="669"/>
      <c r="J912" s="669">
        <v>400000000</v>
      </c>
      <c r="K912" s="669"/>
      <c r="L912" s="1306"/>
      <c r="M912" s="669"/>
      <c r="N912" s="837"/>
      <c r="O912" s="837"/>
      <c r="P912" s="837"/>
      <c r="Q912" s="837"/>
      <c r="R912" s="869"/>
      <c r="S912" s="908"/>
      <c r="T912" s="1017"/>
      <c r="U912" s="670"/>
      <c r="V912" s="851"/>
      <c r="W912" s="680"/>
      <c r="X912" s="677"/>
    </row>
    <row r="913" spans="1:257" s="582" customFormat="1" ht="15.75" hidden="1" customHeight="1">
      <c r="A913" s="699" t="s">
        <v>261</v>
      </c>
      <c r="B913" s="808" t="s">
        <v>262</v>
      </c>
      <c r="C913" s="699"/>
      <c r="D913" s="699"/>
      <c r="E913" s="700"/>
      <c r="F913" s="810">
        <f t="shared" ref="F913:J913" si="86">F914+F915</f>
        <v>422800000</v>
      </c>
      <c r="G913" s="810">
        <f t="shared" si="86"/>
        <v>0</v>
      </c>
      <c r="H913" s="810">
        <f t="shared" si="86"/>
        <v>0</v>
      </c>
      <c r="I913" s="810">
        <f t="shared" si="86"/>
        <v>0</v>
      </c>
      <c r="J913" s="810">
        <f t="shared" si="86"/>
        <v>413560000</v>
      </c>
      <c r="K913" s="810"/>
      <c r="L913" s="1313"/>
      <c r="M913" s="707"/>
      <c r="N913" s="934"/>
      <c r="O913" s="934"/>
      <c r="P913" s="820"/>
      <c r="Q913" s="820"/>
      <c r="R913" s="871"/>
      <c r="S913" s="908"/>
      <c r="T913" s="1017"/>
      <c r="U913" s="670"/>
      <c r="V913" s="581"/>
      <c r="W913" s="581"/>
      <c r="X913" s="578"/>
    </row>
    <row r="914" spans="1:257" s="582" customFormat="1" ht="15.75" hidden="1" customHeight="1">
      <c r="A914" s="713"/>
      <c r="B914" s="668" t="s">
        <v>263</v>
      </c>
      <c r="C914" s="713"/>
      <c r="D914" s="713"/>
      <c r="E914" s="725"/>
      <c r="F914" s="669">
        <f>(F901+F902+F900+F903+F904+F906+F907+F908+F909+F910+F912)*10%</f>
        <v>374000000</v>
      </c>
      <c r="G914" s="700"/>
      <c r="H914" s="700"/>
      <c r="I914" s="700"/>
      <c r="J914" s="669">
        <f>(J901+J902+J903+J904+J906+J907+J908+J909+J910+J911+J912)*10%</f>
        <v>413560000</v>
      </c>
      <c r="K914" s="669"/>
      <c r="L914" s="1306"/>
      <c r="M914" s="669"/>
      <c r="N914" s="837"/>
      <c r="O914" s="837"/>
      <c r="P914" s="820"/>
      <c r="Q914" s="820"/>
      <c r="R914" s="908"/>
      <c r="S914" s="908"/>
      <c r="T914" s="1017"/>
      <c r="U914" s="670"/>
      <c r="V914" s="581"/>
      <c r="W914" s="581"/>
      <c r="X914" s="578"/>
    </row>
    <row r="915" spans="1:257" s="582" customFormat="1" ht="15.75" hidden="1" customHeight="1">
      <c r="A915" s="683"/>
      <c r="B915" s="669" t="s">
        <v>281</v>
      </c>
      <c r="C915" s="713"/>
      <c r="D915" s="713"/>
      <c r="E915" s="725"/>
      <c r="F915" s="669">
        <f>SUM(F901:F912)*1%</f>
        <v>48800000</v>
      </c>
      <c r="G915" s="651"/>
      <c r="H915" s="651"/>
      <c r="I915" s="651"/>
      <c r="J915" s="669"/>
      <c r="K915" s="669"/>
      <c r="L915" s="1306"/>
      <c r="M915" s="669"/>
      <c r="N915" s="837"/>
      <c r="O915" s="837"/>
      <c r="P915" s="826"/>
      <c r="Q915" s="826"/>
      <c r="R915" s="900"/>
      <c r="S915" s="866"/>
      <c r="T915" s="839"/>
      <c r="U915" s="670"/>
      <c r="V915" s="581"/>
      <c r="W915" s="581"/>
      <c r="X915" s="578"/>
    </row>
    <row r="916" spans="1:257" s="621" customFormat="1" ht="28.5" customHeight="1">
      <c r="A916" s="590">
        <v>2</v>
      </c>
      <c r="B916" s="607" t="s">
        <v>498</v>
      </c>
      <c r="C916" s="590"/>
      <c r="D916" s="590"/>
      <c r="E916" s="609"/>
      <c r="F916" s="609">
        <f>SUM(F917:F925)</f>
        <v>575000000</v>
      </c>
      <c r="G916" s="592"/>
      <c r="H916" s="592"/>
      <c r="I916" s="592"/>
      <c r="J916" s="609">
        <f>SUM(J917:J925)</f>
        <v>540000000</v>
      </c>
      <c r="K916" s="609"/>
      <c r="L916" s="1303"/>
      <c r="M916" s="609"/>
      <c r="N916" s="830"/>
      <c r="O916" s="830"/>
      <c r="P916" s="865"/>
      <c r="Q916" s="865"/>
      <c r="R916" s="866"/>
      <c r="S916" s="866"/>
      <c r="T916" s="839"/>
      <c r="U916" s="726"/>
      <c r="V916" s="722"/>
      <c r="W916" s="722"/>
      <c r="X916" s="723"/>
      <c r="Y916" s="724"/>
      <c r="Z916" s="724"/>
      <c r="AA916" s="724"/>
      <c r="AB916" s="724"/>
      <c r="AC916" s="724"/>
      <c r="AD916" s="724"/>
      <c r="AE916" s="724"/>
      <c r="AF916" s="724"/>
      <c r="AG916" s="724"/>
      <c r="AH916" s="724"/>
      <c r="AI916" s="724"/>
      <c r="AJ916" s="724"/>
      <c r="AK916" s="724"/>
      <c r="AL916" s="724"/>
      <c r="AM916" s="724"/>
      <c r="AN916" s="724"/>
      <c r="AO916" s="724"/>
      <c r="AP916" s="724"/>
      <c r="AQ916" s="724"/>
      <c r="AR916" s="724"/>
      <c r="AS916" s="724"/>
      <c r="AT916" s="724"/>
      <c r="AU916" s="724"/>
      <c r="AV916" s="724"/>
      <c r="AW916" s="724"/>
      <c r="AX916" s="724"/>
      <c r="AY916" s="724"/>
      <c r="AZ916" s="724"/>
      <c r="BA916" s="724"/>
      <c r="BB916" s="724"/>
      <c r="BC916" s="724"/>
      <c r="BD916" s="724"/>
      <c r="BE916" s="724"/>
      <c r="BF916" s="724"/>
      <c r="BG916" s="724"/>
      <c r="BH916" s="724"/>
      <c r="BI916" s="724"/>
      <c r="BJ916" s="724"/>
      <c r="BK916" s="724"/>
      <c r="BL916" s="724"/>
      <c r="BM916" s="724"/>
      <c r="BN916" s="724"/>
      <c r="BO916" s="724"/>
      <c r="BP916" s="724"/>
      <c r="BQ916" s="724"/>
      <c r="BR916" s="724"/>
      <c r="BS916" s="724"/>
      <c r="BT916" s="724"/>
      <c r="BU916" s="724"/>
      <c r="BV916" s="724"/>
      <c r="BW916" s="724"/>
      <c r="BX916" s="724"/>
      <c r="BY916" s="724"/>
      <c r="BZ916" s="724"/>
      <c r="CA916" s="724"/>
      <c r="CB916" s="724"/>
      <c r="CC916" s="724"/>
      <c r="CD916" s="724"/>
      <c r="CE916" s="724"/>
      <c r="CF916" s="724"/>
      <c r="CG916" s="724"/>
      <c r="CH916" s="724"/>
      <c r="CI916" s="724"/>
      <c r="CJ916" s="724"/>
      <c r="CK916" s="724"/>
      <c r="CL916" s="724"/>
      <c r="CM916" s="724"/>
      <c r="CN916" s="724"/>
      <c r="CO916" s="724"/>
      <c r="CP916" s="724"/>
      <c r="CQ916" s="724"/>
      <c r="CR916" s="724"/>
      <c r="CS916" s="724"/>
      <c r="CT916" s="724"/>
      <c r="CU916" s="724"/>
      <c r="CV916" s="724"/>
      <c r="CW916" s="724"/>
      <c r="CX916" s="724"/>
      <c r="CY916" s="724"/>
      <c r="CZ916" s="724"/>
      <c r="DA916" s="724"/>
      <c r="DB916" s="724"/>
      <c r="DC916" s="724"/>
      <c r="DD916" s="724"/>
      <c r="DE916" s="724"/>
      <c r="DF916" s="724"/>
      <c r="DG916" s="724"/>
      <c r="DH916" s="724"/>
      <c r="DI916" s="724"/>
      <c r="DJ916" s="724"/>
      <c r="DK916" s="724"/>
      <c r="DL916" s="724"/>
      <c r="DM916" s="724"/>
      <c r="DN916" s="724"/>
      <c r="DO916" s="724"/>
      <c r="DP916" s="724"/>
      <c r="DQ916" s="724"/>
      <c r="DR916" s="724"/>
      <c r="DS916" s="724"/>
      <c r="DT916" s="724"/>
      <c r="DU916" s="724"/>
      <c r="DV916" s="724"/>
      <c r="DW916" s="724"/>
      <c r="DX916" s="724"/>
      <c r="DY916" s="724"/>
      <c r="DZ916" s="724"/>
      <c r="EA916" s="724"/>
      <c r="EB916" s="724"/>
      <c r="EC916" s="724"/>
      <c r="ED916" s="724"/>
      <c r="EE916" s="724"/>
      <c r="EF916" s="724"/>
      <c r="EG916" s="724"/>
      <c r="EH916" s="724"/>
      <c r="EI916" s="724"/>
      <c r="EJ916" s="724"/>
      <c r="EK916" s="724"/>
      <c r="EL916" s="724"/>
      <c r="EM916" s="724"/>
      <c r="EN916" s="724"/>
      <c r="EO916" s="724"/>
      <c r="EP916" s="724"/>
      <c r="EQ916" s="724"/>
      <c r="ER916" s="724"/>
      <c r="ES916" s="724"/>
      <c r="ET916" s="724"/>
      <c r="EU916" s="724"/>
      <c r="EV916" s="724"/>
      <c r="EW916" s="724"/>
      <c r="EX916" s="724"/>
      <c r="EY916" s="724"/>
      <c r="EZ916" s="724"/>
      <c r="FA916" s="724"/>
      <c r="FB916" s="724"/>
      <c r="FC916" s="724"/>
      <c r="FD916" s="724"/>
      <c r="FE916" s="724"/>
      <c r="FF916" s="724"/>
      <c r="FG916" s="724"/>
      <c r="FH916" s="724"/>
      <c r="FI916" s="724"/>
      <c r="FJ916" s="724"/>
      <c r="FK916" s="724"/>
      <c r="FL916" s="724"/>
      <c r="FM916" s="724"/>
      <c r="FN916" s="724"/>
      <c r="FO916" s="724"/>
      <c r="FP916" s="724"/>
      <c r="FQ916" s="724"/>
      <c r="FR916" s="724"/>
      <c r="FS916" s="724"/>
      <c r="FT916" s="724"/>
      <c r="FU916" s="724"/>
      <c r="FV916" s="724"/>
      <c r="FW916" s="724"/>
      <c r="FX916" s="724"/>
      <c r="FY916" s="724"/>
      <c r="FZ916" s="724"/>
      <c r="GA916" s="724"/>
      <c r="GB916" s="724"/>
      <c r="GC916" s="724"/>
      <c r="GD916" s="724"/>
      <c r="GE916" s="724"/>
      <c r="GF916" s="724"/>
      <c r="GG916" s="724"/>
      <c r="GH916" s="724"/>
      <c r="GI916" s="724"/>
      <c r="GJ916" s="724"/>
      <c r="GK916" s="724"/>
      <c r="GL916" s="724"/>
      <c r="GM916" s="724"/>
      <c r="GN916" s="724"/>
      <c r="GO916" s="724"/>
      <c r="GP916" s="724"/>
      <c r="GQ916" s="724"/>
      <c r="GR916" s="724"/>
      <c r="GS916" s="724"/>
      <c r="GT916" s="724"/>
      <c r="GU916" s="724"/>
      <c r="GV916" s="724"/>
      <c r="GW916" s="724"/>
      <c r="GX916" s="724"/>
      <c r="GY916" s="724"/>
      <c r="GZ916" s="724"/>
      <c r="HA916" s="724"/>
      <c r="HB916" s="724"/>
      <c r="HC916" s="724"/>
      <c r="HD916" s="724"/>
      <c r="HE916" s="724"/>
      <c r="HF916" s="724"/>
      <c r="HG916" s="724"/>
      <c r="HH916" s="724"/>
      <c r="HI916" s="724"/>
      <c r="HJ916" s="724"/>
      <c r="HK916" s="724"/>
      <c r="HL916" s="724"/>
      <c r="HM916" s="724"/>
      <c r="HN916" s="724"/>
      <c r="HO916" s="724"/>
      <c r="HP916" s="724"/>
      <c r="HQ916" s="724"/>
      <c r="HR916" s="724"/>
      <c r="HS916" s="724"/>
      <c r="HT916" s="724"/>
      <c r="HU916" s="724"/>
      <c r="HV916" s="724"/>
      <c r="HW916" s="724"/>
      <c r="HX916" s="724"/>
      <c r="HY916" s="724"/>
      <c r="HZ916" s="724"/>
      <c r="IA916" s="724"/>
      <c r="IB916" s="724"/>
      <c r="IC916" s="724"/>
      <c r="ID916" s="724"/>
      <c r="IE916" s="724"/>
      <c r="IF916" s="724"/>
      <c r="IG916" s="724"/>
      <c r="IH916" s="724"/>
      <c r="II916" s="724"/>
      <c r="IJ916" s="724"/>
      <c r="IK916" s="724"/>
      <c r="IL916" s="724"/>
      <c r="IM916" s="724"/>
      <c r="IN916" s="724"/>
      <c r="IO916" s="724"/>
      <c r="IP916" s="724"/>
      <c r="IQ916" s="724"/>
      <c r="IR916" s="724"/>
      <c r="IS916" s="724"/>
      <c r="IT916" s="724"/>
      <c r="IU916" s="724"/>
      <c r="IV916" s="724"/>
      <c r="IW916" s="724"/>
    </row>
    <row r="917" spans="1:257" s="582" customFormat="1" ht="15.75" hidden="1" customHeight="1">
      <c r="A917" s="683" t="s">
        <v>258</v>
      </c>
      <c r="B917" s="696" t="s">
        <v>409</v>
      </c>
      <c r="C917" s="635"/>
      <c r="D917" s="635"/>
      <c r="E917" s="651"/>
      <c r="F917" s="651">
        <v>15000000</v>
      </c>
      <c r="G917" s="651"/>
      <c r="H917" s="651"/>
      <c r="I917" s="651"/>
      <c r="J917" s="651"/>
      <c r="K917" s="651"/>
      <c r="L917" s="1305"/>
      <c r="M917" s="651"/>
      <c r="N917" s="826"/>
      <c r="O917" s="826"/>
      <c r="P917" s="826"/>
      <c r="Q917" s="826"/>
      <c r="R917" s="945"/>
      <c r="S917" s="867"/>
      <c r="T917" s="856"/>
      <c r="U917" s="655"/>
      <c r="V917" s="639"/>
      <c r="W917" s="722"/>
      <c r="X917" s="723"/>
      <c r="Y917" s="724"/>
      <c r="Z917" s="724"/>
      <c r="AA917" s="724"/>
      <c r="AB917" s="724"/>
      <c r="AC917" s="724"/>
      <c r="AD917" s="724"/>
      <c r="AE917" s="724"/>
      <c r="AF917" s="724"/>
      <c r="AG917" s="724"/>
      <c r="AH917" s="724"/>
      <c r="AI917" s="724"/>
      <c r="AJ917" s="724"/>
      <c r="AK917" s="724"/>
      <c r="AL917" s="724"/>
      <c r="AM917" s="724"/>
      <c r="AN917" s="724"/>
      <c r="AO917" s="724"/>
      <c r="AP917" s="724"/>
      <c r="AQ917" s="724"/>
      <c r="AR917" s="724"/>
      <c r="AS917" s="724"/>
      <c r="AT917" s="724"/>
      <c r="AU917" s="724"/>
      <c r="AV917" s="724"/>
      <c r="AW917" s="724"/>
      <c r="AX917" s="724"/>
      <c r="AY917" s="724"/>
      <c r="AZ917" s="724"/>
      <c r="BA917" s="724"/>
      <c r="BB917" s="724"/>
      <c r="BC917" s="724"/>
      <c r="BD917" s="724"/>
      <c r="BE917" s="724"/>
      <c r="BF917" s="724"/>
      <c r="BG917" s="724"/>
      <c r="BH917" s="724"/>
      <c r="BI917" s="724"/>
      <c r="BJ917" s="724"/>
      <c r="BK917" s="724"/>
      <c r="BL917" s="724"/>
      <c r="BM917" s="724"/>
      <c r="BN917" s="724"/>
      <c r="BO917" s="724"/>
      <c r="BP917" s="724"/>
      <c r="BQ917" s="724"/>
      <c r="BR917" s="724"/>
      <c r="BS917" s="724"/>
      <c r="BT917" s="724"/>
      <c r="BU917" s="724"/>
      <c r="BV917" s="724"/>
      <c r="BW917" s="724"/>
      <c r="BX917" s="724"/>
      <c r="BY917" s="724"/>
      <c r="BZ917" s="724"/>
      <c r="CA917" s="724"/>
      <c r="CB917" s="724"/>
      <c r="CC917" s="724"/>
      <c r="CD917" s="724"/>
      <c r="CE917" s="724"/>
      <c r="CF917" s="724"/>
      <c r="CG917" s="724"/>
      <c r="CH917" s="724"/>
      <c r="CI917" s="724"/>
      <c r="CJ917" s="724"/>
      <c r="CK917" s="724"/>
      <c r="CL917" s="724"/>
      <c r="CM917" s="724"/>
      <c r="CN917" s="724"/>
      <c r="CO917" s="724"/>
      <c r="CP917" s="724"/>
      <c r="CQ917" s="724"/>
      <c r="CR917" s="724"/>
      <c r="CS917" s="724"/>
      <c r="CT917" s="724"/>
      <c r="CU917" s="724"/>
      <c r="CV917" s="724"/>
      <c r="CW917" s="724"/>
      <c r="CX917" s="724"/>
      <c r="CY917" s="724"/>
      <c r="CZ917" s="724"/>
      <c r="DA917" s="724"/>
      <c r="DB917" s="724"/>
      <c r="DC917" s="724"/>
      <c r="DD917" s="724"/>
      <c r="DE917" s="724"/>
      <c r="DF917" s="724"/>
      <c r="DG917" s="724"/>
      <c r="DH917" s="724"/>
      <c r="DI917" s="724"/>
      <c r="DJ917" s="724"/>
      <c r="DK917" s="724"/>
      <c r="DL917" s="724"/>
      <c r="DM917" s="724"/>
      <c r="DN917" s="724"/>
      <c r="DO917" s="724"/>
      <c r="DP917" s="724"/>
      <c r="DQ917" s="724"/>
      <c r="DR917" s="724"/>
      <c r="DS917" s="724"/>
      <c r="DT917" s="724"/>
      <c r="DU917" s="724"/>
      <c r="DV917" s="724"/>
      <c r="DW917" s="724"/>
      <c r="DX917" s="724"/>
      <c r="DY917" s="724"/>
      <c r="DZ917" s="724"/>
      <c r="EA917" s="724"/>
      <c r="EB917" s="724"/>
      <c r="EC917" s="724"/>
      <c r="ED917" s="724"/>
      <c r="EE917" s="724"/>
      <c r="EF917" s="724"/>
      <c r="EG917" s="724"/>
      <c r="EH917" s="724"/>
      <c r="EI917" s="724"/>
      <c r="EJ917" s="724"/>
      <c r="EK917" s="724"/>
      <c r="EL917" s="724"/>
      <c r="EM917" s="724"/>
      <c r="EN917" s="724"/>
      <c r="EO917" s="724"/>
      <c r="EP917" s="724"/>
      <c r="EQ917" s="724"/>
      <c r="ER917" s="724"/>
      <c r="ES917" s="724"/>
      <c r="ET917" s="724"/>
      <c r="EU917" s="724"/>
      <c r="EV917" s="724"/>
      <c r="EW917" s="724"/>
      <c r="EX917" s="724"/>
      <c r="EY917" s="724"/>
      <c r="EZ917" s="724"/>
      <c r="FA917" s="724"/>
      <c r="FB917" s="724"/>
      <c r="FC917" s="724"/>
      <c r="FD917" s="724"/>
      <c r="FE917" s="724"/>
      <c r="FF917" s="724"/>
      <c r="FG917" s="724"/>
      <c r="FH917" s="724"/>
      <c r="FI917" s="724"/>
      <c r="FJ917" s="724"/>
      <c r="FK917" s="724"/>
      <c r="FL917" s="724"/>
      <c r="FM917" s="724"/>
      <c r="FN917" s="724"/>
      <c r="FO917" s="724"/>
      <c r="FP917" s="724"/>
      <c r="FQ917" s="724"/>
      <c r="FR917" s="724"/>
      <c r="FS917" s="724"/>
      <c r="FT917" s="724"/>
      <c r="FU917" s="724"/>
      <c r="FV917" s="724"/>
      <c r="FW917" s="724"/>
      <c r="FX917" s="724"/>
      <c r="FY917" s="724"/>
      <c r="FZ917" s="724"/>
      <c r="GA917" s="724"/>
      <c r="GB917" s="724"/>
      <c r="GC917" s="724"/>
      <c r="GD917" s="724"/>
      <c r="GE917" s="724"/>
      <c r="GF917" s="724"/>
      <c r="GG917" s="724"/>
      <c r="GH917" s="724"/>
      <c r="GI917" s="724"/>
      <c r="GJ917" s="724"/>
      <c r="GK917" s="724"/>
      <c r="GL917" s="724"/>
      <c r="GM917" s="724"/>
      <c r="GN917" s="724"/>
      <c r="GO917" s="724"/>
      <c r="GP917" s="724"/>
      <c r="GQ917" s="724"/>
      <c r="GR917" s="724"/>
      <c r="GS917" s="724"/>
      <c r="GT917" s="724"/>
      <c r="GU917" s="724"/>
      <c r="GV917" s="724"/>
      <c r="GW917" s="724"/>
      <c r="GX917" s="724"/>
      <c r="GY917" s="724"/>
      <c r="GZ917" s="724"/>
      <c r="HA917" s="724"/>
      <c r="HB917" s="724"/>
      <c r="HC917" s="724"/>
      <c r="HD917" s="724"/>
      <c r="HE917" s="724"/>
      <c r="HF917" s="724"/>
      <c r="HG917" s="724"/>
      <c r="HH917" s="724"/>
      <c r="HI917" s="724"/>
      <c r="HJ917" s="724"/>
      <c r="HK917" s="724"/>
      <c r="HL917" s="724"/>
      <c r="HM917" s="724"/>
      <c r="HN917" s="724"/>
      <c r="HO917" s="724"/>
      <c r="HP917" s="724"/>
      <c r="HQ917" s="724"/>
      <c r="HR917" s="724"/>
      <c r="HS917" s="724"/>
      <c r="HT917" s="724"/>
      <c r="HU917" s="724"/>
      <c r="HV917" s="724"/>
      <c r="HW917" s="724"/>
      <c r="HX917" s="724"/>
      <c r="HY917" s="724"/>
      <c r="HZ917" s="724"/>
      <c r="IA917" s="724"/>
      <c r="IB917" s="724"/>
      <c r="IC917" s="724"/>
      <c r="ID917" s="724"/>
      <c r="IE917" s="724"/>
      <c r="IF917" s="724"/>
      <c r="IG917" s="724"/>
      <c r="IH917" s="724"/>
      <c r="II917" s="724"/>
      <c r="IJ917" s="724"/>
      <c r="IK917" s="724"/>
      <c r="IL917" s="724"/>
      <c r="IM917" s="724"/>
      <c r="IN917" s="724"/>
      <c r="IO917" s="724"/>
      <c r="IP917" s="724"/>
      <c r="IQ917" s="724"/>
      <c r="IR917" s="724"/>
      <c r="IS917" s="724"/>
      <c r="IT917" s="724"/>
      <c r="IU917" s="724"/>
      <c r="IV917" s="724"/>
      <c r="IW917" s="724"/>
    </row>
    <row r="918" spans="1:257" s="582" customFormat="1" ht="15.75" hidden="1" customHeight="1">
      <c r="A918" s="683" t="s">
        <v>258</v>
      </c>
      <c r="B918" s="696" t="s">
        <v>1167</v>
      </c>
      <c r="C918" s="635"/>
      <c r="D918" s="635"/>
      <c r="E918" s="651"/>
      <c r="F918" s="651"/>
      <c r="G918" s="651">
        <v>15000000</v>
      </c>
      <c r="H918" s="651"/>
      <c r="I918" s="651"/>
      <c r="J918" s="651"/>
      <c r="K918" s="651"/>
      <c r="L918" s="1305"/>
      <c r="M918" s="651"/>
      <c r="N918" s="826"/>
      <c r="O918" s="826"/>
      <c r="P918" s="826"/>
      <c r="Q918" s="826"/>
      <c r="R918" s="945"/>
      <c r="S918" s="867"/>
      <c r="T918" s="856"/>
      <c r="U918" s="655"/>
      <c r="V918" s="639"/>
      <c r="W918" s="722"/>
      <c r="X918" s="723"/>
      <c r="Y918" s="724"/>
      <c r="Z918" s="724"/>
      <c r="AA918" s="724"/>
      <c r="AB918" s="724"/>
      <c r="AC918" s="724"/>
      <c r="AD918" s="724"/>
      <c r="AE918" s="724"/>
      <c r="AF918" s="724"/>
      <c r="AG918" s="724"/>
      <c r="AH918" s="724"/>
      <c r="AI918" s="724"/>
      <c r="AJ918" s="724"/>
      <c r="AK918" s="724"/>
      <c r="AL918" s="724"/>
      <c r="AM918" s="724"/>
      <c r="AN918" s="724"/>
      <c r="AO918" s="724"/>
      <c r="AP918" s="724"/>
      <c r="AQ918" s="724"/>
      <c r="AR918" s="724"/>
      <c r="AS918" s="724"/>
      <c r="AT918" s="724"/>
      <c r="AU918" s="724"/>
      <c r="AV918" s="724"/>
      <c r="AW918" s="724"/>
      <c r="AX918" s="724"/>
      <c r="AY918" s="724"/>
      <c r="AZ918" s="724"/>
      <c r="BA918" s="724"/>
      <c r="BB918" s="724"/>
      <c r="BC918" s="724"/>
      <c r="BD918" s="724"/>
      <c r="BE918" s="724"/>
      <c r="BF918" s="724"/>
      <c r="BG918" s="724"/>
      <c r="BH918" s="724"/>
      <c r="BI918" s="724"/>
      <c r="BJ918" s="724"/>
      <c r="BK918" s="724"/>
      <c r="BL918" s="724"/>
      <c r="BM918" s="724"/>
      <c r="BN918" s="724"/>
      <c r="BO918" s="724"/>
      <c r="BP918" s="724"/>
      <c r="BQ918" s="724"/>
      <c r="BR918" s="724"/>
      <c r="BS918" s="724"/>
      <c r="BT918" s="724"/>
      <c r="BU918" s="724"/>
      <c r="BV918" s="724"/>
      <c r="BW918" s="724"/>
      <c r="BX918" s="724"/>
      <c r="BY918" s="724"/>
      <c r="BZ918" s="724"/>
      <c r="CA918" s="724"/>
      <c r="CB918" s="724"/>
      <c r="CC918" s="724"/>
      <c r="CD918" s="724"/>
      <c r="CE918" s="724"/>
      <c r="CF918" s="724"/>
      <c r="CG918" s="724"/>
      <c r="CH918" s="724"/>
      <c r="CI918" s="724"/>
      <c r="CJ918" s="724"/>
      <c r="CK918" s="724"/>
      <c r="CL918" s="724"/>
      <c r="CM918" s="724"/>
      <c r="CN918" s="724"/>
      <c r="CO918" s="724"/>
      <c r="CP918" s="724"/>
      <c r="CQ918" s="724"/>
      <c r="CR918" s="724"/>
      <c r="CS918" s="724"/>
      <c r="CT918" s="724"/>
      <c r="CU918" s="724"/>
      <c r="CV918" s="724"/>
      <c r="CW918" s="724"/>
      <c r="CX918" s="724"/>
      <c r="CY918" s="724"/>
      <c r="CZ918" s="724"/>
      <c r="DA918" s="724"/>
      <c r="DB918" s="724"/>
      <c r="DC918" s="724"/>
      <c r="DD918" s="724"/>
      <c r="DE918" s="724"/>
      <c r="DF918" s="724"/>
      <c r="DG918" s="724"/>
      <c r="DH918" s="724"/>
      <c r="DI918" s="724"/>
      <c r="DJ918" s="724"/>
      <c r="DK918" s="724"/>
      <c r="DL918" s="724"/>
      <c r="DM918" s="724"/>
      <c r="DN918" s="724"/>
      <c r="DO918" s="724"/>
      <c r="DP918" s="724"/>
      <c r="DQ918" s="724"/>
      <c r="DR918" s="724"/>
      <c r="DS918" s="724"/>
      <c r="DT918" s="724"/>
      <c r="DU918" s="724"/>
      <c r="DV918" s="724"/>
      <c r="DW918" s="724"/>
      <c r="DX918" s="724"/>
      <c r="DY918" s="724"/>
      <c r="DZ918" s="724"/>
      <c r="EA918" s="724"/>
      <c r="EB918" s="724"/>
      <c r="EC918" s="724"/>
      <c r="ED918" s="724"/>
      <c r="EE918" s="724"/>
      <c r="EF918" s="724"/>
      <c r="EG918" s="724"/>
      <c r="EH918" s="724"/>
      <c r="EI918" s="724"/>
      <c r="EJ918" s="724"/>
      <c r="EK918" s="724"/>
      <c r="EL918" s="724"/>
      <c r="EM918" s="724"/>
      <c r="EN918" s="724"/>
      <c r="EO918" s="724"/>
      <c r="EP918" s="724"/>
      <c r="EQ918" s="724"/>
      <c r="ER918" s="724"/>
      <c r="ES918" s="724"/>
      <c r="ET918" s="724"/>
      <c r="EU918" s="724"/>
      <c r="EV918" s="724"/>
      <c r="EW918" s="724"/>
      <c r="EX918" s="724"/>
      <c r="EY918" s="724"/>
      <c r="EZ918" s="724"/>
      <c r="FA918" s="724"/>
      <c r="FB918" s="724"/>
      <c r="FC918" s="724"/>
      <c r="FD918" s="724"/>
      <c r="FE918" s="724"/>
      <c r="FF918" s="724"/>
      <c r="FG918" s="724"/>
      <c r="FH918" s="724"/>
      <c r="FI918" s="724"/>
      <c r="FJ918" s="724"/>
      <c r="FK918" s="724"/>
      <c r="FL918" s="724"/>
      <c r="FM918" s="724"/>
      <c r="FN918" s="724"/>
      <c r="FO918" s="724"/>
      <c r="FP918" s="724"/>
      <c r="FQ918" s="724"/>
      <c r="FR918" s="724"/>
      <c r="FS918" s="724"/>
      <c r="FT918" s="724"/>
      <c r="FU918" s="724"/>
      <c r="FV918" s="724"/>
      <c r="FW918" s="724"/>
      <c r="FX918" s="724"/>
      <c r="FY918" s="724"/>
      <c r="FZ918" s="724"/>
      <c r="GA918" s="724"/>
      <c r="GB918" s="724"/>
      <c r="GC918" s="724"/>
      <c r="GD918" s="724"/>
      <c r="GE918" s="724"/>
      <c r="GF918" s="724"/>
      <c r="GG918" s="724"/>
      <c r="GH918" s="724"/>
      <c r="GI918" s="724"/>
      <c r="GJ918" s="724"/>
      <c r="GK918" s="724"/>
      <c r="GL918" s="724"/>
      <c r="GM918" s="724"/>
      <c r="GN918" s="724"/>
      <c r="GO918" s="724"/>
      <c r="GP918" s="724"/>
      <c r="GQ918" s="724"/>
      <c r="GR918" s="724"/>
      <c r="GS918" s="724"/>
      <c r="GT918" s="724"/>
      <c r="GU918" s="724"/>
      <c r="GV918" s="724"/>
      <c r="GW918" s="724"/>
      <c r="GX918" s="724"/>
      <c r="GY918" s="724"/>
      <c r="GZ918" s="724"/>
      <c r="HA918" s="724"/>
      <c r="HB918" s="724"/>
      <c r="HC918" s="724"/>
      <c r="HD918" s="724"/>
      <c r="HE918" s="724"/>
      <c r="HF918" s="724"/>
      <c r="HG918" s="724"/>
      <c r="HH918" s="724"/>
      <c r="HI918" s="724"/>
      <c r="HJ918" s="724"/>
      <c r="HK918" s="724"/>
      <c r="HL918" s="724"/>
      <c r="HM918" s="724"/>
      <c r="HN918" s="724"/>
      <c r="HO918" s="724"/>
      <c r="HP918" s="724"/>
      <c r="HQ918" s="724"/>
      <c r="HR918" s="724"/>
      <c r="HS918" s="724"/>
      <c r="HT918" s="724"/>
      <c r="HU918" s="724"/>
      <c r="HV918" s="724"/>
      <c r="HW918" s="724"/>
      <c r="HX918" s="724"/>
      <c r="HY918" s="724"/>
      <c r="HZ918" s="724"/>
      <c r="IA918" s="724"/>
      <c r="IB918" s="724"/>
      <c r="IC918" s="724"/>
      <c r="ID918" s="724"/>
      <c r="IE918" s="724"/>
      <c r="IF918" s="724"/>
      <c r="IG918" s="724"/>
      <c r="IH918" s="724"/>
      <c r="II918" s="724"/>
      <c r="IJ918" s="724"/>
      <c r="IK918" s="724"/>
      <c r="IL918" s="724"/>
      <c r="IM918" s="724"/>
      <c r="IN918" s="724"/>
      <c r="IO918" s="724"/>
      <c r="IP918" s="724"/>
      <c r="IQ918" s="724"/>
      <c r="IR918" s="724"/>
      <c r="IS918" s="724"/>
      <c r="IT918" s="724"/>
      <c r="IU918" s="724"/>
      <c r="IV918" s="724"/>
      <c r="IW918" s="724"/>
    </row>
    <row r="919" spans="1:257" s="582" customFormat="1" ht="31.5" hidden="1" customHeight="1">
      <c r="A919" s="683" t="s">
        <v>91</v>
      </c>
      <c r="B919" s="696" t="s">
        <v>499</v>
      </c>
      <c r="C919" s="635"/>
      <c r="D919" s="635"/>
      <c r="E919" s="651"/>
      <c r="F919" s="651"/>
      <c r="G919" s="651"/>
      <c r="H919" s="651"/>
      <c r="I919" s="651"/>
      <c r="J919" s="651">
        <v>40000000</v>
      </c>
      <c r="K919" s="651"/>
      <c r="L919" s="1305"/>
      <c r="M919" s="651"/>
      <c r="N919" s="826"/>
      <c r="O919" s="826"/>
      <c r="P919" s="826"/>
      <c r="Q919" s="826"/>
      <c r="R919" s="945"/>
      <c r="S919" s="867"/>
      <c r="T919" s="856"/>
      <c r="U919" s="655"/>
      <c r="V919" s="639"/>
      <c r="W919" s="722"/>
      <c r="X919" s="723"/>
      <c r="Y919" s="724"/>
      <c r="Z919" s="724"/>
      <c r="AA919" s="724"/>
      <c r="AB919" s="724"/>
      <c r="AC919" s="724"/>
      <c r="AD919" s="724"/>
      <c r="AE919" s="724"/>
      <c r="AF919" s="724"/>
      <c r="AG919" s="724"/>
      <c r="AH919" s="724"/>
      <c r="AI919" s="724"/>
      <c r="AJ919" s="724"/>
      <c r="AK919" s="724"/>
      <c r="AL919" s="724"/>
      <c r="AM919" s="724"/>
      <c r="AN919" s="724"/>
      <c r="AO919" s="724"/>
      <c r="AP919" s="724"/>
      <c r="AQ919" s="724"/>
      <c r="AR919" s="724"/>
      <c r="AS919" s="724"/>
      <c r="AT919" s="724"/>
      <c r="AU919" s="724"/>
      <c r="AV919" s="724"/>
      <c r="AW919" s="724"/>
      <c r="AX919" s="724"/>
      <c r="AY919" s="724"/>
      <c r="AZ919" s="724"/>
      <c r="BA919" s="724"/>
      <c r="BB919" s="724"/>
      <c r="BC919" s="724"/>
      <c r="BD919" s="724"/>
      <c r="BE919" s="724"/>
      <c r="BF919" s="724"/>
      <c r="BG919" s="724"/>
      <c r="BH919" s="724"/>
      <c r="BI919" s="724"/>
      <c r="BJ919" s="724"/>
      <c r="BK919" s="724"/>
      <c r="BL919" s="724"/>
      <c r="BM919" s="724"/>
      <c r="BN919" s="724"/>
      <c r="BO919" s="724"/>
      <c r="BP919" s="724"/>
      <c r="BQ919" s="724"/>
      <c r="BR919" s="724"/>
      <c r="BS919" s="724"/>
      <c r="BT919" s="724"/>
      <c r="BU919" s="724"/>
      <c r="BV919" s="724"/>
      <c r="BW919" s="724"/>
      <c r="BX919" s="724"/>
      <c r="BY919" s="724"/>
      <c r="BZ919" s="724"/>
      <c r="CA919" s="724"/>
      <c r="CB919" s="724"/>
      <c r="CC919" s="724"/>
      <c r="CD919" s="724"/>
      <c r="CE919" s="724"/>
      <c r="CF919" s="724"/>
      <c r="CG919" s="724"/>
      <c r="CH919" s="724"/>
      <c r="CI919" s="724"/>
      <c r="CJ919" s="724"/>
      <c r="CK919" s="724"/>
      <c r="CL919" s="724"/>
      <c r="CM919" s="724"/>
      <c r="CN919" s="724"/>
      <c r="CO919" s="724"/>
      <c r="CP919" s="724"/>
      <c r="CQ919" s="724"/>
      <c r="CR919" s="724"/>
      <c r="CS919" s="724"/>
      <c r="CT919" s="724"/>
      <c r="CU919" s="724"/>
      <c r="CV919" s="724"/>
      <c r="CW919" s="724"/>
      <c r="CX919" s="724"/>
      <c r="CY919" s="724"/>
      <c r="CZ919" s="724"/>
      <c r="DA919" s="724"/>
      <c r="DB919" s="724"/>
      <c r="DC919" s="724"/>
      <c r="DD919" s="724"/>
      <c r="DE919" s="724"/>
      <c r="DF919" s="724"/>
      <c r="DG919" s="724"/>
      <c r="DH919" s="724"/>
      <c r="DI919" s="724"/>
      <c r="DJ919" s="724"/>
      <c r="DK919" s="724"/>
      <c r="DL919" s="724"/>
      <c r="DM919" s="724"/>
      <c r="DN919" s="724"/>
      <c r="DO919" s="724"/>
      <c r="DP919" s="724"/>
      <c r="DQ919" s="724"/>
      <c r="DR919" s="724"/>
      <c r="DS919" s="724"/>
      <c r="DT919" s="724"/>
      <c r="DU919" s="724"/>
      <c r="DV919" s="724"/>
      <c r="DW919" s="724"/>
      <c r="DX919" s="724"/>
      <c r="DY919" s="724"/>
      <c r="DZ919" s="724"/>
      <c r="EA919" s="724"/>
      <c r="EB919" s="724"/>
      <c r="EC919" s="724"/>
      <c r="ED919" s="724"/>
      <c r="EE919" s="724"/>
      <c r="EF919" s="724"/>
      <c r="EG919" s="724"/>
      <c r="EH919" s="724"/>
      <c r="EI919" s="724"/>
      <c r="EJ919" s="724"/>
      <c r="EK919" s="724"/>
      <c r="EL919" s="724"/>
      <c r="EM919" s="724"/>
      <c r="EN919" s="724"/>
      <c r="EO919" s="724"/>
      <c r="EP919" s="724"/>
      <c r="EQ919" s="724"/>
      <c r="ER919" s="724"/>
      <c r="ES919" s="724"/>
      <c r="ET919" s="724"/>
      <c r="EU919" s="724"/>
      <c r="EV919" s="724"/>
      <c r="EW919" s="724"/>
      <c r="EX919" s="724"/>
      <c r="EY919" s="724"/>
      <c r="EZ919" s="724"/>
      <c r="FA919" s="724"/>
      <c r="FB919" s="724"/>
      <c r="FC919" s="724"/>
      <c r="FD919" s="724"/>
      <c r="FE919" s="724"/>
      <c r="FF919" s="724"/>
      <c r="FG919" s="724"/>
      <c r="FH919" s="724"/>
      <c r="FI919" s="724"/>
      <c r="FJ919" s="724"/>
      <c r="FK919" s="724"/>
      <c r="FL919" s="724"/>
      <c r="FM919" s="724"/>
      <c r="FN919" s="724"/>
      <c r="FO919" s="724"/>
      <c r="FP919" s="724"/>
      <c r="FQ919" s="724"/>
      <c r="FR919" s="724"/>
      <c r="FS919" s="724"/>
      <c r="FT919" s="724"/>
      <c r="FU919" s="724"/>
      <c r="FV919" s="724"/>
      <c r="FW919" s="724"/>
      <c r="FX919" s="724"/>
      <c r="FY919" s="724"/>
      <c r="FZ919" s="724"/>
      <c r="GA919" s="724"/>
      <c r="GB919" s="724"/>
      <c r="GC919" s="724"/>
      <c r="GD919" s="724"/>
      <c r="GE919" s="724"/>
      <c r="GF919" s="724"/>
      <c r="GG919" s="724"/>
      <c r="GH919" s="724"/>
      <c r="GI919" s="724"/>
      <c r="GJ919" s="724"/>
      <c r="GK919" s="724"/>
      <c r="GL919" s="724"/>
      <c r="GM919" s="724"/>
      <c r="GN919" s="724"/>
      <c r="GO919" s="724"/>
      <c r="GP919" s="724"/>
      <c r="GQ919" s="724"/>
      <c r="GR919" s="724"/>
      <c r="GS919" s="724"/>
      <c r="GT919" s="724"/>
      <c r="GU919" s="724"/>
      <c r="GV919" s="724"/>
      <c r="GW919" s="724"/>
      <c r="GX919" s="724"/>
      <c r="GY919" s="724"/>
      <c r="GZ919" s="724"/>
      <c r="HA919" s="724"/>
      <c r="HB919" s="724"/>
      <c r="HC919" s="724"/>
      <c r="HD919" s="724"/>
      <c r="HE919" s="724"/>
      <c r="HF919" s="724"/>
      <c r="HG919" s="724"/>
      <c r="HH919" s="724"/>
      <c r="HI919" s="724"/>
      <c r="HJ919" s="724"/>
      <c r="HK919" s="724"/>
      <c r="HL919" s="724"/>
      <c r="HM919" s="724"/>
      <c r="HN919" s="724"/>
      <c r="HO919" s="724"/>
      <c r="HP919" s="724"/>
      <c r="HQ919" s="724"/>
      <c r="HR919" s="724"/>
      <c r="HS919" s="724"/>
      <c r="HT919" s="724"/>
      <c r="HU919" s="724"/>
      <c r="HV919" s="724"/>
      <c r="HW919" s="724"/>
      <c r="HX919" s="724"/>
      <c r="HY919" s="724"/>
      <c r="HZ919" s="724"/>
      <c r="IA919" s="724"/>
      <c r="IB919" s="724"/>
      <c r="IC919" s="724"/>
      <c r="ID919" s="724"/>
      <c r="IE919" s="724"/>
      <c r="IF919" s="724"/>
      <c r="IG919" s="724"/>
      <c r="IH919" s="724"/>
      <c r="II919" s="724"/>
      <c r="IJ919" s="724"/>
      <c r="IK919" s="724"/>
      <c r="IL919" s="724"/>
      <c r="IM919" s="724"/>
      <c r="IN919" s="724"/>
      <c r="IO919" s="724"/>
      <c r="IP919" s="724"/>
      <c r="IQ919" s="724"/>
      <c r="IR919" s="724"/>
      <c r="IS919" s="724"/>
      <c r="IT919" s="724"/>
      <c r="IU919" s="724"/>
      <c r="IV919" s="724"/>
      <c r="IW919" s="724"/>
    </row>
    <row r="920" spans="1:257" s="582" customFormat="1" ht="15.75" hidden="1" customHeight="1">
      <c r="A920" s="683" t="s">
        <v>258</v>
      </c>
      <c r="B920" s="696" t="s">
        <v>500</v>
      </c>
      <c r="C920" s="635"/>
      <c r="D920" s="635"/>
      <c r="E920" s="651"/>
      <c r="F920" s="651">
        <v>30000000</v>
      </c>
      <c r="G920" s="651"/>
      <c r="H920" s="651"/>
      <c r="I920" s="651"/>
      <c r="J920" s="651">
        <v>30000000</v>
      </c>
      <c r="K920" s="651"/>
      <c r="L920" s="1305"/>
      <c r="M920" s="651"/>
      <c r="N920" s="826"/>
      <c r="O920" s="826"/>
      <c r="P920" s="826"/>
      <c r="Q920" s="826"/>
      <c r="R920" s="945"/>
      <c r="S920" s="867"/>
      <c r="T920" s="856"/>
      <c r="U920" s="655"/>
      <c r="V920" s="639"/>
      <c r="W920" s="722"/>
      <c r="X920" s="723"/>
      <c r="Y920" s="724"/>
      <c r="Z920" s="724"/>
      <c r="AA920" s="724"/>
      <c r="AB920" s="724"/>
      <c r="AC920" s="724"/>
      <c r="AD920" s="724"/>
      <c r="AE920" s="724"/>
      <c r="AF920" s="724"/>
      <c r="AG920" s="724"/>
      <c r="AH920" s="724"/>
      <c r="AI920" s="724"/>
      <c r="AJ920" s="724"/>
      <c r="AK920" s="724"/>
      <c r="AL920" s="724"/>
      <c r="AM920" s="724"/>
      <c r="AN920" s="724"/>
      <c r="AO920" s="724"/>
      <c r="AP920" s="724"/>
      <c r="AQ920" s="724"/>
      <c r="AR920" s="724"/>
      <c r="AS920" s="724"/>
      <c r="AT920" s="724"/>
      <c r="AU920" s="724"/>
      <c r="AV920" s="724"/>
      <c r="AW920" s="724"/>
      <c r="AX920" s="724"/>
      <c r="AY920" s="724"/>
      <c r="AZ920" s="724"/>
      <c r="BA920" s="724"/>
      <c r="BB920" s="724"/>
      <c r="BC920" s="724"/>
      <c r="BD920" s="724"/>
      <c r="BE920" s="724"/>
      <c r="BF920" s="724"/>
      <c r="BG920" s="724"/>
      <c r="BH920" s="724"/>
      <c r="BI920" s="724"/>
      <c r="BJ920" s="724"/>
      <c r="BK920" s="724"/>
      <c r="BL920" s="724"/>
      <c r="BM920" s="724"/>
      <c r="BN920" s="724"/>
      <c r="BO920" s="724"/>
      <c r="BP920" s="724"/>
      <c r="BQ920" s="724"/>
      <c r="BR920" s="724"/>
      <c r="BS920" s="724"/>
      <c r="BT920" s="724"/>
      <c r="BU920" s="724"/>
      <c r="BV920" s="724"/>
      <c r="BW920" s="724"/>
      <c r="BX920" s="724"/>
      <c r="BY920" s="724"/>
      <c r="BZ920" s="724"/>
      <c r="CA920" s="724"/>
      <c r="CB920" s="724"/>
      <c r="CC920" s="724"/>
      <c r="CD920" s="724"/>
      <c r="CE920" s="724"/>
      <c r="CF920" s="724"/>
      <c r="CG920" s="724"/>
      <c r="CH920" s="724"/>
      <c r="CI920" s="724"/>
      <c r="CJ920" s="724"/>
      <c r="CK920" s="724"/>
      <c r="CL920" s="724"/>
      <c r="CM920" s="724"/>
      <c r="CN920" s="724"/>
      <c r="CO920" s="724"/>
      <c r="CP920" s="724"/>
      <c r="CQ920" s="724"/>
      <c r="CR920" s="724"/>
      <c r="CS920" s="724"/>
      <c r="CT920" s="724"/>
      <c r="CU920" s="724"/>
      <c r="CV920" s="724"/>
      <c r="CW920" s="724"/>
      <c r="CX920" s="724"/>
      <c r="CY920" s="724"/>
      <c r="CZ920" s="724"/>
      <c r="DA920" s="724"/>
      <c r="DB920" s="724"/>
      <c r="DC920" s="724"/>
      <c r="DD920" s="724"/>
      <c r="DE920" s="724"/>
      <c r="DF920" s="724"/>
      <c r="DG920" s="724"/>
      <c r="DH920" s="724"/>
      <c r="DI920" s="724"/>
      <c r="DJ920" s="724"/>
      <c r="DK920" s="724"/>
      <c r="DL920" s="724"/>
      <c r="DM920" s="724"/>
      <c r="DN920" s="724"/>
      <c r="DO920" s="724"/>
      <c r="DP920" s="724"/>
      <c r="DQ920" s="724"/>
      <c r="DR920" s="724"/>
      <c r="DS920" s="724"/>
      <c r="DT920" s="724"/>
      <c r="DU920" s="724"/>
      <c r="DV920" s="724"/>
      <c r="DW920" s="724"/>
      <c r="DX920" s="724"/>
      <c r="DY920" s="724"/>
      <c r="DZ920" s="724"/>
      <c r="EA920" s="724"/>
      <c r="EB920" s="724"/>
      <c r="EC920" s="724"/>
      <c r="ED920" s="724"/>
      <c r="EE920" s="724"/>
      <c r="EF920" s="724"/>
      <c r="EG920" s="724"/>
      <c r="EH920" s="724"/>
      <c r="EI920" s="724"/>
      <c r="EJ920" s="724"/>
      <c r="EK920" s="724"/>
      <c r="EL920" s="724"/>
      <c r="EM920" s="724"/>
      <c r="EN920" s="724"/>
      <c r="EO920" s="724"/>
      <c r="EP920" s="724"/>
      <c r="EQ920" s="724"/>
      <c r="ER920" s="724"/>
      <c r="ES920" s="724"/>
      <c r="ET920" s="724"/>
      <c r="EU920" s="724"/>
      <c r="EV920" s="724"/>
      <c r="EW920" s="724"/>
      <c r="EX920" s="724"/>
      <c r="EY920" s="724"/>
      <c r="EZ920" s="724"/>
      <c r="FA920" s="724"/>
      <c r="FB920" s="724"/>
      <c r="FC920" s="724"/>
      <c r="FD920" s="724"/>
      <c r="FE920" s="724"/>
      <c r="FF920" s="724"/>
      <c r="FG920" s="724"/>
      <c r="FH920" s="724"/>
      <c r="FI920" s="724"/>
      <c r="FJ920" s="724"/>
      <c r="FK920" s="724"/>
      <c r="FL920" s="724"/>
      <c r="FM920" s="724"/>
      <c r="FN920" s="724"/>
      <c r="FO920" s="724"/>
      <c r="FP920" s="724"/>
      <c r="FQ920" s="724"/>
      <c r="FR920" s="724"/>
      <c r="FS920" s="724"/>
      <c r="FT920" s="724"/>
      <c r="FU920" s="724"/>
      <c r="FV920" s="724"/>
      <c r="FW920" s="724"/>
      <c r="FX920" s="724"/>
      <c r="FY920" s="724"/>
      <c r="FZ920" s="724"/>
      <c r="GA920" s="724"/>
      <c r="GB920" s="724"/>
      <c r="GC920" s="724"/>
      <c r="GD920" s="724"/>
      <c r="GE920" s="724"/>
      <c r="GF920" s="724"/>
      <c r="GG920" s="724"/>
      <c r="GH920" s="724"/>
      <c r="GI920" s="724"/>
      <c r="GJ920" s="724"/>
      <c r="GK920" s="724"/>
      <c r="GL920" s="724"/>
      <c r="GM920" s="724"/>
      <c r="GN920" s="724"/>
      <c r="GO920" s="724"/>
      <c r="GP920" s="724"/>
      <c r="GQ920" s="724"/>
      <c r="GR920" s="724"/>
      <c r="GS920" s="724"/>
      <c r="GT920" s="724"/>
      <c r="GU920" s="724"/>
      <c r="GV920" s="724"/>
      <c r="GW920" s="724"/>
      <c r="GX920" s="724"/>
      <c r="GY920" s="724"/>
      <c r="GZ920" s="724"/>
      <c r="HA920" s="724"/>
      <c r="HB920" s="724"/>
      <c r="HC920" s="724"/>
      <c r="HD920" s="724"/>
      <c r="HE920" s="724"/>
      <c r="HF920" s="724"/>
      <c r="HG920" s="724"/>
      <c r="HH920" s="724"/>
      <c r="HI920" s="724"/>
      <c r="HJ920" s="724"/>
      <c r="HK920" s="724"/>
      <c r="HL920" s="724"/>
      <c r="HM920" s="724"/>
      <c r="HN920" s="724"/>
      <c r="HO920" s="724"/>
      <c r="HP920" s="724"/>
      <c r="HQ920" s="724"/>
      <c r="HR920" s="724"/>
      <c r="HS920" s="724"/>
      <c r="HT920" s="724"/>
      <c r="HU920" s="724"/>
      <c r="HV920" s="724"/>
      <c r="HW920" s="724"/>
      <c r="HX920" s="724"/>
      <c r="HY920" s="724"/>
      <c r="HZ920" s="724"/>
      <c r="IA920" s="724"/>
      <c r="IB920" s="724"/>
      <c r="IC920" s="724"/>
      <c r="ID920" s="724"/>
      <c r="IE920" s="724"/>
      <c r="IF920" s="724"/>
      <c r="IG920" s="724"/>
      <c r="IH920" s="724"/>
      <c r="II920" s="724"/>
      <c r="IJ920" s="724"/>
      <c r="IK920" s="724"/>
      <c r="IL920" s="724"/>
      <c r="IM920" s="724"/>
      <c r="IN920" s="724"/>
      <c r="IO920" s="724"/>
      <c r="IP920" s="724"/>
      <c r="IQ920" s="724"/>
      <c r="IR920" s="724"/>
      <c r="IS920" s="724"/>
      <c r="IT920" s="724"/>
      <c r="IU920" s="724"/>
      <c r="IV920" s="724"/>
      <c r="IW920" s="724"/>
    </row>
    <row r="921" spans="1:257" s="582" customFormat="1" ht="15.75" hidden="1" customHeight="1">
      <c r="A921" s="683" t="s">
        <v>258</v>
      </c>
      <c r="B921" s="696" t="s">
        <v>501</v>
      </c>
      <c r="C921" s="635"/>
      <c r="D921" s="635"/>
      <c r="E921" s="651"/>
      <c r="F921" s="651">
        <v>200000000</v>
      </c>
      <c r="G921" s="651"/>
      <c r="H921" s="651"/>
      <c r="I921" s="651"/>
      <c r="J921" s="651">
        <v>200000000</v>
      </c>
      <c r="K921" s="651"/>
      <c r="L921" s="1305"/>
      <c r="M921" s="651"/>
      <c r="N921" s="826"/>
      <c r="O921" s="826"/>
      <c r="P921" s="826"/>
      <c r="Q921" s="826"/>
      <c r="R921" s="945"/>
      <c r="S921" s="867"/>
      <c r="T921" s="856"/>
      <c r="U921" s="655"/>
      <c r="V921" s="581"/>
      <c r="W921" s="722"/>
      <c r="X921" s="723"/>
      <c r="Y921" s="724"/>
      <c r="Z921" s="724"/>
      <c r="AA921" s="724"/>
      <c r="AB921" s="724"/>
      <c r="AC921" s="724"/>
      <c r="AD921" s="724"/>
      <c r="AE921" s="724"/>
      <c r="AF921" s="724"/>
      <c r="AG921" s="724"/>
      <c r="AH921" s="724"/>
      <c r="AI921" s="724"/>
      <c r="AJ921" s="724"/>
      <c r="AK921" s="724"/>
      <c r="AL921" s="724"/>
      <c r="AM921" s="724"/>
      <c r="AN921" s="724"/>
      <c r="AO921" s="724"/>
      <c r="AP921" s="724"/>
      <c r="AQ921" s="724"/>
      <c r="AR921" s="724"/>
      <c r="AS921" s="724"/>
      <c r="AT921" s="724"/>
      <c r="AU921" s="724"/>
      <c r="AV921" s="724"/>
      <c r="AW921" s="724"/>
      <c r="AX921" s="724"/>
      <c r="AY921" s="724"/>
      <c r="AZ921" s="724"/>
      <c r="BA921" s="724"/>
      <c r="BB921" s="724"/>
      <c r="BC921" s="724"/>
      <c r="BD921" s="724"/>
      <c r="BE921" s="724"/>
      <c r="BF921" s="724"/>
      <c r="BG921" s="724"/>
      <c r="BH921" s="724"/>
      <c r="BI921" s="724"/>
      <c r="BJ921" s="724"/>
      <c r="BK921" s="724"/>
      <c r="BL921" s="724"/>
      <c r="BM921" s="724"/>
      <c r="BN921" s="724"/>
      <c r="BO921" s="724"/>
      <c r="BP921" s="724"/>
      <c r="BQ921" s="724"/>
      <c r="BR921" s="724"/>
      <c r="BS921" s="724"/>
      <c r="BT921" s="724"/>
      <c r="BU921" s="724"/>
      <c r="BV921" s="724"/>
      <c r="BW921" s="724"/>
      <c r="BX921" s="724"/>
      <c r="BY921" s="724"/>
      <c r="BZ921" s="724"/>
      <c r="CA921" s="724"/>
      <c r="CB921" s="724"/>
      <c r="CC921" s="724"/>
      <c r="CD921" s="724"/>
      <c r="CE921" s="724"/>
      <c r="CF921" s="724"/>
      <c r="CG921" s="724"/>
      <c r="CH921" s="724"/>
      <c r="CI921" s="724"/>
      <c r="CJ921" s="724"/>
      <c r="CK921" s="724"/>
      <c r="CL921" s="724"/>
      <c r="CM921" s="724"/>
      <c r="CN921" s="724"/>
      <c r="CO921" s="724"/>
      <c r="CP921" s="724"/>
      <c r="CQ921" s="724"/>
      <c r="CR921" s="724"/>
      <c r="CS921" s="724"/>
      <c r="CT921" s="724"/>
      <c r="CU921" s="724"/>
      <c r="CV921" s="724"/>
      <c r="CW921" s="724"/>
      <c r="CX921" s="724"/>
      <c r="CY921" s="724"/>
      <c r="CZ921" s="724"/>
      <c r="DA921" s="724"/>
      <c r="DB921" s="724"/>
      <c r="DC921" s="724"/>
      <c r="DD921" s="724"/>
      <c r="DE921" s="724"/>
      <c r="DF921" s="724"/>
      <c r="DG921" s="724"/>
      <c r="DH921" s="724"/>
      <c r="DI921" s="724"/>
      <c r="DJ921" s="724"/>
      <c r="DK921" s="724"/>
      <c r="DL921" s="724"/>
      <c r="DM921" s="724"/>
      <c r="DN921" s="724"/>
      <c r="DO921" s="724"/>
      <c r="DP921" s="724"/>
      <c r="DQ921" s="724"/>
      <c r="DR921" s="724"/>
      <c r="DS921" s="724"/>
      <c r="DT921" s="724"/>
      <c r="DU921" s="724"/>
      <c r="DV921" s="724"/>
      <c r="DW921" s="724"/>
      <c r="DX921" s="724"/>
      <c r="DY921" s="724"/>
      <c r="DZ921" s="724"/>
      <c r="EA921" s="724"/>
      <c r="EB921" s="724"/>
      <c r="EC921" s="724"/>
      <c r="ED921" s="724"/>
      <c r="EE921" s="724"/>
      <c r="EF921" s="724"/>
      <c r="EG921" s="724"/>
      <c r="EH921" s="724"/>
      <c r="EI921" s="724"/>
      <c r="EJ921" s="724"/>
      <c r="EK921" s="724"/>
      <c r="EL921" s="724"/>
      <c r="EM921" s="724"/>
      <c r="EN921" s="724"/>
      <c r="EO921" s="724"/>
      <c r="EP921" s="724"/>
      <c r="EQ921" s="724"/>
      <c r="ER921" s="724"/>
      <c r="ES921" s="724"/>
      <c r="ET921" s="724"/>
      <c r="EU921" s="724"/>
      <c r="EV921" s="724"/>
      <c r="EW921" s="724"/>
      <c r="EX921" s="724"/>
      <c r="EY921" s="724"/>
      <c r="EZ921" s="724"/>
      <c r="FA921" s="724"/>
      <c r="FB921" s="724"/>
      <c r="FC921" s="724"/>
      <c r="FD921" s="724"/>
      <c r="FE921" s="724"/>
      <c r="FF921" s="724"/>
      <c r="FG921" s="724"/>
      <c r="FH921" s="724"/>
      <c r="FI921" s="724"/>
      <c r="FJ921" s="724"/>
      <c r="FK921" s="724"/>
      <c r="FL921" s="724"/>
      <c r="FM921" s="724"/>
      <c r="FN921" s="724"/>
      <c r="FO921" s="724"/>
      <c r="FP921" s="724"/>
      <c r="FQ921" s="724"/>
      <c r="FR921" s="724"/>
      <c r="FS921" s="724"/>
      <c r="FT921" s="724"/>
      <c r="FU921" s="724"/>
      <c r="FV921" s="724"/>
      <c r="FW921" s="724"/>
      <c r="FX921" s="724"/>
      <c r="FY921" s="724"/>
      <c r="FZ921" s="724"/>
      <c r="GA921" s="724"/>
      <c r="GB921" s="724"/>
      <c r="GC921" s="724"/>
      <c r="GD921" s="724"/>
      <c r="GE921" s="724"/>
      <c r="GF921" s="724"/>
      <c r="GG921" s="724"/>
      <c r="GH921" s="724"/>
      <c r="GI921" s="724"/>
      <c r="GJ921" s="724"/>
      <c r="GK921" s="724"/>
      <c r="GL921" s="724"/>
      <c r="GM921" s="724"/>
      <c r="GN921" s="724"/>
      <c r="GO921" s="724"/>
      <c r="GP921" s="724"/>
      <c r="GQ921" s="724"/>
      <c r="GR921" s="724"/>
      <c r="GS921" s="724"/>
      <c r="GT921" s="724"/>
      <c r="GU921" s="724"/>
      <c r="GV921" s="724"/>
      <c r="GW921" s="724"/>
      <c r="GX921" s="724"/>
      <c r="GY921" s="724"/>
      <c r="GZ921" s="724"/>
      <c r="HA921" s="724"/>
      <c r="HB921" s="724"/>
      <c r="HC921" s="724"/>
      <c r="HD921" s="724"/>
      <c r="HE921" s="724"/>
      <c r="HF921" s="724"/>
      <c r="HG921" s="724"/>
      <c r="HH921" s="724"/>
      <c r="HI921" s="724"/>
      <c r="HJ921" s="724"/>
      <c r="HK921" s="724"/>
      <c r="HL921" s="724"/>
      <c r="HM921" s="724"/>
      <c r="HN921" s="724"/>
      <c r="HO921" s="724"/>
      <c r="HP921" s="724"/>
      <c r="HQ921" s="724"/>
      <c r="HR921" s="724"/>
      <c r="HS921" s="724"/>
      <c r="HT921" s="724"/>
      <c r="HU921" s="724"/>
      <c r="HV921" s="724"/>
      <c r="HW921" s="724"/>
      <c r="HX921" s="724"/>
      <c r="HY921" s="724"/>
      <c r="HZ921" s="724"/>
      <c r="IA921" s="724"/>
      <c r="IB921" s="724"/>
      <c r="IC921" s="724"/>
      <c r="ID921" s="724"/>
      <c r="IE921" s="724"/>
      <c r="IF921" s="724"/>
      <c r="IG921" s="724"/>
      <c r="IH921" s="724"/>
      <c r="II921" s="724"/>
      <c r="IJ921" s="724"/>
      <c r="IK921" s="724"/>
      <c r="IL921" s="724"/>
      <c r="IM921" s="724"/>
      <c r="IN921" s="724"/>
      <c r="IO921" s="724"/>
      <c r="IP921" s="724"/>
      <c r="IQ921" s="724"/>
      <c r="IR921" s="724"/>
      <c r="IS921" s="724"/>
      <c r="IT921" s="724"/>
      <c r="IU921" s="724"/>
      <c r="IV921" s="724"/>
      <c r="IW921" s="724"/>
    </row>
    <row r="922" spans="1:257" s="682" customFormat="1" ht="15.75" hidden="1" customHeight="1">
      <c r="A922" s="683" t="s">
        <v>91</v>
      </c>
      <c r="B922" s="696" t="s">
        <v>502</v>
      </c>
      <c r="C922" s="635"/>
      <c r="D922" s="635"/>
      <c r="E922" s="651"/>
      <c r="F922" s="651">
        <v>50000000</v>
      </c>
      <c r="G922" s="651"/>
      <c r="H922" s="651"/>
      <c r="I922" s="651"/>
      <c r="J922" s="651">
        <v>20000000</v>
      </c>
      <c r="K922" s="651"/>
      <c r="L922" s="1305"/>
      <c r="M922" s="651"/>
      <c r="N922" s="826"/>
      <c r="O922" s="826"/>
      <c r="P922" s="826"/>
      <c r="Q922" s="826"/>
      <c r="R922" s="945"/>
      <c r="S922" s="867"/>
      <c r="T922" s="856"/>
      <c r="U922" s="655"/>
      <c r="V922" s="581"/>
      <c r="W922" s="727"/>
      <c r="X922" s="728"/>
    </row>
    <row r="923" spans="1:257" s="682" customFormat="1" ht="33" hidden="1" customHeight="1">
      <c r="A923" s="683" t="s">
        <v>91</v>
      </c>
      <c r="B923" s="696" t="s">
        <v>503</v>
      </c>
      <c r="C923" s="635"/>
      <c r="D923" s="635"/>
      <c r="E923" s="651"/>
      <c r="F923" s="651">
        <v>50000000</v>
      </c>
      <c r="G923" s="651"/>
      <c r="H923" s="651"/>
      <c r="I923" s="651"/>
      <c r="J923" s="651">
        <v>20000000</v>
      </c>
      <c r="K923" s="651"/>
      <c r="L923" s="1305"/>
      <c r="M923" s="651"/>
      <c r="N923" s="826"/>
      <c r="O923" s="826"/>
      <c r="P923" s="826"/>
      <c r="Q923" s="826"/>
      <c r="R923" s="867"/>
      <c r="S923" s="867"/>
      <c r="T923" s="856"/>
      <c r="U923" s="655"/>
      <c r="V923" s="581"/>
      <c r="W923" s="581"/>
      <c r="X923" s="578"/>
      <c r="Y923" s="582"/>
      <c r="Z923" s="582"/>
      <c r="AA923" s="582"/>
      <c r="AB923" s="582"/>
      <c r="AC923" s="582"/>
      <c r="AD923" s="582"/>
      <c r="AE923" s="582"/>
      <c r="AF923" s="582"/>
      <c r="AG923" s="582"/>
      <c r="AH923" s="582"/>
      <c r="AI923" s="582"/>
      <c r="AJ923" s="582"/>
      <c r="AK923" s="582"/>
      <c r="AL923" s="582"/>
      <c r="AM923" s="582"/>
      <c r="AN923" s="582"/>
      <c r="AO923" s="582"/>
      <c r="AP923" s="582"/>
      <c r="AQ923" s="582"/>
      <c r="AR923" s="582"/>
      <c r="AS923" s="582"/>
      <c r="AT923" s="582"/>
      <c r="AU923" s="582"/>
      <c r="AV923" s="582"/>
      <c r="AW923" s="582"/>
      <c r="AX923" s="582"/>
      <c r="AY923" s="582"/>
      <c r="AZ923" s="582"/>
      <c r="BA923" s="582"/>
      <c r="BB923" s="582"/>
      <c r="BC923" s="582"/>
      <c r="BD923" s="582"/>
      <c r="BE923" s="582"/>
      <c r="BF923" s="582"/>
      <c r="BG923" s="582"/>
      <c r="BH923" s="582"/>
      <c r="BI923" s="582"/>
      <c r="BJ923" s="582"/>
      <c r="BK923" s="582"/>
      <c r="BL923" s="582"/>
      <c r="BM923" s="582"/>
      <c r="BN923" s="582"/>
      <c r="BO923" s="582"/>
      <c r="BP923" s="582"/>
      <c r="BQ923" s="582"/>
      <c r="BR923" s="582"/>
      <c r="BS923" s="582"/>
      <c r="BT923" s="582"/>
      <c r="BU923" s="582"/>
      <c r="BV923" s="582"/>
      <c r="BW923" s="582"/>
      <c r="BX923" s="582"/>
      <c r="BY923" s="582"/>
      <c r="BZ923" s="582"/>
      <c r="CA923" s="582"/>
      <c r="CB923" s="582"/>
      <c r="CC923" s="582"/>
      <c r="CD923" s="582"/>
      <c r="CE923" s="582"/>
      <c r="CF923" s="582"/>
      <c r="CG923" s="582"/>
      <c r="CH923" s="582"/>
      <c r="CI923" s="582"/>
      <c r="CJ923" s="582"/>
      <c r="CK923" s="582"/>
      <c r="CL923" s="582"/>
      <c r="CM923" s="582"/>
      <c r="CN923" s="582"/>
      <c r="CO923" s="582"/>
      <c r="CP923" s="582"/>
      <c r="CQ923" s="582"/>
      <c r="CR923" s="582"/>
      <c r="CS923" s="582"/>
      <c r="CT923" s="582"/>
      <c r="CU923" s="582"/>
      <c r="CV923" s="582"/>
      <c r="CW923" s="582"/>
      <c r="CX923" s="582"/>
      <c r="CY923" s="582"/>
      <c r="CZ923" s="582"/>
      <c r="DA923" s="582"/>
      <c r="DB923" s="582"/>
      <c r="DC923" s="582"/>
      <c r="DD923" s="582"/>
      <c r="DE923" s="582"/>
      <c r="DF923" s="582"/>
      <c r="DG923" s="582"/>
      <c r="DH923" s="582"/>
      <c r="DI923" s="582"/>
      <c r="DJ923" s="582"/>
      <c r="DK923" s="582"/>
      <c r="DL923" s="582"/>
      <c r="DM923" s="582"/>
      <c r="DN923" s="582"/>
      <c r="DO923" s="582"/>
      <c r="DP923" s="582"/>
      <c r="DQ923" s="582"/>
      <c r="DR923" s="582"/>
      <c r="DS923" s="582"/>
      <c r="DT923" s="582"/>
      <c r="DU923" s="582"/>
      <c r="DV923" s="582"/>
      <c r="DW923" s="582"/>
      <c r="DX923" s="582"/>
      <c r="DY923" s="582"/>
      <c r="DZ923" s="582"/>
      <c r="EA923" s="582"/>
      <c r="EB923" s="582"/>
      <c r="EC923" s="582"/>
      <c r="ED923" s="582"/>
      <c r="EE923" s="582"/>
      <c r="EF923" s="582"/>
      <c r="EG923" s="582"/>
      <c r="EH923" s="582"/>
      <c r="EI923" s="582"/>
      <c r="EJ923" s="582"/>
      <c r="EK923" s="582"/>
      <c r="EL923" s="582"/>
      <c r="EM923" s="582"/>
      <c r="EN923" s="582"/>
      <c r="EO923" s="582"/>
      <c r="EP923" s="582"/>
      <c r="EQ923" s="582"/>
      <c r="ER923" s="582"/>
      <c r="ES923" s="582"/>
      <c r="ET923" s="582"/>
      <c r="EU923" s="582"/>
      <c r="EV923" s="582"/>
      <c r="EW923" s="582"/>
      <c r="EX923" s="582"/>
      <c r="EY923" s="582"/>
      <c r="EZ923" s="582"/>
      <c r="FA923" s="582"/>
      <c r="FB923" s="582"/>
      <c r="FC923" s="582"/>
      <c r="FD923" s="582"/>
      <c r="FE923" s="582"/>
      <c r="FF923" s="582"/>
      <c r="FG923" s="582"/>
      <c r="FH923" s="582"/>
      <c r="FI923" s="582"/>
      <c r="FJ923" s="582"/>
      <c r="FK923" s="582"/>
      <c r="FL923" s="582"/>
      <c r="FM923" s="582"/>
      <c r="FN923" s="582"/>
      <c r="FO923" s="582"/>
      <c r="FP923" s="582"/>
      <c r="FQ923" s="582"/>
      <c r="FR923" s="582"/>
      <c r="FS923" s="582"/>
      <c r="FT923" s="582"/>
      <c r="FU923" s="582"/>
      <c r="FV923" s="582"/>
      <c r="FW923" s="582"/>
      <c r="FX923" s="582"/>
      <c r="FY923" s="582"/>
      <c r="FZ923" s="582"/>
      <c r="GA923" s="582"/>
      <c r="GB923" s="582"/>
      <c r="GC923" s="582"/>
      <c r="GD923" s="582"/>
      <c r="GE923" s="582"/>
      <c r="GF923" s="582"/>
      <c r="GG923" s="582"/>
      <c r="GH923" s="582"/>
      <c r="GI923" s="582"/>
      <c r="GJ923" s="582"/>
      <c r="GK923" s="582"/>
      <c r="GL923" s="582"/>
      <c r="GM923" s="582"/>
      <c r="GN923" s="582"/>
      <c r="GO923" s="582"/>
      <c r="GP923" s="582"/>
      <c r="GQ923" s="582"/>
      <c r="GR923" s="582"/>
      <c r="GS923" s="582"/>
      <c r="GT923" s="582"/>
      <c r="GU923" s="582"/>
      <c r="GV923" s="582"/>
      <c r="GW923" s="582"/>
      <c r="GX923" s="582"/>
      <c r="GY923" s="582"/>
      <c r="GZ923" s="582"/>
      <c r="HA923" s="582"/>
      <c r="HB923" s="582"/>
      <c r="HC923" s="582"/>
      <c r="HD923" s="582"/>
      <c r="HE923" s="582"/>
      <c r="HF923" s="582"/>
      <c r="HG923" s="582"/>
      <c r="HH923" s="582"/>
      <c r="HI923" s="582"/>
      <c r="HJ923" s="582"/>
      <c r="HK923" s="582"/>
      <c r="HL923" s="582"/>
      <c r="HM923" s="582"/>
      <c r="HN923" s="582"/>
      <c r="HO923" s="582"/>
      <c r="HP923" s="582"/>
      <c r="HQ923" s="582"/>
      <c r="HR923" s="582"/>
      <c r="HS923" s="582"/>
      <c r="HT923" s="582"/>
      <c r="HU923" s="582"/>
      <c r="HV923" s="582"/>
      <c r="HW923" s="582"/>
      <c r="HX923" s="582"/>
      <c r="HY923" s="582"/>
      <c r="HZ923" s="582"/>
      <c r="IA923" s="582"/>
      <c r="IB923" s="582"/>
      <c r="IC923" s="582"/>
      <c r="ID923" s="582"/>
      <c r="IE923" s="582"/>
      <c r="IF923" s="582"/>
      <c r="IG923" s="582"/>
      <c r="IH923" s="582"/>
      <c r="II923" s="582"/>
      <c r="IJ923" s="582"/>
      <c r="IK923" s="582"/>
      <c r="IL923" s="582"/>
      <c r="IM923" s="582"/>
      <c r="IN923" s="582"/>
      <c r="IO923" s="582"/>
      <c r="IP923" s="582"/>
      <c r="IQ923" s="582"/>
      <c r="IR923" s="582"/>
      <c r="IS923" s="582"/>
      <c r="IT923" s="582"/>
      <c r="IU923" s="582"/>
      <c r="IV923" s="582"/>
      <c r="IW923" s="582"/>
    </row>
    <row r="924" spans="1:257" s="682" customFormat="1" ht="15.75" hidden="1" customHeight="1">
      <c r="A924" s="683" t="s">
        <v>91</v>
      </c>
      <c r="B924" s="696" t="s">
        <v>504</v>
      </c>
      <c r="C924" s="635"/>
      <c r="D924" s="635"/>
      <c r="E924" s="651"/>
      <c r="F924" s="651">
        <v>130000000</v>
      </c>
      <c r="G924" s="669"/>
      <c r="H924" s="669"/>
      <c r="I924" s="669"/>
      <c r="J924" s="651">
        <v>130000000</v>
      </c>
      <c r="K924" s="651"/>
      <c r="L924" s="1305"/>
      <c r="M924" s="651"/>
      <c r="N924" s="826"/>
      <c r="O924" s="826"/>
      <c r="P924" s="837"/>
      <c r="Q924" s="837"/>
      <c r="R924" s="867"/>
      <c r="S924" s="891"/>
      <c r="T924" s="832"/>
      <c r="U924" s="655"/>
      <c r="V924" s="727"/>
      <c r="W924" s="727"/>
      <c r="X924" s="728">
        <v>12.36</v>
      </c>
    </row>
    <row r="925" spans="1:257" s="582" customFormat="1" ht="15.75" hidden="1" customHeight="1">
      <c r="A925" s="683" t="s">
        <v>91</v>
      </c>
      <c r="B925" s="696" t="s">
        <v>505</v>
      </c>
      <c r="C925" s="635"/>
      <c r="D925" s="635"/>
      <c r="E925" s="651"/>
      <c r="F925" s="651">
        <v>100000000</v>
      </c>
      <c r="G925" s="669"/>
      <c r="H925" s="669"/>
      <c r="I925" s="669"/>
      <c r="J925" s="651">
        <v>100000000</v>
      </c>
      <c r="K925" s="651"/>
      <c r="L925" s="1305"/>
      <c r="M925" s="651"/>
      <c r="N925" s="826"/>
      <c r="O925" s="826"/>
      <c r="P925" s="837"/>
      <c r="Q925" s="837"/>
      <c r="R925" s="867"/>
      <c r="S925" s="871"/>
      <c r="T925" s="824"/>
      <c r="U925" s="655"/>
      <c r="V925" s="581"/>
      <c r="W925" s="727"/>
      <c r="X925" s="728"/>
      <c r="Y925" s="682"/>
      <c r="Z925" s="682"/>
      <c r="AA925" s="682"/>
      <c r="AB925" s="682"/>
      <c r="AC925" s="682"/>
      <c r="AD925" s="682"/>
      <c r="AE925" s="682"/>
      <c r="AF925" s="682"/>
      <c r="AG925" s="682"/>
      <c r="AH925" s="682"/>
      <c r="AI925" s="682"/>
      <c r="AJ925" s="682"/>
      <c r="AK925" s="682"/>
      <c r="AL925" s="682"/>
      <c r="AM925" s="682"/>
      <c r="AN925" s="682"/>
      <c r="AO925" s="682"/>
      <c r="AP925" s="682"/>
      <c r="AQ925" s="682"/>
      <c r="AR925" s="682"/>
      <c r="AS925" s="682"/>
      <c r="AT925" s="682"/>
      <c r="AU925" s="682"/>
      <c r="AV925" s="682"/>
      <c r="AW925" s="682"/>
      <c r="AX925" s="682"/>
      <c r="AY925" s="682"/>
      <c r="AZ925" s="682"/>
      <c r="BA925" s="682"/>
      <c r="BB925" s="682"/>
      <c r="BC925" s="682"/>
      <c r="BD925" s="682"/>
      <c r="BE925" s="682"/>
      <c r="BF925" s="682"/>
      <c r="BG925" s="682"/>
      <c r="BH925" s="682"/>
      <c r="BI925" s="682"/>
      <c r="BJ925" s="682"/>
      <c r="BK925" s="682"/>
      <c r="BL925" s="682"/>
      <c r="BM925" s="682"/>
      <c r="BN925" s="682"/>
      <c r="BO925" s="682"/>
      <c r="BP925" s="682"/>
      <c r="BQ925" s="682"/>
      <c r="BR925" s="682"/>
      <c r="BS925" s="682"/>
      <c r="BT925" s="682"/>
      <c r="BU925" s="682"/>
      <c r="BV925" s="682"/>
      <c r="BW925" s="682"/>
      <c r="BX925" s="682"/>
      <c r="BY925" s="682"/>
      <c r="BZ925" s="682"/>
      <c r="CA925" s="682"/>
      <c r="CB925" s="682"/>
      <c r="CC925" s="682"/>
      <c r="CD925" s="682"/>
      <c r="CE925" s="682"/>
      <c r="CF925" s="682"/>
      <c r="CG925" s="682"/>
      <c r="CH925" s="682"/>
      <c r="CI925" s="682"/>
      <c r="CJ925" s="682"/>
      <c r="CK925" s="682"/>
      <c r="CL925" s="682"/>
      <c r="CM925" s="682"/>
      <c r="CN925" s="682"/>
      <c r="CO925" s="682"/>
      <c r="CP925" s="682"/>
      <c r="CQ925" s="682"/>
      <c r="CR925" s="682"/>
      <c r="CS925" s="682"/>
      <c r="CT925" s="682"/>
      <c r="CU925" s="682"/>
      <c r="CV925" s="682"/>
      <c r="CW925" s="682"/>
      <c r="CX925" s="682"/>
      <c r="CY925" s="682"/>
      <c r="CZ925" s="682"/>
      <c r="DA925" s="682"/>
      <c r="DB925" s="682"/>
      <c r="DC925" s="682"/>
      <c r="DD925" s="682"/>
      <c r="DE925" s="682"/>
      <c r="DF925" s="682"/>
      <c r="DG925" s="682"/>
      <c r="DH925" s="682"/>
      <c r="DI925" s="682"/>
      <c r="DJ925" s="682"/>
      <c r="DK925" s="682"/>
      <c r="DL925" s="682"/>
      <c r="DM925" s="682"/>
      <c r="DN925" s="682"/>
      <c r="DO925" s="682"/>
      <c r="DP925" s="682"/>
      <c r="DQ925" s="682"/>
      <c r="DR925" s="682"/>
      <c r="DS925" s="682"/>
      <c r="DT925" s="682"/>
      <c r="DU925" s="682"/>
      <c r="DV925" s="682"/>
      <c r="DW925" s="682"/>
      <c r="DX925" s="682"/>
      <c r="DY925" s="682"/>
      <c r="DZ925" s="682"/>
      <c r="EA925" s="682"/>
      <c r="EB925" s="682"/>
      <c r="EC925" s="682"/>
      <c r="ED925" s="682"/>
      <c r="EE925" s="682"/>
      <c r="EF925" s="682"/>
      <c r="EG925" s="682"/>
      <c r="EH925" s="682"/>
      <c r="EI925" s="682"/>
      <c r="EJ925" s="682"/>
      <c r="EK925" s="682"/>
      <c r="EL925" s="682"/>
      <c r="EM925" s="682"/>
      <c r="EN925" s="682"/>
      <c r="EO925" s="682"/>
      <c r="EP925" s="682"/>
      <c r="EQ925" s="682"/>
      <c r="ER925" s="682"/>
      <c r="ES925" s="682"/>
      <c r="ET925" s="682"/>
      <c r="EU925" s="682"/>
      <c r="EV925" s="682"/>
      <c r="EW925" s="682"/>
      <c r="EX925" s="682"/>
      <c r="EY925" s="682"/>
      <c r="EZ925" s="682"/>
      <c r="FA925" s="682"/>
      <c r="FB925" s="682"/>
      <c r="FC925" s="682"/>
      <c r="FD925" s="682"/>
      <c r="FE925" s="682"/>
      <c r="FF925" s="682"/>
      <c r="FG925" s="682"/>
      <c r="FH925" s="682"/>
      <c r="FI925" s="682"/>
      <c r="FJ925" s="682"/>
      <c r="FK925" s="682"/>
      <c r="FL925" s="682"/>
      <c r="FM925" s="682"/>
      <c r="FN925" s="682"/>
      <c r="FO925" s="682"/>
      <c r="FP925" s="682"/>
      <c r="FQ925" s="682"/>
      <c r="FR925" s="682"/>
      <c r="FS925" s="682"/>
      <c r="FT925" s="682"/>
      <c r="FU925" s="682"/>
      <c r="FV925" s="682"/>
      <c r="FW925" s="682"/>
      <c r="FX925" s="682"/>
      <c r="FY925" s="682"/>
      <c r="FZ925" s="682"/>
      <c r="GA925" s="682"/>
      <c r="GB925" s="682"/>
      <c r="GC925" s="682"/>
      <c r="GD925" s="682"/>
      <c r="GE925" s="682"/>
      <c r="GF925" s="682"/>
      <c r="GG925" s="682"/>
      <c r="GH925" s="682"/>
      <c r="GI925" s="682"/>
      <c r="GJ925" s="682"/>
      <c r="GK925" s="682"/>
      <c r="GL925" s="682"/>
      <c r="GM925" s="682"/>
      <c r="GN925" s="682"/>
      <c r="GO925" s="682"/>
      <c r="GP925" s="682"/>
      <c r="GQ925" s="682"/>
      <c r="GR925" s="682"/>
      <c r="GS925" s="682"/>
      <c r="GT925" s="682"/>
      <c r="GU925" s="682"/>
      <c r="GV925" s="682"/>
      <c r="GW925" s="682"/>
      <c r="GX925" s="682"/>
      <c r="GY925" s="682"/>
      <c r="GZ925" s="682"/>
      <c r="HA925" s="682"/>
      <c r="HB925" s="682"/>
      <c r="HC925" s="682"/>
      <c r="HD925" s="682"/>
      <c r="HE925" s="682"/>
      <c r="HF925" s="682"/>
      <c r="HG925" s="682"/>
      <c r="HH925" s="682"/>
      <c r="HI925" s="682"/>
      <c r="HJ925" s="682"/>
      <c r="HK925" s="682"/>
      <c r="HL925" s="682"/>
      <c r="HM925" s="682"/>
      <c r="HN925" s="682"/>
      <c r="HO925" s="682"/>
      <c r="HP925" s="682"/>
      <c r="HQ925" s="682"/>
      <c r="HR925" s="682"/>
      <c r="HS925" s="682"/>
      <c r="HT925" s="682"/>
      <c r="HU925" s="682"/>
      <c r="HV925" s="682"/>
      <c r="HW925" s="682"/>
      <c r="HX925" s="682"/>
      <c r="HY925" s="682"/>
      <c r="HZ925" s="682"/>
      <c r="IA925" s="682"/>
      <c r="IB925" s="682"/>
      <c r="IC925" s="682"/>
      <c r="ID925" s="682"/>
      <c r="IE925" s="682"/>
      <c r="IF925" s="682"/>
      <c r="IG925" s="682"/>
      <c r="IH925" s="682"/>
      <c r="II925" s="682"/>
      <c r="IJ925" s="682"/>
      <c r="IK925" s="682"/>
      <c r="IL925" s="682"/>
      <c r="IM925" s="682"/>
      <c r="IN925" s="682"/>
      <c r="IO925" s="682"/>
      <c r="IP925" s="682"/>
      <c r="IQ925" s="682"/>
      <c r="IR925" s="682"/>
      <c r="IS925" s="682"/>
      <c r="IT925" s="682"/>
      <c r="IU925" s="682"/>
      <c r="IV925" s="682"/>
      <c r="IW925" s="682"/>
    </row>
    <row r="926" spans="1:257" s="682" customFormat="1" ht="15.75" hidden="1" customHeight="1">
      <c r="A926" s="699"/>
      <c r="B926" s="808" t="s">
        <v>262</v>
      </c>
      <c r="C926" s="699"/>
      <c r="D926" s="699"/>
      <c r="E926" s="700"/>
      <c r="F926" s="810">
        <f>F927+F928</f>
        <v>61600000</v>
      </c>
      <c r="G926" s="725"/>
      <c r="H926" s="725"/>
      <c r="I926" s="725"/>
      <c r="J926" s="810">
        <f>J927+J928</f>
        <v>55000000</v>
      </c>
      <c r="K926" s="810"/>
      <c r="L926" s="1313"/>
      <c r="M926" s="707"/>
      <c r="N926" s="934"/>
      <c r="O926" s="934"/>
      <c r="P926" s="868"/>
      <c r="Q926" s="868"/>
      <c r="R926" s="891"/>
      <c r="S926" s="823"/>
      <c r="T926" s="824"/>
      <c r="U926" s="655"/>
      <c r="V926" s="727"/>
      <c r="W926" s="581"/>
      <c r="X926" s="578"/>
      <c r="Y926" s="578"/>
      <c r="Z926" s="582"/>
      <c r="AA926" s="582"/>
      <c r="AB926" s="582"/>
      <c r="AC926" s="582"/>
      <c r="AD926" s="582"/>
      <c r="AE926" s="582"/>
      <c r="AF926" s="582"/>
      <c r="AG926" s="582"/>
      <c r="AH926" s="582"/>
      <c r="AI926" s="582"/>
      <c r="AJ926" s="582"/>
      <c r="AK926" s="582"/>
      <c r="AL926" s="582"/>
      <c r="AM926" s="582"/>
      <c r="AN926" s="582"/>
      <c r="AO926" s="582"/>
      <c r="AP926" s="582"/>
      <c r="AQ926" s="582"/>
      <c r="AR926" s="582"/>
      <c r="AS926" s="582"/>
      <c r="AT926" s="582"/>
      <c r="AU926" s="582"/>
      <c r="AV926" s="582"/>
      <c r="AW926" s="582"/>
      <c r="AX926" s="582"/>
      <c r="AY926" s="582"/>
      <c r="AZ926" s="582"/>
      <c r="BA926" s="582"/>
      <c r="BB926" s="582"/>
      <c r="BC926" s="582"/>
      <c r="BD926" s="582"/>
      <c r="BE926" s="582"/>
      <c r="BF926" s="582"/>
      <c r="BG926" s="582"/>
      <c r="BH926" s="582"/>
      <c r="BI926" s="582"/>
      <c r="BJ926" s="582"/>
      <c r="BK926" s="582"/>
      <c r="BL926" s="582"/>
      <c r="BM926" s="582"/>
      <c r="BN926" s="582"/>
      <c r="BO926" s="582"/>
      <c r="BP926" s="582"/>
      <c r="BQ926" s="582"/>
      <c r="BR926" s="582"/>
      <c r="BS926" s="582"/>
      <c r="BT926" s="582"/>
      <c r="BU926" s="582"/>
      <c r="BV926" s="582"/>
      <c r="BW926" s="582"/>
      <c r="BX926" s="582"/>
      <c r="BY926" s="582"/>
      <c r="BZ926" s="582"/>
      <c r="CA926" s="582"/>
      <c r="CB926" s="582"/>
      <c r="CC926" s="582"/>
      <c r="CD926" s="582"/>
      <c r="CE926" s="582"/>
      <c r="CF926" s="582"/>
      <c r="CG926" s="582"/>
      <c r="CH926" s="582"/>
      <c r="CI926" s="582"/>
      <c r="CJ926" s="582"/>
      <c r="CK926" s="582"/>
      <c r="CL926" s="582"/>
      <c r="CM926" s="582"/>
      <c r="CN926" s="582"/>
      <c r="CO926" s="582"/>
      <c r="CP926" s="582"/>
      <c r="CQ926" s="582"/>
      <c r="CR926" s="582"/>
      <c r="CS926" s="582"/>
      <c r="CT926" s="582"/>
      <c r="CU926" s="582"/>
      <c r="CV926" s="582"/>
      <c r="CW926" s="582"/>
      <c r="CX926" s="582"/>
      <c r="CY926" s="582"/>
      <c r="CZ926" s="582"/>
      <c r="DA926" s="582"/>
      <c r="DB926" s="582"/>
      <c r="DC926" s="582"/>
      <c r="DD926" s="582"/>
      <c r="DE926" s="582"/>
      <c r="DF926" s="582"/>
      <c r="DG926" s="582"/>
      <c r="DH926" s="582"/>
      <c r="DI926" s="582"/>
      <c r="DJ926" s="582"/>
      <c r="DK926" s="582"/>
      <c r="DL926" s="582"/>
      <c r="DM926" s="582"/>
      <c r="DN926" s="582"/>
      <c r="DO926" s="582"/>
      <c r="DP926" s="582"/>
      <c r="DQ926" s="582"/>
      <c r="DR926" s="582"/>
      <c r="DS926" s="582"/>
      <c r="DT926" s="582"/>
      <c r="DU926" s="582"/>
      <c r="DV926" s="582"/>
      <c r="DW926" s="582"/>
      <c r="DX926" s="582"/>
      <c r="DY926" s="582"/>
      <c r="DZ926" s="582"/>
      <c r="EA926" s="582"/>
      <c r="EB926" s="582"/>
      <c r="EC926" s="582"/>
      <c r="ED926" s="582"/>
      <c r="EE926" s="582"/>
      <c r="EF926" s="582"/>
      <c r="EG926" s="582"/>
      <c r="EH926" s="582"/>
      <c r="EI926" s="582"/>
      <c r="EJ926" s="582"/>
      <c r="EK926" s="582"/>
      <c r="EL926" s="582"/>
      <c r="EM926" s="582"/>
      <c r="EN926" s="582"/>
      <c r="EO926" s="582"/>
      <c r="EP926" s="582"/>
      <c r="EQ926" s="582"/>
      <c r="ER926" s="582"/>
      <c r="ES926" s="582"/>
      <c r="ET926" s="582"/>
      <c r="EU926" s="582"/>
      <c r="EV926" s="582"/>
      <c r="EW926" s="582"/>
      <c r="EX926" s="582"/>
      <c r="EY926" s="582"/>
      <c r="EZ926" s="582"/>
      <c r="FA926" s="582"/>
      <c r="FB926" s="582"/>
      <c r="FC926" s="582"/>
      <c r="FD926" s="582"/>
      <c r="FE926" s="582"/>
      <c r="FF926" s="582"/>
      <c r="FG926" s="582"/>
      <c r="FH926" s="582"/>
      <c r="FI926" s="582"/>
      <c r="FJ926" s="582"/>
      <c r="FK926" s="582"/>
      <c r="FL926" s="582"/>
      <c r="FM926" s="582"/>
      <c r="FN926" s="582"/>
      <c r="FO926" s="582"/>
      <c r="FP926" s="582"/>
      <c r="FQ926" s="582"/>
      <c r="FR926" s="582"/>
      <c r="FS926" s="582"/>
      <c r="FT926" s="582"/>
      <c r="FU926" s="582"/>
      <c r="FV926" s="582"/>
      <c r="FW926" s="582"/>
      <c r="FX926" s="582"/>
      <c r="FY926" s="582"/>
      <c r="FZ926" s="582"/>
      <c r="GA926" s="582"/>
      <c r="GB926" s="582"/>
      <c r="GC926" s="582"/>
      <c r="GD926" s="582"/>
      <c r="GE926" s="582"/>
      <c r="GF926" s="582"/>
      <c r="GG926" s="582"/>
      <c r="GH926" s="582"/>
      <c r="GI926" s="582"/>
      <c r="GJ926" s="582"/>
      <c r="GK926" s="582"/>
      <c r="GL926" s="582"/>
      <c r="GM926" s="582"/>
      <c r="GN926" s="582"/>
      <c r="GO926" s="582"/>
      <c r="GP926" s="582"/>
      <c r="GQ926" s="582"/>
      <c r="GR926" s="582"/>
      <c r="GS926" s="582"/>
      <c r="GT926" s="582"/>
      <c r="GU926" s="582"/>
      <c r="GV926" s="582"/>
      <c r="GW926" s="582"/>
      <c r="GX926" s="582"/>
      <c r="GY926" s="582"/>
      <c r="GZ926" s="582"/>
      <c r="HA926" s="582"/>
      <c r="HB926" s="582"/>
      <c r="HC926" s="582"/>
      <c r="HD926" s="582"/>
      <c r="HE926" s="582"/>
      <c r="HF926" s="582"/>
      <c r="HG926" s="582"/>
      <c r="HH926" s="582"/>
      <c r="HI926" s="582"/>
      <c r="HJ926" s="582"/>
      <c r="HK926" s="582"/>
      <c r="HL926" s="582"/>
      <c r="HM926" s="582"/>
      <c r="HN926" s="582"/>
      <c r="HO926" s="582"/>
      <c r="HP926" s="582"/>
      <c r="HQ926" s="582"/>
      <c r="HR926" s="582"/>
      <c r="HS926" s="582"/>
      <c r="HT926" s="582"/>
      <c r="HU926" s="582"/>
      <c r="HV926" s="582"/>
      <c r="HW926" s="582"/>
      <c r="HX926" s="582"/>
      <c r="HY926" s="582"/>
      <c r="HZ926" s="582"/>
      <c r="IA926" s="582"/>
      <c r="IB926" s="582"/>
      <c r="IC926" s="582"/>
      <c r="ID926" s="582"/>
      <c r="IE926" s="582"/>
      <c r="IF926" s="582"/>
      <c r="IG926" s="582"/>
      <c r="IH926" s="582"/>
      <c r="II926" s="582"/>
      <c r="IJ926" s="582"/>
      <c r="IK926" s="582"/>
      <c r="IL926" s="582"/>
      <c r="IM926" s="582"/>
      <c r="IN926" s="582"/>
      <c r="IO926" s="582"/>
      <c r="IP926" s="582"/>
      <c r="IQ926" s="582"/>
      <c r="IR926" s="582"/>
      <c r="IS926" s="582"/>
      <c r="IT926" s="582"/>
      <c r="IU926" s="582"/>
      <c r="IV926" s="582"/>
      <c r="IW926" s="582"/>
    </row>
    <row r="927" spans="1:257" s="582" customFormat="1" ht="15.75" hidden="1" customHeight="1">
      <c r="A927" s="713"/>
      <c r="B927" s="668" t="s">
        <v>263</v>
      </c>
      <c r="C927" s="713"/>
      <c r="D927" s="713"/>
      <c r="E927" s="725"/>
      <c r="F927" s="669">
        <f>(F918+F920+F921+F922+F923+F924+F925)*10%</f>
        <v>56000000</v>
      </c>
      <c r="G927" s="725"/>
      <c r="H927" s="725"/>
      <c r="I927" s="725"/>
      <c r="J927" s="669">
        <f>(J918+J920+J921+J922+J923+J924+J925)*10%</f>
        <v>50000000</v>
      </c>
      <c r="K927" s="669"/>
      <c r="L927" s="1306"/>
      <c r="M927" s="669"/>
      <c r="N927" s="837"/>
      <c r="O927" s="837"/>
      <c r="P927" s="868"/>
      <c r="Q927" s="868"/>
      <c r="R927" s="871"/>
      <c r="S927" s="871"/>
      <c r="T927" s="824"/>
      <c r="U927" s="596"/>
      <c r="V927" s="727"/>
      <c r="W927" s="727"/>
      <c r="X927" s="728"/>
      <c r="Y927" s="682"/>
      <c r="Z927" s="682"/>
      <c r="AA927" s="682"/>
      <c r="AB927" s="682"/>
      <c r="AC927" s="682"/>
      <c r="AD927" s="682"/>
      <c r="AE927" s="682"/>
      <c r="AF927" s="682"/>
      <c r="AG927" s="682"/>
      <c r="AH927" s="682"/>
      <c r="AI927" s="682"/>
      <c r="AJ927" s="682"/>
      <c r="AK927" s="682"/>
      <c r="AL927" s="682"/>
      <c r="AM927" s="682"/>
      <c r="AN927" s="682"/>
      <c r="AO927" s="682"/>
      <c r="AP927" s="682"/>
      <c r="AQ927" s="682"/>
      <c r="AR927" s="682"/>
      <c r="AS927" s="682"/>
      <c r="AT927" s="682"/>
      <c r="AU927" s="682"/>
      <c r="AV927" s="682"/>
      <c r="AW927" s="682"/>
      <c r="AX927" s="682"/>
      <c r="AY927" s="682"/>
      <c r="AZ927" s="682"/>
      <c r="BA927" s="682"/>
      <c r="BB927" s="682"/>
      <c r="BC927" s="682"/>
      <c r="BD927" s="682"/>
      <c r="BE927" s="682"/>
      <c r="BF927" s="682"/>
      <c r="BG927" s="682"/>
      <c r="BH927" s="682"/>
      <c r="BI927" s="682"/>
      <c r="BJ927" s="682"/>
      <c r="BK927" s="682"/>
      <c r="BL927" s="682"/>
      <c r="BM927" s="682"/>
      <c r="BN927" s="682"/>
      <c r="BO927" s="682"/>
      <c r="BP927" s="682"/>
      <c r="BQ927" s="682"/>
      <c r="BR927" s="682"/>
      <c r="BS927" s="682"/>
      <c r="BT927" s="682"/>
      <c r="BU927" s="682"/>
      <c r="BV927" s="682"/>
      <c r="BW927" s="682"/>
      <c r="BX927" s="682"/>
      <c r="BY927" s="682"/>
      <c r="BZ927" s="682"/>
      <c r="CA927" s="682"/>
      <c r="CB927" s="682"/>
      <c r="CC927" s="682"/>
      <c r="CD927" s="682"/>
      <c r="CE927" s="682"/>
      <c r="CF927" s="682"/>
      <c r="CG927" s="682"/>
      <c r="CH927" s="682"/>
      <c r="CI927" s="682"/>
      <c r="CJ927" s="682"/>
      <c r="CK927" s="682"/>
      <c r="CL927" s="682"/>
      <c r="CM927" s="682"/>
      <c r="CN927" s="682"/>
      <c r="CO927" s="682"/>
      <c r="CP927" s="682"/>
      <c r="CQ927" s="682"/>
      <c r="CR927" s="682"/>
      <c r="CS927" s="682"/>
      <c r="CT927" s="682"/>
      <c r="CU927" s="682"/>
      <c r="CV927" s="682"/>
      <c r="CW927" s="682"/>
      <c r="CX927" s="682"/>
      <c r="CY927" s="682"/>
      <c r="CZ927" s="682"/>
      <c r="DA927" s="682"/>
      <c r="DB927" s="682"/>
      <c r="DC927" s="682"/>
      <c r="DD927" s="682"/>
      <c r="DE927" s="682"/>
      <c r="DF927" s="682"/>
      <c r="DG927" s="682"/>
      <c r="DH927" s="682"/>
      <c r="DI927" s="682"/>
      <c r="DJ927" s="682"/>
      <c r="DK927" s="682"/>
      <c r="DL927" s="682"/>
      <c r="DM927" s="682"/>
      <c r="DN927" s="682"/>
      <c r="DO927" s="682"/>
      <c r="DP927" s="682"/>
      <c r="DQ927" s="682"/>
      <c r="DR927" s="682"/>
      <c r="DS927" s="682"/>
      <c r="DT927" s="682"/>
      <c r="DU927" s="682"/>
      <c r="DV927" s="682"/>
      <c r="DW927" s="682"/>
      <c r="DX927" s="682"/>
      <c r="DY927" s="682"/>
      <c r="DZ927" s="682"/>
      <c r="EA927" s="682"/>
      <c r="EB927" s="682"/>
      <c r="EC927" s="682"/>
      <c r="ED927" s="682"/>
      <c r="EE927" s="682"/>
      <c r="EF927" s="682"/>
      <c r="EG927" s="682"/>
      <c r="EH927" s="682"/>
      <c r="EI927" s="682"/>
      <c r="EJ927" s="682"/>
      <c r="EK927" s="682"/>
      <c r="EL927" s="682"/>
      <c r="EM927" s="682"/>
      <c r="EN927" s="682"/>
      <c r="EO927" s="682"/>
      <c r="EP927" s="682"/>
      <c r="EQ927" s="682"/>
      <c r="ER927" s="682"/>
      <c r="ES927" s="682"/>
      <c r="ET927" s="682"/>
      <c r="EU927" s="682"/>
      <c r="EV927" s="682"/>
      <c r="EW927" s="682"/>
      <c r="EX927" s="682"/>
      <c r="EY927" s="682"/>
      <c r="EZ927" s="682"/>
      <c r="FA927" s="682"/>
      <c r="FB927" s="682"/>
      <c r="FC927" s="682"/>
      <c r="FD927" s="682"/>
      <c r="FE927" s="682"/>
      <c r="FF927" s="682"/>
      <c r="FG927" s="682"/>
      <c r="FH927" s="682"/>
      <c r="FI927" s="682"/>
      <c r="FJ927" s="682"/>
      <c r="FK927" s="682"/>
      <c r="FL927" s="682"/>
      <c r="FM927" s="682"/>
      <c r="FN927" s="682"/>
      <c r="FO927" s="682"/>
      <c r="FP927" s="682"/>
      <c r="FQ927" s="682"/>
      <c r="FR927" s="682"/>
      <c r="FS927" s="682"/>
      <c r="FT927" s="682"/>
      <c r="FU927" s="682"/>
      <c r="FV927" s="682"/>
      <c r="FW927" s="682"/>
      <c r="FX927" s="682"/>
      <c r="FY927" s="682"/>
      <c r="FZ927" s="682"/>
      <c r="GA927" s="682"/>
      <c r="GB927" s="682"/>
      <c r="GC927" s="682"/>
      <c r="GD927" s="682"/>
      <c r="GE927" s="682"/>
      <c r="GF927" s="682"/>
      <c r="GG927" s="682"/>
      <c r="GH927" s="682"/>
      <c r="GI927" s="682"/>
      <c r="GJ927" s="682"/>
      <c r="GK927" s="682"/>
      <c r="GL927" s="682"/>
      <c r="GM927" s="682"/>
      <c r="GN927" s="682"/>
      <c r="GO927" s="682"/>
      <c r="GP927" s="682"/>
      <c r="GQ927" s="682"/>
      <c r="GR927" s="682"/>
      <c r="GS927" s="682"/>
      <c r="GT927" s="682"/>
      <c r="GU927" s="682"/>
      <c r="GV927" s="682"/>
      <c r="GW927" s="682"/>
      <c r="GX927" s="682"/>
      <c r="GY927" s="682"/>
      <c r="GZ927" s="682"/>
      <c r="HA927" s="682"/>
      <c r="HB927" s="682"/>
      <c r="HC927" s="682"/>
      <c r="HD927" s="682"/>
      <c r="HE927" s="682"/>
      <c r="HF927" s="682"/>
      <c r="HG927" s="682"/>
      <c r="HH927" s="682"/>
      <c r="HI927" s="682"/>
      <c r="HJ927" s="682"/>
      <c r="HK927" s="682"/>
      <c r="HL927" s="682"/>
      <c r="HM927" s="682"/>
      <c r="HN927" s="682"/>
      <c r="HO927" s="682"/>
      <c r="HP927" s="682"/>
      <c r="HQ927" s="682"/>
      <c r="HR927" s="682"/>
      <c r="HS927" s="682"/>
      <c r="HT927" s="682"/>
      <c r="HU927" s="682"/>
      <c r="HV927" s="682"/>
      <c r="HW927" s="682"/>
      <c r="HX927" s="682"/>
      <c r="HY927" s="682"/>
      <c r="HZ927" s="682"/>
      <c r="IA927" s="682"/>
      <c r="IB927" s="682"/>
      <c r="IC927" s="682"/>
      <c r="ID927" s="682"/>
      <c r="IE927" s="682"/>
      <c r="IF927" s="682"/>
      <c r="IG927" s="682"/>
      <c r="IH927" s="682"/>
      <c r="II927" s="682"/>
      <c r="IJ927" s="682"/>
      <c r="IK927" s="682"/>
      <c r="IL927" s="682"/>
      <c r="IM927" s="682"/>
      <c r="IN927" s="682"/>
      <c r="IO927" s="682"/>
      <c r="IP927" s="682"/>
      <c r="IQ927" s="682"/>
      <c r="IR927" s="682"/>
      <c r="IS927" s="682"/>
      <c r="IT927" s="682"/>
      <c r="IU927" s="682"/>
      <c r="IV927" s="682"/>
      <c r="IW927" s="682"/>
    </row>
    <row r="928" spans="1:257" s="582" customFormat="1" ht="15.75" hidden="1" customHeight="1">
      <c r="A928" s="713"/>
      <c r="B928" s="669" t="s">
        <v>281</v>
      </c>
      <c r="C928" s="713"/>
      <c r="D928" s="713"/>
      <c r="E928" s="725"/>
      <c r="F928" s="669">
        <f>F927/10</f>
        <v>5600000</v>
      </c>
      <c r="G928" s="700"/>
      <c r="H928" s="700"/>
      <c r="I928" s="700"/>
      <c r="J928" s="669">
        <f>J927/10</f>
        <v>5000000</v>
      </c>
      <c r="K928" s="669"/>
      <c r="L928" s="1306"/>
      <c r="M928" s="669"/>
      <c r="N928" s="837"/>
      <c r="O928" s="837"/>
      <c r="P928" s="820"/>
      <c r="Q928" s="820"/>
      <c r="R928" s="866"/>
      <c r="S928" s="871"/>
      <c r="T928" s="824"/>
      <c r="U928" s="580"/>
      <c r="V928" s="581"/>
      <c r="W928" s="727"/>
      <c r="X928" s="728"/>
      <c r="Y928" s="682"/>
      <c r="Z928" s="682"/>
      <c r="AA928" s="682"/>
      <c r="AB928" s="682"/>
      <c r="AC928" s="682"/>
      <c r="AD928" s="682"/>
      <c r="AE928" s="682"/>
      <c r="AF928" s="682"/>
      <c r="AG928" s="682"/>
      <c r="AH928" s="682"/>
      <c r="AI928" s="682"/>
      <c r="AJ928" s="682"/>
      <c r="AK928" s="682"/>
      <c r="AL928" s="682"/>
      <c r="AM928" s="682"/>
      <c r="AN928" s="682"/>
      <c r="AO928" s="682"/>
      <c r="AP928" s="682"/>
      <c r="AQ928" s="682"/>
      <c r="AR928" s="682"/>
      <c r="AS928" s="682"/>
      <c r="AT928" s="682"/>
      <c r="AU928" s="682"/>
      <c r="AV928" s="682"/>
      <c r="AW928" s="682"/>
      <c r="AX928" s="682"/>
      <c r="AY928" s="682"/>
      <c r="AZ928" s="682"/>
      <c r="BA928" s="682"/>
      <c r="BB928" s="682"/>
      <c r="BC928" s="682"/>
      <c r="BD928" s="682"/>
      <c r="BE928" s="682"/>
      <c r="BF928" s="682"/>
      <c r="BG928" s="682"/>
      <c r="BH928" s="682"/>
      <c r="BI928" s="682"/>
      <c r="BJ928" s="682"/>
      <c r="BK928" s="682"/>
      <c r="BL928" s="682"/>
      <c r="BM928" s="682"/>
      <c r="BN928" s="682"/>
      <c r="BO928" s="682"/>
      <c r="BP928" s="682"/>
      <c r="BQ928" s="682"/>
      <c r="BR928" s="682"/>
      <c r="BS928" s="682"/>
      <c r="BT928" s="682"/>
      <c r="BU928" s="682"/>
      <c r="BV928" s="682"/>
      <c r="BW928" s="682"/>
      <c r="BX928" s="682"/>
      <c r="BY928" s="682"/>
      <c r="BZ928" s="682"/>
      <c r="CA928" s="682"/>
      <c r="CB928" s="682"/>
      <c r="CC928" s="682"/>
      <c r="CD928" s="682"/>
      <c r="CE928" s="682"/>
      <c r="CF928" s="682"/>
      <c r="CG928" s="682"/>
      <c r="CH928" s="682"/>
      <c r="CI928" s="682"/>
      <c r="CJ928" s="682"/>
      <c r="CK928" s="682"/>
      <c r="CL928" s="682"/>
      <c r="CM928" s="682"/>
      <c r="CN928" s="682"/>
      <c r="CO928" s="682"/>
      <c r="CP928" s="682"/>
      <c r="CQ928" s="682"/>
      <c r="CR928" s="682"/>
      <c r="CS928" s="682"/>
      <c r="CT928" s="682"/>
      <c r="CU928" s="682"/>
      <c r="CV928" s="682"/>
      <c r="CW928" s="682"/>
      <c r="CX928" s="682"/>
      <c r="CY928" s="682"/>
      <c r="CZ928" s="682"/>
      <c r="DA928" s="682"/>
      <c r="DB928" s="682"/>
      <c r="DC928" s="682"/>
      <c r="DD928" s="682"/>
      <c r="DE928" s="682"/>
      <c r="DF928" s="682"/>
      <c r="DG928" s="682"/>
      <c r="DH928" s="682"/>
      <c r="DI928" s="682"/>
      <c r="DJ928" s="682"/>
      <c r="DK928" s="682"/>
      <c r="DL928" s="682"/>
      <c r="DM928" s="682"/>
      <c r="DN928" s="682"/>
      <c r="DO928" s="682"/>
      <c r="DP928" s="682"/>
      <c r="DQ928" s="682"/>
      <c r="DR928" s="682"/>
      <c r="DS928" s="682"/>
      <c r="DT928" s="682"/>
      <c r="DU928" s="682"/>
      <c r="DV928" s="682"/>
      <c r="DW928" s="682"/>
      <c r="DX928" s="682"/>
      <c r="DY928" s="682"/>
      <c r="DZ928" s="682"/>
      <c r="EA928" s="682"/>
      <c r="EB928" s="682"/>
      <c r="EC928" s="682"/>
      <c r="ED928" s="682"/>
      <c r="EE928" s="682"/>
      <c r="EF928" s="682"/>
      <c r="EG928" s="682"/>
      <c r="EH928" s="682"/>
      <c r="EI928" s="682"/>
      <c r="EJ928" s="682"/>
      <c r="EK928" s="682"/>
      <c r="EL928" s="682"/>
      <c r="EM928" s="682"/>
      <c r="EN928" s="682"/>
      <c r="EO928" s="682"/>
      <c r="EP928" s="682"/>
      <c r="EQ928" s="682"/>
      <c r="ER928" s="682"/>
      <c r="ES928" s="682"/>
      <c r="ET928" s="682"/>
      <c r="EU928" s="682"/>
      <c r="EV928" s="682"/>
      <c r="EW928" s="682"/>
      <c r="EX928" s="682"/>
      <c r="EY928" s="682"/>
      <c r="EZ928" s="682"/>
      <c r="FA928" s="682"/>
      <c r="FB928" s="682"/>
      <c r="FC928" s="682"/>
      <c r="FD928" s="682"/>
      <c r="FE928" s="682"/>
      <c r="FF928" s="682"/>
      <c r="FG928" s="682"/>
      <c r="FH928" s="682"/>
      <c r="FI928" s="682"/>
      <c r="FJ928" s="682"/>
      <c r="FK928" s="682"/>
      <c r="FL928" s="682"/>
      <c r="FM928" s="682"/>
      <c r="FN928" s="682"/>
      <c r="FO928" s="682"/>
      <c r="FP928" s="682"/>
      <c r="FQ928" s="682"/>
      <c r="FR928" s="682"/>
      <c r="FS928" s="682"/>
      <c r="FT928" s="682"/>
      <c r="FU928" s="682"/>
      <c r="FV928" s="682"/>
      <c r="FW928" s="682"/>
      <c r="FX928" s="682"/>
      <c r="FY928" s="682"/>
      <c r="FZ928" s="682"/>
      <c r="GA928" s="682"/>
      <c r="GB928" s="682"/>
      <c r="GC928" s="682"/>
      <c r="GD928" s="682"/>
      <c r="GE928" s="682"/>
      <c r="GF928" s="682"/>
      <c r="GG928" s="682"/>
      <c r="GH928" s="682"/>
      <c r="GI928" s="682"/>
      <c r="GJ928" s="682"/>
      <c r="GK928" s="682"/>
      <c r="GL928" s="682"/>
      <c r="GM928" s="682"/>
      <c r="GN928" s="682"/>
      <c r="GO928" s="682"/>
      <c r="GP928" s="682"/>
      <c r="GQ928" s="682"/>
      <c r="GR928" s="682"/>
      <c r="GS928" s="682"/>
      <c r="GT928" s="682"/>
      <c r="GU928" s="682"/>
      <c r="GV928" s="682"/>
      <c r="GW928" s="682"/>
      <c r="GX928" s="682"/>
      <c r="GY928" s="682"/>
      <c r="GZ928" s="682"/>
      <c r="HA928" s="682"/>
      <c r="HB928" s="682"/>
      <c r="HC928" s="682"/>
      <c r="HD928" s="682"/>
      <c r="HE928" s="682"/>
      <c r="HF928" s="682"/>
      <c r="HG928" s="682"/>
      <c r="HH928" s="682"/>
      <c r="HI928" s="682"/>
      <c r="HJ928" s="682"/>
      <c r="HK928" s="682"/>
      <c r="HL928" s="682"/>
      <c r="HM928" s="682"/>
      <c r="HN928" s="682"/>
      <c r="HO928" s="682"/>
      <c r="HP928" s="682"/>
      <c r="HQ928" s="682"/>
      <c r="HR928" s="682"/>
      <c r="HS928" s="682"/>
      <c r="HT928" s="682"/>
      <c r="HU928" s="682"/>
      <c r="HV928" s="682"/>
      <c r="HW928" s="682"/>
      <c r="HX928" s="682"/>
      <c r="HY928" s="682"/>
      <c r="HZ928" s="682"/>
      <c r="IA928" s="682"/>
      <c r="IB928" s="682"/>
      <c r="IC928" s="682"/>
      <c r="ID928" s="682"/>
      <c r="IE928" s="682"/>
      <c r="IF928" s="682"/>
      <c r="IG928" s="682"/>
      <c r="IH928" s="682"/>
      <c r="II928" s="682"/>
      <c r="IJ928" s="682"/>
      <c r="IK928" s="682"/>
      <c r="IL928" s="682"/>
      <c r="IM928" s="682"/>
      <c r="IN928" s="682"/>
      <c r="IO928" s="682"/>
      <c r="IP928" s="682"/>
      <c r="IQ928" s="682"/>
      <c r="IR928" s="682"/>
      <c r="IS928" s="682"/>
      <c r="IT928" s="682"/>
      <c r="IU928" s="682"/>
      <c r="IV928" s="682"/>
      <c r="IW928" s="682"/>
    </row>
    <row r="929" spans="1:257" s="724" customFormat="1">
      <c r="A929" s="590">
        <v>3</v>
      </c>
      <c r="B929" s="607" t="s">
        <v>506</v>
      </c>
      <c r="C929" s="590"/>
      <c r="D929" s="590"/>
      <c r="E929" s="609"/>
      <c r="F929" s="603">
        <f>SUM(F930:F935)</f>
        <v>300000000</v>
      </c>
      <c r="G929" s="592"/>
      <c r="H929" s="592"/>
      <c r="I929" s="592"/>
      <c r="J929" s="603">
        <f>SUM(J930:J935)</f>
        <v>608000000</v>
      </c>
      <c r="K929" s="603"/>
      <c r="L929" s="1302"/>
      <c r="M929" s="603"/>
      <c r="N929" s="855"/>
      <c r="O929" s="855"/>
      <c r="P929" s="865"/>
      <c r="Q929" s="865"/>
      <c r="R929" s="838">
        <f>F929+F916+F899+F867+F850</f>
        <v>22082000000</v>
      </c>
      <c r="S929" s="871"/>
      <c r="T929" s="824"/>
      <c r="U929" s="726"/>
      <c r="V929" s="727"/>
      <c r="W929" s="581"/>
      <c r="X929" s="578"/>
      <c r="Y929" s="582"/>
      <c r="Z929" s="582"/>
      <c r="AA929" s="582"/>
      <c r="AB929" s="582"/>
      <c r="AC929" s="582"/>
      <c r="AD929" s="582"/>
      <c r="AE929" s="582"/>
      <c r="AF929" s="582"/>
      <c r="AG929" s="582"/>
      <c r="AH929" s="582"/>
      <c r="AI929" s="582"/>
      <c r="AJ929" s="582"/>
      <c r="AK929" s="582"/>
      <c r="AL929" s="582"/>
      <c r="AM929" s="582"/>
      <c r="AN929" s="582"/>
      <c r="AO929" s="582"/>
      <c r="AP929" s="582"/>
      <c r="AQ929" s="582"/>
      <c r="AR929" s="582"/>
      <c r="AS929" s="582"/>
      <c r="AT929" s="582"/>
      <c r="AU929" s="582"/>
      <c r="AV929" s="582"/>
      <c r="AW929" s="582"/>
      <c r="AX929" s="582"/>
      <c r="AY929" s="582"/>
      <c r="AZ929" s="582"/>
      <c r="BA929" s="582"/>
      <c r="BB929" s="582"/>
      <c r="BC929" s="582"/>
      <c r="BD929" s="582"/>
      <c r="BE929" s="582"/>
      <c r="BF929" s="582"/>
      <c r="BG929" s="582"/>
      <c r="BH929" s="582"/>
      <c r="BI929" s="582"/>
      <c r="BJ929" s="582"/>
      <c r="BK929" s="582"/>
      <c r="BL929" s="582"/>
      <c r="BM929" s="582"/>
      <c r="BN929" s="582"/>
      <c r="BO929" s="582"/>
      <c r="BP929" s="582"/>
      <c r="BQ929" s="582"/>
      <c r="BR929" s="582"/>
      <c r="BS929" s="582"/>
      <c r="BT929" s="582"/>
      <c r="BU929" s="582"/>
      <c r="BV929" s="582"/>
      <c r="BW929" s="582"/>
      <c r="BX929" s="582"/>
      <c r="BY929" s="582"/>
      <c r="BZ929" s="582"/>
      <c r="CA929" s="582"/>
      <c r="CB929" s="582"/>
      <c r="CC929" s="582"/>
      <c r="CD929" s="582"/>
      <c r="CE929" s="582"/>
      <c r="CF929" s="582"/>
      <c r="CG929" s="582"/>
      <c r="CH929" s="582"/>
      <c r="CI929" s="582"/>
      <c r="CJ929" s="582"/>
      <c r="CK929" s="582"/>
      <c r="CL929" s="582"/>
      <c r="CM929" s="582"/>
      <c r="CN929" s="582"/>
      <c r="CO929" s="582"/>
      <c r="CP929" s="582"/>
      <c r="CQ929" s="582"/>
      <c r="CR929" s="582"/>
      <c r="CS929" s="582"/>
      <c r="CT929" s="582"/>
      <c r="CU929" s="582"/>
      <c r="CV929" s="582"/>
      <c r="CW929" s="582"/>
      <c r="CX929" s="582"/>
      <c r="CY929" s="582"/>
      <c r="CZ929" s="582"/>
      <c r="DA929" s="582"/>
      <c r="DB929" s="582"/>
      <c r="DC929" s="582"/>
      <c r="DD929" s="582"/>
      <c r="DE929" s="582"/>
      <c r="DF929" s="582"/>
      <c r="DG929" s="582"/>
      <c r="DH929" s="582"/>
      <c r="DI929" s="582"/>
      <c r="DJ929" s="582"/>
      <c r="DK929" s="582"/>
      <c r="DL929" s="582"/>
      <c r="DM929" s="582"/>
      <c r="DN929" s="582"/>
      <c r="DO929" s="582"/>
      <c r="DP929" s="582"/>
      <c r="DQ929" s="582"/>
      <c r="DR929" s="582"/>
      <c r="DS929" s="582"/>
      <c r="DT929" s="582"/>
      <c r="DU929" s="582"/>
      <c r="DV929" s="582"/>
      <c r="DW929" s="582"/>
      <c r="DX929" s="582"/>
      <c r="DY929" s="582"/>
      <c r="DZ929" s="582"/>
      <c r="EA929" s="582"/>
      <c r="EB929" s="582"/>
      <c r="EC929" s="582"/>
      <c r="ED929" s="582"/>
      <c r="EE929" s="582"/>
      <c r="EF929" s="582"/>
      <c r="EG929" s="582"/>
      <c r="EH929" s="582"/>
      <c r="EI929" s="582"/>
      <c r="EJ929" s="582"/>
      <c r="EK929" s="582"/>
      <c r="EL929" s="582"/>
      <c r="EM929" s="582"/>
      <c r="EN929" s="582"/>
      <c r="EO929" s="582"/>
      <c r="EP929" s="582"/>
      <c r="EQ929" s="582"/>
      <c r="ER929" s="582"/>
      <c r="ES929" s="582"/>
      <c r="ET929" s="582"/>
      <c r="EU929" s="582"/>
      <c r="EV929" s="582"/>
      <c r="EW929" s="582"/>
      <c r="EX929" s="582"/>
      <c r="EY929" s="582"/>
      <c r="EZ929" s="582"/>
      <c r="FA929" s="582"/>
      <c r="FB929" s="582"/>
      <c r="FC929" s="582"/>
      <c r="FD929" s="582"/>
      <c r="FE929" s="582"/>
      <c r="FF929" s="582"/>
      <c r="FG929" s="582"/>
      <c r="FH929" s="582"/>
      <c r="FI929" s="582"/>
      <c r="FJ929" s="582"/>
      <c r="FK929" s="582"/>
      <c r="FL929" s="582"/>
      <c r="FM929" s="582"/>
      <c r="FN929" s="582"/>
      <c r="FO929" s="582"/>
      <c r="FP929" s="582"/>
      <c r="FQ929" s="582"/>
      <c r="FR929" s="582"/>
      <c r="FS929" s="582"/>
      <c r="FT929" s="582"/>
      <c r="FU929" s="582"/>
      <c r="FV929" s="582"/>
      <c r="FW929" s="582"/>
      <c r="FX929" s="582"/>
      <c r="FY929" s="582"/>
      <c r="FZ929" s="582"/>
      <c r="GA929" s="582"/>
      <c r="GB929" s="582"/>
      <c r="GC929" s="582"/>
      <c r="GD929" s="582"/>
      <c r="GE929" s="582"/>
      <c r="GF929" s="582"/>
      <c r="GG929" s="582"/>
      <c r="GH929" s="582"/>
      <c r="GI929" s="582"/>
      <c r="GJ929" s="582"/>
      <c r="GK929" s="582"/>
      <c r="GL929" s="582"/>
      <c r="GM929" s="582"/>
      <c r="GN929" s="582"/>
      <c r="GO929" s="582"/>
      <c r="GP929" s="582"/>
      <c r="GQ929" s="582"/>
      <c r="GR929" s="582"/>
      <c r="GS929" s="582"/>
      <c r="GT929" s="582"/>
      <c r="GU929" s="582"/>
      <c r="GV929" s="582"/>
      <c r="GW929" s="582"/>
      <c r="GX929" s="582"/>
      <c r="GY929" s="582"/>
      <c r="GZ929" s="582"/>
      <c r="HA929" s="582"/>
      <c r="HB929" s="582"/>
      <c r="HC929" s="582"/>
      <c r="HD929" s="582"/>
      <c r="HE929" s="582"/>
      <c r="HF929" s="582"/>
      <c r="HG929" s="582"/>
      <c r="HH929" s="582"/>
      <c r="HI929" s="582"/>
      <c r="HJ929" s="582"/>
      <c r="HK929" s="582"/>
      <c r="HL929" s="582"/>
      <c r="HM929" s="582"/>
      <c r="HN929" s="582"/>
      <c r="HO929" s="582"/>
      <c r="HP929" s="582"/>
      <c r="HQ929" s="582"/>
      <c r="HR929" s="582"/>
      <c r="HS929" s="582"/>
      <c r="HT929" s="582"/>
      <c r="HU929" s="582"/>
      <c r="HV929" s="582"/>
      <c r="HW929" s="582"/>
      <c r="HX929" s="582"/>
      <c r="HY929" s="582"/>
      <c r="HZ929" s="582"/>
      <c r="IA929" s="582"/>
      <c r="IB929" s="582"/>
      <c r="IC929" s="582"/>
      <c r="ID929" s="582"/>
      <c r="IE929" s="582"/>
      <c r="IF929" s="582"/>
      <c r="IG929" s="582"/>
      <c r="IH929" s="582"/>
      <c r="II929" s="582"/>
      <c r="IJ929" s="582"/>
      <c r="IK929" s="582"/>
      <c r="IL929" s="582"/>
      <c r="IM929" s="582"/>
      <c r="IN929" s="582"/>
      <c r="IO929" s="582"/>
      <c r="IP929" s="582"/>
      <c r="IQ929" s="582"/>
      <c r="IR929" s="582"/>
      <c r="IS929" s="582"/>
      <c r="IT929" s="582"/>
      <c r="IU929" s="582"/>
      <c r="IV929" s="582"/>
      <c r="IW929" s="582"/>
    </row>
    <row r="930" spans="1:257" s="582" customFormat="1" ht="31.5" hidden="1" customHeight="1">
      <c r="A930" s="683" t="s">
        <v>258</v>
      </c>
      <c r="B930" s="696" t="s">
        <v>507</v>
      </c>
      <c r="C930" s="713"/>
      <c r="D930" s="713"/>
      <c r="E930" s="725"/>
      <c r="F930" s="669">
        <v>25000000</v>
      </c>
      <c r="G930" s="816"/>
      <c r="H930" s="816"/>
      <c r="I930" s="816"/>
      <c r="J930" s="669">
        <v>35000000</v>
      </c>
      <c r="K930" s="669"/>
      <c r="L930" s="1306"/>
      <c r="M930" s="669"/>
      <c r="N930" s="837"/>
      <c r="O930" s="837"/>
      <c r="P930" s="927"/>
      <c r="Q930" s="927"/>
      <c r="R930" s="891">
        <f>R929-F849</f>
        <v>-136000000</v>
      </c>
      <c r="S930" s="900"/>
      <c r="T930" s="822"/>
      <c r="U930" s="580"/>
      <c r="V930" s="581"/>
      <c r="W930" s="581"/>
      <c r="X930" s="578"/>
    </row>
    <row r="931" spans="1:257" s="582" customFormat="1" ht="31.5" hidden="1" customHeight="1">
      <c r="A931" s="683" t="s">
        <v>258</v>
      </c>
      <c r="B931" s="696" t="s">
        <v>508</v>
      </c>
      <c r="C931" s="713"/>
      <c r="D931" s="713"/>
      <c r="E931" s="725"/>
      <c r="F931" s="669">
        <v>30000000</v>
      </c>
      <c r="G931" s="816"/>
      <c r="H931" s="816"/>
      <c r="I931" s="816"/>
      <c r="J931" s="669">
        <v>30000000</v>
      </c>
      <c r="K931" s="669"/>
      <c r="L931" s="1306"/>
      <c r="M931" s="669"/>
      <c r="N931" s="837"/>
      <c r="O931" s="837"/>
      <c r="P931" s="927"/>
      <c r="Q931" s="927"/>
      <c r="R931" s="891"/>
      <c r="S931" s="891"/>
      <c r="T931" s="832"/>
      <c r="U931" s="577"/>
      <c r="V931" s="581"/>
      <c r="W931" s="581"/>
      <c r="X931" s="578"/>
    </row>
    <row r="932" spans="1:257" s="682" customFormat="1" ht="31.5" hidden="1" customHeight="1">
      <c r="A932" s="683" t="s">
        <v>258</v>
      </c>
      <c r="B932" s="696" t="s">
        <v>509</v>
      </c>
      <c r="C932" s="713"/>
      <c r="D932" s="713"/>
      <c r="E932" s="725"/>
      <c r="F932" s="669">
        <v>180000000</v>
      </c>
      <c r="G932" s="816"/>
      <c r="H932" s="816"/>
      <c r="I932" s="816"/>
      <c r="J932" s="669">
        <v>180000000</v>
      </c>
      <c r="K932" s="669"/>
      <c r="L932" s="1306"/>
      <c r="M932" s="669"/>
      <c r="N932" s="837"/>
      <c r="O932" s="837"/>
      <c r="P932" s="927"/>
      <c r="Q932" s="927"/>
      <c r="R932" s="871"/>
      <c r="S932" s="891"/>
      <c r="T932" s="832"/>
      <c r="U932" s="580"/>
      <c r="V932" s="581"/>
      <c r="W932" s="581"/>
      <c r="X932" s="578"/>
      <c r="Y932" s="582"/>
      <c r="Z932" s="582"/>
      <c r="AA932" s="582"/>
      <c r="AB932" s="582"/>
      <c r="AC932" s="582"/>
      <c r="AD932" s="582"/>
      <c r="AE932" s="582"/>
      <c r="AF932" s="582"/>
      <c r="AG932" s="582"/>
      <c r="AH932" s="582"/>
      <c r="AI932" s="582"/>
      <c r="AJ932" s="582"/>
      <c r="AK932" s="582"/>
      <c r="AL932" s="582"/>
      <c r="AM932" s="582"/>
      <c r="AN932" s="582"/>
      <c r="AO932" s="582"/>
      <c r="AP932" s="582"/>
      <c r="AQ932" s="582"/>
      <c r="AR932" s="582"/>
      <c r="AS932" s="582"/>
      <c r="AT932" s="582"/>
      <c r="AU932" s="582"/>
      <c r="AV932" s="582"/>
      <c r="AW932" s="582"/>
      <c r="AX932" s="582"/>
      <c r="AY932" s="582"/>
      <c r="AZ932" s="582"/>
      <c r="BA932" s="582"/>
      <c r="BB932" s="582"/>
      <c r="BC932" s="582"/>
      <c r="BD932" s="582"/>
      <c r="BE932" s="582"/>
      <c r="BF932" s="582"/>
      <c r="BG932" s="582"/>
      <c r="BH932" s="582"/>
      <c r="BI932" s="582"/>
      <c r="BJ932" s="582"/>
      <c r="BK932" s="582"/>
      <c r="BL932" s="582"/>
      <c r="BM932" s="582"/>
      <c r="BN932" s="582"/>
      <c r="BO932" s="582"/>
      <c r="BP932" s="582"/>
      <c r="BQ932" s="582"/>
      <c r="BR932" s="582"/>
      <c r="BS932" s="582"/>
      <c r="BT932" s="582"/>
      <c r="BU932" s="582"/>
      <c r="BV932" s="582"/>
      <c r="BW932" s="582"/>
      <c r="BX932" s="582"/>
      <c r="BY932" s="582"/>
      <c r="BZ932" s="582"/>
      <c r="CA932" s="582"/>
      <c r="CB932" s="582"/>
      <c r="CC932" s="582"/>
      <c r="CD932" s="582"/>
      <c r="CE932" s="582"/>
      <c r="CF932" s="582"/>
      <c r="CG932" s="582"/>
      <c r="CH932" s="582"/>
      <c r="CI932" s="582"/>
      <c r="CJ932" s="582"/>
      <c r="CK932" s="582"/>
      <c r="CL932" s="582"/>
      <c r="CM932" s="582"/>
      <c r="CN932" s="582"/>
      <c r="CO932" s="582"/>
      <c r="CP932" s="582"/>
      <c r="CQ932" s="582"/>
      <c r="CR932" s="582"/>
      <c r="CS932" s="582"/>
      <c r="CT932" s="582"/>
      <c r="CU932" s="582"/>
      <c r="CV932" s="582"/>
      <c r="CW932" s="582"/>
      <c r="CX932" s="582"/>
      <c r="CY932" s="582"/>
      <c r="CZ932" s="582"/>
      <c r="DA932" s="582"/>
      <c r="DB932" s="582"/>
      <c r="DC932" s="582"/>
      <c r="DD932" s="582"/>
      <c r="DE932" s="582"/>
      <c r="DF932" s="582"/>
      <c r="DG932" s="582"/>
      <c r="DH932" s="582"/>
      <c r="DI932" s="582"/>
      <c r="DJ932" s="582"/>
      <c r="DK932" s="582"/>
      <c r="DL932" s="582"/>
      <c r="DM932" s="582"/>
      <c r="DN932" s="582"/>
      <c r="DO932" s="582"/>
      <c r="DP932" s="582"/>
      <c r="DQ932" s="582"/>
      <c r="DR932" s="582"/>
      <c r="DS932" s="582"/>
      <c r="DT932" s="582"/>
      <c r="DU932" s="582"/>
      <c r="DV932" s="582"/>
      <c r="DW932" s="582"/>
      <c r="DX932" s="582"/>
      <c r="DY932" s="582"/>
      <c r="DZ932" s="582"/>
      <c r="EA932" s="582"/>
      <c r="EB932" s="582"/>
      <c r="EC932" s="582"/>
      <c r="ED932" s="582"/>
      <c r="EE932" s="582"/>
      <c r="EF932" s="582"/>
      <c r="EG932" s="582"/>
      <c r="EH932" s="582"/>
      <c r="EI932" s="582"/>
      <c r="EJ932" s="582"/>
      <c r="EK932" s="582"/>
      <c r="EL932" s="582"/>
      <c r="EM932" s="582"/>
      <c r="EN932" s="582"/>
      <c r="EO932" s="582"/>
      <c r="EP932" s="582"/>
      <c r="EQ932" s="582"/>
      <c r="ER932" s="582"/>
      <c r="ES932" s="582"/>
      <c r="ET932" s="582"/>
      <c r="EU932" s="582"/>
      <c r="EV932" s="582"/>
      <c r="EW932" s="582"/>
      <c r="EX932" s="582"/>
      <c r="EY932" s="582"/>
      <c r="EZ932" s="582"/>
      <c r="FA932" s="582"/>
      <c r="FB932" s="582"/>
      <c r="FC932" s="582"/>
      <c r="FD932" s="582"/>
      <c r="FE932" s="582"/>
      <c r="FF932" s="582"/>
      <c r="FG932" s="582"/>
      <c r="FH932" s="582"/>
      <c r="FI932" s="582"/>
      <c r="FJ932" s="582"/>
      <c r="FK932" s="582"/>
      <c r="FL932" s="582"/>
      <c r="FM932" s="582"/>
      <c r="FN932" s="582"/>
      <c r="FO932" s="582"/>
      <c r="FP932" s="582"/>
      <c r="FQ932" s="582"/>
      <c r="FR932" s="582"/>
      <c r="FS932" s="582"/>
      <c r="FT932" s="582"/>
      <c r="FU932" s="582"/>
      <c r="FV932" s="582"/>
      <c r="FW932" s="582"/>
      <c r="FX932" s="582"/>
      <c r="FY932" s="582"/>
      <c r="FZ932" s="582"/>
      <c r="GA932" s="582"/>
      <c r="GB932" s="582"/>
      <c r="GC932" s="582"/>
      <c r="GD932" s="582"/>
      <c r="GE932" s="582"/>
      <c r="GF932" s="582"/>
      <c r="GG932" s="582"/>
      <c r="GH932" s="582"/>
      <c r="GI932" s="582"/>
      <c r="GJ932" s="582"/>
      <c r="GK932" s="582"/>
      <c r="GL932" s="582"/>
      <c r="GM932" s="582"/>
      <c r="GN932" s="582"/>
      <c r="GO932" s="582"/>
      <c r="GP932" s="582"/>
      <c r="GQ932" s="582"/>
      <c r="GR932" s="582"/>
      <c r="GS932" s="582"/>
      <c r="GT932" s="582"/>
      <c r="GU932" s="582"/>
      <c r="GV932" s="582"/>
      <c r="GW932" s="582"/>
      <c r="GX932" s="582"/>
      <c r="GY932" s="582"/>
      <c r="GZ932" s="582"/>
      <c r="HA932" s="582"/>
      <c r="HB932" s="582"/>
      <c r="HC932" s="582"/>
      <c r="HD932" s="582"/>
      <c r="HE932" s="582"/>
      <c r="HF932" s="582"/>
      <c r="HG932" s="582"/>
      <c r="HH932" s="582"/>
      <c r="HI932" s="582"/>
      <c r="HJ932" s="582"/>
      <c r="HK932" s="582"/>
      <c r="HL932" s="582"/>
      <c r="HM932" s="582"/>
      <c r="HN932" s="582"/>
      <c r="HO932" s="582"/>
      <c r="HP932" s="582"/>
      <c r="HQ932" s="582"/>
      <c r="HR932" s="582"/>
      <c r="HS932" s="582"/>
      <c r="HT932" s="582"/>
      <c r="HU932" s="582"/>
      <c r="HV932" s="582"/>
      <c r="HW932" s="582"/>
      <c r="HX932" s="582"/>
      <c r="HY932" s="582"/>
      <c r="HZ932" s="582"/>
      <c r="IA932" s="582"/>
      <c r="IB932" s="582"/>
      <c r="IC932" s="582"/>
      <c r="ID932" s="582"/>
      <c r="IE932" s="582"/>
      <c r="IF932" s="582"/>
      <c r="IG932" s="582"/>
      <c r="IH932" s="582"/>
      <c r="II932" s="582"/>
      <c r="IJ932" s="582"/>
      <c r="IK932" s="582"/>
      <c r="IL932" s="582"/>
      <c r="IM932" s="582"/>
      <c r="IN932" s="582"/>
      <c r="IO932" s="582"/>
      <c r="IP932" s="582"/>
      <c r="IQ932" s="582"/>
      <c r="IR932" s="582"/>
      <c r="IS932" s="582"/>
      <c r="IT932" s="582"/>
      <c r="IU932" s="582"/>
      <c r="IV932" s="582"/>
      <c r="IW932" s="582"/>
    </row>
    <row r="933" spans="1:257" s="682" customFormat="1" ht="15.75" hidden="1" customHeight="1">
      <c r="A933" s="683" t="s">
        <v>258</v>
      </c>
      <c r="B933" s="696" t="s">
        <v>510</v>
      </c>
      <c r="C933" s="713"/>
      <c r="D933" s="713"/>
      <c r="E933" s="725"/>
      <c r="F933" s="669"/>
      <c r="G933" s="816"/>
      <c r="H933" s="816"/>
      <c r="I933" s="816"/>
      <c r="J933" s="669">
        <v>232000000</v>
      </c>
      <c r="K933" s="669"/>
      <c r="L933" s="1306"/>
      <c r="M933" s="669"/>
      <c r="N933" s="837"/>
      <c r="O933" s="837"/>
      <c r="P933" s="927"/>
      <c r="Q933" s="927"/>
      <c r="R933" s="871"/>
      <c r="S933" s="891"/>
      <c r="T933" s="832"/>
      <c r="U933" s="580"/>
      <c r="V933" s="581"/>
      <c r="W933" s="581"/>
      <c r="X933" s="578"/>
      <c r="Y933" s="582"/>
      <c r="Z933" s="582"/>
      <c r="AA933" s="582"/>
      <c r="AB933" s="582"/>
      <c r="AC933" s="582"/>
      <c r="AD933" s="582"/>
      <c r="AE933" s="582"/>
      <c r="AF933" s="582"/>
      <c r="AG933" s="582"/>
      <c r="AH933" s="582"/>
      <c r="AI933" s="582"/>
      <c r="AJ933" s="582"/>
      <c r="AK933" s="582"/>
      <c r="AL933" s="582"/>
      <c r="AM933" s="582"/>
      <c r="AN933" s="582"/>
      <c r="AO933" s="582"/>
      <c r="AP933" s="582"/>
      <c r="AQ933" s="582"/>
      <c r="AR933" s="582"/>
      <c r="AS933" s="582"/>
      <c r="AT933" s="582"/>
      <c r="AU933" s="582"/>
      <c r="AV933" s="582"/>
      <c r="AW933" s="582"/>
      <c r="AX933" s="582"/>
      <c r="AY933" s="582"/>
      <c r="AZ933" s="582"/>
      <c r="BA933" s="582"/>
      <c r="BB933" s="582"/>
      <c r="BC933" s="582"/>
      <c r="BD933" s="582"/>
      <c r="BE933" s="582"/>
      <c r="BF933" s="582"/>
      <c r="BG933" s="582"/>
      <c r="BH933" s="582"/>
      <c r="BI933" s="582"/>
      <c r="BJ933" s="582"/>
      <c r="BK933" s="582"/>
      <c r="BL933" s="582"/>
      <c r="BM933" s="582"/>
      <c r="BN933" s="582"/>
      <c r="BO933" s="582"/>
      <c r="BP933" s="582"/>
      <c r="BQ933" s="582"/>
      <c r="BR933" s="582"/>
      <c r="BS933" s="582"/>
      <c r="BT933" s="582"/>
      <c r="BU933" s="582"/>
      <c r="BV933" s="582"/>
      <c r="BW933" s="582"/>
      <c r="BX933" s="582"/>
      <c r="BY933" s="582"/>
      <c r="BZ933" s="582"/>
      <c r="CA933" s="582"/>
      <c r="CB933" s="582"/>
      <c r="CC933" s="582"/>
      <c r="CD933" s="582"/>
      <c r="CE933" s="582"/>
      <c r="CF933" s="582"/>
      <c r="CG933" s="582"/>
      <c r="CH933" s="582"/>
      <c r="CI933" s="582"/>
      <c r="CJ933" s="582"/>
      <c r="CK933" s="582"/>
      <c r="CL933" s="582"/>
      <c r="CM933" s="582"/>
      <c r="CN933" s="582"/>
      <c r="CO933" s="582"/>
      <c r="CP933" s="582"/>
      <c r="CQ933" s="582"/>
      <c r="CR933" s="582"/>
      <c r="CS933" s="582"/>
      <c r="CT933" s="582"/>
      <c r="CU933" s="582"/>
      <c r="CV933" s="582"/>
      <c r="CW933" s="582"/>
      <c r="CX933" s="582"/>
      <c r="CY933" s="582"/>
      <c r="CZ933" s="582"/>
      <c r="DA933" s="582"/>
      <c r="DB933" s="582"/>
      <c r="DC933" s="582"/>
      <c r="DD933" s="582"/>
      <c r="DE933" s="582"/>
      <c r="DF933" s="582"/>
      <c r="DG933" s="582"/>
      <c r="DH933" s="582"/>
      <c r="DI933" s="582"/>
      <c r="DJ933" s="582"/>
      <c r="DK933" s="582"/>
      <c r="DL933" s="582"/>
      <c r="DM933" s="582"/>
      <c r="DN933" s="582"/>
      <c r="DO933" s="582"/>
      <c r="DP933" s="582"/>
      <c r="DQ933" s="582"/>
      <c r="DR933" s="582"/>
      <c r="DS933" s="582"/>
      <c r="DT933" s="582"/>
      <c r="DU933" s="582"/>
      <c r="DV933" s="582"/>
      <c r="DW933" s="582"/>
      <c r="DX933" s="582"/>
      <c r="DY933" s="582"/>
      <c r="DZ933" s="582"/>
      <c r="EA933" s="582"/>
      <c r="EB933" s="582"/>
      <c r="EC933" s="582"/>
      <c r="ED933" s="582"/>
      <c r="EE933" s="582"/>
      <c r="EF933" s="582"/>
      <c r="EG933" s="582"/>
      <c r="EH933" s="582"/>
      <c r="EI933" s="582"/>
      <c r="EJ933" s="582"/>
      <c r="EK933" s="582"/>
      <c r="EL933" s="582"/>
      <c r="EM933" s="582"/>
      <c r="EN933" s="582"/>
      <c r="EO933" s="582"/>
      <c r="EP933" s="582"/>
      <c r="EQ933" s="582"/>
      <c r="ER933" s="582"/>
      <c r="ES933" s="582"/>
      <c r="ET933" s="582"/>
      <c r="EU933" s="582"/>
      <c r="EV933" s="582"/>
      <c r="EW933" s="582"/>
      <c r="EX933" s="582"/>
      <c r="EY933" s="582"/>
      <c r="EZ933" s="582"/>
      <c r="FA933" s="582"/>
      <c r="FB933" s="582"/>
      <c r="FC933" s="582"/>
      <c r="FD933" s="582"/>
      <c r="FE933" s="582"/>
      <c r="FF933" s="582"/>
      <c r="FG933" s="582"/>
      <c r="FH933" s="582"/>
      <c r="FI933" s="582"/>
      <c r="FJ933" s="582"/>
      <c r="FK933" s="582"/>
      <c r="FL933" s="582"/>
      <c r="FM933" s="582"/>
      <c r="FN933" s="582"/>
      <c r="FO933" s="582"/>
      <c r="FP933" s="582"/>
      <c r="FQ933" s="582"/>
      <c r="FR933" s="582"/>
      <c r="FS933" s="582"/>
      <c r="FT933" s="582"/>
      <c r="FU933" s="582"/>
      <c r="FV933" s="582"/>
      <c r="FW933" s="582"/>
      <c r="FX933" s="582"/>
      <c r="FY933" s="582"/>
      <c r="FZ933" s="582"/>
      <c r="GA933" s="582"/>
      <c r="GB933" s="582"/>
      <c r="GC933" s="582"/>
      <c r="GD933" s="582"/>
      <c r="GE933" s="582"/>
      <c r="GF933" s="582"/>
      <c r="GG933" s="582"/>
      <c r="GH933" s="582"/>
      <c r="GI933" s="582"/>
      <c r="GJ933" s="582"/>
      <c r="GK933" s="582"/>
      <c r="GL933" s="582"/>
      <c r="GM933" s="582"/>
      <c r="GN933" s="582"/>
      <c r="GO933" s="582"/>
      <c r="GP933" s="582"/>
      <c r="GQ933" s="582"/>
      <c r="GR933" s="582"/>
      <c r="GS933" s="582"/>
      <c r="GT933" s="582"/>
      <c r="GU933" s="582"/>
      <c r="GV933" s="582"/>
      <c r="GW933" s="582"/>
      <c r="GX933" s="582"/>
      <c r="GY933" s="582"/>
      <c r="GZ933" s="582"/>
      <c r="HA933" s="582"/>
      <c r="HB933" s="582"/>
      <c r="HC933" s="582"/>
      <c r="HD933" s="582"/>
      <c r="HE933" s="582"/>
      <c r="HF933" s="582"/>
      <c r="HG933" s="582"/>
      <c r="HH933" s="582"/>
      <c r="HI933" s="582"/>
      <c r="HJ933" s="582"/>
      <c r="HK933" s="582"/>
      <c r="HL933" s="582"/>
      <c r="HM933" s="582"/>
      <c r="HN933" s="582"/>
      <c r="HO933" s="582"/>
      <c r="HP933" s="582"/>
      <c r="HQ933" s="582"/>
      <c r="HR933" s="582"/>
      <c r="HS933" s="582"/>
      <c r="HT933" s="582"/>
      <c r="HU933" s="582"/>
      <c r="HV933" s="582"/>
      <c r="HW933" s="582"/>
      <c r="HX933" s="582"/>
      <c r="HY933" s="582"/>
      <c r="HZ933" s="582"/>
      <c r="IA933" s="582"/>
      <c r="IB933" s="582"/>
      <c r="IC933" s="582"/>
      <c r="ID933" s="582"/>
      <c r="IE933" s="582"/>
      <c r="IF933" s="582"/>
      <c r="IG933" s="582"/>
      <c r="IH933" s="582"/>
      <c r="II933" s="582"/>
      <c r="IJ933" s="582"/>
      <c r="IK933" s="582"/>
      <c r="IL933" s="582"/>
      <c r="IM933" s="582"/>
      <c r="IN933" s="582"/>
      <c r="IO933" s="582"/>
      <c r="IP933" s="582"/>
      <c r="IQ933" s="582"/>
      <c r="IR933" s="582"/>
      <c r="IS933" s="582"/>
      <c r="IT933" s="582"/>
      <c r="IU933" s="582"/>
      <c r="IV933" s="582"/>
      <c r="IW933" s="582"/>
    </row>
    <row r="934" spans="1:257" s="682" customFormat="1" ht="15.75" hidden="1" customHeight="1">
      <c r="A934" s="683" t="s">
        <v>258</v>
      </c>
      <c r="B934" s="696" t="s">
        <v>511</v>
      </c>
      <c r="C934" s="713"/>
      <c r="D934" s="713"/>
      <c r="E934" s="725"/>
      <c r="F934" s="669"/>
      <c r="G934" s="816"/>
      <c r="H934" s="816"/>
      <c r="I934" s="816"/>
      <c r="J934" s="669">
        <v>31000000</v>
      </c>
      <c r="K934" s="669"/>
      <c r="L934" s="1306"/>
      <c r="M934" s="669"/>
      <c r="N934" s="837"/>
      <c r="O934" s="837"/>
      <c r="P934" s="927"/>
      <c r="Q934" s="927"/>
      <c r="R934" s="871"/>
      <c r="S934" s="891"/>
      <c r="T934" s="832"/>
      <c r="U934" s="580"/>
      <c r="V934" s="581"/>
      <c r="W934" s="581"/>
      <c r="X934" s="578"/>
      <c r="Y934" s="582"/>
      <c r="Z934" s="582"/>
      <c r="AA934" s="582"/>
      <c r="AB934" s="582"/>
      <c r="AC934" s="582"/>
      <c r="AD934" s="582"/>
      <c r="AE934" s="582"/>
      <c r="AF934" s="582"/>
      <c r="AG934" s="582"/>
      <c r="AH934" s="582"/>
      <c r="AI934" s="582"/>
      <c r="AJ934" s="582"/>
      <c r="AK934" s="582"/>
      <c r="AL934" s="582"/>
      <c r="AM934" s="582"/>
      <c r="AN934" s="582"/>
      <c r="AO934" s="582"/>
      <c r="AP934" s="582"/>
      <c r="AQ934" s="582"/>
      <c r="AR934" s="582"/>
      <c r="AS934" s="582"/>
      <c r="AT934" s="582"/>
      <c r="AU934" s="582"/>
      <c r="AV934" s="582"/>
      <c r="AW934" s="582"/>
      <c r="AX934" s="582"/>
      <c r="AY934" s="582"/>
      <c r="AZ934" s="582"/>
      <c r="BA934" s="582"/>
      <c r="BB934" s="582"/>
      <c r="BC934" s="582"/>
      <c r="BD934" s="582"/>
      <c r="BE934" s="582"/>
      <c r="BF934" s="582"/>
      <c r="BG934" s="582"/>
      <c r="BH934" s="582"/>
      <c r="BI934" s="582"/>
      <c r="BJ934" s="582"/>
      <c r="BK934" s="582"/>
      <c r="BL934" s="582"/>
      <c r="BM934" s="582"/>
      <c r="BN934" s="582"/>
      <c r="BO934" s="582"/>
      <c r="BP934" s="582"/>
      <c r="BQ934" s="582"/>
      <c r="BR934" s="582"/>
      <c r="BS934" s="582"/>
      <c r="BT934" s="582"/>
      <c r="BU934" s="582"/>
      <c r="BV934" s="582"/>
      <c r="BW934" s="582"/>
      <c r="BX934" s="582"/>
      <c r="BY934" s="582"/>
      <c r="BZ934" s="582"/>
      <c r="CA934" s="582"/>
      <c r="CB934" s="582"/>
      <c r="CC934" s="582"/>
      <c r="CD934" s="582"/>
      <c r="CE934" s="582"/>
      <c r="CF934" s="582"/>
      <c r="CG934" s="582"/>
      <c r="CH934" s="582"/>
      <c r="CI934" s="582"/>
      <c r="CJ934" s="582"/>
      <c r="CK934" s="582"/>
      <c r="CL934" s="582"/>
      <c r="CM934" s="582"/>
      <c r="CN934" s="582"/>
      <c r="CO934" s="582"/>
      <c r="CP934" s="582"/>
      <c r="CQ934" s="582"/>
      <c r="CR934" s="582"/>
      <c r="CS934" s="582"/>
      <c r="CT934" s="582"/>
      <c r="CU934" s="582"/>
      <c r="CV934" s="582"/>
      <c r="CW934" s="582"/>
      <c r="CX934" s="582"/>
      <c r="CY934" s="582"/>
      <c r="CZ934" s="582"/>
      <c r="DA934" s="582"/>
      <c r="DB934" s="582"/>
      <c r="DC934" s="582"/>
      <c r="DD934" s="582"/>
      <c r="DE934" s="582"/>
      <c r="DF934" s="582"/>
      <c r="DG934" s="582"/>
      <c r="DH934" s="582"/>
      <c r="DI934" s="582"/>
      <c r="DJ934" s="582"/>
      <c r="DK934" s="582"/>
      <c r="DL934" s="582"/>
      <c r="DM934" s="582"/>
      <c r="DN934" s="582"/>
      <c r="DO934" s="582"/>
      <c r="DP934" s="582"/>
      <c r="DQ934" s="582"/>
      <c r="DR934" s="582"/>
      <c r="DS934" s="582"/>
      <c r="DT934" s="582"/>
      <c r="DU934" s="582"/>
      <c r="DV934" s="582"/>
      <c r="DW934" s="582"/>
      <c r="DX934" s="582"/>
      <c r="DY934" s="582"/>
      <c r="DZ934" s="582"/>
      <c r="EA934" s="582"/>
      <c r="EB934" s="582"/>
      <c r="EC934" s="582"/>
      <c r="ED934" s="582"/>
      <c r="EE934" s="582"/>
      <c r="EF934" s="582"/>
      <c r="EG934" s="582"/>
      <c r="EH934" s="582"/>
      <c r="EI934" s="582"/>
      <c r="EJ934" s="582"/>
      <c r="EK934" s="582"/>
      <c r="EL934" s="582"/>
      <c r="EM934" s="582"/>
      <c r="EN934" s="582"/>
      <c r="EO934" s="582"/>
      <c r="EP934" s="582"/>
      <c r="EQ934" s="582"/>
      <c r="ER934" s="582"/>
      <c r="ES934" s="582"/>
      <c r="ET934" s="582"/>
      <c r="EU934" s="582"/>
      <c r="EV934" s="582"/>
      <c r="EW934" s="582"/>
      <c r="EX934" s="582"/>
      <c r="EY934" s="582"/>
      <c r="EZ934" s="582"/>
      <c r="FA934" s="582"/>
      <c r="FB934" s="582"/>
      <c r="FC934" s="582"/>
      <c r="FD934" s="582"/>
      <c r="FE934" s="582"/>
      <c r="FF934" s="582"/>
      <c r="FG934" s="582"/>
      <c r="FH934" s="582"/>
      <c r="FI934" s="582"/>
      <c r="FJ934" s="582"/>
      <c r="FK934" s="582"/>
      <c r="FL934" s="582"/>
      <c r="FM934" s="582"/>
      <c r="FN934" s="582"/>
      <c r="FO934" s="582"/>
      <c r="FP934" s="582"/>
      <c r="FQ934" s="582"/>
      <c r="FR934" s="582"/>
      <c r="FS934" s="582"/>
      <c r="FT934" s="582"/>
      <c r="FU934" s="582"/>
      <c r="FV934" s="582"/>
      <c r="FW934" s="582"/>
      <c r="FX934" s="582"/>
      <c r="FY934" s="582"/>
      <c r="FZ934" s="582"/>
      <c r="GA934" s="582"/>
      <c r="GB934" s="582"/>
      <c r="GC934" s="582"/>
      <c r="GD934" s="582"/>
      <c r="GE934" s="582"/>
      <c r="GF934" s="582"/>
      <c r="GG934" s="582"/>
      <c r="GH934" s="582"/>
      <c r="GI934" s="582"/>
      <c r="GJ934" s="582"/>
      <c r="GK934" s="582"/>
      <c r="GL934" s="582"/>
      <c r="GM934" s="582"/>
      <c r="GN934" s="582"/>
      <c r="GO934" s="582"/>
      <c r="GP934" s="582"/>
      <c r="GQ934" s="582"/>
      <c r="GR934" s="582"/>
      <c r="GS934" s="582"/>
      <c r="GT934" s="582"/>
      <c r="GU934" s="582"/>
      <c r="GV934" s="582"/>
      <c r="GW934" s="582"/>
      <c r="GX934" s="582"/>
      <c r="GY934" s="582"/>
      <c r="GZ934" s="582"/>
      <c r="HA934" s="582"/>
      <c r="HB934" s="582"/>
      <c r="HC934" s="582"/>
      <c r="HD934" s="582"/>
      <c r="HE934" s="582"/>
      <c r="HF934" s="582"/>
      <c r="HG934" s="582"/>
      <c r="HH934" s="582"/>
      <c r="HI934" s="582"/>
      <c r="HJ934" s="582"/>
      <c r="HK934" s="582"/>
      <c r="HL934" s="582"/>
      <c r="HM934" s="582"/>
      <c r="HN934" s="582"/>
      <c r="HO934" s="582"/>
      <c r="HP934" s="582"/>
      <c r="HQ934" s="582"/>
      <c r="HR934" s="582"/>
      <c r="HS934" s="582"/>
      <c r="HT934" s="582"/>
      <c r="HU934" s="582"/>
      <c r="HV934" s="582"/>
      <c r="HW934" s="582"/>
      <c r="HX934" s="582"/>
      <c r="HY934" s="582"/>
      <c r="HZ934" s="582"/>
      <c r="IA934" s="582"/>
      <c r="IB934" s="582"/>
      <c r="IC934" s="582"/>
      <c r="ID934" s="582"/>
      <c r="IE934" s="582"/>
      <c r="IF934" s="582"/>
      <c r="IG934" s="582"/>
      <c r="IH934" s="582"/>
      <c r="II934" s="582"/>
      <c r="IJ934" s="582"/>
      <c r="IK934" s="582"/>
      <c r="IL934" s="582"/>
      <c r="IM934" s="582"/>
      <c r="IN934" s="582"/>
      <c r="IO934" s="582"/>
      <c r="IP934" s="582"/>
      <c r="IQ934" s="582"/>
      <c r="IR934" s="582"/>
      <c r="IS934" s="582"/>
      <c r="IT934" s="582"/>
      <c r="IU934" s="582"/>
      <c r="IV934" s="582"/>
      <c r="IW934" s="582"/>
    </row>
    <row r="935" spans="1:257" s="724" customFormat="1" ht="15" hidden="1" customHeight="1">
      <c r="A935" s="683" t="s">
        <v>258</v>
      </c>
      <c r="B935" s="696" t="s">
        <v>512</v>
      </c>
      <c r="C935" s="713"/>
      <c r="D935" s="713"/>
      <c r="E935" s="725"/>
      <c r="F935" s="725">
        <v>65000000</v>
      </c>
      <c r="G935" s="725"/>
      <c r="H935" s="725"/>
      <c r="I935" s="725"/>
      <c r="J935" s="725">
        <v>100000000</v>
      </c>
      <c r="K935" s="725"/>
      <c r="L935" s="1311"/>
      <c r="M935" s="669"/>
      <c r="N935" s="868"/>
      <c r="O935" s="868"/>
      <c r="P935" s="868" t="s">
        <v>513</v>
      </c>
      <c r="Q935" s="868"/>
      <c r="R935" s="871"/>
      <c r="S935" s="866"/>
      <c r="T935" s="839"/>
      <c r="U935" s="726"/>
      <c r="V935" s="727"/>
      <c r="W935" s="581"/>
      <c r="X935" s="578"/>
      <c r="Y935" s="582"/>
      <c r="Z935" s="582"/>
      <c r="AA935" s="582"/>
      <c r="AB935" s="582"/>
      <c r="AC935" s="582"/>
      <c r="AD935" s="582"/>
      <c r="AE935" s="582"/>
      <c r="AF935" s="582"/>
      <c r="AG935" s="582"/>
      <c r="AH935" s="582"/>
      <c r="AI935" s="582"/>
      <c r="AJ935" s="582"/>
      <c r="AK935" s="582"/>
      <c r="AL935" s="582"/>
      <c r="AM935" s="582"/>
      <c r="AN935" s="582"/>
      <c r="AO935" s="582"/>
      <c r="AP935" s="582"/>
      <c r="AQ935" s="582"/>
      <c r="AR935" s="582"/>
      <c r="AS935" s="582"/>
      <c r="AT935" s="582"/>
      <c r="AU935" s="582"/>
      <c r="AV935" s="582"/>
      <c r="AW935" s="582"/>
      <c r="AX935" s="582"/>
      <c r="AY935" s="582"/>
      <c r="AZ935" s="582"/>
      <c r="BA935" s="582"/>
      <c r="BB935" s="582"/>
      <c r="BC935" s="582"/>
      <c r="BD935" s="582"/>
      <c r="BE935" s="582"/>
      <c r="BF935" s="582"/>
      <c r="BG935" s="582"/>
      <c r="BH935" s="582"/>
      <c r="BI935" s="582"/>
      <c r="BJ935" s="582"/>
      <c r="BK935" s="582"/>
      <c r="BL935" s="582"/>
      <c r="BM935" s="582"/>
      <c r="BN935" s="582"/>
      <c r="BO935" s="582"/>
      <c r="BP935" s="582"/>
      <c r="BQ935" s="582"/>
      <c r="BR935" s="582"/>
      <c r="BS935" s="582"/>
      <c r="BT935" s="582"/>
      <c r="BU935" s="582"/>
      <c r="BV935" s="582"/>
      <c r="BW935" s="582"/>
      <c r="BX935" s="582"/>
      <c r="BY935" s="582"/>
      <c r="BZ935" s="582"/>
      <c r="CA935" s="582"/>
      <c r="CB935" s="582"/>
      <c r="CC935" s="582"/>
      <c r="CD935" s="582"/>
      <c r="CE935" s="582"/>
      <c r="CF935" s="582"/>
      <c r="CG935" s="582"/>
      <c r="CH935" s="582"/>
      <c r="CI935" s="582"/>
      <c r="CJ935" s="582"/>
      <c r="CK935" s="582"/>
      <c r="CL935" s="582"/>
      <c r="CM935" s="582"/>
      <c r="CN935" s="582"/>
      <c r="CO935" s="582"/>
      <c r="CP935" s="582"/>
      <c r="CQ935" s="582"/>
      <c r="CR935" s="582"/>
      <c r="CS935" s="582"/>
      <c r="CT935" s="582"/>
      <c r="CU935" s="582"/>
      <c r="CV935" s="582"/>
      <c r="CW935" s="582"/>
      <c r="CX935" s="582"/>
      <c r="CY935" s="582"/>
      <c r="CZ935" s="582"/>
      <c r="DA935" s="582"/>
      <c r="DB935" s="582"/>
      <c r="DC935" s="582"/>
      <c r="DD935" s="582"/>
      <c r="DE935" s="582"/>
      <c r="DF935" s="582"/>
      <c r="DG935" s="582"/>
      <c r="DH935" s="582"/>
      <c r="DI935" s="582"/>
      <c r="DJ935" s="582"/>
      <c r="DK935" s="582"/>
      <c r="DL935" s="582"/>
      <c r="DM935" s="582"/>
      <c r="DN935" s="582"/>
      <c r="DO935" s="582"/>
      <c r="DP935" s="582"/>
      <c r="DQ935" s="582"/>
      <c r="DR935" s="582"/>
      <c r="DS935" s="582"/>
      <c r="DT935" s="582"/>
      <c r="DU935" s="582"/>
      <c r="DV935" s="582"/>
      <c r="DW935" s="582"/>
      <c r="DX935" s="582"/>
      <c r="DY935" s="582"/>
      <c r="DZ935" s="582"/>
      <c r="EA935" s="582"/>
      <c r="EB935" s="582"/>
      <c r="EC935" s="582"/>
      <c r="ED935" s="582"/>
      <c r="EE935" s="582"/>
      <c r="EF935" s="582"/>
      <c r="EG935" s="582"/>
      <c r="EH935" s="582"/>
      <c r="EI935" s="582"/>
      <c r="EJ935" s="582"/>
      <c r="EK935" s="582"/>
      <c r="EL935" s="582"/>
      <c r="EM935" s="582"/>
      <c r="EN935" s="582"/>
      <c r="EO935" s="582"/>
      <c r="EP935" s="582"/>
      <c r="EQ935" s="582"/>
      <c r="ER935" s="582"/>
      <c r="ES935" s="582"/>
      <c r="ET935" s="582"/>
      <c r="EU935" s="582"/>
      <c r="EV935" s="582"/>
      <c r="EW935" s="582"/>
      <c r="EX935" s="582"/>
      <c r="EY935" s="582"/>
      <c r="EZ935" s="582"/>
      <c r="FA935" s="582"/>
      <c r="FB935" s="582"/>
      <c r="FC935" s="582"/>
      <c r="FD935" s="582"/>
      <c r="FE935" s="582"/>
      <c r="FF935" s="582"/>
      <c r="FG935" s="582"/>
      <c r="FH935" s="582"/>
      <c r="FI935" s="582"/>
      <c r="FJ935" s="582"/>
      <c r="FK935" s="582"/>
      <c r="FL935" s="582"/>
      <c r="FM935" s="582"/>
      <c r="FN935" s="582"/>
      <c r="FO935" s="582"/>
      <c r="FP935" s="582"/>
      <c r="FQ935" s="582"/>
      <c r="FR935" s="582"/>
      <c r="FS935" s="582"/>
      <c r="FT935" s="582"/>
      <c r="FU935" s="582"/>
      <c r="FV935" s="582"/>
      <c r="FW935" s="582"/>
      <c r="FX935" s="582"/>
      <c r="FY935" s="582"/>
      <c r="FZ935" s="582"/>
      <c r="GA935" s="582"/>
      <c r="GB935" s="582"/>
      <c r="GC935" s="582"/>
      <c r="GD935" s="582"/>
      <c r="GE935" s="582"/>
      <c r="GF935" s="582"/>
      <c r="GG935" s="582"/>
      <c r="GH935" s="582"/>
      <c r="GI935" s="582"/>
      <c r="GJ935" s="582"/>
      <c r="GK935" s="582"/>
      <c r="GL935" s="582"/>
      <c r="GM935" s="582"/>
      <c r="GN935" s="582"/>
      <c r="GO935" s="582"/>
      <c r="GP935" s="582"/>
      <c r="GQ935" s="582"/>
      <c r="GR935" s="582"/>
      <c r="GS935" s="582"/>
      <c r="GT935" s="582"/>
      <c r="GU935" s="582"/>
      <c r="GV935" s="582"/>
      <c r="GW935" s="582"/>
      <c r="GX935" s="582"/>
      <c r="GY935" s="582"/>
      <c r="GZ935" s="582"/>
      <c r="HA935" s="582"/>
      <c r="HB935" s="582"/>
      <c r="HC935" s="582"/>
      <c r="HD935" s="582"/>
      <c r="HE935" s="582"/>
      <c r="HF935" s="582"/>
      <c r="HG935" s="582"/>
      <c r="HH935" s="582"/>
      <c r="HI935" s="582"/>
      <c r="HJ935" s="582"/>
      <c r="HK935" s="582"/>
      <c r="HL935" s="582"/>
      <c r="HM935" s="582"/>
      <c r="HN935" s="582"/>
      <c r="HO935" s="582"/>
      <c r="HP935" s="582"/>
      <c r="HQ935" s="582"/>
      <c r="HR935" s="582"/>
      <c r="HS935" s="582"/>
      <c r="HT935" s="582"/>
      <c r="HU935" s="582"/>
      <c r="HV935" s="582"/>
      <c r="HW935" s="582"/>
      <c r="HX935" s="582"/>
      <c r="HY935" s="582"/>
      <c r="HZ935" s="582"/>
      <c r="IA935" s="582"/>
      <c r="IB935" s="582"/>
      <c r="IC935" s="582"/>
      <c r="ID935" s="582"/>
      <c r="IE935" s="582"/>
      <c r="IF935" s="582"/>
      <c r="IG935" s="582"/>
      <c r="IH935" s="582"/>
      <c r="II935" s="582"/>
      <c r="IJ935" s="582"/>
      <c r="IK935" s="582"/>
      <c r="IL935" s="582"/>
      <c r="IM935" s="582"/>
      <c r="IN935" s="582"/>
      <c r="IO935" s="582"/>
      <c r="IP935" s="582"/>
      <c r="IQ935" s="582"/>
      <c r="IR935" s="582"/>
      <c r="IS935" s="582"/>
      <c r="IT935" s="582"/>
      <c r="IU935" s="582"/>
      <c r="IV935" s="582"/>
      <c r="IW935" s="582"/>
    </row>
    <row r="936" spans="1:257" s="724" customFormat="1" ht="15.75" hidden="1" customHeight="1">
      <c r="A936" s="589" t="s">
        <v>261</v>
      </c>
      <c r="B936" s="804" t="s">
        <v>262</v>
      </c>
      <c r="C936" s="589"/>
      <c r="D936" s="589"/>
      <c r="E936" s="704"/>
      <c r="F936" s="805">
        <f t="shared" ref="F936:J936" si="87">F937</f>
        <v>27500000</v>
      </c>
      <c r="G936" s="805">
        <f t="shared" si="87"/>
        <v>0</v>
      </c>
      <c r="H936" s="805">
        <f t="shared" si="87"/>
        <v>0</v>
      </c>
      <c r="I936" s="805">
        <f t="shared" si="87"/>
        <v>0</v>
      </c>
      <c r="J936" s="805">
        <f t="shared" si="87"/>
        <v>31000000</v>
      </c>
      <c r="K936" s="805"/>
      <c r="L936" s="1312"/>
      <c r="M936" s="603"/>
      <c r="N936" s="835"/>
      <c r="O936" s="835"/>
      <c r="P936" s="890"/>
      <c r="Q936" s="890"/>
      <c r="R936" s="891"/>
      <c r="S936" s="891"/>
      <c r="T936" s="832"/>
      <c r="U936" s="721"/>
      <c r="V936" s="722"/>
      <c r="W936" s="701"/>
      <c r="X936" s="702"/>
      <c r="Y936" s="703"/>
      <c r="Z936" s="703"/>
      <c r="AA936" s="703"/>
      <c r="AB936" s="703"/>
      <c r="AC936" s="703"/>
      <c r="AD936" s="703"/>
      <c r="AE936" s="703"/>
      <c r="AF936" s="703"/>
      <c r="AG936" s="703"/>
      <c r="AH936" s="703"/>
      <c r="AI936" s="703"/>
      <c r="AJ936" s="703"/>
      <c r="AK936" s="703"/>
      <c r="AL936" s="703"/>
      <c r="AM936" s="703"/>
      <c r="AN936" s="703"/>
      <c r="AO936" s="703"/>
      <c r="AP936" s="703"/>
      <c r="AQ936" s="703"/>
      <c r="AR936" s="703"/>
      <c r="AS936" s="703"/>
      <c r="AT936" s="703"/>
      <c r="AU936" s="703"/>
      <c r="AV936" s="703"/>
      <c r="AW936" s="703"/>
      <c r="AX936" s="703"/>
      <c r="AY936" s="703"/>
      <c r="AZ936" s="703"/>
      <c r="BA936" s="703"/>
      <c r="BB936" s="703"/>
      <c r="BC936" s="703"/>
      <c r="BD936" s="703"/>
      <c r="BE936" s="703"/>
      <c r="BF936" s="703"/>
      <c r="BG936" s="703"/>
      <c r="BH936" s="703"/>
      <c r="BI936" s="703"/>
      <c r="BJ936" s="703"/>
      <c r="BK936" s="703"/>
      <c r="BL936" s="703"/>
      <c r="BM936" s="703"/>
      <c r="BN936" s="703"/>
      <c r="BO936" s="703"/>
      <c r="BP936" s="703"/>
      <c r="BQ936" s="703"/>
      <c r="BR936" s="703"/>
      <c r="BS936" s="703"/>
      <c r="BT936" s="703"/>
      <c r="BU936" s="703"/>
      <c r="BV936" s="703"/>
      <c r="BW936" s="703"/>
      <c r="BX936" s="703"/>
      <c r="BY936" s="703"/>
      <c r="BZ936" s="703"/>
      <c r="CA936" s="703"/>
      <c r="CB936" s="703"/>
      <c r="CC936" s="703"/>
      <c r="CD936" s="703"/>
      <c r="CE936" s="703"/>
      <c r="CF936" s="703"/>
      <c r="CG936" s="703"/>
      <c r="CH936" s="703"/>
      <c r="CI936" s="703"/>
      <c r="CJ936" s="703"/>
      <c r="CK936" s="703"/>
      <c r="CL936" s="703"/>
      <c r="CM936" s="703"/>
      <c r="CN936" s="703"/>
      <c r="CO936" s="703"/>
      <c r="CP936" s="703"/>
      <c r="CQ936" s="703"/>
      <c r="CR936" s="703"/>
      <c r="CS936" s="703"/>
      <c r="CT936" s="703"/>
      <c r="CU936" s="703"/>
      <c r="CV936" s="703"/>
      <c r="CW936" s="703"/>
      <c r="CX936" s="703"/>
      <c r="CY936" s="703"/>
      <c r="CZ936" s="703"/>
      <c r="DA936" s="703"/>
      <c r="DB936" s="703"/>
      <c r="DC936" s="703"/>
      <c r="DD936" s="703"/>
      <c r="DE936" s="703"/>
      <c r="DF936" s="703"/>
      <c r="DG936" s="703"/>
      <c r="DH936" s="703"/>
      <c r="DI936" s="703"/>
      <c r="DJ936" s="703"/>
      <c r="DK936" s="703"/>
      <c r="DL936" s="703"/>
      <c r="DM936" s="703"/>
      <c r="DN936" s="703"/>
      <c r="DO936" s="703"/>
      <c r="DP936" s="703"/>
      <c r="DQ936" s="703"/>
      <c r="DR936" s="703"/>
      <c r="DS936" s="703"/>
      <c r="DT936" s="703"/>
      <c r="DU936" s="703"/>
      <c r="DV936" s="703"/>
      <c r="DW936" s="703"/>
      <c r="DX936" s="703"/>
      <c r="DY936" s="703"/>
      <c r="DZ936" s="703"/>
      <c r="EA936" s="703"/>
      <c r="EB936" s="703"/>
      <c r="EC936" s="703"/>
      <c r="ED936" s="703"/>
      <c r="EE936" s="703"/>
      <c r="EF936" s="703"/>
      <c r="EG936" s="703"/>
      <c r="EH936" s="703"/>
      <c r="EI936" s="703"/>
      <c r="EJ936" s="703"/>
      <c r="EK936" s="703"/>
      <c r="EL936" s="703"/>
      <c r="EM936" s="703"/>
      <c r="EN936" s="703"/>
      <c r="EO936" s="703"/>
      <c r="EP936" s="703"/>
      <c r="EQ936" s="703"/>
      <c r="ER936" s="703"/>
      <c r="ES936" s="703"/>
      <c r="ET936" s="703"/>
      <c r="EU936" s="703"/>
      <c r="EV936" s="703"/>
      <c r="EW936" s="703"/>
      <c r="EX936" s="703"/>
      <c r="EY936" s="703"/>
      <c r="EZ936" s="703"/>
      <c r="FA936" s="703"/>
      <c r="FB936" s="703"/>
      <c r="FC936" s="703"/>
      <c r="FD936" s="703"/>
      <c r="FE936" s="703"/>
      <c r="FF936" s="703"/>
      <c r="FG936" s="703"/>
      <c r="FH936" s="703"/>
      <c r="FI936" s="703"/>
      <c r="FJ936" s="703"/>
      <c r="FK936" s="703"/>
      <c r="FL936" s="703"/>
      <c r="FM936" s="703"/>
      <c r="FN936" s="703"/>
      <c r="FO936" s="703"/>
      <c r="FP936" s="703"/>
      <c r="FQ936" s="703"/>
      <c r="FR936" s="703"/>
      <c r="FS936" s="703"/>
      <c r="FT936" s="703"/>
      <c r="FU936" s="703"/>
      <c r="FV936" s="703"/>
      <c r="FW936" s="703"/>
      <c r="FX936" s="703"/>
      <c r="FY936" s="703"/>
      <c r="FZ936" s="703"/>
      <c r="GA936" s="703"/>
      <c r="GB936" s="703"/>
      <c r="GC936" s="703"/>
      <c r="GD936" s="703"/>
      <c r="GE936" s="703"/>
      <c r="GF936" s="703"/>
      <c r="GG936" s="703"/>
      <c r="GH936" s="703"/>
      <c r="GI936" s="703"/>
      <c r="GJ936" s="703"/>
      <c r="GK936" s="703"/>
      <c r="GL936" s="703"/>
      <c r="GM936" s="703"/>
      <c r="GN936" s="703"/>
      <c r="GO936" s="703"/>
      <c r="GP936" s="703"/>
      <c r="GQ936" s="703"/>
      <c r="GR936" s="703"/>
      <c r="GS936" s="703"/>
      <c r="GT936" s="703"/>
      <c r="GU936" s="703"/>
      <c r="GV936" s="703"/>
      <c r="GW936" s="703"/>
      <c r="GX936" s="703"/>
      <c r="GY936" s="703"/>
      <c r="GZ936" s="703"/>
      <c r="HA936" s="703"/>
      <c r="HB936" s="703"/>
      <c r="HC936" s="703"/>
      <c r="HD936" s="703"/>
      <c r="HE936" s="703"/>
      <c r="HF936" s="703"/>
      <c r="HG936" s="703"/>
      <c r="HH936" s="703"/>
      <c r="HI936" s="703"/>
      <c r="HJ936" s="703"/>
      <c r="HK936" s="703"/>
      <c r="HL936" s="703"/>
      <c r="HM936" s="703"/>
      <c r="HN936" s="703"/>
      <c r="HO936" s="703"/>
      <c r="HP936" s="703"/>
      <c r="HQ936" s="703"/>
      <c r="HR936" s="703"/>
      <c r="HS936" s="703"/>
      <c r="HT936" s="703"/>
      <c r="HU936" s="703"/>
      <c r="HV936" s="703"/>
      <c r="HW936" s="703"/>
      <c r="HX936" s="703"/>
      <c r="HY936" s="703"/>
      <c r="HZ936" s="703"/>
      <c r="IA936" s="703"/>
      <c r="IB936" s="703"/>
      <c r="IC936" s="703"/>
      <c r="ID936" s="703"/>
      <c r="IE936" s="703"/>
      <c r="IF936" s="703"/>
      <c r="IG936" s="703"/>
      <c r="IH936" s="703"/>
      <c r="II936" s="703"/>
      <c r="IJ936" s="703"/>
      <c r="IK936" s="703"/>
      <c r="IL936" s="703"/>
      <c r="IM936" s="703"/>
      <c r="IN936" s="703"/>
      <c r="IO936" s="703"/>
      <c r="IP936" s="703"/>
      <c r="IQ936" s="703"/>
      <c r="IR936" s="703"/>
      <c r="IS936" s="703"/>
      <c r="IT936" s="703"/>
      <c r="IU936" s="703"/>
      <c r="IV936" s="703"/>
      <c r="IW936" s="703"/>
    </row>
    <row r="937" spans="1:257" s="682" customFormat="1" ht="15.75" hidden="1" customHeight="1">
      <c r="A937" s="713"/>
      <c r="B937" s="668" t="s">
        <v>263</v>
      </c>
      <c r="C937" s="713"/>
      <c r="D937" s="713"/>
      <c r="E937" s="725"/>
      <c r="F937" s="669">
        <f>(F931+F932+F935)*10%</f>
        <v>27500000</v>
      </c>
      <c r="G937" s="700"/>
      <c r="H937" s="700"/>
      <c r="I937" s="700"/>
      <c r="J937" s="669">
        <f>(J931+J932+J935)*10%</f>
        <v>31000000</v>
      </c>
      <c r="K937" s="669"/>
      <c r="L937" s="1306"/>
      <c r="M937" s="669"/>
      <c r="N937" s="837"/>
      <c r="O937" s="837"/>
      <c r="P937" s="820"/>
      <c r="Q937" s="820"/>
      <c r="R937" s="866"/>
      <c r="S937" s="871"/>
      <c r="T937" s="824"/>
      <c r="U937" s="726"/>
      <c r="V937" s="581"/>
      <c r="W937" s="722"/>
      <c r="X937" s="723"/>
      <c r="Y937" s="724"/>
      <c r="Z937" s="724"/>
      <c r="AA937" s="724"/>
      <c r="AB937" s="724"/>
      <c r="AC937" s="724"/>
      <c r="AD937" s="724"/>
      <c r="AE937" s="724"/>
      <c r="AF937" s="724"/>
      <c r="AG937" s="724"/>
      <c r="AH937" s="724"/>
      <c r="AI937" s="724"/>
      <c r="AJ937" s="724"/>
      <c r="AK937" s="724"/>
      <c r="AL937" s="724"/>
      <c r="AM937" s="724"/>
      <c r="AN937" s="724"/>
      <c r="AO937" s="724"/>
      <c r="AP937" s="724"/>
      <c r="AQ937" s="724"/>
      <c r="AR937" s="724"/>
      <c r="AS937" s="724"/>
      <c r="AT937" s="724"/>
      <c r="AU937" s="724"/>
      <c r="AV937" s="724"/>
      <c r="AW937" s="724"/>
      <c r="AX937" s="724"/>
      <c r="AY937" s="724"/>
      <c r="AZ937" s="724"/>
      <c r="BA937" s="724"/>
      <c r="BB937" s="724"/>
      <c r="BC937" s="724"/>
      <c r="BD937" s="724"/>
      <c r="BE937" s="724"/>
      <c r="BF937" s="724"/>
      <c r="BG937" s="724"/>
      <c r="BH937" s="724"/>
      <c r="BI937" s="724"/>
      <c r="BJ937" s="724"/>
      <c r="BK937" s="724"/>
      <c r="BL937" s="724"/>
      <c r="BM937" s="724"/>
      <c r="BN937" s="724"/>
      <c r="BO937" s="724"/>
      <c r="BP937" s="724"/>
      <c r="BQ937" s="724"/>
      <c r="BR937" s="724"/>
      <c r="BS937" s="724"/>
      <c r="BT937" s="724"/>
      <c r="BU937" s="724"/>
      <c r="BV937" s="724"/>
      <c r="BW937" s="724"/>
      <c r="BX937" s="724"/>
      <c r="BY937" s="724"/>
      <c r="BZ937" s="724"/>
      <c r="CA937" s="724"/>
      <c r="CB937" s="724"/>
      <c r="CC937" s="724"/>
      <c r="CD937" s="724"/>
      <c r="CE937" s="724"/>
      <c r="CF937" s="724"/>
      <c r="CG937" s="724"/>
      <c r="CH937" s="724"/>
      <c r="CI937" s="724"/>
      <c r="CJ937" s="724"/>
      <c r="CK937" s="724"/>
      <c r="CL937" s="724"/>
      <c r="CM937" s="724"/>
      <c r="CN937" s="724"/>
      <c r="CO937" s="724"/>
      <c r="CP937" s="724"/>
      <c r="CQ937" s="724"/>
      <c r="CR937" s="724"/>
      <c r="CS937" s="724"/>
      <c r="CT937" s="724"/>
      <c r="CU937" s="724"/>
      <c r="CV937" s="724"/>
      <c r="CW937" s="724"/>
      <c r="CX937" s="724"/>
      <c r="CY937" s="724"/>
      <c r="CZ937" s="724"/>
      <c r="DA937" s="724"/>
      <c r="DB937" s="724"/>
      <c r="DC937" s="724"/>
      <c r="DD937" s="724"/>
      <c r="DE937" s="724"/>
      <c r="DF937" s="724"/>
      <c r="DG937" s="724"/>
      <c r="DH937" s="724"/>
      <c r="DI937" s="724"/>
      <c r="DJ937" s="724"/>
      <c r="DK937" s="724"/>
      <c r="DL937" s="724"/>
      <c r="DM937" s="724"/>
      <c r="DN937" s="724"/>
      <c r="DO937" s="724"/>
      <c r="DP937" s="724"/>
      <c r="DQ937" s="724"/>
      <c r="DR937" s="724"/>
      <c r="DS937" s="724"/>
      <c r="DT937" s="724"/>
      <c r="DU937" s="724"/>
      <c r="DV937" s="724"/>
      <c r="DW937" s="724"/>
      <c r="DX937" s="724"/>
      <c r="DY937" s="724"/>
      <c r="DZ937" s="724"/>
      <c r="EA937" s="724"/>
      <c r="EB937" s="724"/>
      <c r="EC937" s="724"/>
      <c r="ED937" s="724"/>
      <c r="EE937" s="724"/>
      <c r="EF937" s="724"/>
      <c r="EG937" s="724"/>
      <c r="EH937" s="724"/>
      <c r="EI937" s="724"/>
      <c r="EJ937" s="724"/>
      <c r="EK937" s="724"/>
      <c r="EL937" s="724"/>
      <c r="EM937" s="724"/>
      <c r="EN937" s="724"/>
      <c r="EO937" s="724"/>
      <c r="EP937" s="724"/>
      <c r="EQ937" s="724"/>
      <c r="ER937" s="724"/>
      <c r="ES937" s="724"/>
      <c r="ET937" s="724"/>
      <c r="EU937" s="724"/>
      <c r="EV937" s="724"/>
      <c r="EW937" s="724"/>
      <c r="EX937" s="724"/>
      <c r="EY937" s="724"/>
      <c r="EZ937" s="724"/>
      <c r="FA937" s="724"/>
      <c r="FB937" s="724"/>
      <c r="FC937" s="724"/>
      <c r="FD937" s="724"/>
      <c r="FE937" s="724"/>
      <c r="FF937" s="724"/>
      <c r="FG937" s="724"/>
      <c r="FH937" s="724"/>
      <c r="FI937" s="724"/>
      <c r="FJ937" s="724"/>
      <c r="FK937" s="724"/>
      <c r="FL937" s="724"/>
      <c r="FM937" s="724"/>
      <c r="FN937" s="724"/>
      <c r="FO937" s="724"/>
      <c r="FP937" s="724"/>
      <c r="FQ937" s="724"/>
      <c r="FR937" s="724"/>
      <c r="FS937" s="724"/>
      <c r="FT937" s="724"/>
      <c r="FU937" s="724"/>
      <c r="FV937" s="724"/>
      <c r="FW937" s="724"/>
      <c r="FX937" s="724"/>
      <c r="FY937" s="724"/>
      <c r="FZ937" s="724"/>
      <c r="GA937" s="724"/>
      <c r="GB937" s="724"/>
      <c r="GC937" s="724"/>
      <c r="GD937" s="724"/>
      <c r="GE937" s="724"/>
      <c r="GF937" s="724"/>
      <c r="GG937" s="724"/>
      <c r="GH937" s="724"/>
      <c r="GI937" s="724"/>
      <c r="GJ937" s="724"/>
      <c r="GK937" s="724"/>
      <c r="GL937" s="724"/>
      <c r="GM937" s="724"/>
      <c r="GN937" s="724"/>
      <c r="GO937" s="724"/>
      <c r="GP937" s="724"/>
      <c r="GQ937" s="724"/>
      <c r="GR937" s="724"/>
      <c r="GS937" s="724"/>
      <c r="GT937" s="724"/>
      <c r="GU937" s="724"/>
      <c r="GV937" s="724"/>
      <c r="GW937" s="724"/>
      <c r="GX937" s="724"/>
      <c r="GY937" s="724"/>
      <c r="GZ937" s="724"/>
      <c r="HA937" s="724"/>
      <c r="HB937" s="724"/>
      <c r="HC937" s="724"/>
      <c r="HD937" s="724"/>
      <c r="HE937" s="724"/>
      <c r="HF937" s="724"/>
      <c r="HG937" s="724"/>
      <c r="HH937" s="724"/>
      <c r="HI937" s="724"/>
      <c r="HJ937" s="724"/>
      <c r="HK937" s="724"/>
      <c r="HL937" s="724"/>
      <c r="HM937" s="724"/>
      <c r="HN937" s="724"/>
      <c r="HO937" s="724"/>
      <c r="HP937" s="724"/>
      <c r="HQ937" s="724"/>
      <c r="HR937" s="724"/>
      <c r="HS937" s="724"/>
      <c r="HT937" s="724"/>
      <c r="HU937" s="724"/>
      <c r="HV937" s="724"/>
      <c r="HW937" s="724"/>
      <c r="HX937" s="724"/>
      <c r="HY937" s="724"/>
      <c r="HZ937" s="724"/>
      <c r="IA937" s="724"/>
      <c r="IB937" s="724"/>
      <c r="IC937" s="724"/>
      <c r="ID937" s="724"/>
      <c r="IE937" s="724"/>
      <c r="IF937" s="724"/>
      <c r="IG937" s="724"/>
      <c r="IH937" s="724"/>
      <c r="II937" s="724"/>
      <c r="IJ937" s="724"/>
      <c r="IK937" s="724"/>
      <c r="IL937" s="724"/>
      <c r="IM937" s="724"/>
      <c r="IN937" s="724"/>
      <c r="IO937" s="724"/>
      <c r="IP937" s="724"/>
      <c r="IQ937" s="724"/>
      <c r="IR937" s="724"/>
      <c r="IS937" s="724"/>
      <c r="IT937" s="724"/>
      <c r="IU937" s="724"/>
      <c r="IV937" s="724"/>
      <c r="IW937" s="724"/>
    </row>
    <row r="938" spans="1:257" s="582" customFormat="1">
      <c r="A938" s="622" t="s">
        <v>514</v>
      </c>
      <c r="B938" s="623" t="s">
        <v>515</v>
      </c>
      <c r="C938" s="622">
        <f>SUM(C939:C1091)</f>
        <v>24</v>
      </c>
      <c r="D938" s="622">
        <f>SUM(D939:D1091)</f>
        <v>0</v>
      </c>
      <c r="E938" s="660"/>
      <c r="F938" s="626">
        <f>F939+F975+F1014+F1039+F1068</f>
        <v>6820000000</v>
      </c>
      <c r="G938" s="661"/>
      <c r="H938" s="661"/>
      <c r="I938" s="661"/>
      <c r="J938" s="626">
        <f>J939+J975+J1014+J1039+J1068</f>
        <v>7292536000</v>
      </c>
      <c r="K938" s="626">
        <f>K939+K975+K1014+K1039+K1068</f>
        <v>7712000000</v>
      </c>
      <c r="L938" s="1302">
        <f>L939+L975+L1014+L1039+L1068</f>
        <v>7530700000</v>
      </c>
      <c r="M938" s="626"/>
      <c r="N938" s="855"/>
      <c r="O938" s="855"/>
      <c r="P938" s="865"/>
      <c r="Q938" s="865"/>
      <c r="R938" s="908"/>
      <c r="S938" s="866"/>
      <c r="T938" s="839"/>
      <c r="U938" s="726"/>
      <c r="V938" s="581"/>
      <c r="W938" s="581"/>
      <c r="X938" s="578"/>
    </row>
    <row r="939" spans="1:257" s="1087" customFormat="1">
      <c r="A939" s="791">
        <v>1</v>
      </c>
      <c r="B939" s="840" t="s">
        <v>516</v>
      </c>
      <c r="C939" s="791"/>
      <c r="D939" s="791"/>
      <c r="E939" s="792"/>
      <c r="F939" s="793">
        <f>F940+F946</f>
        <v>2541000000</v>
      </c>
      <c r="G939" s="1141"/>
      <c r="H939" s="1141"/>
      <c r="I939" s="1141"/>
      <c r="J939" s="793">
        <f>J940+J946</f>
        <v>2858917000</v>
      </c>
      <c r="K939" s="793">
        <f>K940+K946</f>
        <v>2530000000</v>
      </c>
      <c r="L939" s="1302">
        <f>L940+L946</f>
        <v>2659800000</v>
      </c>
      <c r="M939" s="793"/>
      <c r="N939" s="946"/>
      <c r="O939" s="946"/>
      <c r="P939" s="892"/>
      <c r="Q939" s="892"/>
      <c r="R939" s="947"/>
      <c r="S939" s="947"/>
      <c r="T939" s="948"/>
      <c r="U939" s="799"/>
      <c r="V939" s="800"/>
      <c r="W939" s="800"/>
      <c r="X939" s="975"/>
      <c r="Y939" s="976"/>
      <c r="Z939" s="976"/>
      <c r="AA939" s="976"/>
      <c r="AB939" s="976"/>
      <c r="AC939" s="976"/>
      <c r="AD939" s="976"/>
      <c r="AE939" s="976"/>
      <c r="AF939" s="976"/>
      <c r="AG939" s="976"/>
      <c r="AH939" s="976"/>
      <c r="AI939" s="976"/>
      <c r="AJ939" s="976"/>
      <c r="AK939" s="976"/>
      <c r="AL939" s="976"/>
      <c r="AM939" s="976"/>
      <c r="AN939" s="976"/>
      <c r="AO939" s="976"/>
      <c r="AP939" s="976"/>
      <c r="AQ939" s="976"/>
      <c r="AR939" s="976"/>
      <c r="AS939" s="976"/>
      <c r="AT939" s="976"/>
      <c r="AU939" s="976"/>
      <c r="AV939" s="976"/>
      <c r="AW939" s="976"/>
      <c r="AX939" s="976"/>
      <c r="AY939" s="976"/>
      <c r="AZ939" s="976"/>
      <c r="BA939" s="976"/>
      <c r="BB939" s="976"/>
      <c r="BC939" s="976"/>
      <c r="BD939" s="976"/>
      <c r="BE939" s="976"/>
      <c r="BF939" s="976"/>
      <c r="BG939" s="976"/>
      <c r="BH939" s="976"/>
      <c r="BI939" s="976"/>
      <c r="BJ939" s="976"/>
      <c r="BK939" s="976"/>
      <c r="BL939" s="976"/>
      <c r="BM939" s="976"/>
      <c r="BN939" s="976"/>
      <c r="BO939" s="976"/>
      <c r="BP939" s="976"/>
      <c r="BQ939" s="976"/>
      <c r="BR939" s="976"/>
      <c r="BS939" s="976"/>
      <c r="BT939" s="976"/>
      <c r="BU939" s="976"/>
      <c r="BV939" s="976"/>
      <c r="BW939" s="976"/>
      <c r="BX939" s="976"/>
      <c r="BY939" s="976"/>
      <c r="BZ939" s="976"/>
      <c r="CA939" s="976"/>
      <c r="CB939" s="976"/>
      <c r="CC939" s="976"/>
      <c r="CD939" s="976"/>
      <c r="CE939" s="976"/>
      <c r="CF939" s="976"/>
      <c r="CG939" s="976"/>
      <c r="CH939" s="976"/>
      <c r="CI939" s="976"/>
      <c r="CJ939" s="976"/>
      <c r="CK939" s="976"/>
      <c r="CL939" s="976"/>
      <c r="CM939" s="976"/>
      <c r="CN939" s="976"/>
      <c r="CO939" s="976"/>
      <c r="CP939" s="976"/>
      <c r="CQ939" s="976"/>
      <c r="CR939" s="976"/>
      <c r="CS939" s="976"/>
      <c r="CT939" s="976"/>
      <c r="CU939" s="976"/>
      <c r="CV939" s="976"/>
      <c r="CW939" s="976"/>
      <c r="CX939" s="976"/>
      <c r="CY939" s="976"/>
      <c r="CZ939" s="976"/>
      <c r="DA939" s="976"/>
      <c r="DB939" s="976"/>
      <c r="DC939" s="976"/>
      <c r="DD939" s="976"/>
      <c r="DE939" s="976"/>
      <c r="DF939" s="976"/>
      <c r="DG939" s="976"/>
      <c r="DH939" s="976"/>
      <c r="DI939" s="976"/>
      <c r="DJ939" s="976"/>
      <c r="DK939" s="976"/>
      <c r="DL939" s="976"/>
      <c r="DM939" s="976"/>
      <c r="DN939" s="976"/>
      <c r="DO939" s="976"/>
      <c r="DP939" s="976"/>
      <c r="DQ939" s="976"/>
      <c r="DR939" s="976"/>
      <c r="DS939" s="976"/>
      <c r="DT939" s="976"/>
      <c r="DU939" s="976"/>
      <c r="DV939" s="976"/>
      <c r="DW939" s="976"/>
      <c r="DX939" s="976"/>
      <c r="DY939" s="976"/>
      <c r="DZ939" s="976"/>
      <c r="EA939" s="976"/>
      <c r="EB939" s="976"/>
      <c r="EC939" s="976"/>
      <c r="ED939" s="976"/>
      <c r="EE939" s="976"/>
      <c r="EF939" s="976"/>
      <c r="EG939" s="976"/>
      <c r="EH939" s="976"/>
      <c r="EI939" s="976"/>
      <c r="EJ939" s="976"/>
      <c r="EK939" s="976"/>
      <c r="EL939" s="976"/>
      <c r="EM939" s="976"/>
      <c r="EN939" s="976"/>
      <c r="EO939" s="976"/>
      <c r="EP939" s="976"/>
      <c r="EQ939" s="976"/>
      <c r="ER939" s="976"/>
      <c r="ES939" s="976"/>
      <c r="ET939" s="976"/>
      <c r="EU939" s="976"/>
      <c r="EV939" s="976"/>
      <c r="EW939" s="976"/>
      <c r="EX939" s="976"/>
      <c r="EY939" s="976"/>
      <c r="EZ939" s="976"/>
      <c r="FA939" s="976"/>
      <c r="FB939" s="976"/>
      <c r="FC939" s="976"/>
      <c r="FD939" s="976"/>
      <c r="FE939" s="976"/>
      <c r="FF939" s="976"/>
      <c r="FG939" s="976"/>
      <c r="FH939" s="976"/>
      <c r="FI939" s="976"/>
      <c r="FJ939" s="976"/>
      <c r="FK939" s="976"/>
      <c r="FL939" s="976"/>
      <c r="FM939" s="976"/>
      <c r="FN939" s="976"/>
      <c r="FO939" s="976"/>
      <c r="FP939" s="976"/>
      <c r="FQ939" s="976"/>
      <c r="FR939" s="976"/>
      <c r="FS939" s="976"/>
      <c r="FT939" s="976"/>
      <c r="FU939" s="976"/>
      <c r="FV939" s="976"/>
      <c r="FW939" s="976"/>
      <c r="FX939" s="976"/>
      <c r="FY939" s="976"/>
      <c r="FZ939" s="976"/>
      <c r="GA939" s="976"/>
      <c r="GB939" s="976"/>
      <c r="GC939" s="976"/>
      <c r="GD939" s="976"/>
      <c r="GE939" s="976"/>
      <c r="GF939" s="976"/>
      <c r="GG939" s="976"/>
      <c r="GH939" s="976"/>
      <c r="GI939" s="976"/>
      <c r="GJ939" s="976"/>
      <c r="GK939" s="976"/>
      <c r="GL939" s="976"/>
      <c r="GM939" s="976"/>
      <c r="GN939" s="976"/>
      <c r="GO939" s="976"/>
      <c r="GP939" s="976"/>
      <c r="GQ939" s="976"/>
      <c r="GR939" s="976"/>
      <c r="GS939" s="976"/>
      <c r="GT939" s="976"/>
      <c r="GU939" s="976"/>
      <c r="GV939" s="976"/>
      <c r="GW939" s="976"/>
      <c r="GX939" s="976"/>
      <c r="GY939" s="976"/>
      <c r="GZ939" s="976"/>
      <c r="HA939" s="976"/>
      <c r="HB939" s="976"/>
      <c r="HC939" s="976"/>
      <c r="HD939" s="976"/>
      <c r="HE939" s="976"/>
      <c r="HF939" s="976"/>
      <c r="HG939" s="976"/>
      <c r="HH939" s="976"/>
      <c r="HI939" s="976"/>
      <c r="HJ939" s="976"/>
      <c r="HK939" s="976"/>
      <c r="HL939" s="976"/>
      <c r="HM939" s="976"/>
      <c r="HN939" s="976"/>
      <c r="HO939" s="976"/>
      <c r="HP939" s="976"/>
      <c r="HQ939" s="976"/>
      <c r="HR939" s="976"/>
      <c r="HS939" s="976"/>
      <c r="HT939" s="976"/>
      <c r="HU939" s="976"/>
      <c r="HV939" s="976"/>
      <c r="HW939" s="976"/>
      <c r="HX939" s="976"/>
      <c r="HY939" s="976"/>
      <c r="HZ939" s="976"/>
      <c r="IA939" s="976"/>
      <c r="IB939" s="976"/>
      <c r="IC939" s="976"/>
      <c r="ID939" s="976"/>
      <c r="IE939" s="976"/>
      <c r="IF939" s="976"/>
      <c r="IG939" s="976"/>
      <c r="IH939" s="976"/>
      <c r="II939" s="976"/>
      <c r="IJ939" s="976"/>
      <c r="IK939" s="976"/>
      <c r="IL939" s="976"/>
      <c r="IM939" s="976"/>
      <c r="IN939" s="976"/>
      <c r="IO939" s="976"/>
      <c r="IP939" s="976"/>
      <c r="IQ939" s="976"/>
      <c r="IR939" s="976"/>
      <c r="IS939" s="976"/>
      <c r="IT939" s="976"/>
      <c r="IU939" s="976"/>
      <c r="IV939" s="976"/>
      <c r="IW939" s="976"/>
    </row>
    <row r="940" spans="1:257" s="614" customFormat="1">
      <c r="A940" s="589" t="s">
        <v>222</v>
      </c>
      <c r="B940" s="804" t="s">
        <v>252</v>
      </c>
      <c r="C940" s="589"/>
      <c r="D940" s="589"/>
      <c r="E940" s="704"/>
      <c r="F940" s="704">
        <f>F941+F944</f>
        <v>948000000</v>
      </c>
      <c r="G940" s="704"/>
      <c r="H940" s="704"/>
      <c r="I940" s="704"/>
      <c r="J940" s="704">
        <f>J941+J944</f>
        <v>776313000</v>
      </c>
      <c r="K940" s="704">
        <f>K942+K944+K945</f>
        <v>943000000</v>
      </c>
      <c r="L940" s="1310">
        <f>L942+L944+L945</f>
        <v>1377800000</v>
      </c>
      <c r="M940" s="609"/>
      <c r="N940" s="829"/>
      <c r="O940" s="829"/>
      <c r="P940" s="829"/>
      <c r="Q940" s="829"/>
      <c r="R940" s="900"/>
      <c r="S940" s="891"/>
      <c r="T940" s="832"/>
      <c r="U940" s="577"/>
      <c r="V940" s="701"/>
      <c r="W940" s="701"/>
      <c r="X940" s="702"/>
      <c r="Y940" s="703"/>
      <c r="Z940" s="703"/>
      <c r="AA940" s="703"/>
      <c r="AB940" s="703"/>
      <c r="AC940" s="703"/>
      <c r="AD940" s="703"/>
      <c r="AE940" s="703"/>
      <c r="AF940" s="703"/>
      <c r="AG940" s="703"/>
      <c r="AH940" s="703"/>
      <c r="AI940" s="703"/>
      <c r="AJ940" s="703"/>
      <c r="AK940" s="703"/>
      <c r="AL940" s="703"/>
      <c r="AM940" s="703"/>
      <c r="AN940" s="703"/>
      <c r="AO940" s="703"/>
      <c r="AP940" s="703"/>
      <c r="AQ940" s="703"/>
      <c r="AR940" s="703"/>
      <c r="AS940" s="703"/>
      <c r="AT940" s="703"/>
      <c r="AU940" s="703"/>
      <c r="AV940" s="703"/>
      <c r="AW940" s="703"/>
      <c r="AX940" s="703"/>
      <c r="AY940" s="703"/>
      <c r="AZ940" s="703"/>
      <c r="BA940" s="703"/>
      <c r="BB940" s="703"/>
      <c r="BC940" s="703"/>
      <c r="BD940" s="703"/>
      <c r="BE940" s="703"/>
      <c r="BF940" s="703"/>
      <c r="BG940" s="703"/>
      <c r="BH940" s="703"/>
      <c r="BI940" s="703"/>
      <c r="BJ940" s="703"/>
      <c r="BK940" s="703"/>
      <c r="BL940" s="703"/>
      <c r="BM940" s="703"/>
      <c r="BN940" s="703"/>
      <c r="BO940" s="703"/>
      <c r="BP940" s="703"/>
      <c r="BQ940" s="703"/>
      <c r="BR940" s="703"/>
      <c r="BS940" s="703"/>
      <c r="BT940" s="703"/>
      <c r="BU940" s="703"/>
      <c r="BV940" s="703"/>
      <c r="BW940" s="703"/>
      <c r="BX940" s="703"/>
      <c r="BY940" s="703"/>
      <c r="BZ940" s="703"/>
      <c r="CA940" s="703"/>
      <c r="CB940" s="703"/>
      <c r="CC940" s="703"/>
      <c r="CD940" s="703"/>
      <c r="CE940" s="703"/>
      <c r="CF940" s="703"/>
      <c r="CG940" s="703"/>
      <c r="CH940" s="703"/>
      <c r="CI940" s="703"/>
      <c r="CJ940" s="703"/>
      <c r="CK940" s="703"/>
      <c r="CL940" s="703"/>
      <c r="CM940" s="703"/>
      <c r="CN940" s="703"/>
      <c r="CO940" s="703"/>
      <c r="CP940" s="703"/>
      <c r="CQ940" s="703"/>
      <c r="CR940" s="703"/>
      <c r="CS940" s="703"/>
      <c r="CT940" s="703"/>
      <c r="CU940" s="703"/>
      <c r="CV940" s="703"/>
      <c r="CW940" s="703"/>
      <c r="CX940" s="703"/>
      <c r="CY940" s="703"/>
      <c r="CZ940" s="703"/>
      <c r="DA940" s="703"/>
      <c r="DB940" s="703"/>
      <c r="DC940" s="703"/>
      <c r="DD940" s="703"/>
      <c r="DE940" s="703"/>
      <c r="DF940" s="703"/>
      <c r="DG940" s="703"/>
      <c r="DH940" s="703"/>
      <c r="DI940" s="703"/>
      <c r="DJ940" s="703"/>
      <c r="DK940" s="703"/>
      <c r="DL940" s="703"/>
      <c r="DM940" s="703"/>
      <c r="DN940" s="703"/>
      <c r="DO940" s="703"/>
      <c r="DP940" s="703"/>
      <c r="DQ940" s="703"/>
      <c r="DR940" s="703"/>
      <c r="DS940" s="703"/>
      <c r="DT940" s="703"/>
      <c r="DU940" s="703"/>
      <c r="DV940" s="703"/>
      <c r="DW940" s="703"/>
      <c r="DX940" s="703"/>
      <c r="DY940" s="703"/>
      <c r="DZ940" s="703"/>
      <c r="EA940" s="703"/>
      <c r="EB940" s="703"/>
      <c r="EC940" s="703"/>
      <c r="ED940" s="703"/>
      <c r="EE940" s="703"/>
      <c r="EF940" s="703"/>
      <c r="EG940" s="703"/>
      <c r="EH940" s="703"/>
      <c r="EI940" s="703"/>
      <c r="EJ940" s="703"/>
      <c r="EK940" s="703"/>
      <c r="EL940" s="703"/>
      <c r="EM940" s="703"/>
      <c r="EN940" s="703"/>
      <c r="EO940" s="703"/>
      <c r="EP940" s="703"/>
      <c r="EQ940" s="703"/>
      <c r="ER940" s="703"/>
      <c r="ES940" s="703"/>
      <c r="ET940" s="703"/>
      <c r="EU940" s="703"/>
      <c r="EV940" s="703"/>
      <c r="EW940" s="703"/>
      <c r="EX940" s="703"/>
      <c r="EY940" s="703"/>
      <c r="EZ940" s="703"/>
      <c r="FA940" s="703"/>
      <c r="FB940" s="703"/>
      <c r="FC940" s="703"/>
      <c r="FD940" s="703"/>
      <c r="FE940" s="703"/>
      <c r="FF940" s="703"/>
      <c r="FG940" s="703"/>
      <c r="FH940" s="703"/>
      <c r="FI940" s="703"/>
      <c r="FJ940" s="703"/>
      <c r="FK940" s="703"/>
      <c r="FL940" s="703"/>
      <c r="FM940" s="703"/>
      <c r="FN940" s="703"/>
      <c r="FO940" s="703"/>
      <c r="FP940" s="703"/>
      <c r="FQ940" s="703"/>
      <c r="FR940" s="703"/>
      <c r="FS940" s="703"/>
      <c r="FT940" s="703"/>
      <c r="FU940" s="703"/>
      <c r="FV940" s="703"/>
      <c r="FW940" s="703"/>
      <c r="FX940" s="703"/>
      <c r="FY940" s="703"/>
      <c r="FZ940" s="703"/>
      <c r="GA940" s="703"/>
      <c r="GB940" s="703"/>
      <c r="GC940" s="703"/>
      <c r="GD940" s="703"/>
      <c r="GE940" s="703"/>
      <c r="GF940" s="703"/>
      <c r="GG940" s="703"/>
      <c r="GH940" s="703"/>
      <c r="GI940" s="703"/>
      <c r="GJ940" s="703"/>
      <c r="GK940" s="703"/>
      <c r="GL940" s="703"/>
      <c r="GM940" s="703"/>
      <c r="GN940" s="703"/>
      <c r="GO940" s="703"/>
      <c r="GP940" s="703"/>
      <c r="GQ940" s="703"/>
      <c r="GR940" s="703"/>
      <c r="GS940" s="703"/>
      <c r="GT940" s="703"/>
      <c r="GU940" s="703"/>
      <c r="GV940" s="703"/>
      <c r="GW940" s="703"/>
      <c r="GX940" s="703"/>
      <c r="GY940" s="703"/>
      <c r="GZ940" s="703"/>
      <c r="HA940" s="703"/>
      <c r="HB940" s="703"/>
      <c r="HC940" s="703"/>
      <c r="HD940" s="703"/>
      <c r="HE940" s="703"/>
      <c r="HF940" s="703"/>
      <c r="HG940" s="703"/>
      <c r="HH940" s="703"/>
      <c r="HI940" s="703"/>
      <c r="HJ940" s="703"/>
      <c r="HK940" s="703"/>
      <c r="HL940" s="703"/>
      <c r="HM940" s="703"/>
      <c r="HN940" s="703"/>
      <c r="HO940" s="703"/>
      <c r="HP940" s="703"/>
      <c r="HQ940" s="703"/>
      <c r="HR940" s="703"/>
      <c r="HS940" s="703"/>
      <c r="HT940" s="703"/>
      <c r="HU940" s="703"/>
      <c r="HV940" s="703"/>
      <c r="HW940" s="703"/>
      <c r="HX940" s="703"/>
      <c r="HY940" s="703"/>
      <c r="HZ940" s="703"/>
      <c r="IA940" s="703"/>
      <c r="IB940" s="703"/>
      <c r="IC940" s="703"/>
      <c r="ID940" s="703"/>
      <c r="IE940" s="703"/>
      <c r="IF940" s="703"/>
      <c r="IG940" s="703"/>
      <c r="IH940" s="703"/>
      <c r="II940" s="703"/>
      <c r="IJ940" s="703"/>
      <c r="IK940" s="703"/>
      <c r="IL940" s="703"/>
      <c r="IM940" s="703"/>
      <c r="IN940" s="703"/>
      <c r="IO940" s="703"/>
      <c r="IP940" s="703"/>
      <c r="IQ940" s="703"/>
      <c r="IR940" s="703"/>
      <c r="IS940" s="703"/>
      <c r="IT940" s="703"/>
      <c r="IU940" s="703"/>
      <c r="IV940" s="703"/>
      <c r="IW940" s="703"/>
    </row>
    <row r="941" spans="1:257" s="614" customFormat="1" ht="29.25" customHeight="1">
      <c r="A941" s="699" t="s">
        <v>258</v>
      </c>
      <c r="B941" s="696" t="s">
        <v>1168</v>
      </c>
      <c r="C941" s="699">
        <v>6</v>
      </c>
      <c r="D941" s="699"/>
      <c r="E941" s="700"/>
      <c r="F941" s="700">
        <v>786000000</v>
      </c>
      <c r="G941" s="700"/>
      <c r="H941" s="700"/>
      <c r="I941" s="700"/>
      <c r="J941" s="700">
        <v>614313000</v>
      </c>
      <c r="K941" s="700">
        <f>K942+K943</f>
        <v>944000000</v>
      </c>
      <c r="L941" s="1315">
        <f>L942+L943</f>
        <v>1351000000</v>
      </c>
      <c r="M941" s="651"/>
      <c r="N941" s="820"/>
      <c r="O941" s="820"/>
      <c r="P941" s="820"/>
      <c r="Q941" s="820"/>
      <c r="R941" s="866"/>
      <c r="S941" s="866"/>
      <c r="T941" s="839"/>
      <c r="U941" s="580"/>
      <c r="V941" s="581"/>
      <c r="W941" s="613"/>
      <c r="X941" s="611"/>
    </row>
    <row r="942" spans="1:257" s="621" customFormat="1">
      <c r="A942" s="713"/>
      <c r="B942" s="684" t="s">
        <v>1169</v>
      </c>
      <c r="C942" s="713"/>
      <c r="D942" s="713"/>
      <c r="E942" s="725"/>
      <c r="F942" s="725"/>
      <c r="G942" s="725"/>
      <c r="H942" s="725"/>
      <c r="I942" s="725"/>
      <c r="J942" s="725"/>
      <c r="K942" s="725">
        <v>781000000</v>
      </c>
      <c r="L942" s="1311">
        <v>860000000</v>
      </c>
      <c r="M942" s="669"/>
      <c r="N942" s="868"/>
      <c r="O942" s="868"/>
      <c r="P942" s="868"/>
      <c r="Q942" s="868"/>
      <c r="R942" s="871"/>
      <c r="S942" s="871"/>
      <c r="T942" s="824"/>
      <c r="U942" s="726"/>
      <c r="V942" s="727"/>
      <c r="W942" s="619"/>
      <c r="X942" s="620"/>
    </row>
    <row r="943" spans="1:257" s="621" customFormat="1">
      <c r="A943" s="713"/>
      <c r="B943" s="684" t="s">
        <v>1380</v>
      </c>
      <c r="C943" s="713"/>
      <c r="D943" s="713"/>
      <c r="E943" s="725"/>
      <c r="F943" s="725"/>
      <c r="G943" s="725"/>
      <c r="H943" s="725"/>
      <c r="I943" s="725"/>
      <c r="J943" s="725"/>
      <c r="K943" s="725">
        <v>163000000</v>
      </c>
      <c r="L943" s="1311">
        <v>491000000</v>
      </c>
      <c r="M943" s="669"/>
      <c r="N943" s="868"/>
      <c r="O943" s="868"/>
      <c r="P943" s="868"/>
      <c r="Q943" s="868"/>
      <c r="R943" s="871"/>
      <c r="S943" s="871"/>
      <c r="T943" s="824"/>
      <c r="U943" s="726"/>
      <c r="V943" s="727"/>
      <c r="W943" s="619"/>
      <c r="X943" s="620"/>
    </row>
    <row r="944" spans="1:257" s="641" customFormat="1">
      <c r="A944" s="699" t="s">
        <v>258</v>
      </c>
      <c r="B944" s="696" t="s">
        <v>256</v>
      </c>
      <c r="C944" s="699"/>
      <c r="D944" s="699"/>
      <c r="E944" s="700">
        <v>27000000</v>
      </c>
      <c r="F944" s="700">
        <f>C941*E944</f>
        <v>162000000</v>
      </c>
      <c r="G944" s="700"/>
      <c r="H944" s="700">
        <v>6</v>
      </c>
      <c r="I944" s="700">
        <v>27000000</v>
      </c>
      <c r="J944" s="700">
        <f>H944*I944</f>
        <v>162000000</v>
      </c>
      <c r="K944" s="700">
        <f>27000000*6</f>
        <v>162000000</v>
      </c>
      <c r="L944" s="1315">
        <f>27000000*6</f>
        <v>162000000</v>
      </c>
      <c r="M944" s="651" t="s">
        <v>1170</v>
      </c>
      <c r="N944" s="820"/>
      <c r="O944" s="820"/>
      <c r="P944" s="820"/>
      <c r="Q944" s="820"/>
      <c r="R944" s="866"/>
      <c r="S944" s="866"/>
      <c r="T944" s="839"/>
      <c r="U944" s="580"/>
      <c r="V944" s="581"/>
      <c r="W944" s="639"/>
      <c r="X944" s="640"/>
    </row>
    <row r="945" spans="1:257" s="682" customFormat="1">
      <c r="A945" s="713"/>
      <c r="B945" s="813" t="s">
        <v>1357</v>
      </c>
      <c r="C945" s="715"/>
      <c r="D945" s="715"/>
      <c r="E945" s="725"/>
      <c r="F945" s="725"/>
      <c r="G945" s="1101"/>
      <c r="H945" s="1101"/>
      <c r="I945" s="1101"/>
      <c r="J945" s="725"/>
      <c r="K945" s="725"/>
      <c r="L945" s="1311">
        <f>L943-L974</f>
        <v>355800000</v>
      </c>
      <c r="M945" s="669"/>
      <c r="N945" s="868"/>
      <c r="O945" s="868"/>
      <c r="P945" s="1074"/>
      <c r="Q945" s="1074"/>
      <c r="R945" s="1161"/>
      <c r="S945" s="866"/>
      <c r="T945" s="839"/>
      <c r="U945" s="580"/>
      <c r="V945" s="680"/>
      <c r="W945" s="680"/>
      <c r="X945" s="677"/>
      <c r="Y945" s="681"/>
      <c r="Z945" s="681"/>
      <c r="AA945" s="681"/>
      <c r="AB945" s="681"/>
      <c r="AC945" s="681"/>
      <c r="AD945" s="681"/>
      <c r="AE945" s="681"/>
      <c r="AF945" s="681"/>
      <c r="AG945" s="681"/>
      <c r="AH945" s="681"/>
      <c r="AI945" s="681"/>
      <c r="AJ945" s="681"/>
      <c r="AK945" s="681"/>
      <c r="AL945" s="681"/>
      <c r="AM945" s="681"/>
      <c r="AN945" s="681"/>
      <c r="AO945" s="681"/>
      <c r="AP945" s="681"/>
      <c r="AQ945" s="681"/>
      <c r="AR945" s="681"/>
      <c r="AS945" s="681"/>
      <c r="AT945" s="681"/>
      <c r="AU945" s="681"/>
      <c r="AV945" s="681"/>
      <c r="AW945" s="681"/>
      <c r="AX945" s="681"/>
      <c r="AY945" s="681"/>
      <c r="AZ945" s="681"/>
      <c r="BA945" s="681"/>
      <c r="BB945" s="681"/>
      <c r="BC945" s="681"/>
      <c r="BD945" s="681"/>
      <c r="BE945" s="681"/>
      <c r="BF945" s="681"/>
      <c r="BG945" s="681"/>
      <c r="BH945" s="681"/>
      <c r="BI945" s="681"/>
      <c r="BJ945" s="681"/>
      <c r="BK945" s="681"/>
      <c r="BL945" s="681"/>
      <c r="BM945" s="681"/>
      <c r="BN945" s="681"/>
      <c r="BO945" s="681"/>
      <c r="BP945" s="681"/>
      <c r="BQ945" s="681"/>
      <c r="BR945" s="681"/>
      <c r="BS945" s="681"/>
      <c r="BT945" s="681"/>
      <c r="BU945" s="681"/>
      <c r="BV945" s="681"/>
      <c r="BW945" s="681"/>
      <c r="BX945" s="681"/>
      <c r="BY945" s="681"/>
      <c r="BZ945" s="681"/>
      <c r="CA945" s="681"/>
      <c r="CB945" s="681"/>
      <c r="CC945" s="681"/>
      <c r="CD945" s="681"/>
      <c r="CE945" s="681"/>
      <c r="CF945" s="681"/>
      <c r="CG945" s="681"/>
      <c r="CH945" s="681"/>
      <c r="CI945" s="681"/>
      <c r="CJ945" s="681"/>
      <c r="CK945" s="681"/>
      <c r="CL945" s="681"/>
      <c r="CM945" s="681"/>
      <c r="CN945" s="681"/>
      <c r="CO945" s="681"/>
      <c r="CP945" s="681"/>
      <c r="CQ945" s="681"/>
      <c r="CR945" s="681"/>
      <c r="CS945" s="681"/>
      <c r="CT945" s="681"/>
      <c r="CU945" s="681"/>
      <c r="CV945" s="681"/>
      <c r="CW945" s="681"/>
      <c r="CX945" s="681"/>
      <c r="CY945" s="681"/>
      <c r="CZ945" s="681"/>
      <c r="DA945" s="681"/>
      <c r="DB945" s="681"/>
      <c r="DC945" s="681"/>
      <c r="DD945" s="681"/>
      <c r="DE945" s="681"/>
      <c r="DF945" s="681"/>
      <c r="DG945" s="681"/>
      <c r="DH945" s="681"/>
      <c r="DI945" s="681"/>
      <c r="DJ945" s="681"/>
      <c r="DK945" s="681"/>
      <c r="DL945" s="681"/>
      <c r="DM945" s="681"/>
      <c r="DN945" s="681"/>
      <c r="DO945" s="681"/>
      <c r="DP945" s="681"/>
      <c r="DQ945" s="681"/>
      <c r="DR945" s="681"/>
      <c r="DS945" s="681"/>
      <c r="DT945" s="681"/>
      <c r="DU945" s="681"/>
      <c r="DV945" s="681"/>
      <c r="DW945" s="681"/>
      <c r="DX945" s="681"/>
      <c r="DY945" s="681"/>
      <c r="DZ945" s="681"/>
      <c r="EA945" s="681"/>
      <c r="EB945" s="681"/>
      <c r="EC945" s="681"/>
      <c r="ED945" s="681"/>
      <c r="EE945" s="681"/>
      <c r="EF945" s="681"/>
      <c r="EG945" s="681"/>
      <c r="EH945" s="681"/>
      <c r="EI945" s="681"/>
      <c r="EJ945" s="681"/>
      <c r="EK945" s="681"/>
      <c r="EL945" s="681"/>
      <c r="EM945" s="681"/>
      <c r="EN945" s="681"/>
      <c r="EO945" s="681"/>
      <c r="EP945" s="681"/>
      <c r="EQ945" s="681"/>
      <c r="ER945" s="681"/>
      <c r="ES945" s="681"/>
      <c r="ET945" s="681"/>
      <c r="EU945" s="681"/>
      <c r="EV945" s="681"/>
      <c r="EW945" s="681"/>
      <c r="EX945" s="681"/>
      <c r="EY945" s="681"/>
      <c r="EZ945" s="681"/>
      <c r="FA945" s="681"/>
      <c r="FB945" s="681"/>
      <c r="FC945" s="681"/>
      <c r="FD945" s="681"/>
      <c r="FE945" s="681"/>
      <c r="FF945" s="681"/>
      <c r="FG945" s="681"/>
      <c r="FH945" s="681"/>
      <c r="FI945" s="681"/>
      <c r="FJ945" s="681"/>
      <c r="FK945" s="681"/>
      <c r="FL945" s="681"/>
      <c r="FM945" s="681"/>
      <c r="FN945" s="681"/>
      <c r="FO945" s="681"/>
      <c r="FP945" s="681"/>
      <c r="FQ945" s="681"/>
      <c r="FR945" s="681"/>
      <c r="FS945" s="681"/>
      <c r="FT945" s="681"/>
      <c r="FU945" s="681"/>
      <c r="FV945" s="681"/>
      <c r="FW945" s="681"/>
      <c r="FX945" s="681"/>
      <c r="FY945" s="681"/>
      <c r="FZ945" s="681"/>
      <c r="GA945" s="681"/>
      <c r="GB945" s="681"/>
      <c r="GC945" s="681"/>
      <c r="GD945" s="681"/>
      <c r="GE945" s="681"/>
      <c r="GF945" s="681"/>
      <c r="GG945" s="681"/>
      <c r="GH945" s="681"/>
      <c r="GI945" s="681"/>
      <c r="GJ945" s="681"/>
      <c r="GK945" s="681"/>
      <c r="GL945" s="681"/>
      <c r="GM945" s="681"/>
      <c r="GN945" s="681"/>
      <c r="GO945" s="681"/>
      <c r="GP945" s="681"/>
      <c r="GQ945" s="681"/>
      <c r="GR945" s="681"/>
      <c r="GS945" s="681"/>
      <c r="GT945" s="681"/>
      <c r="GU945" s="681"/>
      <c r="GV945" s="681"/>
      <c r="GW945" s="681"/>
      <c r="GX945" s="681"/>
      <c r="GY945" s="681"/>
      <c r="GZ945" s="681"/>
      <c r="HA945" s="681"/>
      <c r="HB945" s="681"/>
      <c r="HC945" s="681"/>
      <c r="HD945" s="681"/>
      <c r="HE945" s="681"/>
      <c r="HF945" s="681"/>
      <c r="HG945" s="681"/>
      <c r="HH945" s="681"/>
      <c r="HI945" s="681"/>
      <c r="HJ945" s="681"/>
      <c r="HK945" s="681"/>
      <c r="HL945" s="681"/>
      <c r="HM945" s="681"/>
      <c r="HN945" s="681"/>
      <c r="HO945" s="681"/>
      <c r="HP945" s="681"/>
      <c r="HQ945" s="681"/>
      <c r="HR945" s="681"/>
      <c r="HS945" s="681"/>
      <c r="HT945" s="681"/>
      <c r="HU945" s="681"/>
      <c r="HV945" s="681"/>
      <c r="HW945" s="681"/>
      <c r="HX945" s="681"/>
      <c r="HY945" s="681"/>
      <c r="HZ945" s="681"/>
      <c r="IA945" s="681"/>
      <c r="IB945" s="681"/>
      <c r="IC945" s="681"/>
      <c r="ID945" s="681"/>
      <c r="IE945" s="681"/>
      <c r="IF945" s="681"/>
      <c r="IG945" s="681"/>
      <c r="IH945" s="681"/>
      <c r="II945" s="681"/>
      <c r="IJ945" s="681"/>
      <c r="IK945" s="681"/>
      <c r="IL945" s="681"/>
      <c r="IM945" s="681"/>
      <c r="IN945" s="681"/>
      <c r="IO945" s="681"/>
      <c r="IP945" s="681"/>
      <c r="IQ945" s="681"/>
      <c r="IR945" s="681"/>
      <c r="IS945" s="681"/>
      <c r="IT945" s="681"/>
      <c r="IU945" s="681"/>
      <c r="IV945" s="681"/>
      <c r="IW945" s="681"/>
    </row>
    <row r="946" spans="1:257" s="682" customFormat="1" ht="24.75" customHeight="1">
      <c r="A946" s="589" t="s">
        <v>225</v>
      </c>
      <c r="B946" s="804" t="s">
        <v>257</v>
      </c>
      <c r="C946" s="589"/>
      <c r="D946" s="589"/>
      <c r="E946" s="704"/>
      <c r="F946" s="805">
        <f>SUM(F947:F958)+F972</f>
        <v>1593000000</v>
      </c>
      <c r="G946" s="704"/>
      <c r="H946" s="704"/>
      <c r="I946" s="704"/>
      <c r="J946" s="805">
        <f>SUM(J947:J958)+SUM(J963:J972)</f>
        <v>2082604000</v>
      </c>
      <c r="K946" s="805">
        <f>SUM(K947:K958)+SUM(K963:K972)</f>
        <v>1587000000</v>
      </c>
      <c r="L946" s="1312">
        <f>SUM(L947:L958)+SUM(L963:L972)</f>
        <v>1282000000</v>
      </c>
      <c r="M946" s="603"/>
      <c r="N946" s="835"/>
      <c r="O946" s="835"/>
      <c r="P946" s="829"/>
      <c r="Q946" s="829"/>
      <c r="R946" s="869"/>
      <c r="S946" s="1161"/>
      <c r="T946" s="1047"/>
      <c r="U946" s="580"/>
      <c r="V946" s="680"/>
      <c r="W946" s="680"/>
      <c r="X946" s="677"/>
      <c r="Y946" s="681"/>
      <c r="Z946" s="681"/>
      <c r="AA946" s="681"/>
      <c r="AB946" s="681"/>
      <c r="AC946" s="681"/>
      <c r="AD946" s="681"/>
      <c r="AE946" s="681"/>
      <c r="AF946" s="681"/>
      <c r="AG946" s="681"/>
      <c r="AH946" s="681"/>
      <c r="AI946" s="681"/>
      <c r="AJ946" s="681"/>
      <c r="AK946" s="681"/>
      <c r="AL946" s="681"/>
      <c r="AM946" s="681"/>
      <c r="AN946" s="681"/>
      <c r="AO946" s="681"/>
      <c r="AP946" s="681"/>
      <c r="AQ946" s="681"/>
      <c r="AR946" s="681"/>
      <c r="AS946" s="681"/>
      <c r="AT946" s="681"/>
      <c r="AU946" s="681"/>
      <c r="AV946" s="681"/>
      <c r="AW946" s="681"/>
      <c r="AX946" s="681"/>
      <c r="AY946" s="681"/>
      <c r="AZ946" s="681"/>
      <c r="BA946" s="681"/>
      <c r="BB946" s="681"/>
      <c r="BC946" s="681"/>
      <c r="BD946" s="681"/>
      <c r="BE946" s="681"/>
      <c r="BF946" s="681"/>
      <c r="BG946" s="681"/>
      <c r="BH946" s="681"/>
      <c r="BI946" s="681"/>
      <c r="BJ946" s="681"/>
      <c r="BK946" s="681"/>
      <c r="BL946" s="681"/>
      <c r="BM946" s="681"/>
      <c r="BN946" s="681"/>
      <c r="BO946" s="681"/>
      <c r="BP946" s="681"/>
      <c r="BQ946" s="681"/>
      <c r="BR946" s="681"/>
      <c r="BS946" s="681"/>
      <c r="BT946" s="681"/>
      <c r="BU946" s="681"/>
      <c r="BV946" s="681"/>
      <c r="BW946" s="681"/>
      <c r="BX946" s="681"/>
      <c r="BY946" s="681"/>
      <c r="BZ946" s="681"/>
      <c r="CA946" s="681"/>
      <c r="CB946" s="681"/>
      <c r="CC946" s="681"/>
      <c r="CD946" s="681"/>
      <c r="CE946" s="681"/>
      <c r="CF946" s="681"/>
      <c r="CG946" s="681"/>
      <c r="CH946" s="681"/>
      <c r="CI946" s="681"/>
      <c r="CJ946" s="681"/>
      <c r="CK946" s="681"/>
      <c r="CL946" s="681"/>
      <c r="CM946" s="681"/>
      <c r="CN946" s="681"/>
      <c r="CO946" s="681"/>
      <c r="CP946" s="681"/>
      <c r="CQ946" s="681"/>
      <c r="CR946" s="681"/>
      <c r="CS946" s="681"/>
      <c r="CT946" s="681"/>
      <c r="CU946" s="681"/>
      <c r="CV946" s="681"/>
      <c r="CW946" s="681"/>
      <c r="CX946" s="681"/>
      <c r="CY946" s="681"/>
      <c r="CZ946" s="681"/>
      <c r="DA946" s="681"/>
      <c r="DB946" s="681"/>
      <c r="DC946" s="681"/>
      <c r="DD946" s="681"/>
      <c r="DE946" s="681"/>
      <c r="DF946" s="681"/>
      <c r="DG946" s="681"/>
      <c r="DH946" s="681"/>
      <c r="DI946" s="681"/>
      <c r="DJ946" s="681"/>
      <c r="DK946" s="681"/>
      <c r="DL946" s="681"/>
      <c r="DM946" s="681"/>
      <c r="DN946" s="681"/>
      <c r="DO946" s="681"/>
      <c r="DP946" s="681"/>
      <c r="DQ946" s="681"/>
      <c r="DR946" s="681"/>
      <c r="DS946" s="681"/>
      <c r="DT946" s="681"/>
      <c r="DU946" s="681"/>
      <c r="DV946" s="681"/>
      <c r="DW946" s="681"/>
      <c r="DX946" s="681"/>
      <c r="DY946" s="681"/>
      <c r="DZ946" s="681"/>
      <c r="EA946" s="681"/>
      <c r="EB946" s="681"/>
      <c r="EC946" s="681"/>
      <c r="ED946" s="681"/>
      <c r="EE946" s="681"/>
      <c r="EF946" s="681"/>
      <c r="EG946" s="681"/>
      <c r="EH946" s="681"/>
      <c r="EI946" s="681"/>
      <c r="EJ946" s="681"/>
      <c r="EK946" s="681"/>
      <c r="EL946" s="681"/>
      <c r="EM946" s="681"/>
      <c r="EN946" s="681"/>
      <c r="EO946" s="681"/>
      <c r="EP946" s="681"/>
      <c r="EQ946" s="681"/>
      <c r="ER946" s="681"/>
      <c r="ES946" s="681"/>
      <c r="ET946" s="681"/>
      <c r="EU946" s="681"/>
      <c r="EV946" s="681"/>
      <c r="EW946" s="681"/>
      <c r="EX946" s="681"/>
      <c r="EY946" s="681"/>
      <c r="EZ946" s="681"/>
      <c r="FA946" s="681"/>
      <c r="FB946" s="681"/>
      <c r="FC946" s="681"/>
      <c r="FD946" s="681"/>
      <c r="FE946" s="681"/>
      <c r="FF946" s="681"/>
      <c r="FG946" s="681"/>
      <c r="FH946" s="681"/>
      <c r="FI946" s="681"/>
      <c r="FJ946" s="681"/>
      <c r="FK946" s="681"/>
      <c r="FL946" s="681"/>
      <c r="FM946" s="681"/>
      <c r="FN946" s="681"/>
      <c r="FO946" s="681"/>
      <c r="FP946" s="681"/>
      <c r="FQ946" s="681"/>
      <c r="FR946" s="681"/>
      <c r="FS946" s="681"/>
      <c r="FT946" s="681"/>
      <c r="FU946" s="681"/>
      <c r="FV946" s="681"/>
      <c r="FW946" s="681"/>
      <c r="FX946" s="681"/>
      <c r="FY946" s="681"/>
      <c r="FZ946" s="681"/>
      <c r="GA946" s="681"/>
      <c r="GB946" s="681"/>
      <c r="GC946" s="681"/>
      <c r="GD946" s="681"/>
      <c r="GE946" s="681"/>
      <c r="GF946" s="681"/>
      <c r="GG946" s="681"/>
      <c r="GH946" s="681"/>
      <c r="GI946" s="681"/>
      <c r="GJ946" s="681"/>
      <c r="GK946" s="681"/>
      <c r="GL946" s="681"/>
      <c r="GM946" s="681"/>
      <c r="GN946" s="681"/>
      <c r="GO946" s="681"/>
      <c r="GP946" s="681"/>
      <c r="GQ946" s="681"/>
      <c r="GR946" s="681"/>
      <c r="GS946" s="681"/>
      <c r="GT946" s="681"/>
      <c r="GU946" s="681"/>
      <c r="GV946" s="681"/>
      <c r="GW946" s="681"/>
      <c r="GX946" s="681"/>
      <c r="GY946" s="681"/>
      <c r="GZ946" s="681"/>
      <c r="HA946" s="681"/>
      <c r="HB946" s="681"/>
      <c r="HC946" s="681"/>
      <c r="HD946" s="681"/>
      <c r="HE946" s="681"/>
      <c r="HF946" s="681"/>
      <c r="HG946" s="681"/>
      <c r="HH946" s="681"/>
      <c r="HI946" s="681"/>
      <c r="HJ946" s="681"/>
      <c r="HK946" s="681"/>
      <c r="HL946" s="681"/>
      <c r="HM946" s="681"/>
      <c r="HN946" s="681"/>
      <c r="HO946" s="681"/>
      <c r="HP946" s="681"/>
      <c r="HQ946" s="681"/>
      <c r="HR946" s="681"/>
      <c r="HS946" s="681"/>
      <c r="HT946" s="681"/>
      <c r="HU946" s="681"/>
      <c r="HV946" s="681"/>
      <c r="HW946" s="681"/>
      <c r="HX946" s="681"/>
      <c r="HY946" s="681"/>
      <c r="HZ946" s="681"/>
      <c r="IA946" s="681"/>
      <c r="IB946" s="681"/>
      <c r="IC946" s="681"/>
      <c r="ID946" s="681"/>
      <c r="IE946" s="681"/>
      <c r="IF946" s="681"/>
      <c r="IG946" s="681"/>
      <c r="IH946" s="681"/>
      <c r="II946" s="681"/>
      <c r="IJ946" s="681"/>
      <c r="IK946" s="681"/>
      <c r="IL946" s="681"/>
      <c r="IM946" s="681"/>
      <c r="IN946" s="681"/>
      <c r="IO946" s="681"/>
      <c r="IP946" s="681"/>
      <c r="IQ946" s="681"/>
      <c r="IR946" s="681"/>
      <c r="IS946" s="681"/>
      <c r="IT946" s="681"/>
      <c r="IU946" s="681"/>
      <c r="IV946" s="681"/>
      <c r="IW946" s="681"/>
    </row>
    <row r="947" spans="1:257" s="682" customFormat="1">
      <c r="A947" s="635" t="s">
        <v>258</v>
      </c>
      <c r="B947" s="696" t="s">
        <v>409</v>
      </c>
      <c r="C947" s="635"/>
      <c r="D947" s="635"/>
      <c r="E947" s="651"/>
      <c r="F947" s="669">
        <v>15000000</v>
      </c>
      <c r="G947" s="651"/>
      <c r="H947" s="651"/>
      <c r="I947" s="651"/>
      <c r="J947" s="669">
        <v>15000000</v>
      </c>
      <c r="K947" s="669">
        <v>25000000</v>
      </c>
      <c r="L947" s="1306">
        <v>0</v>
      </c>
      <c r="M947" s="669" t="s">
        <v>1436</v>
      </c>
      <c r="N947" s="837"/>
      <c r="O947" s="837"/>
      <c r="P947" s="826"/>
      <c r="Q947" s="826"/>
      <c r="R947" s="869"/>
      <c r="S947" s="908"/>
      <c r="T947" s="1017"/>
      <c r="U947" s="670"/>
      <c r="V947" s="619"/>
      <c r="W947" s="727"/>
      <c r="X947" s="728"/>
    </row>
    <row r="948" spans="1:257" s="682" customFormat="1">
      <c r="A948" s="635" t="s">
        <v>258</v>
      </c>
      <c r="B948" s="696" t="s">
        <v>517</v>
      </c>
      <c r="C948" s="635"/>
      <c r="D948" s="635"/>
      <c r="E948" s="651"/>
      <c r="F948" s="669">
        <v>6000000</v>
      </c>
      <c r="G948" s="651"/>
      <c r="H948" s="651"/>
      <c r="I948" s="651"/>
      <c r="J948" s="669">
        <v>5364000</v>
      </c>
      <c r="K948" s="669"/>
      <c r="L948" s="1306"/>
      <c r="M948" s="669"/>
      <c r="N948" s="837"/>
      <c r="O948" s="837"/>
      <c r="P948" s="826"/>
      <c r="Q948" s="826"/>
      <c r="R948" s="869"/>
      <c r="S948" s="908"/>
      <c r="T948" s="1017"/>
      <c r="U948" s="670"/>
      <c r="V948" s="619"/>
      <c r="W948" s="727"/>
      <c r="X948" s="728"/>
    </row>
    <row r="949" spans="1:257" s="682" customFormat="1">
      <c r="A949" s="635" t="s">
        <v>258</v>
      </c>
      <c r="B949" s="696" t="s">
        <v>518</v>
      </c>
      <c r="C949" s="635"/>
      <c r="D949" s="635"/>
      <c r="E949" s="651"/>
      <c r="F949" s="669">
        <v>30000000</v>
      </c>
      <c r="G949" s="651"/>
      <c r="H949" s="651"/>
      <c r="I949" s="651"/>
      <c r="J949" s="669">
        <v>60000000</v>
      </c>
      <c r="K949" s="669">
        <v>36000000</v>
      </c>
      <c r="L949" s="1306">
        <v>36000000</v>
      </c>
      <c r="M949" s="669"/>
      <c r="N949" s="837"/>
      <c r="O949" s="837"/>
      <c r="P949" s="826" t="s">
        <v>519</v>
      </c>
      <c r="Q949" s="826"/>
      <c r="R949" s="908"/>
      <c r="S949" s="867"/>
      <c r="T949" s="856"/>
      <c r="U949" s="670"/>
      <c r="V949" s="727"/>
      <c r="W949" s="727"/>
      <c r="X949" s="728"/>
    </row>
    <row r="950" spans="1:257" s="682" customFormat="1" ht="63">
      <c r="A950" s="635" t="s">
        <v>258</v>
      </c>
      <c r="B950" s="696" t="s">
        <v>520</v>
      </c>
      <c r="C950" s="635"/>
      <c r="D950" s="635"/>
      <c r="E950" s="651"/>
      <c r="F950" s="669">
        <v>120000000</v>
      </c>
      <c r="G950" s="651"/>
      <c r="H950" s="651"/>
      <c r="I950" s="651"/>
      <c r="J950" s="669">
        <v>150000000</v>
      </c>
      <c r="K950" s="669">
        <v>120000000</v>
      </c>
      <c r="L950" s="1306">
        <v>120000000</v>
      </c>
      <c r="M950" s="669"/>
      <c r="N950" s="837"/>
      <c r="O950" s="837"/>
      <c r="P950" s="826"/>
      <c r="Q950" s="826"/>
      <c r="R950" s="908"/>
      <c r="S950" s="867"/>
      <c r="T950" s="856"/>
      <c r="U950" s="670"/>
      <c r="V950" s="727"/>
      <c r="W950" s="581"/>
      <c r="X950" s="578"/>
      <c r="Y950" s="582"/>
      <c r="Z950" s="582"/>
      <c r="AA950" s="582"/>
      <c r="AB950" s="582"/>
      <c r="AC950" s="582"/>
      <c r="AD950" s="582"/>
      <c r="AE950" s="582"/>
      <c r="AF950" s="582"/>
      <c r="AG950" s="582"/>
      <c r="AH950" s="582"/>
      <c r="AI950" s="582"/>
      <c r="AJ950" s="582"/>
      <c r="AK950" s="582"/>
      <c r="AL950" s="582"/>
      <c r="AM950" s="582"/>
      <c r="AN950" s="582"/>
      <c r="AO950" s="582"/>
      <c r="AP950" s="582"/>
      <c r="AQ950" s="582"/>
      <c r="AR950" s="582"/>
      <c r="AS950" s="582"/>
      <c r="AT950" s="582"/>
      <c r="AU950" s="582"/>
      <c r="AV950" s="582"/>
      <c r="AW950" s="582"/>
      <c r="AX950" s="582"/>
      <c r="AY950" s="582"/>
      <c r="AZ950" s="582"/>
      <c r="BA950" s="582"/>
      <c r="BB950" s="582"/>
      <c r="BC950" s="582"/>
      <c r="BD950" s="582"/>
      <c r="BE950" s="582"/>
      <c r="BF950" s="582"/>
      <c r="BG950" s="582"/>
      <c r="BH950" s="582"/>
      <c r="BI950" s="582"/>
      <c r="BJ950" s="582"/>
      <c r="BK950" s="582"/>
      <c r="BL950" s="582"/>
      <c r="BM950" s="582"/>
      <c r="BN950" s="582"/>
      <c r="BO950" s="582"/>
      <c r="BP950" s="582"/>
      <c r="BQ950" s="582"/>
      <c r="BR950" s="582"/>
      <c r="BS950" s="582"/>
      <c r="BT950" s="582"/>
      <c r="BU950" s="582"/>
      <c r="BV950" s="582"/>
      <c r="BW950" s="582"/>
      <c r="BX950" s="582"/>
      <c r="BY950" s="582"/>
      <c r="BZ950" s="582"/>
      <c r="CA950" s="582"/>
      <c r="CB950" s="582"/>
      <c r="CC950" s="582"/>
      <c r="CD950" s="582"/>
      <c r="CE950" s="582"/>
      <c r="CF950" s="582"/>
      <c r="CG950" s="582"/>
      <c r="CH950" s="582"/>
      <c r="CI950" s="582"/>
      <c r="CJ950" s="582"/>
      <c r="CK950" s="582"/>
      <c r="CL950" s="582"/>
      <c r="CM950" s="582"/>
      <c r="CN950" s="582"/>
      <c r="CO950" s="582"/>
      <c r="CP950" s="582"/>
      <c r="CQ950" s="582"/>
      <c r="CR950" s="582"/>
      <c r="CS950" s="582"/>
      <c r="CT950" s="582"/>
      <c r="CU950" s="582"/>
      <c r="CV950" s="582"/>
      <c r="CW950" s="582"/>
      <c r="CX950" s="582"/>
      <c r="CY950" s="582"/>
      <c r="CZ950" s="582"/>
      <c r="DA950" s="582"/>
      <c r="DB950" s="582"/>
      <c r="DC950" s="582"/>
      <c r="DD950" s="582"/>
      <c r="DE950" s="582"/>
      <c r="DF950" s="582"/>
      <c r="DG950" s="582"/>
      <c r="DH950" s="582"/>
      <c r="DI950" s="582"/>
      <c r="DJ950" s="582"/>
      <c r="DK950" s="582"/>
      <c r="DL950" s="582"/>
      <c r="DM950" s="582"/>
      <c r="DN950" s="582"/>
      <c r="DO950" s="582"/>
      <c r="DP950" s="582"/>
      <c r="DQ950" s="582"/>
      <c r="DR950" s="582"/>
      <c r="DS950" s="582"/>
      <c r="DT950" s="582"/>
      <c r="DU950" s="582"/>
      <c r="DV950" s="582"/>
      <c r="DW950" s="582"/>
      <c r="DX950" s="582"/>
      <c r="DY950" s="582"/>
      <c r="DZ950" s="582"/>
      <c r="EA950" s="582"/>
      <c r="EB950" s="582"/>
      <c r="EC950" s="582"/>
      <c r="ED950" s="582"/>
      <c r="EE950" s="582"/>
      <c r="EF950" s="582"/>
      <c r="EG950" s="582"/>
      <c r="EH950" s="582"/>
      <c r="EI950" s="582"/>
      <c r="EJ950" s="582"/>
      <c r="EK950" s="582"/>
      <c r="EL950" s="582"/>
      <c r="EM950" s="582"/>
      <c r="EN950" s="582"/>
      <c r="EO950" s="582"/>
      <c r="EP950" s="582"/>
      <c r="EQ950" s="582"/>
      <c r="ER950" s="582"/>
      <c r="ES950" s="582"/>
      <c r="ET950" s="582"/>
      <c r="EU950" s="582"/>
      <c r="EV950" s="582"/>
      <c r="EW950" s="582"/>
      <c r="EX950" s="582"/>
      <c r="EY950" s="582"/>
      <c r="EZ950" s="582"/>
      <c r="FA950" s="582"/>
      <c r="FB950" s="582"/>
      <c r="FC950" s="582"/>
      <c r="FD950" s="582"/>
      <c r="FE950" s="582"/>
      <c r="FF950" s="582"/>
      <c r="FG950" s="582"/>
      <c r="FH950" s="582"/>
      <c r="FI950" s="582"/>
      <c r="FJ950" s="582"/>
      <c r="FK950" s="582"/>
      <c r="FL950" s="582"/>
      <c r="FM950" s="582"/>
      <c r="FN950" s="582"/>
      <c r="FO950" s="582"/>
      <c r="FP950" s="582"/>
      <c r="FQ950" s="582"/>
      <c r="FR950" s="582"/>
      <c r="FS950" s="582"/>
      <c r="FT950" s="582"/>
      <c r="FU950" s="582"/>
      <c r="FV950" s="582"/>
      <c r="FW950" s="582"/>
      <c r="FX950" s="582"/>
      <c r="FY950" s="582"/>
      <c r="FZ950" s="582"/>
      <c r="GA950" s="582"/>
      <c r="GB950" s="582"/>
      <c r="GC950" s="582"/>
      <c r="GD950" s="582"/>
      <c r="GE950" s="582"/>
      <c r="GF950" s="582"/>
      <c r="GG950" s="582"/>
      <c r="GH950" s="582"/>
      <c r="GI950" s="582"/>
      <c r="GJ950" s="582"/>
      <c r="GK950" s="582"/>
      <c r="GL950" s="582"/>
      <c r="GM950" s="582"/>
      <c r="GN950" s="582"/>
      <c r="GO950" s="582"/>
      <c r="GP950" s="582"/>
      <c r="GQ950" s="582"/>
      <c r="GR950" s="582"/>
      <c r="GS950" s="582"/>
      <c r="GT950" s="582"/>
      <c r="GU950" s="582"/>
      <c r="GV950" s="582"/>
      <c r="GW950" s="582"/>
      <c r="GX950" s="582"/>
      <c r="GY950" s="582"/>
      <c r="GZ950" s="582"/>
      <c r="HA950" s="582"/>
      <c r="HB950" s="582"/>
      <c r="HC950" s="582"/>
      <c r="HD950" s="582"/>
      <c r="HE950" s="582"/>
      <c r="HF950" s="582"/>
      <c r="HG950" s="582"/>
      <c r="HH950" s="582"/>
      <c r="HI950" s="582"/>
      <c r="HJ950" s="582"/>
      <c r="HK950" s="582"/>
      <c r="HL950" s="582"/>
      <c r="HM950" s="582"/>
      <c r="HN950" s="582"/>
      <c r="HO950" s="582"/>
      <c r="HP950" s="582"/>
      <c r="HQ950" s="582"/>
      <c r="HR950" s="582"/>
      <c r="HS950" s="582"/>
      <c r="HT950" s="582"/>
      <c r="HU950" s="582"/>
      <c r="HV950" s="582"/>
      <c r="HW950" s="582"/>
      <c r="HX950" s="582"/>
      <c r="HY950" s="582"/>
      <c r="HZ950" s="582"/>
      <c r="IA950" s="582"/>
      <c r="IB950" s="582"/>
      <c r="IC950" s="582"/>
      <c r="ID950" s="582"/>
      <c r="IE950" s="582"/>
      <c r="IF950" s="582"/>
      <c r="IG950" s="582"/>
      <c r="IH950" s="582"/>
      <c r="II950" s="582"/>
      <c r="IJ950" s="582"/>
      <c r="IK950" s="582"/>
      <c r="IL950" s="582"/>
      <c r="IM950" s="582"/>
      <c r="IN950" s="582"/>
      <c r="IO950" s="582"/>
      <c r="IP950" s="582"/>
      <c r="IQ950" s="582"/>
      <c r="IR950" s="582"/>
      <c r="IS950" s="582"/>
      <c r="IT950" s="582"/>
      <c r="IU950" s="582"/>
      <c r="IV950" s="582"/>
      <c r="IW950" s="582"/>
    </row>
    <row r="951" spans="1:257" s="682" customFormat="1" ht="49.5" customHeight="1">
      <c r="A951" s="635" t="s">
        <v>258</v>
      </c>
      <c r="B951" s="696" t="s">
        <v>1171</v>
      </c>
      <c r="C951" s="635"/>
      <c r="D951" s="635"/>
      <c r="E951" s="651"/>
      <c r="F951" s="669">
        <v>220000000</v>
      </c>
      <c r="G951" s="651"/>
      <c r="H951" s="651"/>
      <c r="I951" s="651"/>
      <c r="J951" s="669"/>
      <c r="K951" s="669"/>
      <c r="L951" s="1306"/>
      <c r="M951" s="669"/>
      <c r="N951" s="837"/>
      <c r="O951" s="837"/>
      <c r="P951" s="826"/>
      <c r="Q951" s="826"/>
      <c r="R951" s="908"/>
      <c r="S951" s="867"/>
      <c r="T951" s="856"/>
      <c r="U951" s="670"/>
      <c r="V951" s="727"/>
      <c r="W951" s="581"/>
      <c r="X951" s="578"/>
      <c r="Y951" s="582"/>
      <c r="Z951" s="582"/>
      <c r="AA951" s="582"/>
      <c r="AB951" s="582"/>
      <c r="AC951" s="582"/>
      <c r="AD951" s="582"/>
      <c r="AE951" s="582"/>
      <c r="AF951" s="582"/>
      <c r="AG951" s="582"/>
      <c r="AH951" s="582"/>
      <c r="AI951" s="582"/>
      <c r="AJ951" s="582"/>
      <c r="AK951" s="582"/>
      <c r="AL951" s="582"/>
      <c r="AM951" s="582"/>
      <c r="AN951" s="582"/>
      <c r="AO951" s="582"/>
      <c r="AP951" s="582"/>
      <c r="AQ951" s="582"/>
      <c r="AR951" s="582"/>
      <c r="AS951" s="582"/>
      <c r="AT951" s="582"/>
      <c r="AU951" s="582"/>
      <c r="AV951" s="582"/>
      <c r="AW951" s="582"/>
      <c r="AX951" s="582"/>
      <c r="AY951" s="582"/>
      <c r="AZ951" s="582"/>
      <c r="BA951" s="582"/>
      <c r="BB951" s="582"/>
      <c r="BC951" s="582"/>
      <c r="BD951" s="582"/>
      <c r="BE951" s="582"/>
      <c r="BF951" s="582"/>
      <c r="BG951" s="582"/>
      <c r="BH951" s="582"/>
      <c r="BI951" s="582"/>
      <c r="BJ951" s="582"/>
      <c r="BK951" s="582"/>
      <c r="BL951" s="582"/>
      <c r="BM951" s="582"/>
      <c r="BN951" s="582"/>
      <c r="BO951" s="582"/>
      <c r="BP951" s="582"/>
      <c r="BQ951" s="582"/>
      <c r="BR951" s="582"/>
      <c r="BS951" s="582"/>
      <c r="BT951" s="582"/>
      <c r="BU951" s="582"/>
      <c r="BV951" s="582"/>
      <c r="BW951" s="582"/>
      <c r="BX951" s="582"/>
      <c r="BY951" s="582"/>
      <c r="BZ951" s="582"/>
      <c r="CA951" s="582"/>
      <c r="CB951" s="582"/>
      <c r="CC951" s="582"/>
      <c r="CD951" s="582"/>
      <c r="CE951" s="582"/>
      <c r="CF951" s="582"/>
      <c r="CG951" s="582"/>
      <c r="CH951" s="582"/>
      <c r="CI951" s="582"/>
      <c r="CJ951" s="582"/>
      <c r="CK951" s="582"/>
      <c r="CL951" s="582"/>
      <c r="CM951" s="582"/>
      <c r="CN951" s="582"/>
      <c r="CO951" s="582"/>
      <c r="CP951" s="582"/>
      <c r="CQ951" s="582"/>
      <c r="CR951" s="582"/>
      <c r="CS951" s="582"/>
      <c r="CT951" s="582"/>
      <c r="CU951" s="582"/>
      <c r="CV951" s="582"/>
      <c r="CW951" s="582"/>
      <c r="CX951" s="582"/>
      <c r="CY951" s="582"/>
      <c r="CZ951" s="582"/>
      <c r="DA951" s="582"/>
      <c r="DB951" s="582"/>
      <c r="DC951" s="582"/>
      <c r="DD951" s="582"/>
      <c r="DE951" s="582"/>
      <c r="DF951" s="582"/>
      <c r="DG951" s="582"/>
      <c r="DH951" s="582"/>
      <c r="DI951" s="582"/>
      <c r="DJ951" s="582"/>
      <c r="DK951" s="582"/>
      <c r="DL951" s="582"/>
      <c r="DM951" s="582"/>
      <c r="DN951" s="582"/>
      <c r="DO951" s="582"/>
      <c r="DP951" s="582"/>
      <c r="DQ951" s="582"/>
      <c r="DR951" s="582"/>
      <c r="DS951" s="582"/>
      <c r="DT951" s="582"/>
      <c r="DU951" s="582"/>
      <c r="DV951" s="582"/>
      <c r="DW951" s="582"/>
      <c r="DX951" s="582"/>
      <c r="DY951" s="582"/>
      <c r="DZ951" s="582"/>
      <c r="EA951" s="582"/>
      <c r="EB951" s="582"/>
      <c r="EC951" s="582"/>
      <c r="ED951" s="582"/>
      <c r="EE951" s="582"/>
      <c r="EF951" s="582"/>
      <c r="EG951" s="582"/>
      <c r="EH951" s="582"/>
      <c r="EI951" s="582"/>
      <c r="EJ951" s="582"/>
      <c r="EK951" s="582"/>
      <c r="EL951" s="582"/>
      <c r="EM951" s="582"/>
      <c r="EN951" s="582"/>
      <c r="EO951" s="582"/>
      <c r="EP951" s="582"/>
      <c r="EQ951" s="582"/>
      <c r="ER951" s="582"/>
      <c r="ES951" s="582"/>
      <c r="ET951" s="582"/>
      <c r="EU951" s="582"/>
      <c r="EV951" s="582"/>
      <c r="EW951" s="582"/>
      <c r="EX951" s="582"/>
      <c r="EY951" s="582"/>
      <c r="EZ951" s="582"/>
      <c r="FA951" s="582"/>
      <c r="FB951" s="582"/>
      <c r="FC951" s="582"/>
      <c r="FD951" s="582"/>
      <c r="FE951" s="582"/>
      <c r="FF951" s="582"/>
      <c r="FG951" s="582"/>
      <c r="FH951" s="582"/>
      <c r="FI951" s="582"/>
      <c r="FJ951" s="582"/>
      <c r="FK951" s="582"/>
      <c r="FL951" s="582"/>
      <c r="FM951" s="582"/>
      <c r="FN951" s="582"/>
      <c r="FO951" s="582"/>
      <c r="FP951" s="582"/>
      <c r="FQ951" s="582"/>
      <c r="FR951" s="582"/>
      <c r="FS951" s="582"/>
      <c r="FT951" s="582"/>
      <c r="FU951" s="582"/>
      <c r="FV951" s="582"/>
      <c r="FW951" s="582"/>
      <c r="FX951" s="582"/>
      <c r="FY951" s="582"/>
      <c r="FZ951" s="582"/>
      <c r="GA951" s="582"/>
      <c r="GB951" s="582"/>
      <c r="GC951" s="582"/>
      <c r="GD951" s="582"/>
      <c r="GE951" s="582"/>
      <c r="GF951" s="582"/>
      <c r="GG951" s="582"/>
      <c r="GH951" s="582"/>
      <c r="GI951" s="582"/>
      <c r="GJ951" s="582"/>
      <c r="GK951" s="582"/>
      <c r="GL951" s="582"/>
      <c r="GM951" s="582"/>
      <c r="GN951" s="582"/>
      <c r="GO951" s="582"/>
      <c r="GP951" s="582"/>
      <c r="GQ951" s="582"/>
      <c r="GR951" s="582"/>
      <c r="GS951" s="582"/>
      <c r="GT951" s="582"/>
      <c r="GU951" s="582"/>
      <c r="GV951" s="582"/>
      <c r="GW951" s="582"/>
      <c r="GX951" s="582"/>
      <c r="GY951" s="582"/>
      <c r="GZ951" s="582"/>
      <c r="HA951" s="582"/>
      <c r="HB951" s="582"/>
      <c r="HC951" s="582"/>
      <c r="HD951" s="582"/>
      <c r="HE951" s="582"/>
      <c r="HF951" s="582"/>
      <c r="HG951" s="582"/>
      <c r="HH951" s="582"/>
      <c r="HI951" s="582"/>
      <c r="HJ951" s="582"/>
      <c r="HK951" s="582"/>
      <c r="HL951" s="582"/>
      <c r="HM951" s="582"/>
      <c r="HN951" s="582"/>
      <c r="HO951" s="582"/>
      <c r="HP951" s="582"/>
      <c r="HQ951" s="582"/>
      <c r="HR951" s="582"/>
      <c r="HS951" s="582"/>
      <c r="HT951" s="582"/>
      <c r="HU951" s="582"/>
      <c r="HV951" s="582"/>
      <c r="HW951" s="582"/>
      <c r="HX951" s="582"/>
      <c r="HY951" s="582"/>
      <c r="HZ951" s="582"/>
      <c r="IA951" s="582"/>
      <c r="IB951" s="582"/>
      <c r="IC951" s="582"/>
      <c r="ID951" s="582"/>
      <c r="IE951" s="582"/>
      <c r="IF951" s="582"/>
      <c r="IG951" s="582"/>
      <c r="IH951" s="582"/>
      <c r="II951" s="582"/>
      <c r="IJ951" s="582"/>
      <c r="IK951" s="582"/>
      <c r="IL951" s="582"/>
      <c r="IM951" s="582"/>
      <c r="IN951" s="582"/>
      <c r="IO951" s="582"/>
      <c r="IP951" s="582"/>
      <c r="IQ951" s="582"/>
      <c r="IR951" s="582"/>
      <c r="IS951" s="582"/>
      <c r="IT951" s="582"/>
      <c r="IU951" s="582"/>
      <c r="IV951" s="582"/>
      <c r="IW951" s="582"/>
    </row>
    <row r="952" spans="1:257" s="682" customFormat="1" ht="49.5" customHeight="1">
      <c r="A952" s="635" t="s">
        <v>258</v>
      </c>
      <c r="B952" s="696" t="s">
        <v>1422</v>
      </c>
      <c r="C952" s="635"/>
      <c r="D952" s="635"/>
      <c r="E952" s="651"/>
      <c r="F952" s="669"/>
      <c r="G952" s="651"/>
      <c r="H952" s="651"/>
      <c r="I952" s="651"/>
      <c r="J952" s="669">
        <v>170000000</v>
      </c>
      <c r="K952" s="669">
        <v>150000000</v>
      </c>
      <c r="L952" s="1306">
        <v>150000000</v>
      </c>
      <c r="M952" s="669"/>
      <c r="N952" s="837"/>
      <c r="O952" s="837"/>
      <c r="P952" s="826"/>
      <c r="Q952" s="826"/>
      <c r="R952" s="908"/>
      <c r="S952" s="867"/>
      <c r="T952" s="856"/>
      <c r="U952" s="670"/>
      <c r="V952" s="727"/>
      <c r="W952" s="581"/>
      <c r="X952" s="578"/>
      <c r="Y952" s="582"/>
      <c r="Z952" s="582"/>
      <c r="AA952" s="582"/>
      <c r="AB952" s="582"/>
      <c r="AC952" s="582"/>
      <c r="AD952" s="582"/>
      <c r="AE952" s="582"/>
      <c r="AF952" s="582"/>
      <c r="AG952" s="582"/>
      <c r="AH952" s="582"/>
      <c r="AI952" s="582"/>
      <c r="AJ952" s="582"/>
      <c r="AK952" s="582"/>
      <c r="AL952" s="582"/>
      <c r="AM952" s="582"/>
      <c r="AN952" s="582"/>
      <c r="AO952" s="582"/>
      <c r="AP952" s="582"/>
      <c r="AQ952" s="582"/>
      <c r="AR952" s="582"/>
      <c r="AS952" s="582"/>
      <c r="AT952" s="582"/>
      <c r="AU952" s="582"/>
      <c r="AV952" s="582"/>
      <c r="AW952" s="582"/>
      <c r="AX952" s="582"/>
      <c r="AY952" s="582"/>
      <c r="AZ952" s="582"/>
      <c r="BA952" s="582"/>
      <c r="BB952" s="582"/>
      <c r="BC952" s="582"/>
      <c r="BD952" s="582"/>
      <c r="BE952" s="582"/>
      <c r="BF952" s="582"/>
      <c r="BG952" s="582"/>
      <c r="BH952" s="582"/>
      <c r="BI952" s="582"/>
      <c r="BJ952" s="582"/>
      <c r="BK952" s="582"/>
      <c r="BL952" s="582"/>
      <c r="BM952" s="582"/>
      <c r="BN952" s="582"/>
      <c r="BO952" s="582"/>
      <c r="BP952" s="582"/>
      <c r="BQ952" s="582"/>
      <c r="BR952" s="582"/>
      <c r="BS952" s="582"/>
      <c r="BT952" s="582"/>
      <c r="BU952" s="582"/>
      <c r="BV952" s="582"/>
      <c r="BW952" s="582"/>
      <c r="BX952" s="582"/>
      <c r="BY952" s="582"/>
      <c r="BZ952" s="582"/>
      <c r="CA952" s="582"/>
      <c r="CB952" s="582"/>
      <c r="CC952" s="582"/>
      <c r="CD952" s="582"/>
      <c r="CE952" s="582"/>
      <c r="CF952" s="582"/>
      <c r="CG952" s="582"/>
      <c r="CH952" s="582"/>
      <c r="CI952" s="582"/>
      <c r="CJ952" s="582"/>
      <c r="CK952" s="582"/>
      <c r="CL952" s="582"/>
      <c r="CM952" s="582"/>
      <c r="CN952" s="582"/>
      <c r="CO952" s="582"/>
      <c r="CP952" s="582"/>
      <c r="CQ952" s="582"/>
      <c r="CR952" s="582"/>
      <c r="CS952" s="582"/>
      <c r="CT952" s="582"/>
      <c r="CU952" s="582"/>
      <c r="CV952" s="582"/>
      <c r="CW952" s="582"/>
      <c r="CX952" s="582"/>
      <c r="CY952" s="582"/>
      <c r="CZ952" s="582"/>
      <c r="DA952" s="582"/>
      <c r="DB952" s="582"/>
      <c r="DC952" s="582"/>
      <c r="DD952" s="582"/>
      <c r="DE952" s="582"/>
      <c r="DF952" s="582"/>
      <c r="DG952" s="582"/>
      <c r="DH952" s="582"/>
      <c r="DI952" s="582"/>
      <c r="DJ952" s="582"/>
      <c r="DK952" s="582"/>
      <c r="DL952" s="582"/>
      <c r="DM952" s="582"/>
      <c r="DN952" s="582"/>
      <c r="DO952" s="582"/>
      <c r="DP952" s="582"/>
      <c r="DQ952" s="582"/>
      <c r="DR952" s="582"/>
      <c r="DS952" s="582"/>
      <c r="DT952" s="582"/>
      <c r="DU952" s="582"/>
      <c r="DV952" s="582"/>
      <c r="DW952" s="582"/>
      <c r="DX952" s="582"/>
      <c r="DY952" s="582"/>
      <c r="DZ952" s="582"/>
      <c r="EA952" s="582"/>
      <c r="EB952" s="582"/>
      <c r="EC952" s="582"/>
      <c r="ED952" s="582"/>
      <c r="EE952" s="582"/>
      <c r="EF952" s="582"/>
      <c r="EG952" s="582"/>
      <c r="EH952" s="582"/>
      <c r="EI952" s="582"/>
      <c r="EJ952" s="582"/>
      <c r="EK952" s="582"/>
      <c r="EL952" s="582"/>
      <c r="EM952" s="582"/>
      <c r="EN952" s="582"/>
      <c r="EO952" s="582"/>
      <c r="EP952" s="582"/>
      <c r="EQ952" s="582"/>
      <c r="ER952" s="582"/>
      <c r="ES952" s="582"/>
      <c r="ET952" s="582"/>
      <c r="EU952" s="582"/>
      <c r="EV952" s="582"/>
      <c r="EW952" s="582"/>
      <c r="EX952" s="582"/>
      <c r="EY952" s="582"/>
      <c r="EZ952" s="582"/>
      <c r="FA952" s="582"/>
      <c r="FB952" s="582"/>
      <c r="FC952" s="582"/>
      <c r="FD952" s="582"/>
      <c r="FE952" s="582"/>
      <c r="FF952" s="582"/>
      <c r="FG952" s="582"/>
      <c r="FH952" s="582"/>
      <c r="FI952" s="582"/>
      <c r="FJ952" s="582"/>
      <c r="FK952" s="582"/>
      <c r="FL952" s="582"/>
      <c r="FM952" s="582"/>
      <c r="FN952" s="582"/>
      <c r="FO952" s="582"/>
      <c r="FP952" s="582"/>
      <c r="FQ952" s="582"/>
      <c r="FR952" s="582"/>
      <c r="FS952" s="582"/>
      <c r="FT952" s="582"/>
      <c r="FU952" s="582"/>
      <c r="FV952" s="582"/>
      <c r="FW952" s="582"/>
      <c r="FX952" s="582"/>
      <c r="FY952" s="582"/>
      <c r="FZ952" s="582"/>
      <c r="GA952" s="582"/>
      <c r="GB952" s="582"/>
      <c r="GC952" s="582"/>
      <c r="GD952" s="582"/>
      <c r="GE952" s="582"/>
      <c r="GF952" s="582"/>
      <c r="GG952" s="582"/>
      <c r="GH952" s="582"/>
      <c r="GI952" s="582"/>
      <c r="GJ952" s="582"/>
      <c r="GK952" s="582"/>
      <c r="GL952" s="582"/>
      <c r="GM952" s="582"/>
      <c r="GN952" s="582"/>
      <c r="GO952" s="582"/>
      <c r="GP952" s="582"/>
      <c r="GQ952" s="582"/>
      <c r="GR952" s="582"/>
      <c r="GS952" s="582"/>
      <c r="GT952" s="582"/>
      <c r="GU952" s="582"/>
      <c r="GV952" s="582"/>
      <c r="GW952" s="582"/>
      <c r="GX952" s="582"/>
      <c r="GY952" s="582"/>
      <c r="GZ952" s="582"/>
      <c r="HA952" s="582"/>
      <c r="HB952" s="582"/>
      <c r="HC952" s="582"/>
      <c r="HD952" s="582"/>
      <c r="HE952" s="582"/>
      <c r="HF952" s="582"/>
      <c r="HG952" s="582"/>
      <c r="HH952" s="582"/>
      <c r="HI952" s="582"/>
      <c r="HJ952" s="582"/>
      <c r="HK952" s="582"/>
      <c r="HL952" s="582"/>
      <c r="HM952" s="582"/>
      <c r="HN952" s="582"/>
      <c r="HO952" s="582"/>
      <c r="HP952" s="582"/>
      <c r="HQ952" s="582"/>
      <c r="HR952" s="582"/>
      <c r="HS952" s="582"/>
      <c r="HT952" s="582"/>
      <c r="HU952" s="582"/>
      <c r="HV952" s="582"/>
      <c r="HW952" s="582"/>
      <c r="HX952" s="582"/>
      <c r="HY952" s="582"/>
      <c r="HZ952" s="582"/>
      <c r="IA952" s="582"/>
      <c r="IB952" s="582"/>
      <c r="IC952" s="582"/>
      <c r="ID952" s="582"/>
      <c r="IE952" s="582"/>
      <c r="IF952" s="582"/>
      <c r="IG952" s="582"/>
      <c r="IH952" s="582"/>
      <c r="II952" s="582"/>
      <c r="IJ952" s="582"/>
      <c r="IK952" s="582"/>
      <c r="IL952" s="582"/>
      <c r="IM952" s="582"/>
      <c r="IN952" s="582"/>
      <c r="IO952" s="582"/>
      <c r="IP952" s="582"/>
      <c r="IQ952" s="582"/>
      <c r="IR952" s="582"/>
      <c r="IS952" s="582"/>
      <c r="IT952" s="582"/>
      <c r="IU952" s="582"/>
      <c r="IV952" s="582"/>
      <c r="IW952" s="582"/>
    </row>
    <row r="953" spans="1:257" s="682" customFormat="1" ht="49.5" customHeight="1">
      <c r="A953" s="635" t="s">
        <v>258</v>
      </c>
      <c r="B953" s="696" t="s">
        <v>522</v>
      </c>
      <c r="C953" s="635"/>
      <c r="D953" s="635"/>
      <c r="E953" s="651"/>
      <c r="F953" s="669"/>
      <c r="G953" s="651"/>
      <c r="H953" s="651"/>
      <c r="I953" s="651"/>
      <c r="J953" s="669">
        <v>93000000</v>
      </c>
      <c r="K953" s="669">
        <v>110000000</v>
      </c>
      <c r="L953" s="1306">
        <v>110000000</v>
      </c>
      <c r="M953" s="669"/>
      <c r="N953" s="837"/>
      <c r="O953" s="837"/>
      <c r="P953" s="826"/>
      <c r="Q953" s="826"/>
      <c r="R953" s="908"/>
      <c r="S953" s="867"/>
      <c r="T953" s="856"/>
      <c r="U953" s="670"/>
      <c r="V953" s="727"/>
      <c r="W953" s="581"/>
      <c r="X953" s="578"/>
      <c r="Y953" s="582"/>
      <c r="Z953" s="582"/>
      <c r="AA953" s="582"/>
      <c r="AB953" s="582"/>
      <c r="AC953" s="582"/>
      <c r="AD953" s="582"/>
      <c r="AE953" s="582"/>
      <c r="AF953" s="582"/>
      <c r="AG953" s="582"/>
      <c r="AH953" s="582"/>
      <c r="AI953" s="582"/>
      <c r="AJ953" s="582"/>
      <c r="AK953" s="582"/>
      <c r="AL953" s="582"/>
      <c r="AM953" s="582"/>
      <c r="AN953" s="582"/>
      <c r="AO953" s="582"/>
      <c r="AP953" s="582"/>
      <c r="AQ953" s="582"/>
      <c r="AR953" s="582"/>
      <c r="AS953" s="582"/>
      <c r="AT953" s="582"/>
      <c r="AU953" s="582"/>
      <c r="AV953" s="582"/>
      <c r="AW953" s="582"/>
      <c r="AX953" s="582"/>
      <c r="AY953" s="582"/>
      <c r="AZ953" s="582"/>
      <c r="BA953" s="582"/>
      <c r="BB953" s="582"/>
      <c r="BC953" s="582"/>
      <c r="BD953" s="582"/>
      <c r="BE953" s="582"/>
      <c r="BF953" s="582"/>
      <c r="BG953" s="582"/>
      <c r="BH953" s="582"/>
      <c r="BI953" s="582"/>
      <c r="BJ953" s="582"/>
      <c r="BK953" s="582"/>
      <c r="BL953" s="582"/>
      <c r="BM953" s="582"/>
      <c r="BN953" s="582"/>
      <c r="BO953" s="582"/>
      <c r="BP953" s="582"/>
      <c r="BQ953" s="582"/>
      <c r="BR953" s="582"/>
      <c r="BS953" s="582"/>
      <c r="BT953" s="582"/>
      <c r="BU953" s="582"/>
      <c r="BV953" s="582"/>
      <c r="BW953" s="582"/>
      <c r="BX953" s="582"/>
      <c r="BY953" s="582"/>
      <c r="BZ953" s="582"/>
      <c r="CA953" s="582"/>
      <c r="CB953" s="582"/>
      <c r="CC953" s="582"/>
      <c r="CD953" s="582"/>
      <c r="CE953" s="582"/>
      <c r="CF953" s="582"/>
      <c r="CG953" s="582"/>
      <c r="CH953" s="582"/>
      <c r="CI953" s="582"/>
      <c r="CJ953" s="582"/>
      <c r="CK953" s="582"/>
      <c r="CL953" s="582"/>
      <c r="CM953" s="582"/>
      <c r="CN953" s="582"/>
      <c r="CO953" s="582"/>
      <c r="CP953" s="582"/>
      <c r="CQ953" s="582"/>
      <c r="CR953" s="582"/>
      <c r="CS953" s="582"/>
      <c r="CT953" s="582"/>
      <c r="CU953" s="582"/>
      <c r="CV953" s="582"/>
      <c r="CW953" s="582"/>
      <c r="CX953" s="582"/>
      <c r="CY953" s="582"/>
      <c r="CZ953" s="582"/>
      <c r="DA953" s="582"/>
      <c r="DB953" s="582"/>
      <c r="DC953" s="582"/>
      <c r="DD953" s="582"/>
      <c r="DE953" s="582"/>
      <c r="DF953" s="582"/>
      <c r="DG953" s="582"/>
      <c r="DH953" s="582"/>
      <c r="DI953" s="582"/>
      <c r="DJ953" s="582"/>
      <c r="DK953" s="582"/>
      <c r="DL953" s="582"/>
      <c r="DM953" s="582"/>
      <c r="DN953" s="582"/>
      <c r="DO953" s="582"/>
      <c r="DP953" s="582"/>
      <c r="DQ953" s="582"/>
      <c r="DR953" s="582"/>
      <c r="DS953" s="582"/>
      <c r="DT953" s="582"/>
      <c r="DU953" s="582"/>
      <c r="DV953" s="582"/>
      <c r="DW953" s="582"/>
      <c r="DX953" s="582"/>
      <c r="DY953" s="582"/>
      <c r="DZ953" s="582"/>
      <c r="EA953" s="582"/>
      <c r="EB953" s="582"/>
      <c r="EC953" s="582"/>
      <c r="ED953" s="582"/>
      <c r="EE953" s="582"/>
      <c r="EF953" s="582"/>
      <c r="EG953" s="582"/>
      <c r="EH953" s="582"/>
      <c r="EI953" s="582"/>
      <c r="EJ953" s="582"/>
      <c r="EK953" s="582"/>
      <c r="EL953" s="582"/>
      <c r="EM953" s="582"/>
      <c r="EN953" s="582"/>
      <c r="EO953" s="582"/>
      <c r="EP953" s="582"/>
      <c r="EQ953" s="582"/>
      <c r="ER953" s="582"/>
      <c r="ES953" s="582"/>
      <c r="ET953" s="582"/>
      <c r="EU953" s="582"/>
      <c r="EV953" s="582"/>
      <c r="EW953" s="582"/>
      <c r="EX953" s="582"/>
      <c r="EY953" s="582"/>
      <c r="EZ953" s="582"/>
      <c r="FA953" s="582"/>
      <c r="FB953" s="582"/>
      <c r="FC953" s="582"/>
      <c r="FD953" s="582"/>
      <c r="FE953" s="582"/>
      <c r="FF953" s="582"/>
      <c r="FG953" s="582"/>
      <c r="FH953" s="582"/>
      <c r="FI953" s="582"/>
      <c r="FJ953" s="582"/>
      <c r="FK953" s="582"/>
      <c r="FL953" s="582"/>
      <c r="FM953" s="582"/>
      <c r="FN953" s="582"/>
      <c r="FO953" s="582"/>
      <c r="FP953" s="582"/>
      <c r="FQ953" s="582"/>
      <c r="FR953" s="582"/>
      <c r="FS953" s="582"/>
      <c r="FT953" s="582"/>
      <c r="FU953" s="582"/>
      <c r="FV953" s="582"/>
      <c r="FW953" s="582"/>
      <c r="FX953" s="582"/>
      <c r="FY953" s="582"/>
      <c r="FZ953" s="582"/>
      <c r="GA953" s="582"/>
      <c r="GB953" s="582"/>
      <c r="GC953" s="582"/>
      <c r="GD953" s="582"/>
      <c r="GE953" s="582"/>
      <c r="GF953" s="582"/>
      <c r="GG953" s="582"/>
      <c r="GH953" s="582"/>
      <c r="GI953" s="582"/>
      <c r="GJ953" s="582"/>
      <c r="GK953" s="582"/>
      <c r="GL953" s="582"/>
      <c r="GM953" s="582"/>
      <c r="GN953" s="582"/>
      <c r="GO953" s="582"/>
      <c r="GP953" s="582"/>
      <c r="GQ953" s="582"/>
      <c r="GR953" s="582"/>
      <c r="GS953" s="582"/>
      <c r="GT953" s="582"/>
      <c r="GU953" s="582"/>
      <c r="GV953" s="582"/>
      <c r="GW953" s="582"/>
      <c r="GX953" s="582"/>
      <c r="GY953" s="582"/>
      <c r="GZ953" s="582"/>
      <c r="HA953" s="582"/>
      <c r="HB953" s="582"/>
      <c r="HC953" s="582"/>
      <c r="HD953" s="582"/>
      <c r="HE953" s="582"/>
      <c r="HF953" s="582"/>
      <c r="HG953" s="582"/>
      <c r="HH953" s="582"/>
      <c r="HI953" s="582"/>
      <c r="HJ953" s="582"/>
      <c r="HK953" s="582"/>
      <c r="HL953" s="582"/>
      <c r="HM953" s="582"/>
      <c r="HN953" s="582"/>
      <c r="HO953" s="582"/>
      <c r="HP953" s="582"/>
      <c r="HQ953" s="582"/>
      <c r="HR953" s="582"/>
      <c r="HS953" s="582"/>
      <c r="HT953" s="582"/>
      <c r="HU953" s="582"/>
      <c r="HV953" s="582"/>
      <c r="HW953" s="582"/>
      <c r="HX953" s="582"/>
      <c r="HY953" s="582"/>
      <c r="HZ953" s="582"/>
      <c r="IA953" s="582"/>
      <c r="IB953" s="582"/>
      <c r="IC953" s="582"/>
      <c r="ID953" s="582"/>
      <c r="IE953" s="582"/>
      <c r="IF953" s="582"/>
      <c r="IG953" s="582"/>
      <c r="IH953" s="582"/>
      <c r="II953" s="582"/>
      <c r="IJ953" s="582"/>
      <c r="IK953" s="582"/>
      <c r="IL953" s="582"/>
      <c r="IM953" s="582"/>
      <c r="IN953" s="582"/>
      <c r="IO953" s="582"/>
      <c r="IP953" s="582"/>
      <c r="IQ953" s="582"/>
      <c r="IR953" s="582"/>
      <c r="IS953" s="582"/>
      <c r="IT953" s="582"/>
      <c r="IU953" s="582"/>
      <c r="IV953" s="582"/>
      <c r="IW953" s="582"/>
    </row>
    <row r="954" spans="1:257" s="582" customFormat="1" ht="63">
      <c r="A954" s="635" t="s">
        <v>258</v>
      </c>
      <c r="B954" s="696" t="s">
        <v>1423</v>
      </c>
      <c r="C954" s="635"/>
      <c r="D954" s="635"/>
      <c r="E954" s="651"/>
      <c r="F954" s="669">
        <v>50000000</v>
      </c>
      <c r="G954" s="651"/>
      <c r="H954" s="651"/>
      <c r="I954" s="651"/>
      <c r="J954" s="669">
        <v>100000000</v>
      </c>
      <c r="K954" s="669">
        <v>100000000</v>
      </c>
      <c r="L954" s="1306">
        <v>150000000</v>
      </c>
      <c r="M954" s="669"/>
      <c r="N954" s="837"/>
      <c r="O954" s="837"/>
      <c r="P954" s="826"/>
      <c r="Q954" s="826"/>
      <c r="R954" s="908"/>
      <c r="S954" s="871"/>
      <c r="T954" s="824"/>
      <c r="U954" s="670"/>
      <c r="V954" s="581"/>
      <c r="W954" s="727"/>
      <c r="X954" s="726" t="s">
        <v>1172</v>
      </c>
      <c r="Y954" s="682"/>
      <c r="Z954" s="682"/>
      <c r="AA954" s="682"/>
      <c r="AB954" s="682"/>
      <c r="AC954" s="682"/>
      <c r="AD954" s="682"/>
      <c r="AE954" s="682"/>
      <c r="AF954" s="682"/>
      <c r="AG954" s="682"/>
      <c r="AH954" s="682"/>
      <c r="AI954" s="682"/>
      <c r="AJ954" s="682"/>
      <c r="AK954" s="682"/>
      <c r="AL954" s="682"/>
      <c r="AM954" s="682"/>
      <c r="AN954" s="682"/>
      <c r="AO954" s="682"/>
      <c r="AP954" s="682"/>
      <c r="AQ954" s="682"/>
      <c r="AR954" s="682"/>
      <c r="AS954" s="682"/>
      <c r="AT954" s="682"/>
      <c r="AU954" s="682"/>
      <c r="AV954" s="682"/>
      <c r="AW954" s="682"/>
      <c r="AX954" s="682"/>
      <c r="AY954" s="682"/>
      <c r="AZ954" s="682"/>
      <c r="BA954" s="682"/>
      <c r="BB954" s="682"/>
      <c r="BC954" s="682"/>
      <c r="BD954" s="682"/>
      <c r="BE954" s="682"/>
      <c r="BF954" s="682"/>
      <c r="BG954" s="682"/>
      <c r="BH954" s="682"/>
      <c r="BI954" s="682"/>
      <c r="BJ954" s="682"/>
      <c r="BK954" s="682"/>
      <c r="BL954" s="682"/>
      <c r="BM954" s="682"/>
      <c r="BN954" s="682"/>
      <c r="BO954" s="682"/>
      <c r="BP954" s="682"/>
      <c r="BQ954" s="682"/>
      <c r="BR954" s="682"/>
      <c r="BS954" s="682"/>
      <c r="BT954" s="682"/>
      <c r="BU954" s="682"/>
      <c r="BV954" s="682"/>
      <c r="BW954" s="682"/>
      <c r="BX954" s="682"/>
      <c r="BY954" s="682"/>
      <c r="BZ954" s="682"/>
      <c r="CA954" s="682"/>
      <c r="CB954" s="682"/>
      <c r="CC954" s="682"/>
      <c r="CD954" s="682"/>
      <c r="CE954" s="682"/>
      <c r="CF954" s="682"/>
      <c r="CG954" s="682"/>
      <c r="CH954" s="682"/>
      <c r="CI954" s="682"/>
      <c r="CJ954" s="682"/>
      <c r="CK954" s="682"/>
      <c r="CL954" s="682"/>
      <c r="CM954" s="682"/>
      <c r="CN954" s="682"/>
      <c r="CO954" s="682"/>
      <c r="CP954" s="682"/>
      <c r="CQ954" s="682"/>
      <c r="CR954" s="682"/>
      <c r="CS954" s="682"/>
      <c r="CT954" s="682"/>
      <c r="CU954" s="682"/>
      <c r="CV954" s="682"/>
      <c r="CW954" s="682"/>
      <c r="CX954" s="682"/>
      <c r="CY954" s="682"/>
      <c r="CZ954" s="682"/>
      <c r="DA954" s="682"/>
      <c r="DB954" s="682"/>
      <c r="DC954" s="682"/>
      <c r="DD954" s="682"/>
      <c r="DE954" s="682"/>
      <c r="DF954" s="682"/>
      <c r="DG954" s="682"/>
      <c r="DH954" s="682"/>
      <c r="DI954" s="682"/>
      <c r="DJ954" s="682"/>
      <c r="DK954" s="682"/>
      <c r="DL954" s="682"/>
      <c r="DM954" s="682"/>
      <c r="DN954" s="682"/>
      <c r="DO954" s="682"/>
      <c r="DP954" s="682"/>
      <c r="DQ954" s="682"/>
      <c r="DR954" s="682"/>
      <c r="DS954" s="682"/>
      <c r="DT954" s="682"/>
      <c r="DU954" s="682"/>
      <c r="DV954" s="682"/>
      <c r="DW954" s="682"/>
      <c r="DX954" s="682"/>
      <c r="DY954" s="682"/>
      <c r="DZ954" s="682"/>
      <c r="EA954" s="682"/>
      <c r="EB954" s="682"/>
      <c r="EC954" s="682"/>
      <c r="ED954" s="682"/>
      <c r="EE954" s="682"/>
      <c r="EF954" s="682"/>
      <c r="EG954" s="682"/>
      <c r="EH954" s="682"/>
      <c r="EI954" s="682"/>
      <c r="EJ954" s="682"/>
      <c r="EK954" s="682"/>
      <c r="EL954" s="682"/>
      <c r="EM954" s="682"/>
      <c r="EN954" s="682"/>
      <c r="EO954" s="682"/>
      <c r="EP954" s="682"/>
      <c r="EQ954" s="682"/>
      <c r="ER954" s="682"/>
      <c r="ES954" s="682"/>
      <c r="ET954" s="682"/>
      <c r="EU954" s="682"/>
      <c r="EV954" s="682"/>
      <c r="EW954" s="682"/>
      <c r="EX954" s="682"/>
      <c r="EY954" s="682"/>
      <c r="EZ954" s="682"/>
      <c r="FA954" s="682"/>
      <c r="FB954" s="682"/>
      <c r="FC954" s="682"/>
      <c r="FD954" s="682"/>
      <c r="FE954" s="682"/>
      <c r="FF954" s="682"/>
      <c r="FG954" s="682"/>
      <c r="FH954" s="682"/>
      <c r="FI954" s="682"/>
      <c r="FJ954" s="682"/>
      <c r="FK954" s="682"/>
      <c r="FL954" s="682"/>
      <c r="FM954" s="682"/>
      <c r="FN954" s="682"/>
      <c r="FO954" s="682"/>
      <c r="FP954" s="682"/>
      <c r="FQ954" s="682"/>
      <c r="FR954" s="682"/>
      <c r="FS954" s="682"/>
      <c r="FT954" s="682"/>
      <c r="FU954" s="682"/>
      <c r="FV954" s="682"/>
      <c r="FW954" s="682"/>
      <c r="FX954" s="682"/>
      <c r="FY954" s="682"/>
      <c r="FZ954" s="682"/>
      <c r="GA954" s="682"/>
      <c r="GB954" s="682"/>
      <c r="GC954" s="682"/>
      <c r="GD954" s="682"/>
      <c r="GE954" s="682"/>
      <c r="GF954" s="682"/>
      <c r="GG954" s="682"/>
      <c r="GH954" s="682"/>
      <c r="GI954" s="682"/>
      <c r="GJ954" s="682"/>
      <c r="GK954" s="682"/>
      <c r="GL954" s="682"/>
      <c r="GM954" s="682"/>
      <c r="GN954" s="682"/>
      <c r="GO954" s="682"/>
      <c r="GP954" s="682"/>
      <c r="GQ954" s="682"/>
      <c r="GR954" s="682"/>
      <c r="GS954" s="682"/>
      <c r="GT954" s="682"/>
      <c r="GU954" s="682"/>
      <c r="GV954" s="682"/>
      <c r="GW954" s="682"/>
      <c r="GX954" s="682"/>
      <c r="GY954" s="682"/>
      <c r="GZ954" s="682"/>
      <c r="HA954" s="682"/>
      <c r="HB954" s="682"/>
      <c r="HC954" s="682"/>
      <c r="HD954" s="682"/>
      <c r="HE954" s="682"/>
      <c r="HF954" s="682"/>
      <c r="HG954" s="682"/>
      <c r="HH954" s="682"/>
      <c r="HI954" s="682"/>
      <c r="HJ954" s="682"/>
      <c r="HK954" s="682"/>
      <c r="HL954" s="682"/>
      <c r="HM954" s="682"/>
      <c r="HN954" s="682"/>
      <c r="HO954" s="682"/>
      <c r="HP954" s="682"/>
      <c r="HQ954" s="682"/>
      <c r="HR954" s="682"/>
      <c r="HS954" s="682"/>
      <c r="HT954" s="682"/>
      <c r="HU954" s="682"/>
      <c r="HV954" s="682"/>
      <c r="HW954" s="682"/>
      <c r="HX954" s="682"/>
      <c r="HY954" s="682"/>
      <c r="HZ954" s="682"/>
      <c r="IA954" s="682"/>
      <c r="IB954" s="682"/>
      <c r="IC954" s="682"/>
      <c r="ID954" s="682"/>
      <c r="IE954" s="682"/>
      <c r="IF954" s="682"/>
      <c r="IG954" s="682"/>
      <c r="IH954" s="682"/>
      <c r="II954" s="682"/>
      <c r="IJ954" s="682"/>
      <c r="IK954" s="682"/>
      <c r="IL954" s="682"/>
      <c r="IM954" s="682"/>
      <c r="IN954" s="682"/>
      <c r="IO954" s="682"/>
      <c r="IP954" s="682"/>
      <c r="IQ954" s="682"/>
      <c r="IR954" s="682"/>
      <c r="IS954" s="682"/>
      <c r="IT954" s="682"/>
      <c r="IU954" s="682"/>
      <c r="IV954" s="682"/>
      <c r="IW954" s="682"/>
    </row>
    <row r="955" spans="1:257" s="582" customFormat="1" ht="31.5">
      <c r="A955" s="635" t="s">
        <v>258</v>
      </c>
      <c r="B955" s="696" t="s">
        <v>524</v>
      </c>
      <c r="C955" s="635"/>
      <c r="D955" s="635"/>
      <c r="E955" s="651"/>
      <c r="F955" s="669">
        <v>32000000</v>
      </c>
      <c r="G955" s="609"/>
      <c r="H955" s="609"/>
      <c r="I955" s="609"/>
      <c r="J955" s="669">
        <v>30240000</v>
      </c>
      <c r="K955" s="669">
        <v>36000000</v>
      </c>
      <c r="L955" s="1306">
        <v>36000000</v>
      </c>
      <c r="M955" s="669" t="s">
        <v>1173</v>
      </c>
      <c r="N955" s="837"/>
      <c r="O955" s="837"/>
      <c r="P955" s="830"/>
      <c r="Q955" s="830"/>
      <c r="R955" s="908"/>
      <c r="S955" s="871"/>
      <c r="T955" s="824"/>
      <c r="U955" s="670"/>
      <c r="V955" s="727"/>
      <c r="W955" s="581"/>
      <c r="X955" s="578"/>
    </row>
    <row r="956" spans="1:257" s="582" customFormat="1" ht="31.5">
      <c r="A956" s="635" t="s">
        <v>258</v>
      </c>
      <c r="B956" s="696" t="s">
        <v>525</v>
      </c>
      <c r="C956" s="635"/>
      <c r="D956" s="635"/>
      <c r="E956" s="651"/>
      <c r="F956" s="669">
        <v>100000000</v>
      </c>
      <c r="G956" s="651"/>
      <c r="H956" s="651"/>
      <c r="I956" s="651"/>
      <c r="J956" s="669">
        <v>100000000</v>
      </c>
      <c r="K956" s="669">
        <v>100000000</v>
      </c>
      <c r="L956" s="1306">
        <v>100000000</v>
      </c>
      <c r="M956" s="669"/>
      <c r="N956" s="837"/>
      <c r="O956" s="837"/>
      <c r="P956" s="826"/>
      <c r="Q956" s="826"/>
      <c r="R956" s="867"/>
      <c r="S956" s="908"/>
      <c r="T956" s="1017"/>
      <c r="U956" s="670"/>
      <c r="V956" s="727"/>
      <c r="W956" s="581"/>
      <c r="X956" s="578"/>
    </row>
    <row r="957" spans="1:257" s="582" customFormat="1" ht="31.5">
      <c r="A957" s="635" t="s">
        <v>258</v>
      </c>
      <c r="B957" s="696" t="s">
        <v>526</v>
      </c>
      <c r="C957" s="635"/>
      <c r="D957" s="635"/>
      <c r="E957" s="651"/>
      <c r="F957" s="669">
        <v>790000000</v>
      </c>
      <c r="G957" s="651" t="s">
        <v>1174</v>
      </c>
      <c r="H957" s="651"/>
      <c r="I957" s="651"/>
      <c r="J957" s="669">
        <v>419000000</v>
      </c>
      <c r="K957" s="669"/>
      <c r="L957" s="1306"/>
      <c r="M957" s="669"/>
      <c r="N957" s="837"/>
      <c r="O957" s="837"/>
      <c r="P957" s="826"/>
      <c r="Q957" s="826"/>
      <c r="R957" s="867">
        <f>1130*70%</f>
        <v>791</v>
      </c>
      <c r="S957" s="908"/>
      <c r="T957" s="1017"/>
      <c r="U957" s="670"/>
      <c r="V957" s="727"/>
      <c r="W957" s="581"/>
      <c r="X957" s="578"/>
    </row>
    <row r="958" spans="1:257" s="582" customFormat="1" ht="31.5">
      <c r="A958" s="635" t="s">
        <v>258</v>
      </c>
      <c r="B958" s="696" t="s">
        <v>2048</v>
      </c>
      <c r="C958" s="635"/>
      <c r="D958" s="635"/>
      <c r="E958" s="651"/>
      <c r="F958" s="669">
        <f>SUM(F959:F962)</f>
        <v>200000000</v>
      </c>
      <c r="G958" s="609"/>
      <c r="H958" s="609"/>
      <c r="I958" s="609"/>
      <c r="J958" s="669">
        <f>SUM(J959:J962)</f>
        <v>260000000</v>
      </c>
      <c r="K958" s="669">
        <v>350000000</v>
      </c>
      <c r="L958" s="1306">
        <v>400000000</v>
      </c>
      <c r="M958" s="669"/>
      <c r="N958" s="837"/>
      <c r="O958" s="837"/>
      <c r="P958" s="830"/>
      <c r="Q958" s="830"/>
      <c r="R958" s="867"/>
      <c r="S958" s="866"/>
      <c r="T958" s="839"/>
      <c r="U958" s="670"/>
      <c r="V958" s="581"/>
      <c r="W958" s="581"/>
      <c r="X958" s="578"/>
    </row>
    <row r="959" spans="1:257" s="682" customFormat="1">
      <c r="A959" s="635"/>
      <c r="B959" s="684" t="s">
        <v>1175</v>
      </c>
      <c r="C959" s="683"/>
      <c r="D959" s="683"/>
      <c r="E959" s="669"/>
      <c r="F959" s="669">
        <v>150000000</v>
      </c>
      <c r="G959" s="669" t="s">
        <v>1176</v>
      </c>
      <c r="H959" s="669"/>
      <c r="I959" s="669"/>
      <c r="J959" s="669">
        <v>180000000</v>
      </c>
      <c r="K959" s="669"/>
      <c r="L959" s="1306"/>
      <c r="M959" s="669">
        <v>150000000</v>
      </c>
      <c r="N959" s="837"/>
      <c r="O959" s="837"/>
      <c r="P959" s="837"/>
      <c r="Q959" s="837"/>
      <c r="R959" s="867"/>
      <c r="S959" s="871"/>
      <c r="T959" s="824"/>
      <c r="U959" s="670"/>
      <c r="V959" s="727"/>
      <c r="W959" s="727"/>
      <c r="X959" s="728"/>
    </row>
    <row r="960" spans="1:257" s="682" customFormat="1">
      <c r="A960" s="635"/>
      <c r="B960" s="684" t="s">
        <v>1177</v>
      </c>
      <c r="C960" s="683"/>
      <c r="D960" s="683"/>
      <c r="E960" s="669"/>
      <c r="F960" s="669"/>
      <c r="G960" s="669"/>
      <c r="H960" s="669"/>
      <c r="I960" s="669"/>
      <c r="J960" s="669"/>
      <c r="K960" s="669"/>
      <c r="L960" s="1306"/>
      <c r="M960" s="669">
        <v>150000000</v>
      </c>
      <c r="N960" s="837"/>
      <c r="O960" s="837"/>
      <c r="P960" s="837"/>
      <c r="Q960" s="837"/>
      <c r="R960" s="867"/>
      <c r="S960" s="871"/>
      <c r="T960" s="824"/>
      <c r="U960" s="670"/>
      <c r="V960" s="727"/>
      <c r="W960" s="727"/>
      <c r="X960" s="728"/>
    </row>
    <row r="961" spans="1:257" s="682" customFormat="1" ht="31.5">
      <c r="A961" s="635"/>
      <c r="B961" s="684" t="s">
        <v>1178</v>
      </c>
      <c r="C961" s="683"/>
      <c r="D961" s="683"/>
      <c r="E961" s="669"/>
      <c r="F961" s="669">
        <v>30000000</v>
      </c>
      <c r="G961" s="618"/>
      <c r="H961" s="618"/>
      <c r="I961" s="618"/>
      <c r="J961" s="669">
        <v>30000000</v>
      </c>
      <c r="K961" s="669"/>
      <c r="L961" s="1306"/>
      <c r="M961" s="669">
        <v>30000000</v>
      </c>
      <c r="N961" s="837"/>
      <c r="O961" s="837"/>
      <c r="P961" s="944"/>
      <c r="Q961" s="944"/>
      <c r="R961" s="867"/>
      <c r="S961" s="871"/>
      <c r="T961" s="824"/>
      <c r="U961" s="670"/>
      <c r="V961" s="727"/>
      <c r="W961" s="727"/>
      <c r="X961" s="728"/>
    </row>
    <row r="962" spans="1:257" s="682" customFormat="1" ht="31.5">
      <c r="A962" s="635"/>
      <c r="B962" s="684" t="s">
        <v>1179</v>
      </c>
      <c r="C962" s="683"/>
      <c r="D962" s="683"/>
      <c r="E962" s="669"/>
      <c r="F962" s="669">
        <v>20000000</v>
      </c>
      <c r="G962" s="618"/>
      <c r="H962" s="618"/>
      <c r="I962" s="618"/>
      <c r="J962" s="669">
        <v>50000000</v>
      </c>
      <c r="K962" s="669"/>
      <c r="L962" s="1306"/>
      <c r="M962" s="669">
        <v>20000000</v>
      </c>
      <c r="N962" s="837"/>
      <c r="O962" s="837"/>
      <c r="P962" s="944"/>
      <c r="Q962" s="944"/>
      <c r="R962" s="867"/>
      <c r="S962" s="871"/>
      <c r="T962" s="824"/>
      <c r="U962" s="670"/>
      <c r="V962" s="727"/>
      <c r="W962" s="727"/>
      <c r="X962" s="728"/>
    </row>
    <row r="963" spans="1:257" s="582" customFormat="1">
      <c r="A963" s="635" t="s">
        <v>258</v>
      </c>
      <c r="B963" s="696" t="s">
        <v>531</v>
      </c>
      <c r="C963" s="635"/>
      <c r="D963" s="635"/>
      <c r="E963" s="651"/>
      <c r="F963" s="651"/>
      <c r="G963" s="609"/>
      <c r="H963" s="609"/>
      <c r="I963" s="609"/>
      <c r="J963" s="651">
        <v>30000000</v>
      </c>
      <c r="K963" s="651">
        <v>30000000</v>
      </c>
      <c r="L963" s="1305">
        <v>30000000</v>
      </c>
      <c r="M963" s="651"/>
      <c r="N963" s="826"/>
      <c r="O963" s="826"/>
      <c r="P963" s="830"/>
      <c r="Q963" s="830"/>
      <c r="R963" s="945"/>
      <c r="S963" s="866"/>
      <c r="T963" s="839"/>
      <c r="U963" s="655"/>
      <c r="V963" s="581"/>
      <c r="W963" s="581"/>
      <c r="X963" s="578"/>
    </row>
    <row r="964" spans="1:257" s="582" customFormat="1">
      <c r="A964" s="635" t="s">
        <v>258</v>
      </c>
      <c r="B964" s="696" t="s">
        <v>532</v>
      </c>
      <c r="C964" s="635"/>
      <c r="D964" s="635"/>
      <c r="E964" s="651"/>
      <c r="F964" s="651"/>
      <c r="G964" s="609"/>
      <c r="H964" s="609"/>
      <c r="I964" s="609"/>
      <c r="J964" s="651">
        <v>100000000</v>
      </c>
      <c r="K964" s="651"/>
      <c r="L964" s="1305"/>
      <c r="M964" s="609"/>
      <c r="N964" s="826"/>
      <c r="O964" s="826"/>
      <c r="P964" s="830"/>
      <c r="Q964" s="830"/>
      <c r="R964" s="945"/>
      <c r="S964" s="866"/>
      <c r="T964" s="839"/>
      <c r="U964" s="655"/>
      <c r="V964" s="581"/>
      <c r="W964" s="581"/>
      <c r="X964" s="578"/>
    </row>
    <row r="965" spans="1:257" s="582" customFormat="1">
      <c r="A965" s="635" t="s">
        <v>258</v>
      </c>
      <c r="B965" s="696" t="s">
        <v>533</v>
      </c>
      <c r="C965" s="635"/>
      <c r="D965" s="635"/>
      <c r="E965" s="651"/>
      <c r="F965" s="651"/>
      <c r="G965" s="609"/>
      <c r="H965" s="609"/>
      <c r="I965" s="609"/>
      <c r="J965" s="651">
        <v>350000000</v>
      </c>
      <c r="K965" s="651"/>
      <c r="L965" s="1305"/>
      <c r="M965" s="651"/>
      <c r="N965" s="826"/>
      <c r="O965" s="826"/>
      <c r="P965" s="830"/>
      <c r="Q965" s="830"/>
      <c r="R965" s="945"/>
      <c r="S965" s="866"/>
      <c r="T965" s="839"/>
      <c r="U965" s="655"/>
      <c r="V965" s="581"/>
      <c r="W965" s="581"/>
      <c r="X965" s="578"/>
    </row>
    <row r="966" spans="1:257" s="582" customFormat="1">
      <c r="A966" s="635" t="s">
        <v>258</v>
      </c>
      <c r="B966" s="696" t="s">
        <v>1180</v>
      </c>
      <c r="C966" s="635"/>
      <c r="D966" s="635"/>
      <c r="E966" s="651"/>
      <c r="F966" s="651"/>
      <c r="G966" s="609"/>
      <c r="H966" s="609"/>
      <c r="I966" s="609"/>
      <c r="J966" s="651">
        <v>40000000</v>
      </c>
      <c r="K966" s="651"/>
      <c r="L966" s="1305"/>
      <c r="M966" s="651"/>
      <c r="N966" s="826"/>
      <c r="O966" s="826"/>
      <c r="P966" s="830"/>
      <c r="Q966" s="830"/>
      <c r="R966" s="945"/>
      <c r="S966" s="866"/>
      <c r="T966" s="839"/>
      <c r="U966" s="655"/>
      <c r="V966" s="581"/>
      <c r="W966" s="581"/>
      <c r="X966" s="578"/>
    </row>
    <row r="967" spans="1:257" s="582" customFormat="1">
      <c r="A967" s="635" t="s">
        <v>258</v>
      </c>
      <c r="B967" s="696" t="s">
        <v>534</v>
      </c>
      <c r="C967" s="635"/>
      <c r="D967" s="635"/>
      <c r="E967" s="651"/>
      <c r="F967" s="651"/>
      <c r="G967" s="609"/>
      <c r="H967" s="609"/>
      <c r="I967" s="609"/>
      <c r="J967" s="651">
        <v>100000000</v>
      </c>
      <c r="K967" s="651">
        <v>100000000</v>
      </c>
      <c r="L967" s="1305">
        <v>100000000</v>
      </c>
      <c r="M967" s="651"/>
      <c r="N967" s="826"/>
      <c r="O967" s="826"/>
      <c r="P967" s="830"/>
      <c r="Q967" s="830"/>
      <c r="R967" s="945"/>
      <c r="S967" s="866"/>
      <c r="T967" s="839"/>
      <c r="U967" s="655"/>
      <c r="V967" s="581"/>
      <c r="W967" s="581"/>
      <c r="X967" s="578"/>
    </row>
    <row r="968" spans="1:257" s="582" customFormat="1">
      <c r="A968" s="635" t="s">
        <v>258</v>
      </c>
      <c r="B968" s="696" t="s">
        <v>535</v>
      </c>
      <c r="C968" s="635"/>
      <c r="D968" s="635"/>
      <c r="E968" s="651"/>
      <c r="F968" s="651"/>
      <c r="G968" s="609"/>
      <c r="H968" s="609"/>
      <c r="I968" s="609"/>
      <c r="J968" s="651"/>
      <c r="K968" s="651">
        <v>30000000</v>
      </c>
      <c r="L968" s="1305">
        <v>30000000</v>
      </c>
      <c r="M968" s="651"/>
      <c r="N968" s="826"/>
      <c r="O968" s="826"/>
      <c r="P968" s="830"/>
      <c r="Q968" s="830"/>
      <c r="R968" s="945"/>
      <c r="S968" s="866"/>
      <c r="T968" s="839"/>
      <c r="U968" s="655"/>
      <c r="V968" s="581"/>
      <c r="W968" s="581"/>
      <c r="X968" s="578"/>
    </row>
    <row r="969" spans="1:257" s="582" customFormat="1">
      <c r="A969" s="635"/>
      <c r="B969" s="696" t="s">
        <v>1181</v>
      </c>
      <c r="C969" s="635"/>
      <c r="D969" s="635"/>
      <c r="E969" s="651"/>
      <c r="F969" s="651"/>
      <c r="G969" s="609"/>
      <c r="H969" s="609"/>
      <c r="I969" s="609"/>
      <c r="J969" s="651"/>
      <c r="K969" s="651">
        <v>20000000</v>
      </c>
      <c r="L969" s="1305">
        <v>20000000</v>
      </c>
      <c r="M969" s="651"/>
      <c r="N969" s="826"/>
      <c r="O969" s="826"/>
      <c r="P969" s="830"/>
      <c r="Q969" s="830"/>
      <c r="R969" s="945"/>
      <c r="S969" s="866"/>
      <c r="T969" s="839"/>
      <c r="U969" s="655"/>
      <c r="V969" s="581"/>
      <c r="W969" s="581"/>
      <c r="X969" s="578"/>
    </row>
    <row r="970" spans="1:257" s="582" customFormat="1">
      <c r="A970" s="635"/>
      <c r="B970" s="696" t="s">
        <v>1182</v>
      </c>
      <c r="C970" s="635"/>
      <c r="D970" s="635"/>
      <c r="E970" s="651"/>
      <c r="F970" s="651"/>
      <c r="G970" s="609"/>
      <c r="H970" s="609"/>
      <c r="I970" s="609"/>
      <c r="J970" s="651"/>
      <c r="K970" s="651">
        <v>300000000</v>
      </c>
      <c r="L970" s="1305">
        <v>0</v>
      </c>
      <c r="M970" s="651"/>
      <c r="N970" s="826"/>
      <c r="O970" s="826"/>
      <c r="P970" s="830"/>
      <c r="Q970" s="830"/>
      <c r="R970" s="945"/>
      <c r="S970" s="866"/>
      <c r="T970" s="839"/>
      <c r="U970" s="655"/>
      <c r="V970" s="581"/>
      <c r="W970" s="581"/>
      <c r="X970" s="578"/>
    </row>
    <row r="971" spans="1:257" s="582" customFormat="1">
      <c r="A971" s="635"/>
      <c r="B971" s="696" t="s">
        <v>1183</v>
      </c>
      <c r="C971" s="635"/>
      <c r="D971" s="635"/>
      <c r="E971" s="651"/>
      <c r="F971" s="651"/>
      <c r="G971" s="609"/>
      <c r="H971" s="609"/>
      <c r="I971" s="609"/>
      <c r="J971" s="651"/>
      <c r="K971" s="651">
        <v>30000000</v>
      </c>
      <c r="L971" s="1305"/>
      <c r="M971" s="651" t="s">
        <v>1425</v>
      </c>
      <c r="N971" s="826"/>
      <c r="O971" s="826"/>
      <c r="P971" s="830"/>
      <c r="Q971" s="830"/>
      <c r="R971" s="945"/>
      <c r="S971" s="866"/>
      <c r="T971" s="839"/>
      <c r="U971" s="655"/>
      <c r="V971" s="581"/>
      <c r="W971" s="581"/>
      <c r="X971" s="578"/>
    </row>
    <row r="972" spans="1:257" s="582" customFormat="1" ht="47.25">
      <c r="A972" s="635" t="s">
        <v>258</v>
      </c>
      <c r="B972" s="696" t="s">
        <v>483</v>
      </c>
      <c r="C972" s="635"/>
      <c r="D972" s="635"/>
      <c r="E972" s="651"/>
      <c r="F972" s="669">
        <v>30000000</v>
      </c>
      <c r="G972" s="651"/>
      <c r="H972" s="651"/>
      <c r="I972" s="651"/>
      <c r="J972" s="669">
        <v>60000000</v>
      </c>
      <c r="K972" s="669">
        <v>50000000</v>
      </c>
      <c r="L972" s="1306"/>
      <c r="M972" s="669" t="s">
        <v>1424</v>
      </c>
      <c r="N972" s="837"/>
      <c r="O972" s="837"/>
      <c r="P972" s="826"/>
      <c r="Q972" s="826"/>
      <c r="R972" s="867"/>
      <c r="S972" s="866"/>
      <c r="T972" s="839"/>
      <c r="U972" s="670"/>
      <c r="V972" s="581"/>
      <c r="W972" s="581"/>
      <c r="X972" s="578"/>
    </row>
    <row r="973" spans="1:257" s="582" customFormat="1">
      <c r="A973" s="699" t="s">
        <v>261</v>
      </c>
      <c r="B973" s="808" t="s">
        <v>262</v>
      </c>
      <c r="C973" s="699"/>
      <c r="D973" s="699"/>
      <c r="E973" s="700"/>
      <c r="F973" s="810">
        <f t="shared" ref="F973:L973" si="88">F974</f>
        <v>167200000</v>
      </c>
      <c r="G973" s="810">
        <f t="shared" si="88"/>
        <v>0</v>
      </c>
      <c r="H973" s="810">
        <f t="shared" si="88"/>
        <v>0</v>
      </c>
      <c r="I973" s="810">
        <f t="shared" si="88"/>
        <v>0</v>
      </c>
      <c r="J973" s="810">
        <f t="shared" si="88"/>
        <v>145200000</v>
      </c>
      <c r="K973" s="810">
        <f t="shared" si="88"/>
        <v>163200000</v>
      </c>
      <c r="L973" s="1313">
        <f t="shared" si="88"/>
        <v>135200000</v>
      </c>
      <c r="M973" s="707"/>
      <c r="N973" s="934"/>
      <c r="O973" s="934"/>
      <c r="P973" s="820"/>
      <c r="Q973" s="820"/>
      <c r="R973" s="871"/>
      <c r="S973" s="871"/>
      <c r="T973" s="824"/>
      <c r="U973" s="670"/>
      <c r="V973" s="581"/>
      <c r="W973" s="581"/>
      <c r="X973" s="578"/>
    </row>
    <row r="974" spans="1:257" s="582" customFormat="1">
      <c r="A974" s="713"/>
      <c r="B974" s="668" t="s">
        <v>263</v>
      </c>
      <c r="C974" s="699"/>
      <c r="D974" s="699"/>
      <c r="E974" s="700"/>
      <c r="F974" s="725">
        <f>(F944+F950+F951+F954+F956+F957+F958+F972)*10%</f>
        <v>167200000</v>
      </c>
      <c r="G974" s="700"/>
      <c r="H974" s="700"/>
      <c r="I974" s="700"/>
      <c r="J974" s="725">
        <f>(J944+J950+J951+J954+J956+J958+J963+J964+J965+J966+J967+J972)*10%</f>
        <v>145200000</v>
      </c>
      <c r="K974" s="725">
        <f>(K944+K950+K952+K953+K954+K956+K958+K963+K967+K968+K970+K971+K972)*10%</f>
        <v>163200000</v>
      </c>
      <c r="L974" s="1311">
        <f>(L944+L946-L948-L949-L955-L969-L947)*10%</f>
        <v>135200000</v>
      </c>
      <c r="M974" s="669"/>
      <c r="N974" s="868"/>
      <c r="O974" s="868"/>
      <c r="P974" s="820"/>
      <c r="Q974" s="820"/>
      <c r="R974" s="871"/>
      <c r="S974" s="871"/>
      <c r="T974" s="824"/>
      <c r="U974" s="670"/>
      <c r="V974" s="581"/>
      <c r="W974" s="581"/>
      <c r="X974" s="578"/>
    </row>
    <row r="975" spans="1:257" s="1087" customFormat="1">
      <c r="A975" s="791">
        <v>2</v>
      </c>
      <c r="B975" s="840" t="s">
        <v>536</v>
      </c>
      <c r="C975" s="791"/>
      <c r="D975" s="791"/>
      <c r="E975" s="792"/>
      <c r="F975" s="792">
        <f>F976+F984</f>
        <v>1555000000</v>
      </c>
      <c r="G975" s="1141"/>
      <c r="H975" s="1141"/>
      <c r="I975" s="1141"/>
      <c r="J975" s="792">
        <f>J976+J984</f>
        <v>1333000000</v>
      </c>
      <c r="K975" s="792">
        <f>K976+K984</f>
        <v>1647000000</v>
      </c>
      <c r="L975" s="1303">
        <f>L976+L984</f>
        <v>1285200000</v>
      </c>
      <c r="M975" s="792"/>
      <c r="N975" s="841"/>
      <c r="O975" s="841"/>
      <c r="P975" s="892"/>
      <c r="Q975" s="892"/>
      <c r="R975" s="947"/>
      <c r="S975" s="947"/>
      <c r="T975" s="948"/>
      <c r="U975" s="1073"/>
      <c r="V975" s="800"/>
      <c r="W975" s="800"/>
      <c r="X975" s="975"/>
      <c r="Y975" s="976"/>
      <c r="Z975" s="976"/>
      <c r="AA975" s="976"/>
      <c r="AB975" s="976"/>
      <c r="AC975" s="976"/>
      <c r="AD975" s="976"/>
      <c r="AE975" s="976"/>
      <c r="AF975" s="976"/>
      <c r="AG975" s="976"/>
      <c r="AH975" s="976"/>
      <c r="AI975" s="976"/>
      <c r="AJ975" s="976"/>
      <c r="AK975" s="976"/>
      <c r="AL975" s="976"/>
      <c r="AM975" s="976"/>
      <c r="AN975" s="976"/>
      <c r="AO975" s="976"/>
      <c r="AP975" s="976"/>
      <c r="AQ975" s="976"/>
      <c r="AR975" s="976"/>
      <c r="AS975" s="976"/>
      <c r="AT975" s="976"/>
      <c r="AU975" s="976"/>
      <c r="AV975" s="976"/>
      <c r="AW975" s="976"/>
      <c r="AX975" s="976"/>
      <c r="AY975" s="976"/>
      <c r="AZ975" s="976"/>
      <c r="BA975" s="976"/>
      <c r="BB975" s="976"/>
      <c r="BC975" s="976"/>
      <c r="BD975" s="976"/>
      <c r="BE975" s="976"/>
      <c r="BF975" s="976"/>
      <c r="BG975" s="976"/>
      <c r="BH975" s="976"/>
      <c r="BI975" s="976"/>
      <c r="BJ975" s="976"/>
      <c r="BK975" s="976"/>
      <c r="BL975" s="976"/>
      <c r="BM975" s="976"/>
      <c r="BN975" s="976"/>
      <c r="BO975" s="976"/>
      <c r="BP975" s="976"/>
      <c r="BQ975" s="976"/>
      <c r="BR975" s="976"/>
      <c r="BS975" s="976"/>
      <c r="BT975" s="976"/>
      <c r="BU975" s="976"/>
      <c r="BV975" s="976"/>
      <c r="BW975" s="976"/>
      <c r="BX975" s="976"/>
      <c r="BY975" s="976"/>
      <c r="BZ975" s="976"/>
      <c r="CA975" s="976"/>
      <c r="CB975" s="976"/>
      <c r="CC975" s="976"/>
      <c r="CD975" s="976"/>
      <c r="CE975" s="976"/>
      <c r="CF975" s="976"/>
      <c r="CG975" s="976"/>
      <c r="CH975" s="976"/>
      <c r="CI975" s="976"/>
      <c r="CJ975" s="976"/>
      <c r="CK975" s="976"/>
      <c r="CL975" s="976"/>
      <c r="CM975" s="976"/>
      <c r="CN975" s="976"/>
      <c r="CO975" s="976"/>
      <c r="CP975" s="976"/>
      <c r="CQ975" s="976"/>
      <c r="CR975" s="976"/>
      <c r="CS975" s="976"/>
      <c r="CT975" s="976"/>
      <c r="CU975" s="976"/>
      <c r="CV975" s="976"/>
      <c r="CW975" s="976"/>
      <c r="CX975" s="976"/>
      <c r="CY975" s="976"/>
      <c r="CZ975" s="976"/>
      <c r="DA975" s="976"/>
      <c r="DB975" s="976"/>
      <c r="DC975" s="976"/>
      <c r="DD975" s="976"/>
      <c r="DE975" s="976"/>
      <c r="DF975" s="976"/>
      <c r="DG975" s="976"/>
      <c r="DH975" s="976"/>
      <c r="DI975" s="976"/>
      <c r="DJ975" s="976"/>
      <c r="DK975" s="976"/>
      <c r="DL975" s="976"/>
      <c r="DM975" s="976"/>
      <c r="DN975" s="976"/>
      <c r="DO975" s="976"/>
      <c r="DP975" s="976"/>
      <c r="DQ975" s="976"/>
      <c r="DR975" s="976"/>
      <c r="DS975" s="976"/>
      <c r="DT975" s="976"/>
      <c r="DU975" s="976"/>
      <c r="DV975" s="976"/>
      <c r="DW975" s="976"/>
      <c r="DX975" s="976"/>
      <c r="DY975" s="976"/>
      <c r="DZ975" s="976"/>
      <c r="EA975" s="976"/>
      <c r="EB975" s="976"/>
      <c r="EC975" s="976"/>
      <c r="ED975" s="976"/>
      <c r="EE975" s="976"/>
      <c r="EF975" s="976"/>
      <c r="EG975" s="976"/>
      <c r="EH975" s="976"/>
      <c r="EI975" s="976"/>
      <c r="EJ975" s="976"/>
      <c r="EK975" s="976"/>
      <c r="EL975" s="976"/>
      <c r="EM975" s="976"/>
      <c r="EN975" s="976"/>
      <c r="EO975" s="976"/>
      <c r="EP975" s="976"/>
      <c r="EQ975" s="976"/>
      <c r="ER975" s="976"/>
      <c r="ES975" s="976"/>
      <c r="ET975" s="976"/>
      <c r="EU975" s="976"/>
      <c r="EV975" s="976"/>
      <c r="EW975" s="976"/>
      <c r="EX975" s="976"/>
      <c r="EY975" s="976"/>
      <c r="EZ975" s="976"/>
      <c r="FA975" s="976"/>
      <c r="FB975" s="976"/>
      <c r="FC975" s="976"/>
      <c r="FD975" s="976"/>
      <c r="FE975" s="976"/>
      <c r="FF975" s="976"/>
      <c r="FG975" s="976"/>
      <c r="FH975" s="976"/>
      <c r="FI975" s="976"/>
      <c r="FJ975" s="976"/>
      <c r="FK975" s="976"/>
      <c r="FL975" s="976"/>
      <c r="FM975" s="976"/>
      <c r="FN975" s="976"/>
      <c r="FO975" s="976"/>
      <c r="FP975" s="976"/>
      <c r="FQ975" s="976"/>
      <c r="FR975" s="976"/>
      <c r="FS975" s="976"/>
      <c r="FT975" s="976"/>
      <c r="FU975" s="976"/>
      <c r="FV975" s="976"/>
      <c r="FW975" s="976"/>
      <c r="FX975" s="976"/>
      <c r="FY975" s="976"/>
      <c r="FZ975" s="976"/>
      <c r="GA975" s="976"/>
      <c r="GB975" s="976"/>
      <c r="GC975" s="976"/>
      <c r="GD975" s="976"/>
      <c r="GE975" s="976"/>
      <c r="GF975" s="976"/>
      <c r="GG975" s="976"/>
      <c r="GH975" s="976"/>
      <c r="GI975" s="976"/>
      <c r="GJ975" s="976"/>
      <c r="GK975" s="976"/>
      <c r="GL975" s="976"/>
      <c r="GM975" s="976"/>
      <c r="GN975" s="976"/>
      <c r="GO975" s="976"/>
      <c r="GP975" s="976"/>
      <c r="GQ975" s="976"/>
      <c r="GR975" s="976"/>
      <c r="GS975" s="976"/>
      <c r="GT975" s="976"/>
      <c r="GU975" s="976"/>
      <c r="GV975" s="976"/>
      <c r="GW975" s="976"/>
      <c r="GX975" s="976"/>
      <c r="GY975" s="976"/>
      <c r="GZ975" s="976"/>
      <c r="HA975" s="976"/>
      <c r="HB975" s="976"/>
      <c r="HC975" s="976"/>
      <c r="HD975" s="976"/>
      <c r="HE975" s="976"/>
      <c r="HF975" s="976"/>
      <c r="HG975" s="976"/>
      <c r="HH975" s="976"/>
      <c r="HI975" s="976"/>
      <c r="HJ975" s="976"/>
      <c r="HK975" s="976"/>
      <c r="HL975" s="976"/>
      <c r="HM975" s="976"/>
      <c r="HN975" s="976"/>
      <c r="HO975" s="976"/>
      <c r="HP975" s="976"/>
      <c r="HQ975" s="976"/>
      <c r="HR975" s="976"/>
      <c r="HS975" s="976"/>
      <c r="HT975" s="976"/>
      <c r="HU975" s="976"/>
      <c r="HV975" s="976"/>
      <c r="HW975" s="976"/>
      <c r="HX975" s="976"/>
      <c r="HY975" s="976"/>
      <c r="HZ975" s="976"/>
      <c r="IA975" s="976"/>
      <c r="IB975" s="976"/>
      <c r="IC975" s="976"/>
      <c r="ID975" s="976"/>
      <c r="IE975" s="976"/>
      <c r="IF975" s="976"/>
      <c r="IG975" s="976"/>
      <c r="IH975" s="976"/>
      <c r="II975" s="976"/>
      <c r="IJ975" s="976"/>
      <c r="IK975" s="976"/>
      <c r="IL975" s="976"/>
      <c r="IM975" s="976"/>
      <c r="IN975" s="976"/>
      <c r="IO975" s="976"/>
      <c r="IP975" s="976"/>
      <c r="IQ975" s="976"/>
      <c r="IR975" s="976"/>
      <c r="IS975" s="976"/>
      <c r="IT975" s="976"/>
      <c r="IU975" s="976"/>
      <c r="IV975" s="976"/>
      <c r="IW975" s="976"/>
    </row>
    <row r="976" spans="1:257" s="614" customFormat="1">
      <c r="A976" s="589" t="s">
        <v>222</v>
      </c>
      <c r="B976" s="804" t="s">
        <v>252</v>
      </c>
      <c r="C976" s="589"/>
      <c r="D976" s="589"/>
      <c r="E976" s="704"/>
      <c r="F976" s="716">
        <f>F977+F983</f>
        <v>694000000</v>
      </c>
      <c r="G976" s="704"/>
      <c r="H976" s="704"/>
      <c r="I976" s="704"/>
      <c r="J976" s="716">
        <f>J977+J983</f>
        <v>712000000</v>
      </c>
      <c r="K976" s="716">
        <f>K979+K981+K982</f>
        <v>501000000</v>
      </c>
      <c r="L976" s="1316">
        <f>L979+L981+L982</f>
        <v>669200000</v>
      </c>
      <c r="M976" s="618"/>
      <c r="N976" s="890"/>
      <c r="O976" s="890"/>
      <c r="P976" s="829"/>
      <c r="Q976" s="829"/>
      <c r="R976" s="900"/>
      <c r="S976" s="900"/>
      <c r="T976" s="822"/>
      <c r="U976" s="667"/>
      <c r="V976" s="701"/>
      <c r="W976" s="701"/>
      <c r="X976" s="702"/>
      <c r="Y976" s="703"/>
      <c r="Z976" s="703"/>
      <c r="AA976" s="703"/>
      <c r="AB976" s="703"/>
      <c r="AC976" s="703"/>
      <c r="AD976" s="703"/>
      <c r="AE976" s="703"/>
      <c r="AF976" s="703"/>
      <c r="AG976" s="703"/>
      <c r="AH976" s="703"/>
      <c r="AI976" s="703"/>
      <c r="AJ976" s="703"/>
      <c r="AK976" s="703"/>
      <c r="AL976" s="703"/>
      <c r="AM976" s="703"/>
      <c r="AN976" s="703"/>
      <c r="AO976" s="703"/>
      <c r="AP976" s="703"/>
      <c r="AQ976" s="703"/>
      <c r="AR976" s="703"/>
      <c r="AS976" s="703"/>
      <c r="AT976" s="703"/>
      <c r="AU976" s="703"/>
      <c r="AV976" s="703"/>
      <c r="AW976" s="703"/>
      <c r="AX976" s="703"/>
      <c r="AY976" s="703"/>
      <c r="AZ976" s="703"/>
      <c r="BA976" s="703"/>
      <c r="BB976" s="703"/>
      <c r="BC976" s="703"/>
      <c r="BD976" s="703"/>
      <c r="BE976" s="703"/>
      <c r="BF976" s="703"/>
      <c r="BG976" s="703"/>
      <c r="BH976" s="703"/>
      <c r="BI976" s="703"/>
      <c r="BJ976" s="703"/>
      <c r="BK976" s="703"/>
      <c r="BL976" s="703"/>
      <c r="BM976" s="703"/>
      <c r="BN976" s="703"/>
      <c r="BO976" s="703"/>
      <c r="BP976" s="703"/>
      <c r="BQ976" s="703"/>
      <c r="BR976" s="703"/>
      <c r="BS976" s="703"/>
      <c r="BT976" s="703"/>
      <c r="BU976" s="703"/>
      <c r="BV976" s="703"/>
      <c r="BW976" s="703"/>
      <c r="BX976" s="703"/>
      <c r="BY976" s="703"/>
      <c r="BZ976" s="703"/>
      <c r="CA976" s="703"/>
      <c r="CB976" s="703"/>
      <c r="CC976" s="703"/>
      <c r="CD976" s="703"/>
      <c r="CE976" s="703"/>
      <c r="CF976" s="703"/>
      <c r="CG976" s="703"/>
      <c r="CH976" s="703"/>
      <c r="CI976" s="703"/>
      <c r="CJ976" s="703"/>
      <c r="CK976" s="703"/>
      <c r="CL976" s="703"/>
      <c r="CM976" s="703"/>
      <c r="CN976" s="703"/>
      <c r="CO976" s="703"/>
      <c r="CP976" s="703"/>
      <c r="CQ976" s="703"/>
      <c r="CR976" s="703"/>
      <c r="CS976" s="703"/>
      <c r="CT976" s="703"/>
      <c r="CU976" s="703"/>
      <c r="CV976" s="703"/>
      <c r="CW976" s="703"/>
      <c r="CX976" s="703"/>
      <c r="CY976" s="703"/>
      <c r="CZ976" s="703"/>
      <c r="DA976" s="703"/>
      <c r="DB976" s="703"/>
      <c r="DC976" s="703"/>
      <c r="DD976" s="703"/>
      <c r="DE976" s="703"/>
      <c r="DF976" s="703"/>
      <c r="DG976" s="703"/>
      <c r="DH976" s="703"/>
      <c r="DI976" s="703"/>
      <c r="DJ976" s="703"/>
      <c r="DK976" s="703"/>
      <c r="DL976" s="703"/>
      <c r="DM976" s="703"/>
      <c r="DN976" s="703"/>
      <c r="DO976" s="703"/>
      <c r="DP976" s="703"/>
      <c r="DQ976" s="703"/>
      <c r="DR976" s="703"/>
      <c r="DS976" s="703"/>
      <c r="DT976" s="703"/>
      <c r="DU976" s="703"/>
      <c r="DV976" s="703"/>
      <c r="DW976" s="703"/>
      <c r="DX976" s="703"/>
      <c r="DY976" s="703"/>
      <c r="DZ976" s="703"/>
      <c r="EA976" s="703"/>
      <c r="EB976" s="703"/>
      <c r="EC976" s="703"/>
      <c r="ED976" s="703"/>
      <c r="EE976" s="703"/>
      <c r="EF976" s="703"/>
      <c r="EG976" s="703"/>
      <c r="EH976" s="703"/>
      <c r="EI976" s="703"/>
      <c r="EJ976" s="703"/>
      <c r="EK976" s="703"/>
      <c r="EL976" s="703"/>
      <c r="EM976" s="703"/>
      <c r="EN976" s="703"/>
      <c r="EO976" s="703"/>
      <c r="EP976" s="703"/>
      <c r="EQ976" s="703"/>
      <c r="ER976" s="703"/>
      <c r="ES976" s="703"/>
      <c r="ET976" s="703"/>
      <c r="EU976" s="703"/>
      <c r="EV976" s="703"/>
      <c r="EW976" s="703"/>
      <c r="EX976" s="703"/>
      <c r="EY976" s="703"/>
      <c r="EZ976" s="703"/>
      <c r="FA976" s="703"/>
      <c r="FB976" s="703"/>
      <c r="FC976" s="703"/>
      <c r="FD976" s="703"/>
      <c r="FE976" s="703"/>
      <c r="FF976" s="703"/>
      <c r="FG976" s="703"/>
      <c r="FH976" s="703"/>
      <c r="FI976" s="703"/>
      <c r="FJ976" s="703"/>
      <c r="FK976" s="703"/>
      <c r="FL976" s="703"/>
      <c r="FM976" s="703"/>
      <c r="FN976" s="703"/>
      <c r="FO976" s="703"/>
      <c r="FP976" s="703"/>
      <c r="FQ976" s="703"/>
      <c r="FR976" s="703"/>
      <c r="FS976" s="703"/>
      <c r="FT976" s="703"/>
      <c r="FU976" s="703"/>
      <c r="FV976" s="703"/>
      <c r="FW976" s="703"/>
      <c r="FX976" s="703"/>
      <c r="FY976" s="703"/>
      <c r="FZ976" s="703"/>
      <c r="GA976" s="703"/>
      <c r="GB976" s="703"/>
      <c r="GC976" s="703"/>
      <c r="GD976" s="703"/>
      <c r="GE976" s="703"/>
      <c r="GF976" s="703"/>
      <c r="GG976" s="703"/>
      <c r="GH976" s="703"/>
      <c r="GI976" s="703"/>
      <c r="GJ976" s="703"/>
      <c r="GK976" s="703"/>
      <c r="GL976" s="703"/>
      <c r="GM976" s="703"/>
      <c r="GN976" s="703"/>
      <c r="GO976" s="703"/>
      <c r="GP976" s="703"/>
      <c r="GQ976" s="703"/>
      <c r="GR976" s="703"/>
      <c r="GS976" s="703"/>
      <c r="GT976" s="703"/>
      <c r="GU976" s="703"/>
      <c r="GV976" s="703"/>
      <c r="GW976" s="703"/>
      <c r="GX976" s="703"/>
      <c r="GY976" s="703"/>
      <c r="GZ976" s="703"/>
      <c r="HA976" s="703"/>
      <c r="HB976" s="703"/>
      <c r="HC976" s="703"/>
      <c r="HD976" s="703"/>
      <c r="HE976" s="703"/>
      <c r="HF976" s="703"/>
      <c r="HG976" s="703"/>
      <c r="HH976" s="703"/>
      <c r="HI976" s="703"/>
      <c r="HJ976" s="703"/>
      <c r="HK976" s="703"/>
      <c r="HL976" s="703"/>
      <c r="HM976" s="703"/>
      <c r="HN976" s="703"/>
      <c r="HO976" s="703"/>
      <c r="HP976" s="703"/>
      <c r="HQ976" s="703"/>
      <c r="HR976" s="703"/>
      <c r="HS976" s="703"/>
      <c r="HT976" s="703"/>
      <c r="HU976" s="703"/>
      <c r="HV976" s="703"/>
      <c r="HW976" s="703"/>
      <c r="HX976" s="703"/>
      <c r="HY976" s="703"/>
      <c r="HZ976" s="703"/>
      <c r="IA976" s="703"/>
      <c r="IB976" s="703"/>
      <c r="IC976" s="703"/>
      <c r="ID976" s="703"/>
      <c r="IE976" s="703"/>
      <c r="IF976" s="703"/>
      <c r="IG976" s="703"/>
      <c r="IH976" s="703"/>
      <c r="II976" s="703"/>
      <c r="IJ976" s="703"/>
      <c r="IK976" s="703"/>
      <c r="IL976" s="703"/>
      <c r="IM976" s="703"/>
      <c r="IN976" s="703"/>
      <c r="IO976" s="703"/>
      <c r="IP976" s="703"/>
      <c r="IQ976" s="703"/>
      <c r="IR976" s="703"/>
      <c r="IS976" s="703"/>
      <c r="IT976" s="703"/>
      <c r="IU976" s="703"/>
      <c r="IV976" s="703"/>
      <c r="IW976" s="703"/>
    </row>
    <row r="977" spans="1:257" s="641" customFormat="1">
      <c r="A977" s="699"/>
      <c r="B977" s="607" t="s">
        <v>382</v>
      </c>
      <c r="C977" s="699"/>
      <c r="D977" s="699"/>
      <c r="E977" s="700"/>
      <c r="F977" s="810">
        <f>F978+F982</f>
        <v>694000000</v>
      </c>
      <c r="G977" s="700"/>
      <c r="H977" s="700"/>
      <c r="I977" s="700"/>
      <c r="J977" s="810">
        <f>J978+J982</f>
        <v>712000000</v>
      </c>
      <c r="K977" s="810">
        <f>K978+K982</f>
        <v>501000000</v>
      </c>
      <c r="L977" s="1313">
        <f>L978+L982</f>
        <v>669200000</v>
      </c>
      <c r="M977" s="707"/>
      <c r="N977" s="934"/>
      <c r="O977" s="934"/>
      <c r="P977" s="820"/>
      <c r="Q977" s="820"/>
      <c r="R977" s="871"/>
      <c r="S977" s="866"/>
      <c r="T977" s="839"/>
      <c r="U977" s="726"/>
      <c r="V977" s="581"/>
      <c r="W977" s="581"/>
      <c r="X977" s="578"/>
      <c r="Y977" s="582"/>
      <c r="Z977" s="582"/>
      <c r="AA977" s="582"/>
      <c r="AB977" s="582"/>
      <c r="AC977" s="582"/>
      <c r="AD977" s="582"/>
      <c r="AE977" s="582"/>
      <c r="AF977" s="582"/>
      <c r="AG977" s="582"/>
      <c r="AH977" s="582"/>
      <c r="AI977" s="582"/>
      <c r="AJ977" s="582"/>
      <c r="AK977" s="582"/>
      <c r="AL977" s="582"/>
      <c r="AM977" s="582"/>
      <c r="AN977" s="582"/>
      <c r="AO977" s="582"/>
      <c r="AP977" s="582"/>
      <c r="AQ977" s="582"/>
      <c r="AR977" s="582"/>
      <c r="AS977" s="582"/>
      <c r="AT977" s="582"/>
      <c r="AU977" s="582"/>
      <c r="AV977" s="582"/>
      <c r="AW977" s="582"/>
      <c r="AX977" s="582"/>
      <c r="AY977" s="582"/>
      <c r="AZ977" s="582"/>
      <c r="BA977" s="582"/>
      <c r="BB977" s="582"/>
      <c r="BC977" s="582"/>
      <c r="BD977" s="582"/>
      <c r="BE977" s="582"/>
      <c r="BF977" s="582"/>
      <c r="BG977" s="582"/>
      <c r="BH977" s="582"/>
      <c r="BI977" s="582"/>
      <c r="BJ977" s="582"/>
      <c r="BK977" s="582"/>
      <c r="BL977" s="582"/>
      <c r="BM977" s="582"/>
      <c r="BN977" s="582"/>
      <c r="BO977" s="582"/>
      <c r="BP977" s="582"/>
      <c r="BQ977" s="582"/>
      <c r="BR977" s="582"/>
      <c r="BS977" s="582"/>
      <c r="BT977" s="582"/>
      <c r="BU977" s="582"/>
      <c r="BV977" s="582"/>
      <c r="BW977" s="582"/>
      <c r="BX977" s="582"/>
      <c r="BY977" s="582"/>
      <c r="BZ977" s="582"/>
      <c r="CA977" s="582"/>
      <c r="CB977" s="582"/>
      <c r="CC977" s="582"/>
      <c r="CD977" s="582"/>
      <c r="CE977" s="582"/>
      <c r="CF977" s="582"/>
      <c r="CG977" s="582"/>
      <c r="CH977" s="582"/>
      <c r="CI977" s="582"/>
      <c r="CJ977" s="582"/>
      <c r="CK977" s="582"/>
      <c r="CL977" s="582"/>
      <c r="CM977" s="582"/>
      <c r="CN977" s="582"/>
      <c r="CO977" s="582"/>
      <c r="CP977" s="582"/>
      <c r="CQ977" s="582"/>
      <c r="CR977" s="582"/>
      <c r="CS977" s="582"/>
      <c r="CT977" s="582"/>
      <c r="CU977" s="582"/>
      <c r="CV977" s="582"/>
      <c r="CW977" s="582"/>
      <c r="CX977" s="582"/>
      <c r="CY977" s="582"/>
      <c r="CZ977" s="582"/>
      <c r="DA977" s="582"/>
      <c r="DB977" s="582"/>
      <c r="DC977" s="582"/>
      <c r="DD977" s="582"/>
      <c r="DE977" s="582"/>
      <c r="DF977" s="582"/>
      <c r="DG977" s="582"/>
      <c r="DH977" s="582"/>
      <c r="DI977" s="582"/>
      <c r="DJ977" s="582"/>
      <c r="DK977" s="582"/>
      <c r="DL977" s="582"/>
      <c r="DM977" s="582"/>
      <c r="DN977" s="582"/>
      <c r="DO977" s="582"/>
      <c r="DP977" s="582"/>
      <c r="DQ977" s="582"/>
      <c r="DR977" s="582"/>
      <c r="DS977" s="582"/>
      <c r="DT977" s="582"/>
      <c r="DU977" s="582"/>
      <c r="DV977" s="582"/>
      <c r="DW977" s="582"/>
      <c r="DX977" s="582"/>
      <c r="DY977" s="582"/>
      <c r="DZ977" s="582"/>
      <c r="EA977" s="582"/>
      <c r="EB977" s="582"/>
      <c r="EC977" s="582"/>
      <c r="ED977" s="582"/>
      <c r="EE977" s="582"/>
      <c r="EF977" s="582"/>
      <c r="EG977" s="582"/>
      <c r="EH977" s="582"/>
      <c r="EI977" s="582"/>
      <c r="EJ977" s="582"/>
      <c r="EK977" s="582"/>
      <c r="EL977" s="582"/>
      <c r="EM977" s="582"/>
      <c r="EN977" s="582"/>
      <c r="EO977" s="582"/>
      <c r="EP977" s="582"/>
      <c r="EQ977" s="582"/>
      <c r="ER977" s="582"/>
      <c r="ES977" s="582"/>
      <c r="ET977" s="582"/>
      <c r="EU977" s="582"/>
      <c r="EV977" s="582"/>
      <c r="EW977" s="582"/>
      <c r="EX977" s="582"/>
      <c r="EY977" s="582"/>
      <c r="EZ977" s="582"/>
      <c r="FA977" s="582"/>
      <c r="FB977" s="582"/>
      <c r="FC977" s="582"/>
      <c r="FD977" s="582"/>
      <c r="FE977" s="582"/>
      <c r="FF977" s="582"/>
      <c r="FG977" s="582"/>
      <c r="FH977" s="582"/>
      <c r="FI977" s="582"/>
      <c r="FJ977" s="582"/>
      <c r="FK977" s="582"/>
      <c r="FL977" s="582"/>
      <c r="FM977" s="582"/>
      <c r="FN977" s="582"/>
      <c r="FO977" s="582"/>
      <c r="FP977" s="582"/>
      <c r="FQ977" s="582"/>
      <c r="FR977" s="582"/>
      <c r="FS977" s="582"/>
      <c r="FT977" s="582"/>
      <c r="FU977" s="582"/>
      <c r="FV977" s="582"/>
      <c r="FW977" s="582"/>
      <c r="FX977" s="582"/>
      <c r="FY977" s="582"/>
      <c r="FZ977" s="582"/>
      <c r="GA977" s="582"/>
      <c r="GB977" s="582"/>
      <c r="GC977" s="582"/>
      <c r="GD977" s="582"/>
      <c r="GE977" s="582"/>
      <c r="GF977" s="582"/>
      <c r="GG977" s="582"/>
      <c r="GH977" s="582"/>
      <c r="GI977" s="582"/>
      <c r="GJ977" s="582"/>
      <c r="GK977" s="582"/>
      <c r="GL977" s="582"/>
      <c r="GM977" s="582"/>
      <c r="GN977" s="582"/>
      <c r="GO977" s="582"/>
      <c r="GP977" s="582"/>
      <c r="GQ977" s="582"/>
      <c r="GR977" s="582"/>
      <c r="GS977" s="582"/>
      <c r="GT977" s="582"/>
      <c r="GU977" s="582"/>
      <c r="GV977" s="582"/>
      <c r="GW977" s="582"/>
      <c r="GX977" s="582"/>
      <c r="GY977" s="582"/>
      <c r="GZ977" s="582"/>
      <c r="HA977" s="582"/>
      <c r="HB977" s="582"/>
      <c r="HC977" s="582"/>
      <c r="HD977" s="582"/>
      <c r="HE977" s="582"/>
      <c r="HF977" s="582"/>
      <c r="HG977" s="582"/>
      <c r="HH977" s="582"/>
      <c r="HI977" s="582"/>
      <c r="HJ977" s="582"/>
      <c r="HK977" s="582"/>
      <c r="HL977" s="582"/>
      <c r="HM977" s="582"/>
      <c r="HN977" s="582"/>
      <c r="HO977" s="582"/>
      <c r="HP977" s="582"/>
      <c r="HQ977" s="582"/>
      <c r="HR977" s="582"/>
      <c r="HS977" s="582"/>
      <c r="HT977" s="582"/>
      <c r="HU977" s="582"/>
      <c r="HV977" s="582"/>
      <c r="HW977" s="582"/>
      <c r="HX977" s="582"/>
      <c r="HY977" s="582"/>
      <c r="HZ977" s="582"/>
      <c r="IA977" s="582"/>
      <c r="IB977" s="582"/>
      <c r="IC977" s="582"/>
      <c r="ID977" s="582"/>
      <c r="IE977" s="582"/>
      <c r="IF977" s="582"/>
      <c r="IG977" s="582"/>
      <c r="IH977" s="582"/>
      <c r="II977" s="582"/>
      <c r="IJ977" s="582"/>
      <c r="IK977" s="582"/>
      <c r="IL977" s="582"/>
      <c r="IM977" s="582"/>
      <c r="IN977" s="582"/>
      <c r="IO977" s="582"/>
      <c r="IP977" s="582"/>
      <c r="IQ977" s="582"/>
      <c r="IR977" s="582"/>
      <c r="IS977" s="582"/>
      <c r="IT977" s="582"/>
      <c r="IU977" s="582"/>
      <c r="IV977" s="582"/>
      <c r="IW977" s="582"/>
    </row>
    <row r="978" spans="1:257" s="621" customFormat="1">
      <c r="A978" s="713" t="s">
        <v>258</v>
      </c>
      <c r="B978" s="696" t="s">
        <v>1168</v>
      </c>
      <c r="C978" s="713">
        <v>6</v>
      </c>
      <c r="D978" s="713"/>
      <c r="E978" s="725"/>
      <c r="F978" s="725">
        <v>532000000</v>
      </c>
      <c r="G978" s="877"/>
      <c r="H978" s="877"/>
      <c r="I978" s="877"/>
      <c r="J978" s="725">
        <v>550000000</v>
      </c>
      <c r="K978" s="725">
        <f>K979</f>
        <v>393000000</v>
      </c>
      <c r="L978" s="1311">
        <f>L979+L981</f>
        <v>561200000</v>
      </c>
      <c r="M978" s="669"/>
      <c r="N978" s="868"/>
      <c r="O978" s="868"/>
      <c r="P978" s="1037" t="s">
        <v>537</v>
      </c>
      <c r="Q978" s="1037"/>
      <c r="R978" s="866"/>
      <c r="S978" s="866"/>
      <c r="T978" s="839"/>
      <c r="U978" s="726"/>
      <c r="V978" s="581"/>
      <c r="W978" s="722"/>
      <c r="X978" s="723"/>
      <c r="Y978" s="724"/>
      <c r="Z978" s="724"/>
      <c r="AA978" s="724"/>
      <c r="AB978" s="724"/>
      <c r="AC978" s="724"/>
      <c r="AD978" s="724"/>
      <c r="AE978" s="724"/>
      <c r="AF978" s="724"/>
      <c r="AG978" s="724"/>
      <c r="AH978" s="724"/>
      <c r="AI978" s="724"/>
      <c r="AJ978" s="724"/>
      <c r="AK978" s="724"/>
      <c r="AL978" s="724"/>
      <c r="AM978" s="724"/>
      <c r="AN978" s="724"/>
      <c r="AO978" s="724"/>
      <c r="AP978" s="724"/>
      <c r="AQ978" s="724"/>
      <c r="AR978" s="724"/>
      <c r="AS978" s="724"/>
      <c r="AT978" s="724"/>
      <c r="AU978" s="724"/>
      <c r="AV978" s="724"/>
      <c r="AW978" s="724"/>
      <c r="AX978" s="724"/>
      <c r="AY978" s="724"/>
      <c r="AZ978" s="724"/>
      <c r="BA978" s="724"/>
      <c r="BB978" s="724"/>
      <c r="BC978" s="724"/>
      <c r="BD978" s="724"/>
      <c r="BE978" s="724"/>
      <c r="BF978" s="724"/>
      <c r="BG978" s="724"/>
      <c r="BH978" s="724"/>
      <c r="BI978" s="724"/>
      <c r="BJ978" s="724"/>
      <c r="BK978" s="724"/>
      <c r="BL978" s="724"/>
      <c r="BM978" s="724"/>
      <c r="BN978" s="724"/>
      <c r="BO978" s="724"/>
      <c r="BP978" s="724"/>
      <c r="BQ978" s="724"/>
      <c r="BR978" s="724"/>
      <c r="BS978" s="724"/>
      <c r="BT978" s="724"/>
      <c r="BU978" s="724"/>
      <c r="BV978" s="724"/>
      <c r="BW978" s="724"/>
      <c r="BX978" s="724"/>
      <c r="BY978" s="724"/>
      <c r="BZ978" s="724"/>
      <c r="CA978" s="724"/>
      <c r="CB978" s="724"/>
      <c r="CC978" s="724"/>
      <c r="CD978" s="724"/>
      <c r="CE978" s="724"/>
      <c r="CF978" s="724"/>
      <c r="CG978" s="724"/>
      <c r="CH978" s="724"/>
      <c r="CI978" s="724"/>
      <c r="CJ978" s="724"/>
      <c r="CK978" s="724"/>
      <c r="CL978" s="724"/>
      <c r="CM978" s="724"/>
      <c r="CN978" s="724"/>
      <c r="CO978" s="724"/>
      <c r="CP978" s="724"/>
      <c r="CQ978" s="724"/>
      <c r="CR978" s="724"/>
      <c r="CS978" s="724"/>
      <c r="CT978" s="724"/>
      <c r="CU978" s="724"/>
      <c r="CV978" s="724"/>
      <c r="CW978" s="724"/>
      <c r="CX978" s="724"/>
      <c r="CY978" s="724"/>
      <c r="CZ978" s="724"/>
      <c r="DA978" s="724"/>
      <c r="DB978" s="724"/>
      <c r="DC978" s="724"/>
      <c r="DD978" s="724"/>
      <c r="DE978" s="724"/>
      <c r="DF978" s="724"/>
      <c r="DG978" s="724"/>
      <c r="DH978" s="724"/>
      <c r="DI978" s="724"/>
      <c r="DJ978" s="724"/>
      <c r="DK978" s="724"/>
      <c r="DL978" s="724"/>
      <c r="DM978" s="724"/>
      <c r="DN978" s="724"/>
      <c r="DO978" s="724"/>
      <c r="DP978" s="724"/>
      <c r="DQ978" s="724"/>
      <c r="DR978" s="724"/>
      <c r="DS978" s="724"/>
      <c r="DT978" s="724"/>
      <c r="DU978" s="724"/>
      <c r="DV978" s="724"/>
      <c r="DW978" s="724"/>
      <c r="DX978" s="724"/>
      <c r="DY978" s="724"/>
      <c r="DZ978" s="724"/>
      <c r="EA978" s="724"/>
      <c r="EB978" s="724"/>
      <c r="EC978" s="724"/>
      <c r="ED978" s="724"/>
      <c r="EE978" s="724"/>
      <c r="EF978" s="724"/>
      <c r="EG978" s="724"/>
      <c r="EH978" s="724"/>
      <c r="EI978" s="724"/>
      <c r="EJ978" s="724"/>
      <c r="EK978" s="724"/>
      <c r="EL978" s="724"/>
      <c r="EM978" s="724"/>
      <c r="EN978" s="724"/>
      <c r="EO978" s="724"/>
      <c r="EP978" s="724"/>
      <c r="EQ978" s="724"/>
      <c r="ER978" s="724"/>
      <c r="ES978" s="724"/>
      <c r="ET978" s="724"/>
      <c r="EU978" s="724"/>
      <c r="EV978" s="724"/>
      <c r="EW978" s="724"/>
      <c r="EX978" s="724"/>
      <c r="EY978" s="724"/>
      <c r="EZ978" s="724"/>
      <c r="FA978" s="724"/>
      <c r="FB978" s="724"/>
      <c r="FC978" s="724"/>
      <c r="FD978" s="724"/>
      <c r="FE978" s="724"/>
      <c r="FF978" s="724"/>
      <c r="FG978" s="724"/>
      <c r="FH978" s="724"/>
      <c r="FI978" s="724"/>
      <c r="FJ978" s="724"/>
      <c r="FK978" s="724"/>
      <c r="FL978" s="724"/>
      <c r="FM978" s="724"/>
      <c r="FN978" s="724"/>
      <c r="FO978" s="724"/>
      <c r="FP978" s="724"/>
      <c r="FQ978" s="724"/>
      <c r="FR978" s="724"/>
      <c r="FS978" s="724"/>
      <c r="FT978" s="724"/>
      <c r="FU978" s="724"/>
      <c r="FV978" s="724"/>
      <c r="FW978" s="724"/>
      <c r="FX978" s="724"/>
      <c r="FY978" s="724"/>
      <c r="FZ978" s="724"/>
      <c r="GA978" s="724"/>
      <c r="GB978" s="724"/>
      <c r="GC978" s="724"/>
      <c r="GD978" s="724"/>
      <c r="GE978" s="724"/>
      <c r="GF978" s="724"/>
      <c r="GG978" s="724"/>
      <c r="GH978" s="724"/>
      <c r="GI978" s="724"/>
      <c r="GJ978" s="724"/>
      <c r="GK978" s="724"/>
      <c r="GL978" s="724"/>
      <c r="GM978" s="724"/>
      <c r="GN978" s="724"/>
      <c r="GO978" s="724"/>
      <c r="GP978" s="724"/>
      <c r="GQ978" s="724"/>
      <c r="GR978" s="724"/>
      <c r="GS978" s="724"/>
      <c r="GT978" s="724"/>
      <c r="GU978" s="724"/>
      <c r="GV978" s="724"/>
      <c r="GW978" s="724"/>
      <c r="GX978" s="724"/>
      <c r="GY978" s="724"/>
      <c r="GZ978" s="724"/>
      <c r="HA978" s="724"/>
      <c r="HB978" s="724"/>
      <c r="HC978" s="724"/>
      <c r="HD978" s="724"/>
      <c r="HE978" s="724"/>
      <c r="HF978" s="724"/>
      <c r="HG978" s="724"/>
      <c r="HH978" s="724"/>
      <c r="HI978" s="724"/>
      <c r="HJ978" s="724"/>
      <c r="HK978" s="724"/>
      <c r="HL978" s="724"/>
      <c r="HM978" s="724"/>
      <c r="HN978" s="724"/>
      <c r="HO978" s="724"/>
      <c r="HP978" s="724"/>
      <c r="HQ978" s="724"/>
      <c r="HR978" s="724"/>
      <c r="HS978" s="724"/>
      <c r="HT978" s="724"/>
      <c r="HU978" s="724"/>
      <c r="HV978" s="724"/>
      <c r="HW978" s="724"/>
      <c r="HX978" s="724"/>
      <c r="HY978" s="724"/>
      <c r="HZ978" s="724"/>
      <c r="IA978" s="724"/>
      <c r="IB978" s="724"/>
      <c r="IC978" s="724"/>
      <c r="ID978" s="724"/>
      <c r="IE978" s="724"/>
      <c r="IF978" s="724"/>
      <c r="IG978" s="724"/>
      <c r="IH978" s="724"/>
      <c r="II978" s="724"/>
      <c r="IJ978" s="724"/>
      <c r="IK978" s="724"/>
      <c r="IL978" s="724"/>
      <c r="IM978" s="724"/>
      <c r="IN978" s="724"/>
      <c r="IO978" s="724"/>
      <c r="IP978" s="724"/>
      <c r="IQ978" s="724"/>
      <c r="IR978" s="724"/>
      <c r="IS978" s="724"/>
      <c r="IT978" s="724"/>
      <c r="IU978" s="724"/>
      <c r="IV978" s="724"/>
      <c r="IW978" s="724"/>
    </row>
    <row r="979" spans="1:257" s="621" customFormat="1">
      <c r="A979" s="713"/>
      <c r="B979" s="684" t="s">
        <v>1169</v>
      </c>
      <c r="C979" s="713"/>
      <c r="D979" s="713"/>
      <c r="E979" s="725"/>
      <c r="F979" s="725"/>
      <c r="G979" s="877"/>
      <c r="H979" s="877"/>
      <c r="I979" s="877"/>
      <c r="J979" s="725"/>
      <c r="K979" s="725">
        <f>ROUND(475000000*1.49/1.8,-6)</f>
        <v>393000000</v>
      </c>
      <c r="L979" s="1311">
        <v>404000000</v>
      </c>
      <c r="M979" s="669"/>
      <c r="N979" s="868"/>
      <c r="O979" s="868"/>
      <c r="P979" s="1037"/>
      <c r="Q979" s="1037"/>
      <c r="R979" s="866"/>
      <c r="S979" s="866"/>
      <c r="T979" s="839"/>
      <c r="U979" s="726"/>
      <c r="V979" s="581"/>
      <c r="W979" s="722"/>
      <c r="X979" s="723"/>
      <c r="Y979" s="724"/>
      <c r="Z979" s="724"/>
      <c r="AA979" s="724"/>
      <c r="AB979" s="724"/>
      <c r="AC979" s="724"/>
      <c r="AD979" s="724"/>
      <c r="AE979" s="724"/>
      <c r="AF979" s="724"/>
      <c r="AG979" s="724"/>
      <c r="AH979" s="724"/>
      <c r="AI979" s="724"/>
      <c r="AJ979" s="724"/>
      <c r="AK979" s="724"/>
      <c r="AL979" s="724"/>
      <c r="AM979" s="724"/>
      <c r="AN979" s="724"/>
      <c r="AO979" s="724"/>
      <c r="AP979" s="724"/>
      <c r="AQ979" s="724"/>
      <c r="AR979" s="724"/>
      <c r="AS979" s="724"/>
      <c r="AT979" s="724"/>
      <c r="AU979" s="724"/>
      <c r="AV979" s="724"/>
      <c r="AW979" s="724"/>
      <c r="AX979" s="724"/>
      <c r="AY979" s="724"/>
      <c r="AZ979" s="724"/>
      <c r="BA979" s="724"/>
      <c r="BB979" s="724"/>
      <c r="BC979" s="724"/>
      <c r="BD979" s="724"/>
      <c r="BE979" s="724"/>
      <c r="BF979" s="724"/>
      <c r="BG979" s="724"/>
      <c r="BH979" s="724"/>
      <c r="BI979" s="724"/>
      <c r="BJ979" s="724"/>
      <c r="BK979" s="724"/>
      <c r="BL979" s="724"/>
      <c r="BM979" s="724"/>
      <c r="BN979" s="724"/>
      <c r="BO979" s="724"/>
      <c r="BP979" s="724"/>
      <c r="BQ979" s="724"/>
      <c r="BR979" s="724"/>
      <c r="BS979" s="724"/>
      <c r="BT979" s="724"/>
      <c r="BU979" s="724"/>
      <c r="BV979" s="724"/>
      <c r="BW979" s="724"/>
      <c r="BX979" s="724"/>
      <c r="BY979" s="724"/>
      <c r="BZ979" s="724"/>
      <c r="CA979" s="724"/>
      <c r="CB979" s="724"/>
      <c r="CC979" s="724"/>
      <c r="CD979" s="724"/>
      <c r="CE979" s="724"/>
      <c r="CF979" s="724"/>
      <c r="CG979" s="724"/>
      <c r="CH979" s="724"/>
      <c r="CI979" s="724"/>
      <c r="CJ979" s="724"/>
      <c r="CK979" s="724"/>
      <c r="CL979" s="724"/>
      <c r="CM979" s="724"/>
      <c r="CN979" s="724"/>
      <c r="CO979" s="724"/>
      <c r="CP979" s="724"/>
      <c r="CQ979" s="724"/>
      <c r="CR979" s="724"/>
      <c r="CS979" s="724"/>
      <c r="CT979" s="724"/>
      <c r="CU979" s="724"/>
      <c r="CV979" s="724"/>
      <c r="CW979" s="724"/>
      <c r="CX979" s="724"/>
      <c r="CY979" s="724"/>
      <c r="CZ979" s="724"/>
      <c r="DA979" s="724"/>
      <c r="DB979" s="724"/>
      <c r="DC979" s="724"/>
      <c r="DD979" s="724"/>
      <c r="DE979" s="724"/>
      <c r="DF979" s="724"/>
      <c r="DG979" s="724"/>
      <c r="DH979" s="724"/>
      <c r="DI979" s="724"/>
      <c r="DJ979" s="724"/>
      <c r="DK979" s="724"/>
      <c r="DL979" s="724"/>
      <c r="DM979" s="724"/>
      <c r="DN979" s="724"/>
      <c r="DO979" s="724"/>
      <c r="DP979" s="724"/>
      <c r="DQ979" s="724"/>
      <c r="DR979" s="724"/>
      <c r="DS979" s="724"/>
      <c r="DT979" s="724"/>
      <c r="DU979" s="724"/>
      <c r="DV979" s="724"/>
      <c r="DW979" s="724"/>
      <c r="DX979" s="724"/>
      <c r="DY979" s="724"/>
      <c r="DZ979" s="724"/>
      <c r="EA979" s="724"/>
      <c r="EB979" s="724"/>
      <c r="EC979" s="724"/>
      <c r="ED979" s="724"/>
      <c r="EE979" s="724"/>
      <c r="EF979" s="724"/>
      <c r="EG979" s="724"/>
      <c r="EH979" s="724"/>
      <c r="EI979" s="724"/>
      <c r="EJ979" s="724"/>
      <c r="EK979" s="724"/>
      <c r="EL979" s="724"/>
      <c r="EM979" s="724"/>
      <c r="EN979" s="724"/>
      <c r="EO979" s="724"/>
      <c r="EP979" s="724"/>
      <c r="EQ979" s="724"/>
      <c r="ER979" s="724"/>
      <c r="ES979" s="724"/>
      <c r="ET979" s="724"/>
      <c r="EU979" s="724"/>
      <c r="EV979" s="724"/>
      <c r="EW979" s="724"/>
      <c r="EX979" s="724"/>
      <c r="EY979" s="724"/>
      <c r="EZ979" s="724"/>
      <c r="FA979" s="724"/>
      <c r="FB979" s="724"/>
      <c r="FC979" s="724"/>
      <c r="FD979" s="724"/>
      <c r="FE979" s="724"/>
      <c r="FF979" s="724"/>
      <c r="FG979" s="724"/>
      <c r="FH979" s="724"/>
      <c r="FI979" s="724"/>
      <c r="FJ979" s="724"/>
      <c r="FK979" s="724"/>
      <c r="FL979" s="724"/>
      <c r="FM979" s="724"/>
      <c r="FN979" s="724"/>
      <c r="FO979" s="724"/>
      <c r="FP979" s="724"/>
      <c r="FQ979" s="724"/>
      <c r="FR979" s="724"/>
      <c r="FS979" s="724"/>
      <c r="FT979" s="724"/>
      <c r="FU979" s="724"/>
      <c r="FV979" s="724"/>
      <c r="FW979" s="724"/>
      <c r="FX979" s="724"/>
      <c r="FY979" s="724"/>
      <c r="FZ979" s="724"/>
      <c r="GA979" s="724"/>
      <c r="GB979" s="724"/>
      <c r="GC979" s="724"/>
      <c r="GD979" s="724"/>
      <c r="GE979" s="724"/>
      <c r="GF979" s="724"/>
      <c r="GG979" s="724"/>
      <c r="GH979" s="724"/>
      <c r="GI979" s="724"/>
      <c r="GJ979" s="724"/>
      <c r="GK979" s="724"/>
      <c r="GL979" s="724"/>
      <c r="GM979" s="724"/>
      <c r="GN979" s="724"/>
      <c r="GO979" s="724"/>
      <c r="GP979" s="724"/>
      <c r="GQ979" s="724"/>
      <c r="GR979" s="724"/>
      <c r="GS979" s="724"/>
      <c r="GT979" s="724"/>
      <c r="GU979" s="724"/>
      <c r="GV979" s="724"/>
      <c r="GW979" s="724"/>
      <c r="GX979" s="724"/>
      <c r="GY979" s="724"/>
      <c r="GZ979" s="724"/>
      <c r="HA979" s="724"/>
      <c r="HB979" s="724"/>
      <c r="HC979" s="724"/>
      <c r="HD979" s="724"/>
      <c r="HE979" s="724"/>
      <c r="HF979" s="724"/>
      <c r="HG979" s="724"/>
      <c r="HH979" s="724"/>
      <c r="HI979" s="724"/>
      <c r="HJ979" s="724"/>
      <c r="HK979" s="724"/>
      <c r="HL979" s="724"/>
      <c r="HM979" s="724"/>
      <c r="HN979" s="724"/>
      <c r="HO979" s="724"/>
      <c r="HP979" s="724"/>
      <c r="HQ979" s="724"/>
      <c r="HR979" s="724"/>
      <c r="HS979" s="724"/>
      <c r="HT979" s="724"/>
      <c r="HU979" s="724"/>
      <c r="HV979" s="724"/>
      <c r="HW979" s="724"/>
      <c r="HX979" s="724"/>
      <c r="HY979" s="724"/>
      <c r="HZ979" s="724"/>
      <c r="IA979" s="724"/>
      <c r="IB979" s="724"/>
      <c r="IC979" s="724"/>
      <c r="ID979" s="724"/>
      <c r="IE979" s="724"/>
      <c r="IF979" s="724"/>
      <c r="IG979" s="724"/>
      <c r="IH979" s="724"/>
      <c r="II979" s="724"/>
      <c r="IJ979" s="724"/>
      <c r="IK979" s="724"/>
      <c r="IL979" s="724"/>
      <c r="IM979" s="724"/>
      <c r="IN979" s="724"/>
      <c r="IO979" s="724"/>
      <c r="IP979" s="724"/>
      <c r="IQ979" s="724"/>
      <c r="IR979" s="724"/>
      <c r="IS979" s="724"/>
      <c r="IT979" s="724"/>
      <c r="IU979" s="724"/>
      <c r="IV979" s="724"/>
      <c r="IW979" s="724"/>
    </row>
    <row r="980" spans="1:257" s="621" customFormat="1">
      <c r="A980" s="713"/>
      <c r="B980" s="684" t="s">
        <v>1380</v>
      </c>
      <c r="C980" s="713"/>
      <c r="D980" s="713"/>
      <c r="E980" s="725"/>
      <c r="F980" s="725"/>
      <c r="G980" s="877"/>
      <c r="H980" s="877"/>
      <c r="I980" s="877"/>
      <c r="J980" s="725"/>
      <c r="K980" s="725">
        <f>475000000-K979</f>
        <v>82000000</v>
      </c>
      <c r="L980" s="1311">
        <v>226000000</v>
      </c>
      <c r="M980" s="669"/>
      <c r="N980" s="868"/>
      <c r="O980" s="868"/>
      <c r="P980" s="1037"/>
      <c r="Q980" s="1037"/>
      <c r="R980" s="866"/>
      <c r="S980" s="866"/>
      <c r="T980" s="839"/>
      <c r="U980" s="726"/>
      <c r="V980" s="581"/>
      <c r="W980" s="722"/>
      <c r="X980" s="723"/>
      <c r="Y980" s="724"/>
      <c r="Z980" s="724"/>
      <c r="AA980" s="724"/>
      <c r="AB980" s="724"/>
      <c r="AC980" s="724"/>
      <c r="AD980" s="724"/>
      <c r="AE980" s="724"/>
      <c r="AF980" s="724"/>
      <c r="AG980" s="724"/>
      <c r="AH980" s="724"/>
      <c r="AI980" s="724"/>
      <c r="AJ980" s="724"/>
      <c r="AK980" s="724"/>
      <c r="AL980" s="724"/>
      <c r="AM980" s="724"/>
      <c r="AN980" s="724"/>
      <c r="AO980" s="724"/>
      <c r="AP980" s="724"/>
      <c r="AQ980" s="724"/>
      <c r="AR980" s="724"/>
      <c r="AS980" s="724"/>
      <c r="AT980" s="724"/>
      <c r="AU980" s="724"/>
      <c r="AV980" s="724"/>
      <c r="AW980" s="724"/>
      <c r="AX980" s="724"/>
      <c r="AY980" s="724"/>
      <c r="AZ980" s="724"/>
      <c r="BA980" s="724"/>
      <c r="BB980" s="724"/>
      <c r="BC980" s="724"/>
      <c r="BD980" s="724"/>
      <c r="BE980" s="724"/>
      <c r="BF980" s="724"/>
      <c r="BG980" s="724"/>
      <c r="BH980" s="724"/>
      <c r="BI980" s="724"/>
      <c r="BJ980" s="724"/>
      <c r="BK980" s="724"/>
      <c r="BL980" s="724"/>
      <c r="BM980" s="724"/>
      <c r="BN980" s="724"/>
      <c r="BO980" s="724"/>
      <c r="BP980" s="724"/>
      <c r="BQ980" s="724"/>
      <c r="BR980" s="724"/>
      <c r="BS980" s="724"/>
      <c r="BT980" s="724"/>
      <c r="BU980" s="724"/>
      <c r="BV980" s="724"/>
      <c r="BW980" s="724"/>
      <c r="BX980" s="724"/>
      <c r="BY980" s="724"/>
      <c r="BZ980" s="724"/>
      <c r="CA980" s="724"/>
      <c r="CB980" s="724"/>
      <c r="CC980" s="724"/>
      <c r="CD980" s="724"/>
      <c r="CE980" s="724"/>
      <c r="CF980" s="724"/>
      <c r="CG980" s="724"/>
      <c r="CH980" s="724"/>
      <c r="CI980" s="724"/>
      <c r="CJ980" s="724"/>
      <c r="CK980" s="724"/>
      <c r="CL980" s="724"/>
      <c r="CM980" s="724"/>
      <c r="CN980" s="724"/>
      <c r="CO980" s="724"/>
      <c r="CP980" s="724"/>
      <c r="CQ980" s="724"/>
      <c r="CR980" s="724"/>
      <c r="CS980" s="724"/>
      <c r="CT980" s="724"/>
      <c r="CU980" s="724"/>
      <c r="CV980" s="724"/>
      <c r="CW980" s="724"/>
      <c r="CX980" s="724"/>
      <c r="CY980" s="724"/>
      <c r="CZ980" s="724"/>
      <c r="DA980" s="724"/>
      <c r="DB980" s="724"/>
      <c r="DC980" s="724"/>
      <c r="DD980" s="724"/>
      <c r="DE980" s="724"/>
      <c r="DF980" s="724"/>
      <c r="DG980" s="724"/>
      <c r="DH980" s="724"/>
      <c r="DI980" s="724"/>
      <c r="DJ980" s="724"/>
      <c r="DK980" s="724"/>
      <c r="DL980" s="724"/>
      <c r="DM980" s="724"/>
      <c r="DN980" s="724"/>
      <c r="DO980" s="724"/>
      <c r="DP980" s="724"/>
      <c r="DQ980" s="724"/>
      <c r="DR980" s="724"/>
      <c r="DS980" s="724"/>
      <c r="DT980" s="724"/>
      <c r="DU980" s="724"/>
      <c r="DV980" s="724"/>
      <c r="DW980" s="724"/>
      <c r="DX980" s="724"/>
      <c r="DY980" s="724"/>
      <c r="DZ980" s="724"/>
      <c r="EA980" s="724"/>
      <c r="EB980" s="724"/>
      <c r="EC980" s="724"/>
      <c r="ED980" s="724"/>
      <c r="EE980" s="724"/>
      <c r="EF980" s="724"/>
      <c r="EG980" s="724"/>
      <c r="EH980" s="724"/>
      <c r="EI980" s="724"/>
      <c r="EJ980" s="724"/>
      <c r="EK980" s="724"/>
      <c r="EL980" s="724"/>
      <c r="EM980" s="724"/>
      <c r="EN980" s="724"/>
      <c r="EO980" s="724"/>
      <c r="EP980" s="724"/>
      <c r="EQ980" s="724"/>
      <c r="ER980" s="724"/>
      <c r="ES980" s="724"/>
      <c r="ET980" s="724"/>
      <c r="EU980" s="724"/>
      <c r="EV980" s="724"/>
      <c r="EW980" s="724"/>
      <c r="EX980" s="724"/>
      <c r="EY980" s="724"/>
      <c r="EZ980" s="724"/>
      <c r="FA980" s="724"/>
      <c r="FB980" s="724"/>
      <c r="FC980" s="724"/>
      <c r="FD980" s="724"/>
      <c r="FE980" s="724"/>
      <c r="FF980" s="724"/>
      <c r="FG980" s="724"/>
      <c r="FH980" s="724"/>
      <c r="FI980" s="724"/>
      <c r="FJ980" s="724"/>
      <c r="FK980" s="724"/>
      <c r="FL980" s="724"/>
      <c r="FM980" s="724"/>
      <c r="FN980" s="724"/>
      <c r="FO980" s="724"/>
      <c r="FP980" s="724"/>
      <c r="FQ980" s="724"/>
      <c r="FR980" s="724"/>
      <c r="FS980" s="724"/>
      <c r="FT980" s="724"/>
      <c r="FU980" s="724"/>
      <c r="FV980" s="724"/>
      <c r="FW980" s="724"/>
      <c r="FX980" s="724"/>
      <c r="FY980" s="724"/>
      <c r="FZ980" s="724"/>
      <c r="GA980" s="724"/>
      <c r="GB980" s="724"/>
      <c r="GC980" s="724"/>
      <c r="GD980" s="724"/>
      <c r="GE980" s="724"/>
      <c r="GF980" s="724"/>
      <c r="GG980" s="724"/>
      <c r="GH980" s="724"/>
      <c r="GI980" s="724"/>
      <c r="GJ980" s="724"/>
      <c r="GK980" s="724"/>
      <c r="GL980" s="724"/>
      <c r="GM980" s="724"/>
      <c r="GN980" s="724"/>
      <c r="GO980" s="724"/>
      <c r="GP980" s="724"/>
      <c r="GQ980" s="724"/>
      <c r="GR980" s="724"/>
      <c r="GS980" s="724"/>
      <c r="GT980" s="724"/>
      <c r="GU980" s="724"/>
      <c r="GV980" s="724"/>
      <c r="GW980" s="724"/>
      <c r="GX980" s="724"/>
      <c r="GY980" s="724"/>
      <c r="GZ980" s="724"/>
      <c r="HA980" s="724"/>
      <c r="HB980" s="724"/>
      <c r="HC980" s="724"/>
      <c r="HD980" s="724"/>
      <c r="HE980" s="724"/>
      <c r="HF980" s="724"/>
      <c r="HG980" s="724"/>
      <c r="HH980" s="724"/>
      <c r="HI980" s="724"/>
      <c r="HJ980" s="724"/>
      <c r="HK980" s="724"/>
      <c r="HL980" s="724"/>
      <c r="HM980" s="724"/>
      <c r="HN980" s="724"/>
      <c r="HO980" s="724"/>
      <c r="HP980" s="724"/>
      <c r="HQ980" s="724"/>
      <c r="HR980" s="724"/>
      <c r="HS980" s="724"/>
      <c r="HT980" s="724"/>
      <c r="HU980" s="724"/>
      <c r="HV980" s="724"/>
      <c r="HW980" s="724"/>
      <c r="HX980" s="724"/>
      <c r="HY980" s="724"/>
      <c r="HZ980" s="724"/>
      <c r="IA980" s="724"/>
      <c r="IB980" s="724"/>
      <c r="IC980" s="724"/>
      <c r="ID980" s="724"/>
      <c r="IE980" s="724"/>
      <c r="IF980" s="724"/>
      <c r="IG980" s="724"/>
      <c r="IH980" s="724"/>
      <c r="II980" s="724"/>
      <c r="IJ980" s="724"/>
      <c r="IK980" s="724"/>
      <c r="IL980" s="724"/>
      <c r="IM980" s="724"/>
      <c r="IN980" s="724"/>
      <c r="IO980" s="724"/>
      <c r="IP980" s="724"/>
      <c r="IQ980" s="724"/>
      <c r="IR980" s="724"/>
      <c r="IS980" s="724"/>
      <c r="IT980" s="724"/>
      <c r="IU980" s="724"/>
      <c r="IV980" s="724"/>
      <c r="IW980" s="724"/>
    </row>
    <row r="981" spans="1:257" s="621" customFormat="1">
      <c r="A981" s="713"/>
      <c r="B981" s="684" t="s">
        <v>1357</v>
      </c>
      <c r="C981" s="713"/>
      <c r="D981" s="713"/>
      <c r="E981" s="725"/>
      <c r="F981" s="725"/>
      <c r="G981" s="877"/>
      <c r="H981" s="877"/>
      <c r="I981" s="877"/>
      <c r="J981" s="725"/>
      <c r="K981" s="725"/>
      <c r="L981" s="1311">
        <f>L980-L1011</f>
        <v>157200000</v>
      </c>
      <c r="M981" s="669"/>
      <c r="N981" s="868"/>
      <c r="O981" s="868"/>
      <c r="P981" s="1037"/>
      <c r="Q981" s="1037"/>
      <c r="R981" s="866"/>
      <c r="S981" s="866"/>
      <c r="T981" s="839"/>
      <c r="U981" s="726"/>
      <c r="V981" s="581"/>
      <c r="W981" s="722"/>
      <c r="X981" s="723"/>
      <c r="Y981" s="724"/>
      <c r="Z981" s="724"/>
      <c r="AA981" s="724"/>
      <c r="AB981" s="724"/>
      <c r="AC981" s="724"/>
      <c r="AD981" s="724"/>
      <c r="AE981" s="724"/>
      <c r="AF981" s="724"/>
      <c r="AG981" s="724"/>
      <c r="AH981" s="724"/>
      <c r="AI981" s="724"/>
      <c r="AJ981" s="724"/>
      <c r="AK981" s="724"/>
      <c r="AL981" s="724"/>
      <c r="AM981" s="724"/>
      <c r="AN981" s="724"/>
      <c r="AO981" s="724"/>
      <c r="AP981" s="724"/>
      <c r="AQ981" s="724"/>
      <c r="AR981" s="724"/>
      <c r="AS981" s="724"/>
      <c r="AT981" s="724"/>
      <c r="AU981" s="724"/>
      <c r="AV981" s="724"/>
      <c r="AW981" s="724"/>
      <c r="AX981" s="724"/>
      <c r="AY981" s="724"/>
      <c r="AZ981" s="724"/>
      <c r="BA981" s="724"/>
      <c r="BB981" s="724"/>
      <c r="BC981" s="724"/>
      <c r="BD981" s="724"/>
      <c r="BE981" s="724"/>
      <c r="BF981" s="724"/>
      <c r="BG981" s="724"/>
      <c r="BH981" s="724"/>
      <c r="BI981" s="724"/>
      <c r="BJ981" s="724"/>
      <c r="BK981" s="724"/>
      <c r="BL981" s="724"/>
      <c r="BM981" s="724"/>
      <c r="BN981" s="724"/>
      <c r="BO981" s="724"/>
      <c r="BP981" s="724"/>
      <c r="BQ981" s="724"/>
      <c r="BR981" s="724"/>
      <c r="BS981" s="724"/>
      <c r="BT981" s="724"/>
      <c r="BU981" s="724"/>
      <c r="BV981" s="724"/>
      <c r="BW981" s="724"/>
      <c r="BX981" s="724"/>
      <c r="BY981" s="724"/>
      <c r="BZ981" s="724"/>
      <c r="CA981" s="724"/>
      <c r="CB981" s="724"/>
      <c r="CC981" s="724"/>
      <c r="CD981" s="724"/>
      <c r="CE981" s="724"/>
      <c r="CF981" s="724"/>
      <c r="CG981" s="724"/>
      <c r="CH981" s="724"/>
      <c r="CI981" s="724"/>
      <c r="CJ981" s="724"/>
      <c r="CK981" s="724"/>
      <c r="CL981" s="724"/>
      <c r="CM981" s="724"/>
      <c r="CN981" s="724"/>
      <c r="CO981" s="724"/>
      <c r="CP981" s="724"/>
      <c r="CQ981" s="724"/>
      <c r="CR981" s="724"/>
      <c r="CS981" s="724"/>
      <c r="CT981" s="724"/>
      <c r="CU981" s="724"/>
      <c r="CV981" s="724"/>
      <c r="CW981" s="724"/>
      <c r="CX981" s="724"/>
      <c r="CY981" s="724"/>
      <c r="CZ981" s="724"/>
      <c r="DA981" s="724"/>
      <c r="DB981" s="724"/>
      <c r="DC981" s="724"/>
      <c r="DD981" s="724"/>
      <c r="DE981" s="724"/>
      <c r="DF981" s="724"/>
      <c r="DG981" s="724"/>
      <c r="DH981" s="724"/>
      <c r="DI981" s="724"/>
      <c r="DJ981" s="724"/>
      <c r="DK981" s="724"/>
      <c r="DL981" s="724"/>
      <c r="DM981" s="724"/>
      <c r="DN981" s="724"/>
      <c r="DO981" s="724"/>
      <c r="DP981" s="724"/>
      <c r="DQ981" s="724"/>
      <c r="DR981" s="724"/>
      <c r="DS981" s="724"/>
      <c r="DT981" s="724"/>
      <c r="DU981" s="724"/>
      <c r="DV981" s="724"/>
      <c r="DW981" s="724"/>
      <c r="DX981" s="724"/>
      <c r="DY981" s="724"/>
      <c r="DZ981" s="724"/>
      <c r="EA981" s="724"/>
      <c r="EB981" s="724"/>
      <c r="EC981" s="724"/>
      <c r="ED981" s="724"/>
      <c r="EE981" s="724"/>
      <c r="EF981" s="724"/>
      <c r="EG981" s="724"/>
      <c r="EH981" s="724"/>
      <c r="EI981" s="724"/>
      <c r="EJ981" s="724"/>
      <c r="EK981" s="724"/>
      <c r="EL981" s="724"/>
      <c r="EM981" s="724"/>
      <c r="EN981" s="724"/>
      <c r="EO981" s="724"/>
      <c r="EP981" s="724"/>
      <c r="EQ981" s="724"/>
      <c r="ER981" s="724"/>
      <c r="ES981" s="724"/>
      <c r="ET981" s="724"/>
      <c r="EU981" s="724"/>
      <c r="EV981" s="724"/>
      <c r="EW981" s="724"/>
      <c r="EX981" s="724"/>
      <c r="EY981" s="724"/>
      <c r="EZ981" s="724"/>
      <c r="FA981" s="724"/>
      <c r="FB981" s="724"/>
      <c r="FC981" s="724"/>
      <c r="FD981" s="724"/>
      <c r="FE981" s="724"/>
      <c r="FF981" s="724"/>
      <c r="FG981" s="724"/>
      <c r="FH981" s="724"/>
      <c r="FI981" s="724"/>
      <c r="FJ981" s="724"/>
      <c r="FK981" s="724"/>
      <c r="FL981" s="724"/>
      <c r="FM981" s="724"/>
      <c r="FN981" s="724"/>
      <c r="FO981" s="724"/>
      <c r="FP981" s="724"/>
      <c r="FQ981" s="724"/>
      <c r="FR981" s="724"/>
      <c r="FS981" s="724"/>
      <c r="FT981" s="724"/>
      <c r="FU981" s="724"/>
      <c r="FV981" s="724"/>
      <c r="FW981" s="724"/>
      <c r="FX981" s="724"/>
      <c r="FY981" s="724"/>
      <c r="FZ981" s="724"/>
      <c r="GA981" s="724"/>
      <c r="GB981" s="724"/>
      <c r="GC981" s="724"/>
      <c r="GD981" s="724"/>
      <c r="GE981" s="724"/>
      <c r="GF981" s="724"/>
      <c r="GG981" s="724"/>
      <c r="GH981" s="724"/>
      <c r="GI981" s="724"/>
      <c r="GJ981" s="724"/>
      <c r="GK981" s="724"/>
      <c r="GL981" s="724"/>
      <c r="GM981" s="724"/>
      <c r="GN981" s="724"/>
      <c r="GO981" s="724"/>
      <c r="GP981" s="724"/>
      <c r="GQ981" s="724"/>
      <c r="GR981" s="724"/>
      <c r="GS981" s="724"/>
      <c r="GT981" s="724"/>
      <c r="GU981" s="724"/>
      <c r="GV981" s="724"/>
      <c r="GW981" s="724"/>
      <c r="GX981" s="724"/>
      <c r="GY981" s="724"/>
      <c r="GZ981" s="724"/>
      <c r="HA981" s="724"/>
      <c r="HB981" s="724"/>
      <c r="HC981" s="724"/>
      <c r="HD981" s="724"/>
      <c r="HE981" s="724"/>
      <c r="HF981" s="724"/>
      <c r="HG981" s="724"/>
      <c r="HH981" s="724"/>
      <c r="HI981" s="724"/>
      <c r="HJ981" s="724"/>
      <c r="HK981" s="724"/>
      <c r="HL981" s="724"/>
      <c r="HM981" s="724"/>
      <c r="HN981" s="724"/>
      <c r="HO981" s="724"/>
      <c r="HP981" s="724"/>
      <c r="HQ981" s="724"/>
      <c r="HR981" s="724"/>
      <c r="HS981" s="724"/>
      <c r="HT981" s="724"/>
      <c r="HU981" s="724"/>
      <c r="HV981" s="724"/>
      <c r="HW981" s="724"/>
      <c r="HX981" s="724"/>
      <c r="HY981" s="724"/>
      <c r="HZ981" s="724"/>
      <c r="IA981" s="724"/>
      <c r="IB981" s="724"/>
      <c r="IC981" s="724"/>
      <c r="ID981" s="724"/>
      <c r="IE981" s="724"/>
      <c r="IF981" s="724"/>
      <c r="IG981" s="724"/>
      <c r="IH981" s="724"/>
      <c r="II981" s="724"/>
      <c r="IJ981" s="724"/>
      <c r="IK981" s="724"/>
      <c r="IL981" s="724"/>
      <c r="IM981" s="724"/>
      <c r="IN981" s="724"/>
      <c r="IO981" s="724"/>
      <c r="IP981" s="724"/>
      <c r="IQ981" s="724"/>
      <c r="IR981" s="724"/>
      <c r="IS981" s="724"/>
      <c r="IT981" s="724"/>
      <c r="IU981" s="724"/>
      <c r="IV981" s="724"/>
      <c r="IW981" s="724"/>
    </row>
    <row r="982" spans="1:257" s="621" customFormat="1">
      <c r="A982" s="812" t="s">
        <v>91</v>
      </c>
      <c r="B982" s="696" t="s">
        <v>256</v>
      </c>
      <c r="C982" s="713"/>
      <c r="D982" s="713"/>
      <c r="E982" s="725">
        <v>27000000</v>
      </c>
      <c r="F982" s="725">
        <f>C978*E982</f>
        <v>162000000</v>
      </c>
      <c r="G982" s="781"/>
      <c r="H982" s="781">
        <v>6</v>
      </c>
      <c r="I982" s="781">
        <v>27000000</v>
      </c>
      <c r="J982" s="725">
        <f>H982*I982</f>
        <v>162000000</v>
      </c>
      <c r="K982" s="725">
        <f>4*27000000</f>
        <v>108000000</v>
      </c>
      <c r="L982" s="1311">
        <f>4*27000000</f>
        <v>108000000</v>
      </c>
      <c r="M982" s="669" t="s">
        <v>1002</v>
      </c>
      <c r="N982" s="868"/>
      <c r="O982" s="868"/>
      <c r="P982" s="924" t="s">
        <v>538</v>
      </c>
      <c r="Q982" s="924"/>
      <c r="R982" s="866"/>
      <c r="S982" s="866"/>
      <c r="T982" s="839"/>
      <c r="U982" s="726"/>
      <c r="V982" s="581"/>
      <c r="W982" s="722"/>
      <c r="X982" s="723"/>
      <c r="Y982" s="724"/>
      <c r="Z982" s="724"/>
      <c r="AA982" s="724"/>
      <c r="AB982" s="724"/>
      <c r="AC982" s="724"/>
      <c r="AD982" s="724"/>
      <c r="AE982" s="724"/>
      <c r="AF982" s="724"/>
      <c r="AG982" s="724"/>
      <c r="AH982" s="724"/>
      <c r="AI982" s="724"/>
      <c r="AJ982" s="724"/>
      <c r="AK982" s="724"/>
      <c r="AL982" s="724"/>
      <c r="AM982" s="724"/>
      <c r="AN982" s="724"/>
      <c r="AO982" s="724"/>
      <c r="AP982" s="724"/>
      <c r="AQ982" s="724"/>
      <c r="AR982" s="724"/>
      <c r="AS982" s="724"/>
      <c r="AT982" s="724"/>
      <c r="AU982" s="724"/>
      <c r="AV982" s="724"/>
      <c r="AW982" s="724"/>
      <c r="AX982" s="724"/>
      <c r="AY982" s="724"/>
      <c r="AZ982" s="724"/>
      <c r="BA982" s="724"/>
      <c r="BB982" s="724"/>
      <c r="BC982" s="724"/>
      <c r="BD982" s="724"/>
      <c r="BE982" s="724"/>
      <c r="BF982" s="724"/>
      <c r="BG982" s="724"/>
      <c r="BH982" s="724"/>
      <c r="BI982" s="724"/>
      <c r="BJ982" s="724"/>
      <c r="BK982" s="724"/>
      <c r="BL982" s="724"/>
      <c r="BM982" s="724"/>
      <c r="BN982" s="724"/>
      <c r="BO982" s="724"/>
      <c r="BP982" s="724"/>
      <c r="BQ982" s="724"/>
      <c r="BR982" s="724"/>
      <c r="BS982" s="724"/>
      <c r="BT982" s="724"/>
      <c r="BU982" s="724"/>
      <c r="BV982" s="724"/>
      <c r="BW982" s="724"/>
      <c r="BX982" s="724"/>
      <c r="BY982" s="724"/>
      <c r="BZ982" s="724"/>
      <c r="CA982" s="724"/>
      <c r="CB982" s="724"/>
      <c r="CC982" s="724"/>
      <c r="CD982" s="724"/>
      <c r="CE982" s="724"/>
      <c r="CF982" s="724"/>
      <c r="CG982" s="724"/>
      <c r="CH982" s="724"/>
      <c r="CI982" s="724"/>
      <c r="CJ982" s="724"/>
      <c r="CK982" s="724"/>
      <c r="CL982" s="724"/>
      <c r="CM982" s="724"/>
      <c r="CN982" s="724"/>
      <c r="CO982" s="724"/>
      <c r="CP982" s="724"/>
      <c r="CQ982" s="724"/>
      <c r="CR982" s="724"/>
      <c r="CS982" s="724"/>
      <c r="CT982" s="724"/>
      <c r="CU982" s="724"/>
      <c r="CV982" s="724"/>
      <c r="CW982" s="724"/>
      <c r="CX982" s="724"/>
      <c r="CY982" s="724"/>
      <c r="CZ982" s="724"/>
      <c r="DA982" s="724"/>
      <c r="DB982" s="724"/>
      <c r="DC982" s="724"/>
      <c r="DD982" s="724"/>
      <c r="DE982" s="724"/>
      <c r="DF982" s="724"/>
      <c r="DG982" s="724"/>
      <c r="DH982" s="724"/>
      <c r="DI982" s="724"/>
      <c r="DJ982" s="724"/>
      <c r="DK982" s="724"/>
      <c r="DL982" s="724"/>
      <c r="DM982" s="724"/>
      <c r="DN982" s="724"/>
      <c r="DO982" s="724"/>
      <c r="DP982" s="724"/>
      <c r="DQ982" s="724"/>
      <c r="DR982" s="724"/>
      <c r="DS982" s="724"/>
      <c r="DT982" s="724"/>
      <c r="DU982" s="724"/>
      <c r="DV982" s="724"/>
      <c r="DW982" s="724"/>
      <c r="DX982" s="724"/>
      <c r="DY982" s="724"/>
      <c r="DZ982" s="724"/>
      <c r="EA982" s="724"/>
      <c r="EB982" s="724"/>
      <c r="EC982" s="724"/>
      <c r="ED982" s="724"/>
      <c r="EE982" s="724"/>
      <c r="EF982" s="724"/>
      <c r="EG982" s="724"/>
      <c r="EH982" s="724"/>
      <c r="EI982" s="724"/>
      <c r="EJ982" s="724"/>
      <c r="EK982" s="724"/>
      <c r="EL982" s="724"/>
      <c r="EM982" s="724"/>
      <c r="EN982" s="724"/>
      <c r="EO982" s="724"/>
      <c r="EP982" s="724"/>
      <c r="EQ982" s="724"/>
      <c r="ER982" s="724"/>
      <c r="ES982" s="724"/>
      <c r="ET982" s="724"/>
      <c r="EU982" s="724"/>
      <c r="EV982" s="724"/>
      <c r="EW982" s="724"/>
      <c r="EX982" s="724"/>
      <c r="EY982" s="724"/>
      <c r="EZ982" s="724"/>
      <c r="FA982" s="724"/>
      <c r="FB982" s="724"/>
      <c r="FC982" s="724"/>
      <c r="FD982" s="724"/>
      <c r="FE982" s="724"/>
      <c r="FF982" s="724"/>
      <c r="FG982" s="724"/>
      <c r="FH982" s="724"/>
      <c r="FI982" s="724"/>
      <c r="FJ982" s="724"/>
      <c r="FK982" s="724"/>
      <c r="FL982" s="724"/>
      <c r="FM982" s="724"/>
      <c r="FN982" s="724"/>
      <c r="FO982" s="724"/>
      <c r="FP982" s="724"/>
      <c r="FQ982" s="724"/>
      <c r="FR982" s="724"/>
      <c r="FS982" s="724"/>
      <c r="FT982" s="724"/>
      <c r="FU982" s="724"/>
      <c r="FV982" s="724"/>
      <c r="FW982" s="724"/>
      <c r="FX982" s="724"/>
      <c r="FY982" s="724"/>
      <c r="FZ982" s="724"/>
      <c r="GA982" s="724"/>
      <c r="GB982" s="724"/>
      <c r="GC982" s="724"/>
      <c r="GD982" s="724"/>
      <c r="GE982" s="724"/>
      <c r="GF982" s="724"/>
      <c r="GG982" s="724"/>
      <c r="GH982" s="724"/>
      <c r="GI982" s="724"/>
      <c r="GJ982" s="724"/>
      <c r="GK982" s="724"/>
      <c r="GL982" s="724"/>
      <c r="GM982" s="724"/>
      <c r="GN982" s="724"/>
      <c r="GO982" s="724"/>
      <c r="GP982" s="724"/>
      <c r="GQ982" s="724"/>
      <c r="GR982" s="724"/>
      <c r="GS982" s="724"/>
      <c r="GT982" s="724"/>
      <c r="GU982" s="724"/>
      <c r="GV982" s="724"/>
      <c r="GW982" s="724"/>
      <c r="GX982" s="724"/>
      <c r="GY982" s="724"/>
      <c r="GZ982" s="724"/>
      <c r="HA982" s="724"/>
      <c r="HB982" s="724"/>
      <c r="HC982" s="724"/>
      <c r="HD982" s="724"/>
      <c r="HE982" s="724"/>
      <c r="HF982" s="724"/>
      <c r="HG982" s="724"/>
      <c r="HH982" s="724"/>
      <c r="HI982" s="724"/>
      <c r="HJ982" s="724"/>
      <c r="HK982" s="724"/>
      <c r="HL982" s="724"/>
      <c r="HM982" s="724"/>
      <c r="HN982" s="724"/>
      <c r="HO982" s="724"/>
      <c r="HP982" s="724"/>
      <c r="HQ982" s="724"/>
      <c r="HR982" s="724"/>
      <c r="HS982" s="724"/>
      <c r="HT982" s="724"/>
      <c r="HU982" s="724"/>
      <c r="HV982" s="724"/>
      <c r="HW982" s="724"/>
      <c r="HX982" s="724"/>
      <c r="HY982" s="724"/>
      <c r="HZ982" s="724"/>
      <c r="IA982" s="724"/>
      <c r="IB982" s="724"/>
      <c r="IC982" s="724"/>
      <c r="ID982" s="724"/>
      <c r="IE982" s="724"/>
      <c r="IF982" s="724"/>
      <c r="IG982" s="724"/>
      <c r="IH982" s="724"/>
      <c r="II982" s="724"/>
      <c r="IJ982" s="724"/>
      <c r="IK982" s="724"/>
      <c r="IL982" s="724"/>
      <c r="IM982" s="724"/>
      <c r="IN982" s="724"/>
      <c r="IO982" s="724"/>
      <c r="IP982" s="724"/>
      <c r="IQ982" s="724"/>
      <c r="IR982" s="724"/>
      <c r="IS982" s="724"/>
      <c r="IT982" s="724"/>
      <c r="IU982" s="724"/>
      <c r="IV982" s="724"/>
      <c r="IW982" s="724"/>
    </row>
    <row r="983" spans="1:257" s="621" customFormat="1">
      <c r="A983" s="1162" t="s">
        <v>91</v>
      </c>
      <c r="B983" s="936" t="s">
        <v>306</v>
      </c>
      <c r="C983" s="715"/>
      <c r="D983" s="715"/>
      <c r="E983" s="716"/>
      <c r="F983" s="716"/>
      <c r="G983" s="1101"/>
      <c r="H983" s="1101"/>
      <c r="I983" s="1101"/>
      <c r="J983" s="716"/>
      <c r="K983" s="716"/>
      <c r="L983" s="1316"/>
      <c r="M983" s="618"/>
      <c r="N983" s="890"/>
      <c r="O983" s="890"/>
      <c r="P983" s="1074"/>
      <c r="Q983" s="1074"/>
      <c r="R983" s="821"/>
      <c r="S983" s="866"/>
      <c r="T983" s="839"/>
      <c r="U983" s="580"/>
      <c r="V983" s="722"/>
      <c r="W983" s="722"/>
      <c r="X983" s="723"/>
      <c r="Y983" s="724"/>
      <c r="Z983" s="724"/>
      <c r="AA983" s="724"/>
      <c r="AB983" s="724"/>
      <c r="AC983" s="724"/>
      <c r="AD983" s="724"/>
      <c r="AE983" s="724"/>
      <c r="AF983" s="724"/>
      <c r="AG983" s="724"/>
      <c r="AH983" s="724"/>
      <c r="AI983" s="724"/>
      <c r="AJ983" s="724"/>
      <c r="AK983" s="724"/>
      <c r="AL983" s="724"/>
      <c r="AM983" s="724"/>
      <c r="AN983" s="724"/>
      <c r="AO983" s="724"/>
      <c r="AP983" s="724"/>
      <c r="AQ983" s="724"/>
      <c r="AR983" s="724"/>
      <c r="AS983" s="724"/>
      <c r="AT983" s="724"/>
      <c r="AU983" s="724"/>
      <c r="AV983" s="724"/>
      <c r="AW983" s="724"/>
      <c r="AX983" s="724"/>
      <c r="AY983" s="724"/>
      <c r="AZ983" s="724"/>
      <c r="BA983" s="724"/>
      <c r="BB983" s="724"/>
      <c r="BC983" s="724"/>
      <c r="BD983" s="724"/>
      <c r="BE983" s="724"/>
      <c r="BF983" s="724"/>
      <c r="BG983" s="724"/>
      <c r="BH983" s="724"/>
      <c r="BI983" s="724"/>
      <c r="BJ983" s="724"/>
      <c r="BK983" s="724"/>
      <c r="BL983" s="724"/>
      <c r="BM983" s="724"/>
      <c r="BN983" s="724"/>
      <c r="BO983" s="724"/>
      <c r="BP983" s="724"/>
      <c r="BQ983" s="724"/>
      <c r="BR983" s="724"/>
      <c r="BS983" s="724"/>
      <c r="BT983" s="724"/>
      <c r="BU983" s="724"/>
      <c r="BV983" s="724"/>
      <c r="BW983" s="724"/>
      <c r="BX983" s="724"/>
      <c r="BY983" s="724"/>
      <c r="BZ983" s="724"/>
      <c r="CA983" s="724"/>
      <c r="CB983" s="724"/>
      <c r="CC983" s="724"/>
      <c r="CD983" s="724"/>
      <c r="CE983" s="724"/>
      <c r="CF983" s="724"/>
      <c r="CG983" s="724"/>
      <c r="CH983" s="724"/>
      <c r="CI983" s="724"/>
      <c r="CJ983" s="724"/>
      <c r="CK983" s="724"/>
      <c r="CL983" s="724"/>
      <c r="CM983" s="724"/>
      <c r="CN983" s="724"/>
      <c r="CO983" s="724"/>
      <c r="CP983" s="724"/>
      <c r="CQ983" s="724"/>
      <c r="CR983" s="724"/>
      <c r="CS983" s="724"/>
      <c r="CT983" s="724"/>
      <c r="CU983" s="724"/>
      <c r="CV983" s="724"/>
      <c r="CW983" s="724"/>
      <c r="CX983" s="724"/>
      <c r="CY983" s="724"/>
      <c r="CZ983" s="724"/>
      <c r="DA983" s="724"/>
      <c r="DB983" s="724"/>
      <c r="DC983" s="724"/>
      <c r="DD983" s="724"/>
      <c r="DE983" s="724"/>
      <c r="DF983" s="724"/>
      <c r="DG983" s="724"/>
      <c r="DH983" s="724"/>
      <c r="DI983" s="724"/>
      <c r="DJ983" s="724"/>
      <c r="DK983" s="724"/>
      <c r="DL983" s="724"/>
      <c r="DM983" s="724"/>
      <c r="DN983" s="724"/>
      <c r="DO983" s="724"/>
      <c r="DP983" s="724"/>
      <c r="DQ983" s="724"/>
      <c r="DR983" s="724"/>
      <c r="DS983" s="724"/>
      <c r="DT983" s="724"/>
      <c r="DU983" s="724"/>
      <c r="DV983" s="724"/>
      <c r="DW983" s="724"/>
      <c r="DX983" s="724"/>
      <c r="DY983" s="724"/>
      <c r="DZ983" s="724"/>
      <c r="EA983" s="724"/>
      <c r="EB983" s="724"/>
      <c r="EC983" s="724"/>
      <c r="ED983" s="724"/>
      <c r="EE983" s="724"/>
      <c r="EF983" s="724"/>
      <c r="EG983" s="724"/>
      <c r="EH983" s="724"/>
      <c r="EI983" s="724"/>
      <c r="EJ983" s="724"/>
      <c r="EK983" s="724"/>
      <c r="EL983" s="724"/>
      <c r="EM983" s="724"/>
      <c r="EN983" s="724"/>
      <c r="EO983" s="724"/>
      <c r="EP983" s="724"/>
      <c r="EQ983" s="724"/>
      <c r="ER983" s="724"/>
      <c r="ES983" s="724"/>
      <c r="ET983" s="724"/>
      <c r="EU983" s="724"/>
      <c r="EV983" s="724"/>
      <c r="EW983" s="724"/>
      <c r="EX983" s="724"/>
      <c r="EY983" s="724"/>
      <c r="EZ983" s="724"/>
      <c r="FA983" s="724"/>
      <c r="FB983" s="724"/>
      <c r="FC983" s="724"/>
      <c r="FD983" s="724"/>
      <c r="FE983" s="724"/>
      <c r="FF983" s="724"/>
      <c r="FG983" s="724"/>
      <c r="FH983" s="724"/>
      <c r="FI983" s="724"/>
      <c r="FJ983" s="724"/>
      <c r="FK983" s="724"/>
      <c r="FL983" s="724"/>
      <c r="FM983" s="724"/>
      <c r="FN983" s="724"/>
      <c r="FO983" s="724"/>
      <c r="FP983" s="724"/>
      <c r="FQ983" s="724"/>
      <c r="FR983" s="724"/>
      <c r="FS983" s="724"/>
      <c r="FT983" s="724"/>
      <c r="FU983" s="724"/>
      <c r="FV983" s="724"/>
      <c r="FW983" s="724"/>
      <c r="FX983" s="724"/>
      <c r="FY983" s="724"/>
      <c r="FZ983" s="724"/>
      <c r="GA983" s="724"/>
      <c r="GB983" s="724"/>
      <c r="GC983" s="724"/>
      <c r="GD983" s="724"/>
      <c r="GE983" s="724"/>
      <c r="GF983" s="724"/>
      <c r="GG983" s="724"/>
      <c r="GH983" s="724"/>
      <c r="GI983" s="724"/>
      <c r="GJ983" s="724"/>
      <c r="GK983" s="724"/>
      <c r="GL983" s="724"/>
      <c r="GM983" s="724"/>
      <c r="GN983" s="724"/>
      <c r="GO983" s="724"/>
      <c r="GP983" s="724"/>
      <c r="GQ983" s="724"/>
      <c r="GR983" s="724"/>
      <c r="GS983" s="724"/>
      <c r="GT983" s="724"/>
      <c r="GU983" s="724"/>
      <c r="GV983" s="724"/>
      <c r="GW983" s="724"/>
      <c r="GX983" s="724"/>
      <c r="GY983" s="724"/>
      <c r="GZ983" s="724"/>
      <c r="HA983" s="724"/>
      <c r="HB983" s="724"/>
      <c r="HC983" s="724"/>
      <c r="HD983" s="724"/>
      <c r="HE983" s="724"/>
      <c r="HF983" s="724"/>
      <c r="HG983" s="724"/>
      <c r="HH983" s="724"/>
      <c r="HI983" s="724"/>
      <c r="HJ983" s="724"/>
      <c r="HK983" s="724"/>
      <c r="HL983" s="724"/>
      <c r="HM983" s="724"/>
      <c r="HN983" s="724"/>
      <c r="HO983" s="724"/>
      <c r="HP983" s="724"/>
      <c r="HQ983" s="724"/>
      <c r="HR983" s="724"/>
      <c r="HS983" s="724"/>
      <c r="HT983" s="724"/>
      <c r="HU983" s="724"/>
      <c r="HV983" s="724"/>
      <c r="HW983" s="724"/>
      <c r="HX983" s="724"/>
      <c r="HY983" s="724"/>
      <c r="HZ983" s="724"/>
      <c r="IA983" s="724"/>
      <c r="IB983" s="724"/>
      <c r="IC983" s="724"/>
      <c r="ID983" s="724"/>
      <c r="IE983" s="724"/>
      <c r="IF983" s="724"/>
      <c r="IG983" s="724"/>
      <c r="IH983" s="724"/>
      <c r="II983" s="724"/>
      <c r="IJ983" s="724"/>
      <c r="IK983" s="724"/>
      <c r="IL983" s="724"/>
      <c r="IM983" s="724"/>
      <c r="IN983" s="724"/>
      <c r="IO983" s="724"/>
      <c r="IP983" s="724"/>
      <c r="IQ983" s="724"/>
      <c r="IR983" s="724"/>
      <c r="IS983" s="724"/>
      <c r="IT983" s="724"/>
      <c r="IU983" s="724"/>
      <c r="IV983" s="724"/>
      <c r="IW983" s="724"/>
    </row>
    <row r="984" spans="1:257" s="682" customFormat="1">
      <c r="A984" s="589" t="s">
        <v>225</v>
      </c>
      <c r="B984" s="804" t="s">
        <v>257</v>
      </c>
      <c r="C984" s="589"/>
      <c r="D984" s="589"/>
      <c r="E984" s="704"/>
      <c r="F984" s="805">
        <f>SUM(F986:F1010)</f>
        <v>861000000</v>
      </c>
      <c r="G984" s="704"/>
      <c r="H984" s="704"/>
      <c r="I984" s="704"/>
      <c r="J984" s="805">
        <f>SUM(J986:J1010)</f>
        <v>621000000</v>
      </c>
      <c r="K984" s="805">
        <f>SUM(K985:K1010)</f>
        <v>1146000000</v>
      </c>
      <c r="L984" s="1312">
        <f>SUM(L985:L1010)</f>
        <v>616000000</v>
      </c>
      <c r="M984" s="603"/>
      <c r="N984" s="835"/>
      <c r="O984" s="835"/>
      <c r="P984" s="829"/>
      <c r="Q984" s="829"/>
      <c r="R984" s="869"/>
      <c r="S984" s="900"/>
      <c r="T984" s="822"/>
      <c r="U984" s="580"/>
      <c r="V984" s="722"/>
      <c r="W984" s="639"/>
      <c r="X984" s="640"/>
      <c r="Y984" s="641"/>
      <c r="Z984" s="641"/>
      <c r="AA984" s="641"/>
      <c r="AB984" s="641"/>
      <c r="AC984" s="641"/>
      <c r="AD984" s="641"/>
      <c r="AE984" s="641"/>
      <c r="AF984" s="641"/>
      <c r="AG984" s="641"/>
      <c r="AH984" s="641"/>
      <c r="AI984" s="641"/>
      <c r="AJ984" s="641"/>
      <c r="AK984" s="641"/>
      <c r="AL984" s="641"/>
      <c r="AM984" s="641"/>
      <c r="AN984" s="641"/>
      <c r="AO984" s="641"/>
      <c r="AP984" s="641"/>
      <c r="AQ984" s="641"/>
      <c r="AR984" s="641"/>
      <c r="AS984" s="641"/>
      <c r="AT984" s="641"/>
      <c r="AU984" s="641"/>
      <c r="AV984" s="641"/>
      <c r="AW984" s="641"/>
      <c r="AX984" s="641"/>
      <c r="AY984" s="641"/>
      <c r="AZ984" s="641"/>
      <c r="BA984" s="641"/>
      <c r="BB984" s="641"/>
      <c r="BC984" s="641"/>
      <c r="BD984" s="641"/>
      <c r="BE984" s="641"/>
      <c r="BF984" s="641"/>
      <c r="BG984" s="641"/>
      <c r="BH984" s="641"/>
      <c r="BI984" s="641"/>
      <c r="BJ984" s="641"/>
      <c r="BK984" s="641"/>
      <c r="BL984" s="641"/>
      <c r="BM984" s="641"/>
      <c r="BN984" s="641"/>
      <c r="BO984" s="641"/>
      <c r="BP984" s="641"/>
      <c r="BQ984" s="641"/>
      <c r="BR984" s="641"/>
      <c r="BS984" s="641"/>
      <c r="BT984" s="641"/>
      <c r="BU984" s="641"/>
      <c r="BV984" s="641"/>
      <c r="BW984" s="641"/>
      <c r="BX984" s="641"/>
      <c r="BY984" s="641"/>
      <c r="BZ984" s="641"/>
      <c r="CA984" s="641"/>
      <c r="CB984" s="641"/>
      <c r="CC984" s="641"/>
      <c r="CD984" s="641"/>
      <c r="CE984" s="641"/>
      <c r="CF984" s="641"/>
      <c r="CG984" s="641"/>
      <c r="CH984" s="641"/>
      <c r="CI984" s="641"/>
      <c r="CJ984" s="641"/>
      <c r="CK984" s="641"/>
      <c r="CL984" s="641"/>
      <c r="CM984" s="641"/>
      <c r="CN984" s="641"/>
      <c r="CO984" s="641"/>
      <c r="CP984" s="641"/>
      <c r="CQ984" s="641"/>
      <c r="CR984" s="641"/>
      <c r="CS984" s="641"/>
      <c r="CT984" s="641"/>
      <c r="CU984" s="641"/>
      <c r="CV984" s="641"/>
      <c r="CW984" s="641"/>
      <c r="CX984" s="641"/>
      <c r="CY984" s="641"/>
      <c r="CZ984" s="641"/>
      <c r="DA984" s="641"/>
      <c r="DB984" s="641"/>
      <c r="DC984" s="641"/>
      <c r="DD984" s="641"/>
      <c r="DE984" s="641"/>
      <c r="DF984" s="641"/>
      <c r="DG984" s="641"/>
      <c r="DH984" s="641"/>
      <c r="DI984" s="641"/>
      <c r="DJ984" s="641"/>
      <c r="DK984" s="641"/>
      <c r="DL984" s="641"/>
      <c r="DM984" s="641"/>
      <c r="DN984" s="641"/>
      <c r="DO984" s="641"/>
      <c r="DP984" s="641"/>
      <c r="DQ984" s="641"/>
      <c r="DR984" s="641"/>
      <c r="DS984" s="641"/>
      <c r="DT984" s="641"/>
      <c r="DU984" s="641"/>
      <c r="DV984" s="641"/>
      <c r="DW984" s="641"/>
      <c r="DX984" s="641"/>
      <c r="DY984" s="641"/>
      <c r="DZ984" s="641"/>
      <c r="EA984" s="641"/>
      <c r="EB984" s="641"/>
      <c r="EC984" s="641"/>
      <c r="ED984" s="641"/>
      <c r="EE984" s="641"/>
      <c r="EF984" s="641"/>
      <c r="EG984" s="641"/>
      <c r="EH984" s="641"/>
      <c r="EI984" s="641"/>
      <c r="EJ984" s="641"/>
      <c r="EK984" s="641"/>
      <c r="EL984" s="641"/>
      <c r="EM984" s="641"/>
      <c r="EN984" s="641"/>
      <c r="EO984" s="641"/>
      <c r="EP984" s="641"/>
      <c r="EQ984" s="641"/>
      <c r="ER984" s="641"/>
      <c r="ES984" s="641"/>
      <c r="ET984" s="641"/>
      <c r="EU984" s="641"/>
      <c r="EV984" s="641"/>
      <c r="EW984" s="641"/>
      <c r="EX984" s="641"/>
      <c r="EY984" s="641"/>
      <c r="EZ984" s="641"/>
      <c r="FA984" s="641"/>
      <c r="FB984" s="641"/>
      <c r="FC984" s="641"/>
      <c r="FD984" s="641"/>
      <c r="FE984" s="641"/>
      <c r="FF984" s="641"/>
      <c r="FG984" s="641"/>
      <c r="FH984" s="641"/>
      <c r="FI984" s="641"/>
      <c r="FJ984" s="641"/>
      <c r="FK984" s="641"/>
      <c r="FL984" s="641"/>
      <c r="FM984" s="641"/>
      <c r="FN984" s="641"/>
      <c r="FO984" s="641"/>
      <c r="FP984" s="641"/>
      <c r="FQ984" s="641"/>
      <c r="FR984" s="641"/>
      <c r="FS984" s="641"/>
      <c r="FT984" s="641"/>
      <c r="FU984" s="641"/>
      <c r="FV984" s="641"/>
      <c r="FW984" s="641"/>
      <c r="FX984" s="641"/>
      <c r="FY984" s="641"/>
      <c r="FZ984" s="641"/>
      <c r="GA984" s="641"/>
      <c r="GB984" s="641"/>
      <c r="GC984" s="641"/>
      <c r="GD984" s="641"/>
      <c r="GE984" s="641"/>
      <c r="GF984" s="641"/>
      <c r="GG984" s="641"/>
      <c r="GH984" s="641"/>
      <c r="GI984" s="641"/>
      <c r="GJ984" s="641"/>
      <c r="GK984" s="641"/>
      <c r="GL984" s="641"/>
      <c r="GM984" s="641"/>
      <c r="GN984" s="641"/>
      <c r="GO984" s="641"/>
      <c r="GP984" s="641"/>
      <c r="GQ984" s="641"/>
      <c r="GR984" s="641"/>
      <c r="GS984" s="641"/>
      <c r="GT984" s="641"/>
      <c r="GU984" s="641"/>
      <c r="GV984" s="641"/>
      <c r="GW984" s="641"/>
      <c r="GX984" s="641"/>
      <c r="GY984" s="641"/>
      <c r="GZ984" s="641"/>
      <c r="HA984" s="641"/>
      <c r="HB984" s="641"/>
      <c r="HC984" s="641"/>
      <c r="HD984" s="641"/>
      <c r="HE984" s="641"/>
      <c r="HF984" s="641"/>
      <c r="HG984" s="641"/>
      <c r="HH984" s="641"/>
      <c r="HI984" s="641"/>
      <c r="HJ984" s="641"/>
      <c r="HK984" s="641"/>
      <c r="HL984" s="641"/>
      <c r="HM984" s="641"/>
      <c r="HN984" s="641"/>
      <c r="HO984" s="641"/>
      <c r="HP984" s="641"/>
      <c r="HQ984" s="641"/>
      <c r="HR984" s="641"/>
      <c r="HS984" s="641"/>
      <c r="HT984" s="641"/>
      <c r="HU984" s="641"/>
      <c r="HV984" s="641"/>
      <c r="HW984" s="641"/>
      <c r="HX984" s="641"/>
      <c r="HY984" s="641"/>
      <c r="HZ984" s="641"/>
      <c r="IA984" s="641"/>
      <c r="IB984" s="641"/>
      <c r="IC984" s="641"/>
      <c r="ID984" s="641"/>
      <c r="IE984" s="641"/>
      <c r="IF984" s="641"/>
      <c r="IG984" s="641"/>
      <c r="IH984" s="641"/>
      <c r="II984" s="641"/>
      <c r="IJ984" s="641"/>
      <c r="IK984" s="641"/>
      <c r="IL984" s="641"/>
      <c r="IM984" s="641"/>
      <c r="IN984" s="641"/>
      <c r="IO984" s="641"/>
      <c r="IP984" s="641"/>
      <c r="IQ984" s="641"/>
      <c r="IR984" s="641"/>
      <c r="IS984" s="641"/>
      <c r="IT984" s="641"/>
      <c r="IU984" s="641"/>
      <c r="IV984" s="641"/>
      <c r="IW984" s="641"/>
    </row>
    <row r="985" spans="1:257" s="682" customFormat="1">
      <c r="A985" s="635"/>
      <c r="B985" s="696" t="s">
        <v>1184</v>
      </c>
      <c r="C985" s="635"/>
      <c r="D985" s="635"/>
      <c r="E985" s="651"/>
      <c r="F985" s="651"/>
      <c r="G985" s="651"/>
      <c r="H985" s="651"/>
      <c r="I985" s="651"/>
      <c r="J985" s="651"/>
      <c r="K985" s="651">
        <v>50000000</v>
      </c>
      <c r="L985" s="1305">
        <v>50000000</v>
      </c>
      <c r="M985" s="651"/>
      <c r="N985" s="835"/>
      <c r="O985" s="835"/>
      <c r="P985" s="829"/>
      <c r="Q985" s="829"/>
      <c r="R985" s="869"/>
      <c r="S985" s="900"/>
      <c r="T985" s="822"/>
      <c r="U985" s="580"/>
      <c r="V985" s="722"/>
      <c r="W985" s="639"/>
      <c r="X985" s="640"/>
      <c r="Y985" s="641"/>
      <c r="Z985" s="641"/>
      <c r="AA985" s="641"/>
      <c r="AB985" s="641"/>
      <c r="AC985" s="641"/>
      <c r="AD985" s="641"/>
      <c r="AE985" s="641"/>
      <c r="AF985" s="641"/>
      <c r="AG985" s="641"/>
      <c r="AH985" s="641"/>
      <c r="AI985" s="641"/>
      <c r="AJ985" s="641"/>
      <c r="AK985" s="641"/>
      <c r="AL985" s="641"/>
      <c r="AM985" s="641"/>
      <c r="AN985" s="641"/>
      <c r="AO985" s="641"/>
      <c r="AP985" s="641"/>
      <c r="AQ985" s="641"/>
      <c r="AR985" s="641"/>
      <c r="AS985" s="641"/>
      <c r="AT985" s="641"/>
      <c r="AU985" s="641"/>
      <c r="AV985" s="641"/>
      <c r="AW985" s="641"/>
      <c r="AX985" s="641"/>
      <c r="AY985" s="641"/>
      <c r="AZ985" s="641"/>
      <c r="BA985" s="641"/>
      <c r="BB985" s="641"/>
      <c r="BC985" s="641"/>
      <c r="BD985" s="641"/>
      <c r="BE985" s="641"/>
      <c r="BF985" s="641"/>
      <c r="BG985" s="641"/>
      <c r="BH985" s="641"/>
      <c r="BI985" s="641"/>
      <c r="BJ985" s="641"/>
      <c r="BK985" s="641"/>
      <c r="BL985" s="641"/>
      <c r="BM985" s="641"/>
      <c r="BN985" s="641"/>
      <c r="BO985" s="641"/>
      <c r="BP985" s="641"/>
      <c r="BQ985" s="641"/>
      <c r="BR985" s="641"/>
      <c r="BS985" s="641"/>
      <c r="BT985" s="641"/>
      <c r="BU985" s="641"/>
      <c r="BV985" s="641"/>
      <c r="BW985" s="641"/>
      <c r="BX985" s="641"/>
      <c r="BY985" s="641"/>
      <c r="BZ985" s="641"/>
      <c r="CA985" s="641"/>
      <c r="CB985" s="641"/>
      <c r="CC985" s="641"/>
      <c r="CD985" s="641"/>
      <c r="CE985" s="641"/>
      <c r="CF985" s="641"/>
      <c r="CG985" s="641"/>
      <c r="CH985" s="641"/>
      <c r="CI985" s="641"/>
      <c r="CJ985" s="641"/>
      <c r="CK985" s="641"/>
      <c r="CL985" s="641"/>
      <c r="CM985" s="641"/>
      <c r="CN985" s="641"/>
      <c r="CO985" s="641"/>
      <c r="CP985" s="641"/>
      <c r="CQ985" s="641"/>
      <c r="CR985" s="641"/>
      <c r="CS985" s="641"/>
      <c r="CT985" s="641"/>
      <c r="CU985" s="641"/>
      <c r="CV985" s="641"/>
      <c r="CW985" s="641"/>
      <c r="CX985" s="641"/>
      <c r="CY985" s="641"/>
      <c r="CZ985" s="641"/>
      <c r="DA985" s="641"/>
      <c r="DB985" s="641"/>
      <c r="DC985" s="641"/>
      <c r="DD985" s="641"/>
      <c r="DE985" s="641"/>
      <c r="DF985" s="641"/>
      <c r="DG985" s="641"/>
      <c r="DH985" s="641"/>
      <c r="DI985" s="641"/>
      <c r="DJ985" s="641"/>
      <c r="DK985" s="641"/>
      <c r="DL985" s="641"/>
      <c r="DM985" s="641"/>
      <c r="DN985" s="641"/>
      <c r="DO985" s="641"/>
      <c r="DP985" s="641"/>
      <c r="DQ985" s="641"/>
      <c r="DR985" s="641"/>
      <c r="DS985" s="641"/>
      <c r="DT985" s="641"/>
      <c r="DU985" s="641"/>
      <c r="DV985" s="641"/>
      <c r="DW985" s="641"/>
      <c r="DX985" s="641"/>
      <c r="DY985" s="641"/>
      <c r="DZ985" s="641"/>
      <c r="EA985" s="641"/>
      <c r="EB985" s="641"/>
      <c r="EC985" s="641"/>
      <c r="ED985" s="641"/>
      <c r="EE985" s="641"/>
      <c r="EF985" s="641"/>
      <c r="EG985" s="641"/>
      <c r="EH985" s="641"/>
      <c r="EI985" s="641"/>
      <c r="EJ985" s="641"/>
      <c r="EK985" s="641"/>
      <c r="EL985" s="641"/>
      <c r="EM985" s="641"/>
      <c r="EN985" s="641"/>
      <c r="EO985" s="641"/>
      <c r="EP985" s="641"/>
      <c r="EQ985" s="641"/>
      <c r="ER985" s="641"/>
      <c r="ES985" s="641"/>
      <c r="ET985" s="641"/>
      <c r="EU985" s="641"/>
      <c r="EV985" s="641"/>
      <c r="EW985" s="641"/>
      <c r="EX985" s="641"/>
      <c r="EY985" s="641"/>
      <c r="EZ985" s="641"/>
      <c r="FA985" s="641"/>
      <c r="FB985" s="641"/>
      <c r="FC985" s="641"/>
      <c r="FD985" s="641"/>
      <c r="FE985" s="641"/>
      <c r="FF985" s="641"/>
      <c r="FG985" s="641"/>
      <c r="FH985" s="641"/>
      <c r="FI985" s="641"/>
      <c r="FJ985" s="641"/>
      <c r="FK985" s="641"/>
      <c r="FL985" s="641"/>
      <c r="FM985" s="641"/>
      <c r="FN985" s="641"/>
      <c r="FO985" s="641"/>
      <c r="FP985" s="641"/>
      <c r="FQ985" s="641"/>
      <c r="FR985" s="641"/>
      <c r="FS985" s="641"/>
      <c r="FT985" s="641"/>
      <c r="FU985" s="641"/>
      <c r="FV985" s="641"/>
      <c r="FW985" s="641"/>
      <c r="FX985" s="641"/>
      <c r="FY985" s="641"/>
      <c r="FZ985" s="641"/>
      <c r="GA985" s="641"/>
      <c r="GB985" s="641"/>
      <c r="GC985" s="641"/>
      <c r="GD985" s="641"/>
      <c r="GE985" s="641"/>
      <c r="GF985" s="641"/>
      <c r="GG985" s="641"/>
      <c r="GH985" s="641"/>
      <c r="GI985" s="641"/>
      <c r="GJ985" s="641"/>
      <c r="GK985" s="641"/>
      <c r="GL985" s="641"/>
      <c r="GM985" s="641"/>
      <c r="GN985" s="641"/>
      <c r="GO985" s="641"/>
      <c r="GP985" s="641"/>
      <c r="GQ985" s="641"/>
      <c r="GR985" s="641"/>
      <c r="GS985" s="641"/>
      <c r="GT985" s="641"/>
      <c r="GU985" s="641"/>
      <c r="GV985" s="641"/>
      <c r="GW985" s="641"/>
      <c r="GX985" s="641"/>
      <c r="GY985" s="641"/>
      <c r="GZ985" s="641"/>
      <c r="HA985" s="641"/>
      <c r="HB985" s="641"/>
      <c r="HC985" s="641"/>
      <c r="HD985" s="641"/>
      <c r="HE985" s="641"/>
      <c r="HF985" s="641"/>
      <c r="HG985" s="641"/>
      <c r="HH985" s="641"/>
      <c r="HI985" s="641"/>
      <c r="HJ985" s="641"/>
      <c r="HK985" s="641"/>
      <c r="HL985" s="641"/>
      <c r="HM985" s="641"/>
      <c r="HN985" s="641"/>
      <c r="HO985" s="641"/>
      <c r="HP985" s="641"/>
      <c r="HQ985" s="641"/>
      <c r="HR985" s="641"/>
      <c r="HS985" s="641"/>
      <c r="HT985" s="641"/>
      <c r="HU985" s="641"/>
      <c r="HV985" s="641"/>
      <c r="HW985" s="641"/>
      <c r="HX985" s="641"/>
      <c r="HY985" s="641"/>
      <c r="HZ985" s="641"/>
      <c r="IA985" s="641"/>
      <c r="IB985" s="641"/>
      <c r="IC985" s="641"/>
      <c r="ID985" s="641"/>
      <c r="IE985" s="641"/>
      <c r="IF985" s="641"/>
      <c r="IG985" s="641"/>
      <c r="IH985" s="641"/>
      <c r="II985" s="641"/>
      <c r="IJ985" s="641"/>
      <c r="IK985" s="641"/>
      <c r="IL985" s="641"/>
      <c r="IM985" s="641"/>
      <c r="IN985" s="641"/>
      <c r="IO985" s="641"/>
      <c r="IP985" s="641"/>
      <c r="IQ985" s="641"/>
      <c r="IR985" s="641"/>
      <c r="IS985" s="641"/>
      <c r="IT985" s="641"/>
      <c r="IU985" s="641"/>
      <c r="IV985" s="641"/>
      <c r="IW985" s="641"/>
    </row>
    <row r="986" spans="1:257" s="582" customFormat="1">
      <c r="A986" s="635" t="s">
        <v>258</v>
      </c>
      <c r="B986" s="696" t="s">
        <v>539</v>
      </c>
      <c r="C986" s="635"/>
      <c r="D986" s="635"/>
      <c r="E986" s="651"/>
      <c r="F986" s="651">
        <v>30000000</v>
      </c>
      <c r="G986" s="651"/>
      <c r="H986" s="651"/>
      <c r="I986" s="651"/>
      <c r="J986" s="651">
        <v>30000000</v>
      </c>
      <c r="K986" s="651"/>
      <c r="L986" s="1305"/>
      <c r="M986" s="651"/>
      <c r="N986" s="826"/>
      <c r="O986" s="826"/>
      <c r="P986" s="826"/>
      <c r="Q986" s="826"/>
      <c r="R986" s="869"/>
      <c r="S986" s="866"/>
      <c r="T986" s="839"/>
      <c r="U986" s="580"/>
      <c r="V986" s="639"/>
      <c r="W986" s="639"/>
      <c r="X986" s="640"/>
      <c r="Y986" s="641"/>
      <c r="Z986" s="641"/>
      <c r="AA986" s="641"/>
      <c r="AB986" s="641"/>
      <c r="AC986" s="641"/>
      <c r="AD986" s="641"/>
      <c r="AE986" s="641"/>
      <c r="AF986" s="641"/>
      <c r="AG986" s="641"/>
      <c r="AH986" s="641"/>
      <c r="AI986" s="641"/>
      <c r="AJ986" s="641"/>
      <c r="AK986" s="641"/>
      <c r="AL986" s="641"/>
      <c r="AM986" s="641"/>
      <c r="AN986" s="641"/>
      <c r="AO986" s="641"/>
      <c r="AP986" s="641"/>
      <c r="AQ986" s="641"/>
      <c r="AR986" s="641"/>
      <c r="AS986" s="641"/>
      <c r="AT986" s="641"/>
      <c r="AU986" s="641"/>
      <c r="AV986" s="641"/>
      <c r="AW986" s="641"/>
      <c r="AX986" s="641"/>
      <c r="AY986" s="641"/>
      <c r="AZ986" s="641"/>
      <c r="BA986" s="641"/>
      <c r="BB986" s="641"/>
      <c r="BC986" s="641"/>
      <c r="BD986" s="641"/>
      <c r="BE986" s="641"/>
      <c r="BF986" s="641"/>
      <c r="BG986" s="641"/>
      <c r="BH986" s="641"/>
      <c r="BI986" s="641"/>
      <c r="BJ986" s="641"/>
      <c r="BK986" s="641"/>
      <c r="BL986" s="641"/>
      <c r="BM986" s="641"/>
      <c r="BN986" s="641"/>
      <c r="BO986" s="641"/>
      <c r="BP986" s="641"/>
      <c r="BQ986" s="641"/>
      <c r="BR986" s="641"/>
      <c r="BS986" s="641"/>
      <c r="BT986" s="641"/>
      <c r="BU986" s="641"/>
      <c r="BV986" s="641"/>
      <c r="BW986" s="641"/>
      <c r="BX986" s="641"/>
      <c r="BY986" s="641"/>
      <c r="BZ986" s="641"/>
      <c r="CA986" s="641"/>
      <c r="CB986" s="641"/>
      <c r="CC986" s="641"/>
      <c r="CD986" s="641"/>
      <c r="CE986" s="641"/>
      <c r="CF986" s="641"/>
      <c r="CG986" s="641"/>
      <c r="CH986" s="641"/>
      <c r="CI986" s="641"/>
      <c r="CJ986" s="641"/>
      <c r="CK986" s="641"/>
      <c r="CL986" s="641"/>
      <c r="CM986" s="641"/>
      <c r="CN986" s="641"/>
      <c r="CO986" s="641"/>
      <c r="CP986" s="641"/>
      <c r="CQ986" s="641"/>
      <c r="CR986" s="641"/>
      <c r="CS986" s="641"/>
      <c r="CT986" s="641"/>
      <c r="CU986" s="641"/>
      <c r="CV986" s="641"/>
      <c r="CW986" s="641"/>
      <c r="CX986" s="641"/>
      <c r="CY986" s="641"/>
      <c r="CZ986" s="641"/>
      <c r="DA986" s="641"/>
      <c r="DB986" s="641"/>
      <c r="DC986" s="641"/>
      <c r="DD986" s="641"/>
      <c r="DE986" s="641"/>
      <c r="DF986" s="641"/>
      <c r="DG986" s="641"/>
      <c r="DH986" s="641"/>
      <c r="DI986" s="641"/>
      <c r="DJ986" s="641"/>
      <c r="DK986" s="641"/>
      <c r="DL986" s="641"/>
      <c r="DM986" s="641"/>
      <c r="DN986" s="641"/>
      <c r="DO986" s="641"/>
      <c r="DP986" s="641"/>
      <c r="DQ986" s="641"/>
      <c r="DR986" s="641"/>
      <c r="DS986" s="641"/>
      <c r="DT986" s="641"/>
      <c r="DU986" s="641"/>
      <c r="DV986" s="641"/>
      <c r="DW986" s="641"/>
      <c r="DX986" s="641"/>
      <c r="DY986" s="641"/>
      <c r="DZ986" s="641"/>
      <c r="EA986" s="641"/>
      <c r="EB986" s="641"/>
      <c r="EC986" s="641"/>
      <c r="ED986" s="641"/>
      <c r="EE986" s="641"/>
      <c r="EF986" s="641"/>
      <c r="EG986" s="641"/>
      <c r="EH986" s="641"/>
      <c r="EI986" s="641"/>
      <c r="EJ986" s="641"/>
      <c r="EK986" s="641"/>
      <c r="EL986" s="641"/>
      <c r="EM986" s="641"/>
      <c r="EN986" s="641"/>
      <c r="EO986" s="641"/>
      <c r="EP986" s="641"/>
      <c r="EQ986" s="641"/>
      <c r="ER986" s="641"/>
      <c r="ES986" s="641"/>
      <c r="ET986" s="641"/>
      <c r="EU986" s="641"/>
      <c r="EV986" s="641"/>
      <c r="EW986" s="641"/>
      <c r="EX986" s="641"/>
      <c r="EY986" s="641"/>
      <c r="EZ986" s="641"/>
      <c r="FA986" s="641"/>
      <c r="FB986" s="641"/>
      <c r="FC986" s="641"/>
      <c r="FD986" s="641"/>
      <c r="FE986" s="641"/>
      <c r="FF986" s="641"/>
      <c r="FG986" s="641"/>
      <c r="FH986" s="641"/>
      <c r="FI986" s="641"/>
      <c r="FJ986" s="641"/>
      <c r="FK986" s="641"/>
      <c r="FL986" s="641"/>
      <c r="FM986" s="641"/>
      <c r="FN986" s="641"/>
      <c r="FO986" s="641"/>
      <c r="FP986" s="641"/>
      <c r="FQ986" s="641"/>
      <c r="FR986" s="641"/>
      <c r="FS986" s="641"/>
      <c r="FT986" s="641"/>
      <c r="FU986" s="641"/>
      <c r="FV986" s="641"/>
      <c r="FW986" s="641"/>
      <c r="FX986" s="641"/>
      <c r="FY986" s="641"/>
      <c r="FZ986" s="641"/>
      <c r="GA986" s="641"/>
      <c r="GB986" s="641"/>
      <c r="GC986" s="641"/>
      <c r="GD986" s="641"/>
      <c r="GE986" s="641"/>
      <c r="GF986" s="641"/>
      <c r="GG986" s="641"/>
      <c r="GH986" s="641"/>
      <c r="GI986" s="641"/>
      <c r="GJ986" s="641"/>
      <c r="GK986" s="641"/>
      <c r="GL986" s="641"/>
      <c r="GM986" s="641"/>
      <c r="GN986" s="641"/>
      <c r="GO986" s="641"/>
      <c r="GP986" s="641"/>
      <c r="GQ986" s="641"/>
      <c r="GR986" s="641"/>
      <c r="GS986" s="641"/>
      <c r="GT986" s="641"/>
      <c r="GU986" s="641"/>
      <c r="GV986" s="641"/>
      <c r="GW986" s="641"/>
      <c r="GX986" s="641"/>
      <c r="GY986" s="641"/>
      <c r="GZ986" s="641"/>
      <c r="HA986" s="641"/>
      <c r="HB986" s="641"/>
      <c r="HC986" s="641"/>
      <c r="HD986" s="641"/>
      <c r="HE986" s="641"/>
      <c r="HF986" s="641"/>
      <c r="HG986" s="641"/>
      <c r="HH986" s="641"/>
      <c r="HI986" s="641"/>
      <c r="HJ986" s="641"/>
      <c r="HK986" s="641"/>
      <c r="HL986" s="641"/>
      <c r="HM986" s="641"/>
      <c r="HN986" s="641"/>
      <c r="HO986" s="641"/>
      <c r="HP986" s="641"/>
      <c r="HQ986" s="641"/>
      <c r="HR986" s="641"/>
      <c r="HS986" s="641"/>
      <c r="HT986" s="641"/>
      <c r="HU986" s="641"/>
      <c r="HV986" s="641"/>
      <c r="HW986" s="641"/>
      <c r="HX986" s="641"/>
      <c r="HY986" s="641"/>
      <c r="HZ986" s="641"/>
      <c r="IA986" s="641"/>
      <c r="IB986" s="641"/>
      <c r="IC986" s="641"/>
      <c r="ID986" s="641"/>
      <c r="IE986" s="641"/>
      <c r="IF986" s="641"/>
      <c r="IG986" s="641"/>
      <c r="IH986" s="641"/>
      <c r="II986" s="641"/>
      <c r="IJ986" s="641"/>
      <c r="IK986" s="641"/>
      <c r="IL986" s="641"/>
      <c r="IM986" s="641"/>
      <c r="IN986" s="641"/>
      <c r="IO986" s="641"/>
      <c r="IP986" s="641"/>
      <c r="IQ986" s="641"/>
      <c r="IR986" s="641"/>
      <c r="IS986" s="641"/>
      <c r="IT986" s="641"/>
      <c r="IU986" s="641"/>
      <c r="IV986" s="641"/>
      <c r="IW986" s="641"/>
    </row>
    <row r="987" spans="1:257" s="582" customFormat="1">
      <c r="A987" s="635" t="s">
        <v>258</v>
      </c>
      <c r="B987" s="696" t="s">
        <v>540</v>
      </c>
      <c r="C987" s="635"/>
      <c r="D987" s="635"/>
      <c r="E987" s="651"/>
      <c r="F987" s="651">
        <v>10000000</v>
      </c>
      <c r="G987" s="651" t="s">
        <v>1185</v>
      </c>
      <c r="H987" s="651"/>
      <c r="I987" s="651"/>
      <c r="J987" s="651">
        <v>20000000</v>
      </c>
      <c r="K987" s="651"/>
      <c r="L987" s="1305"/>
      <c r="M987" s="651"/>
      <c r="N987" s="826"/>
      <c r="O987" s="826"/>
      <c r="P987" s="826"/>
      <c r="Q987" s="826"/>
      <c r="R987" s="869"/>
      <c r="S987" s="866"/>
      <c r="T987" s="839"/>
      <c r="U987" s="580"/>
      <c r="V987" s="639"/>
      <c r="W987" s="639"/>
      <c r="X987" s="640"/>
      <c r="Y987" s="641"/>
      <c r="Z987" s="641"/>
      <c r="AA987" s="641"/>
      <c r="AB987" s="641"/>
      <c r="AC987" s="641"/>
      <c r="AD987" s="641"/>
      <c r="AE987" s="641"/>
      <c r="AF987" s="641"/>
      <c r="AG987" s="641"/>
      <c r="AH987" s="641"/>
      <c r="AI987" s="641"/>
      <c r="AJ987" s="641"/>
      <c r="AK987" s="641"/>
      <c r="AL987" s="641"/>
      <c r="AM987" s="641"/>
      <c r="AN987" s="641"/>
      <c r="AO987" s="641"/>
      <c r="AP987" s="641"/>
      <c r="AQ987" s="641"/>
      <c r="AR987" s="641"/>
      <c r="AS987" s="641"/>
      <c r="AT987" s="641"/>
      <c r="AU987" s="641"/>
      <c r="AV987" s="641"/>
      <c r="AW987" s="641"/>
      <c r="AX987" s="641"/>
      <c r="AY987" s="641"/>
      <c r="AZ987" s="641"/>
      <c r="BA987" s="641"/>
      <c r="BB987" s="641"/>
      <c r="BC987" s="641"/>
      <c r="BD987" s="641"/>
      <c r="BE987" s="641"/>
      <c r="BF987" s="641"/>
      <c r="BG987" s="641"/>
      <c r="BH987" s="641"/>
      <c r="BI987" s="641"/>
      <c r="BJ987" s="641"/>
      <c r="BK987" s="641"/>
      <c r="BL987" s="641"/>
      <c r="BM987" s="641"/>
      <c r="BN987" s="641"/>
      <c r="BO987" s="641"/>
      <c r="BP987" s="641"/>
      <c r="BQ987" s="641"/>
      <c r="BR987" s="641"/>
      <c r="BS987" s="641"/>
      <c r="BT987" s="641"/>
      <c r="BU987" s="641"/>
      <c r="BV987" s="641"/>
      <c r="BW987" s="641"/>
      <c r="BX987" s="641"/>
      <c r="BY987" s="641"/>
      <c r="BZ987" s="641"/>
      <c r="CA987" s="641"/>
      <c r="CB987" s="641"/>
      <c r="CC987" s="641"/>
      <c r="CD987" s="641"/>
      <c r="CE987" s="641"/>
      <c r="CF987" s="641"/>
      <c r="CG987" s="641"/>
      <c r="CH987" s="641"/>
      <c r="CI987" s="641"/>
      <c r="CJ987" s="641"/>
      <c r="CK987" s="641"/>
      <c r="CL987" s="641"/>
      <c r="CM987" s="641"/>
      <c r="CN987" s="641"/>
      <c r="CO987" s="641"/>
      <c r="CP987" s="641"/>
      <c r="CQ987" s="641"/>
      <c r="CR987" s="641"/>
      <c r="CS987" s="641"/>
      <c r="CT987" s="641"/>
      <c r="CU987" s="641"/>
      <c r="CV987" s="641"/>
      <c r="CW987" s="641"/>
      <c r="CX987" s="641"/>
      <c r="CY987" s="641"/>
      <c r="CZ987" s="641"/>
      <c r="DA987" s="641"/>
      <c r="DB987" s="641"/>
      <c r="DC987" s="641"/>
      <c r="DD987" s="641"/>
      <c r="DE987" s="641"/>
      <c r="DF987" s="641"/>
      <c r="DG987" s="641"/>
      <c r="DH987" s="641"/>
      <c r="DI987" s="641"/>
      <c r="DJ987" s="641"/>
      <c r="DK987" s="641"/>
      <c r="DL987" s="641"/>
      <c r="DM987" s="641"/>
      <c r="DN987" s="641"/>
      <c r="DO987" s="641"/>
      <c r="DP987" s="641"/>
      <c r="DQ987" s="641"/>
      <c r="DR987" s="641"/>
      <c r="DS987" s="641"/>
      <c r="DT987" s="641"/>
      <c r="DU987" s="641"/>
      <c r="DV987" s="641"/>
      <c r="DW987" s="641"/>
      <c r="DX987" s="641"/>
      <c r="DY987" s="641"/>
      <c r="DZ987" s="641"/>
      <c r="EA987" s="641"/>
      <c r="EB987" s="641"/>
      <c r="EC987" s="641"/>
      <c r="ED987" s="641"/>
      <c r="EE987" s="641"/>
      <c r="EF987" s="641"/>
      <c r="EG987" s="641"/>
      <c r="EH987" s="641"/>
      <c r="EI987" s="641"/>
      <c r="EJ987" s="641"/>
      <c r="EK987" s="641"/>
      <c r="EL987" s="641"/>
      <c r="EM987" s="641"/>
      <c r="EN987" s="641"/>
      <c r="EO987" s="641"/>
      <c r="EP987" s="641"/>
      <c r="EQ987" s="641"/>
      <c r="ER987" s="641"/>
      <c r="ES987" s="641"/>
      <c r="ET987" s="641"/>
      <c r="EU987" s="641"/>
      <c r="EV987" s="641"/>
      <c r="EW987" s="641"/>
      <c r="EX987" s="641"/>
      <c r="EY987" s="641"/>
      <c r="EZ987" s="641"/>
      <c r="FA987" s="641"/>
      <c r="FB987" s="641"/>
      <c r="FC987" s="641"/>
      <c r="FD987" s="641"/>
      <c r="FE987" s="641"/>
      <c r="FF987" s="641"/>
      <c r="FG987" s="641"/>
      <c r="FH987" s="641"/>
      <c r="FI987" s="641"/>
      <c r="FJ987" s="641"/>
      <c r="FK987" s="641"/>
      <c r="FL987" s="641"/>
      <c r="FM987" s="641"/>
      <c r="FN987" s="641"/>
      <c r="FO987" s="641"/>
      <c r="FP987" s="641"/>
      <c r="FQ987" s="641"/>
      <c r="FR987" s="641"/>
      <c r="FS987" s="641"/>
      <c r="FT987" s="641"/>
      <c r="FU987" s="641"/>
      <c r="FV987" s="641"/>
      <c r="FW987" s="641"/>
      <c r="FX987" s="641"/>
      <c r="FY987" s="641"/>
      <c r="FZ987" s="641"/>
      <c r="GA987" s="641"/>
      <c r="GB987" s="641"/>
      <c r="GC987" s="641"/>
      <c r="GD987" s="641"/>
      <c r="GE987" s="641"/>
      <c r="GF987" s="641"/>
      <c r="GG987" s="641"/>
      <c r="GH987" s="641"/>
      <c r="GI987" s="641"/>
      <c r="GJ987" s="641"/>
      <c r="GK987" s="641"/>
      <c r="GL987" s="641"/>
      <c r="GM987" s="641"/>
      <c r="GN987" s="641"/>
      <c r="GO987" s="641"/>
      <c r="GP987" s="641"/>
      <c r="GQ987" s="641"/>
      <c r="GR987" s="641"/>
      <c r="GS987" s="641"/>
      <c r="GT987" s="641"/>
      <c r="GU987" s="641"/>
      <c r="GV987" s="641"/>
      <c r="GW987" s="641"/>
      <c r="GX987" s="641"/>
      <c r="GY987" s="641"/>
      <c r="GZ987" s="641"/>
      <c r="HA987" s="641"/>
      <c r="HB987" s="641"/>
      <c r="HC987" s="641"/>
      <c r="HD987" s="641"/>
      <c r="HE987" s="641"/>
      <c r="HF987" s="641"/>
      <c r="HG987" s="641"/>
      <c r="HH987" s="641"/>
      <c r="HI987" s="641"/>
      <c r="HJ987" s="641"/>
      <c r="HK987" s="641"/>
      <c r="HL987" s="641"/>
      <c r="HM987" s="641"/>
      <c r="HN987" s="641"/>
      <c r="HO987" s="641"/>
      <c r="HP987" s="641"/>
      <c r="HQ987" s="641"/>
      <c r="HR987" s="641"/>
      <c r="HS987" s="641"/>
      <c r="HT987" s="641"/>
      <c r="HU987" s="641"/>
      <c r="HV987" s="641"/>
      <c r="HW987" s="641"/>
      <c r="HX987" s="641"/>
      <c r="HY987" s="641"/>
      <c r="HZ987" s="641"/>
      <c r="IA987" s="641"/>
      <c r="IB987" s="641"/>
      <c r="IC987" s="641"/>
      <c r="ID987" s="641"/>
      <c r="IE987" s="641"/>
      <c r="IF987" s="641"/>
      <c r="IG987" s="641"/>
      <c r="IH987" s="641"/>
      <c r="II987" s="641"/>
      <c r="IJ987" s="641"/>
      <c r="IK987" s="641"/>
      <c r="IL987" s="641"/>
      <c r="IM987" s="641"/>
      <c r="IN987" s="641"/>
      <c r="IO987" s="641"/>
      <c r="IP987" s="641"/>
      <c r="IQ987" s="641"/>
      <c r="IR987" s="641"/>
      <c r="IS987" s="641"/>
      <c r="IT987" s="641"/>
      <c r="IU987" s="641"/>
      <c r="IV987" s="641"/>
      <c r="IW987" s="641"/>
    </row>
    <row r="988" spans="1:257" s="582" customFormat="1" ht="31.5">
      <c r="A988" s="635" t="s">
        <v>258</v>
      </c>
      <c r="B988" s="696" t="s">
        <v>541</v>
      </c>
      <c r="C988" s="635"/>
      <c r="D988" s="635"/>
      <c r="E988" s="651"/>
      <c r="F988" s="651">
        <v>30000000</v>
      </c>
      <c r="G988" s="651"/>
      <c r="H988" s="651"/>
      <c r="I988" s="651"/>
      <c r="J988" s="651">
        <v>30000000</v>
      </c>
      <c r="K988" s="651">
        <v>50000000</v>
      </c>
      <c r="L988" s="1305">
        <v>50000000</v>
      </c>
      <c r="M988" s="651"/>
      <c r="N988" s="826"/>
      <c r="O988" s="826"/>
      <c r="P988" s="826"/>
      <c r="Q988" s="826"/>
      <c r="R988" s="869"/>
      <c r="S988" s="866"/>
      <c r="T988" s="839"/>
      <c r="U988" s="580"/>
      <c r="V988" s="639"/>
      <c r="W988" s="639"/>
      <c r="X988" s="640"/>
      <c r="Y988" s="641"/>
      <c r="Z988" s="641"/>
      <c r="AA988" s="641"/>
      <c r="AB988" s="641"/>
      <c r="AC988" s="641"/>
      <c r="AD988" s="641"/>
      <c r="AE988" s="641"/>
      <c r="AF988" s="641"/>
      <c r="AG988" s="641"/>
      <c r="AH988" s="641"/>
      <c r="AI988" s="641"/>
      <c r="AJ988" s="641"/>
      <c r="AK988" s="641"/>
      <c r="AL988" s="641"/>
      <c r="AM988" s="641"/>
      <c r="AN988" s="641"/>
      <c r="AO988" s="641"/>
      <c r="AP988" s="641"/>
      <c r="AQ988" s="641"/>
      <c r="AR988" s="641"/>
      <c r="AS988" s="641"/>
      <c r="AT988" s="641"/>
      <c r="AU988" s="641"/>
      <c r="AV988" s="641"/>
      <c r="AW988" s="641"/>
      <c r="AX988" s="641"/>
      <c r="AY988" s="641"/>
      <c r="AZ988" s="641"/>
      <c r="BA988" s="641"/>
      <c r="BB988" s="641"/>
      <c r="BC988" s="641"/>
      <c r="BD988" s="641"/>
      <c r="BE988" s="641"/>
      <c r="BF988" s="641"/>
      <c r="BG988" s="641"/>
      <c r="BH988" s="641"/>
      <c r="BI988" s="641"/>
      <c r="BJ988" s="641"/>
      <c r="BK988" s="641"/>
      <c r="BL988" s="641"/>
      <c r="BM988" s="641"/>
      <c r="BN988" s="641"/>
      <c r="BO988" s="641"/>
      <c r="BP988" s="641"/>
      <c r="BQ988" s="641"/>
      <c r="BR988" s="641"/>
      <c r="BS988" s="641"/>
      <c r="BT988" s="641"/>
      <c r="BU988" s="641"/>
      <c r="BV988" s="641"/>
      <c r="BW988" s="641"/>
      <c r="BX988" s="641"/>
      <c r="BY988" s="641"/>
      <c r="BZ988" s="641"/>
      <c r="CA988" s="641"/>
      <c r="CB988" s="641"/>
      <c r="CC988" s="641"/>
      <c r="CD988" s="641"/>
      <c r="CE988" s="641"/>
      <c r="CF988" s="641"/>
      <c r="CG988" s="641"/>
      <c r="CH988" s="641"/>
      <c r="CI988" s="641"/>
      <c r="CJ988" s="641"/>
      <c r="CK988" s="641"/>
      <c r="CL988" s="641"/>
      <c r="CM988" s="641"/>
      <c r="CN988" s="641"/>
      <c r="CO988" s="641"/>
      <c r="CP988" s="641"/>
      <c r="CQ988" s="641"/>
      <c r="CR988" s="641"/>
      <c r="CS988" s="641"/>
      <c r="CT988" s="641"/>
      <c r="CU988" s="641"/>
      <c r="CV988" s="641"/>
      <c r="CW988" s="641"/>
      <c r="CX988" s="641"/>
      <c r="CY988" s="641"/>
      <c r="CZ988" s="641"/>
      <c r="DA988" s="641"/>
      <c r="DB988" s="641"/>
      <c r="DC988" s="641"/>
      <c r="DD988" s="641"/>
      <c r="DE988" s="641"/>
      <c r="DF988" s="641"/>
      <c r="DG988" s="641"/>
      <c r="DH988" s="641"/>
      <c r="DI988" s="641"/>
      <c r="DJ988" s="641"/>
      <c r="DK988" s="641"/>
      <c r="DL988" s="641"/>
      <c r="DM988" s="641"/>
      <c r="DN988" s="641"/>
      <c r="DO988" s="641"/>
      <c r="DP988" s="641"/>
      <c r="DQ988" s="641"/>
      <c r="DR988" s="641"/>
      <c r="DS988" s="641"/>
      <c r="DT988" s="641"/>
      <c r="DU988" s="641"/>
      <c r="DV988" s="641"/>
      <c r="DW988" s="641"/>
      <c r="DX988" s="641"/>
      <c r="DY988" s="641"/>
      <c r="DZ988" s="641"/>
      <c r="EA988" s="641"/>
      <c r="EB988" s="641"/>
      <c r="EC988" s="641"/>
      <c r="ED988" s="641"/>
      <c r="EE988" s="641"/>
      <c r="EF988" s="641"/>
      <c r="EG988" s="641"/>
      <c r="EH988" s="641"/>
      <c r="EI988" s="641"/>
      <c r="EJ988" s="641"/>
      <c r="EK988" s="641"/>
      <c r="EL988" s="641"/>
      <c r="EM988" s="641"/>
      <c r="EN988" s="641"/>
      <c r="EO988" s="641"/>
      <c r="EP988" s="641"/>
      <c r="EQ988" s="641"/>
      <c r="ER988" s="641"/>
      <c r="ES988" s="641"/>
      <c r="ET988" s="641"/>
      <c r="EU988" s="641"/>
      <c r="EV988" s="641"/>
      <c r="EW988" s="641"/>
      <c r="EX988" s="641"/>
      <c r="EY988" s="641"/>
      <c r="EZ988" s="641"/>
      <c r="FA988" s="641"/>
      <c r="FB988" s="641"/>
      <c r="FC988" s="641"/>
      <c r="FD988" s="641"/>
      <c r="FE988" s="641"/>
      <c r="FF988" s="641"/>
      <c r="FG988" s="641"/>
      <c r="FH988" s="641"/>
      <c r="FI988" s="641"/>
      <c r="FJ988" s="641"/>
      <c r="FK988" s="641"/>
      <c r="FL988" s="641"/>
      <c r="FM988" s="641"/>
      <c r="FN988" s="641"/>
      <c r="FO988" s="641"/>
      <c r="FP988" s="641"/>
      <c r="FQ988" s="641"/>
      <c r="FR988" s="641"/>
      <c r="FS988" s="641"/>
      <c r="FT988" s="641"/>
      <c r="FU988" s="641"/>
      <c r="FV988" s="641"/>
      <c r="FW988" s="641"/>
      <c r="FX988" s="641"/>
      <c r="FY988" s="641"/>
      <c r="FZ988" s="641"/>
      <c r="GA988" s="641"/>
      <c r="GB988" s="641"/>
      <c r="GC988" s="641"/>
      <c r="GD988" s="641"/>
      <c r="GE988" s="641"/>
      <c r="GF988" s="641"/>
      <c r="GG988" s="641"/>
      <c r="GH988" s="641"/>
      <c r="GI988" s="641"/>
      <c r="GJ988" s="641"/>
      <c r="GK988" s="641"/>
      <c r="GL988" s="641"/>
      <c r="GM988" s="641"/>
      <c r="GN988" s="641"/>
      <c r="GO988" s="641"/>
      <c r="GP988" s="641"/>
      <c r="GQ988" s="641"/>
      <c r="GR988" s="641"/>
      <c r="GS988" s="641"/>
      <c r="GT988" s="641"/>
      <c r="GU988" s="641"/>
      <c r="GV988" s="641"/>
      <c r="GW988" s="641"/>
      <c r="GX988" s="641"/>
      <c r="GY988" s="641"/>
      <c r="GZ988" s="641"/>
      <c r="HA988" s="641"/>
      <c r="HB988" s="641"/>
      <c r="HC988" s="641"/>
      <c r="HD988" s="641"/>
      <c r="HE988" s="641"/>
      <c r="HF988" s="641"/>
      <c r="HG988" s="641"/>
      <c r="HH988" s="641"/>
      <c r="HI988" s="641"/>
      <c r="HJ988" s="641"/>
      <c r="HK988" s="641"/>
      <c r="HL988" s="641"/>
      <c r="HM988" s="641"/>
      <c r="HN988" s="641"/>
      <c r="HO988" s="641"/>
      <c r="HP988" s="641"/>
      <c r="HQ988" s="641"/>
      <c r="HR988" s="641"/>
      <c r="HS988" s="641"/>
      <c r="HT988" s="641"/>
      <c r="HU988" s="641"/>
      <c r="HV988" s="641"/>
      <c r="HW988" s="641"/>
      <c r="HX988" s="641"/>
      <c r="HY988" s="641"/>
      <c r="HZ988" s="641"/>
      <c r="IA988" s="641"/>
      <c r="IB988" s="641"/>
      <c r="IC988" s="641"/>
      <c r="ID988" s="641"/>
      <c r="IE988" s="641"/>
      <c r="IF988" s="641"/>
      <c r="IG988" s="641"/>
      <c r="IH988" s="641"/>
      <c r="II988" s="641"/>
      <c r="IJ988" s="641"/>
      <c r="IK988" s="641"/>
      <c r="IL988" s="641"/>
      <c r="IM988" s="641"/>
      <c r="IN988" s="641"/>
      <c r="IO988" s="641"/>
      <c r="IP988" s="641"/>
      <c r="IQ988" s="641"/>
      <c r="IR988" s="641"/>
      <c r="IS988" s="641"/>
      <c r="IT988" s="641"/>
      <c r="IU988" s="641"/>
      <c r="IV988" s="641"/>
      <c r="IW988" s="641"/>
    </row>
    <row r="989" spans="1:257" s="582" customFormat="1" ht="31.5">
      <c r="A989" s="635"/>
      <c r="B989" s="696" t="s">
        <v>1401</v>
      </c>
      <c r="C989" s="635"/>
      <c r="D989" s="635"/>
      <c r="E989" s="651"/>
      <c r="F989" s="651"/>
      <c r="G989" s="651"/>
      <c r="H989" s="651"/>
      <c r="I989" s="651"/>
      <c r="J989" s="651"/>
      <c r="K989" s="651">
        <v>100000000</v>
      </c>
      <c r="L989" s="1305">
        <v>120000000</v>
      </c>
      <c r="M989" s="651" t="s">
        <v>1397</v>
      </c>
      <c r="N989" s="826"/>
      <c r="O989" s="826"/>
      <c r="P989" s="826"/>
      <c r="Q989" s="826"/>
      <c r="R989" s="869"/>
      <c r="S989" s="866"/>
      <c r="T989" s="839"/>
      <c r="U989" s="580"/>
      <c r="V989" s="639"/>
      <c r="W989" s="639"/>
      <c r="X989" s="640"/>
      <c r="Y989" s="641"/>
      <c r="Z989" s="641"/>
      <c r="AA989" s="641"/>
      <c r="AB989" s="641"/>
      <c r="AC989" s="641"/>
      <c r="AD989" s="641"/>
      <c r="AE989" s="641"/>
      <c r="AF989" s="641"/>
      <c r="AG989" s="641"/>
      <c r="AH989" s="641"/>
      <c r="AI989" s="641"/>
      <c r="AJ989" s="641"/>
      <c r="AK989" s="641"/>
      <c r="AL989" s="641"/>
      <c r="AM989" s="641"/>
      <c r="AN989" s="641"/>
      <c r="AO989" s="641"/>
      <c r="AP989" s="641"/>
      <c r="AQ989" s="641"/>
      <c r="AR989" s="641"/>
      <c r="AS989" s="641"/>
      <c r="AT989" s="641"/>
      <c r="AU989" s="641"/>
      <c r="AV989" s="641"/>
      <c r="AW989" s="641"/>
      <c r="AX989" s="641"/>
      <c r="AY989" s="641"/>
      <c r="AZ989" s="641"/>
      <c r="BA989" s="641"/>
      <c r="BB989" s="641"/>
      <c r="BC989" s="641"/>
      <c r="BD989" s="641"/>
      <c r="BE989" s="641"/>
      <c r="BF989" s="641"/>
      <c r="BG989" s="641"/>
      <c r="BH989" s="641"/>
      <c r="BI989" s="641"/>
      <c r="BJ989" s="641"/>
      <c r="BK989" s="641"/>
      <c r="BL989" s="641"/>
      <c r="BM989" s="641"/>
      <c r="BN989" s="641"/>
      <c r="BO989" s="641"/>
      <c r="BP989" s="641"/>
      <c r="BQ989" s="641"/>
      <c r="BR989" s="641"/>
      <c r="BS989" s="641"/>
      <c r="BT989" s="641"/>
      <c r="BU989" s="641"/>
      <c r="BV989" s="641"/>
      <c r="BW989" s="641"/>
      <c r="BX989" s="641"/>
      <c r="BY989" s="641"/>
      <c r="BZ989" s="641"/>
      <c r="CA989" s="641"/>
      <c r="CB989" s="641"/>
      <c r="CC989" s="641"/>
      <c r="CD989" s="641"/>
      <c r="CE989" s="641"/>
      <c r="CF989" s="641"/>
      <c r="CG989" s="641"/>
      <c r="CH989" s="641"/>
      <c r="CI989" s="641"/>
      <c r="CJ989" s="641"/>
      <c r="CK989" s="641"/>
      <c r="CL989" s="641"/>
      <c r="CM989" s="641"/>
      <c r="CN989" s="641"/>
      <c r="CO989" s="641"/>
      <c r="CP989" s="641"/>
      <c r="CQ989" s="641"/>
      <c r="CR989" s="641"/>
      <c r="CS989" s="641"/>
      <c r="CT989" s="641"/>
      <c r="CU989" s="641"/>
      <c r="CV989" s="641"/>
      <c r="CW989" s="641"/>
      <c r="CX989" s="641"/>
      <c r="CY989" s="641"/>
      <c r="CZ989" s="641"/>
      <c r="DA989" s="641"/>
      <c r="DB989" s="641"/>
      <c r="DC989" s="641"/>
      <c r="DD989" s="641"/>
      <c r="DE989" s="641"/>
      <c r="DF989" s="641"/>
      <c r="DG989" s="641"/>
      <c r="DH989" s="641"/>
      <c r="DI989" s="641"/>
      <c r="DJ989" s="641"/>
      <c r="DK989" s="641"/>
      <c r="DL989" s="641"/>
      <c r="DM989" s="641"/>
      <c r="DN989" s="641"/>
      <c r="DO989" s="641"/>
      <c r="DP989" s="641"/>
      <c r="DQ989" s="641"/>
      <c r="DR989" s="641"/>
      <c r="DS989" s="641"/>
      <c r="DT989" s="641"/>
      <c r="DU989" s="641"/>
      <c r="DV989" s="641"/>
      <c r="DW989" s="641"/>
      <c r="DX989" s="641"/>
      <c r="DY989" s="641"/>
      <c r="DZ989" s="641"/>
      <c r="EA989" s="641"/>
      <c r="EB989" s="641"/>
      <c r="EC989" s="641"/>
      <c r="ED989" s="641"/>
      <c r="EE989" s="641"/>
      <c r="EF989" s="641"/>
      <c r="EG989" s="641"/>
      <c r="EH989" s="641"/>
      <c r="EI989" s="641"/>
      <c r="EJ989" s="641"/>
      <c r="EK989" s="641"/>
      <c r="EL989" s="641"/>
      <c r="EM989" s="641"/>
      <c r="EN989" s="641"/>
      <c r="EO989" s="641"/>
      <c r="EP989" s="641"/>
      <c r="EQ989" s="641"/>
      <c r="ER989" s="641"/>
      <c r="ES989" s="641"/>
      <c r="ET989" s="641"/>
      <c r="EU989" s="641"/>
      <c r="EV989" s="641"/>
      <c r="EW989" s="641"/>
      <c r="EX989" s="641"/>
      <c r="EY989" s="641"/>
      <c r="EZ989" s="641"/>
      <c r="FA989" s="641"/>
      <c r="FB989" s="641"/>
      <c r="FC989" s="641"/>
      <c r="FD989" s="641"/>
      <c r="FE989" s="641"/>
      <c r="FF989" s="641"/>
      <c r="FG989" s="641"/>
      <c r="FH989" s="641"/>
      <c r="FI989" s="641"/>
      <c r="FJ989" s="641"/>
      <c r="FK989" s="641"/>
      <c r="FL989" s="641"/>
      <c r="FM989" s="641"/>
      <c r="FN989" s="641"/>
      <c r="FO989" s="641"/>
      <c r="FP989" s="641"/>
      <c r="FQ989" s="641"/>
      <c r="FR989" s="641"/>
      <c r="FS989" s="641"/>
      <c r="FT989" s="641"/>
      <c r="FU989" s="641"/>
      <c r="FV989" s="641"/>
      <c r="FW989" s="641"/>
      <c r="FX989" s="641"/>
      <c r="FY989" s="641"/>
      <c r="FZ989" s="641"/>
      <c r="GA989" s="641"/>
      <c r="GB989" s="641"/>
      <c r="GC989" s="641"/>
      <c r="GD989" s="641"/>
      <c r="GE989" s="641"/>
      <c r="GF989" s="641"/>
      <c r="GG989" s="641"/>
      <c r="GH989" s="641"/>
      <c r="GI989" s="641"/>
      <c r="GJ989" s="641"/>
      <c r="GK989" s="641"/>
      <c r="GL989" s="641"/>
      <c r="GM989" s="641"/>
      <c r="GN989" s="641"/>
      <c r="GO989" s="641"/>
      <c r="GP989" s="641"/>
      <c r="GQ989" s="641"/>
      <c r="GR989" s="641"/>
      <c r="GS989" s="641"/>
      <c r="GT989" s="641"/>
      <c r="GU989" s="641"/>
      <c r="GV989" s="641"/>
      <c r="GW989" s="641"/>
      <c r="GX989" s="641"/>
      <c r="GY989" s="641"/>
      <c r="GZ989" s="641"/>
      <c r="HA989" s="641"/>
      <c r="HB989" s="641"/>
      <c r="HC989" s="641"/>
      <c r="HD989" s="641"/>
      <c r="HE989" s="641"/>
      <c r="HF989" s="641"/>
      <c r="HG989" s="641"/>
      <c r="HH989" s="641"/>
      <c r="HI989" s="641"/>
      <c r="HJ989" s="641"/>
      <c r="HK989" s="641"/>
      <c r="HL989" s="641"/>
      <c r="HM989" s="641"/>
      <c r="HN989" s="641"/>
      <c r="HO989" s="641"/>
      <c r="HP989" s="641"/>
      <c r="HQ989" s="641"/>
      <c r="HR989" s="641"/>
      <c r="HS989" s="641"/>
      <c r="HT989" s="641"/>
      <c r="HU989" s="641"/>
      <c r="HV989" s="641"/>
      <c r="HW989" s="641"/>
      <c r="HX989" s="641"/>
      <c r="HY989" s="641"/>
      <c r="HZ989" s="641"/>
      <c r="IA989" s="641"/>
      <c r="IB989" s="641"/>
      <c r="IC989" s="641"/>
      <c r="ID989" s="641"/>
      <c r="IE989" s="641"/>
      <c r="IF989" s="641"/>
      <c r="IG989" s="641"/>
      <c r="IH989" s="641"/>
      <c r="II989" s="641"/>
      <c r="IJ989" s="641"/>
      <c r="IK989" s="641"/>
      <c r="IL989" s="641"/>
      <c r="IM989" s="641"/>
      <c r="IN989" s="641"/>
      <c r="IO989" s="641"/>
      <c r="IP989" s="641"/>
      <c r="IQ989" s="641"/>
      <c r="IR989" s="641"/>
      <c r="IS989" s="641"/>
      <c r="IT989" s="641"/>
      <c r="IU989" s="641"/>
      <c r="IV989" s="641"/>
      <c r="IW989" s="641"/>
    </row>
    <row r="990" spans="1:257" s="582" customFormat="1">
      <c r="A990" s="635" t="s">
        <v>258</v>
      </c>
      <c r="B990" s="696" t="s">
        <v>1186</v>
      </c>
      <c r="C990" s="635"/>
      <c r="D990" s="635"/>
      <c r="E990" s="651"/>
      <c r="F990" s="651">
        <v>20000000</v>
      </c>
      <c r="G990" s="651"/>
      <c r="H990" s="651"/>
      <c r="I990" s="651"/>
      <c r="J990" s="651">
        <v>20000000</v>
      </c>
      <c r="K990" s="651"/>
      <c r="L990" s="1305"/>
      <c r="M990" s="651"/>
      <c r="N990" s="826"/>
      <c r="O990" s="826"/>
      <c r="P990" s="826"/>
      <c r="Q990" s="826"/>
      <c r="R990" s="869"/>
      <c r="S990" s="866"/>
      <c r="T990" s="839"/>
      <c r="U990" s="580"/>
      <c r="V990" s="639"/>
      <c r="W990" s="639"/>
      <c r="X990" s="640"/>
      <c r="Y990" s="641"/>
      <c r="Z990" s="641"/>
      <c r="AA990" s="641"/>
      <c r="AB990" s="641"/>
      <c r="AC990" s="641"/>
      <c r="AD990" s="641"/>
      <c r="AE990" s="641"/>
      <c r="AF990" s="641"/>
      <c r="AG990" s="641"/>
      <c r="AH990" s="641"/>
      <c r="AI990" s="641"/>
      <c r="AJ990" s="641"/>
      <c r="AK990" s="641"/>
      <c r="AL990" s="641"/>
      <c r="AM990" s="641"/>
      <c r="AN990" s="641"/>
      <c r="AO990" s="641"/>
      <c r="AP990" s="641"/>
      <c r="AQ990" s="641"/>
      <c r="AR990" s="641"/>
      <c r="AS990" s="641"/>
      <c r="AT990" s="641"/>
      <c r="AU990" s="641"/>
      <c r="AV990" s="641"/>
      <c r="AW990" s="641"/>
      <c r="AX990" s="641"/>
      <c r="AY990" s="641"/>
      <c r="AZ990" s="641"/>
      <c r="BA990" s="641"/>
      <c r="BB990" s="641"/>
      <c r="BC990" s="641"/>
      <c r="BD990" s="641"/>
      <c r="BE990" s="641"/>
      <c r="BF990" s="641"/>
      <c r="BG990" s="641"/>
      <c r="BH990" s="641"/>
      <c r="BI990" s="641"/>
      <c r="BJ990" s="641"/>
      <c r="BK990" s="641"/>
      <c r="BL990" s="641"/>
      <c r="BM990" s="641"/>
      <c r="BN990" s="641"/>
      <c r="BO990" s="641"/>
      <c r="BP990" s="641"/>
      <c r="BQ990" s="641"/>
      <c r="BR990" s="641"/>
      <c r="BS990" s="641"/>
      <c r="BT990" s="641"/>
      <c r="BU990" s="641"/>
      <c r="BV990" s="641"/>
      <c r="BW990" s="641"/>
      <c r="BX990" s="641"/>
      <c r="BY990" s="641"/>
      <c r="BZ990" s="641"/>
      <c r="CA990" s="641"/>
      <c r="CB990" s="641"/>
      <c r="CC990" s="641"/>
      <c r="CD990" s="641"/>
      <c r="CE990" s="641"/>
      <c r="CF990" s="641"/>
      <c r="CG990" s="641"/>
      <c r="CH990" s="641"/>
      <c r="CI990" s="641"/>
      <c r="CJ990" s="641"/>
      <c r="CK990" s="641"/>
      <c r="CL990" s="641"/>
      <c r="CM990" s="641"/>
      <c r="CN990" s="641"/>
      <c r="CO990" s="641"/>
      <c r="CP990" s="641"/>
      <c r="CQ990" s="641"/>
      <c r="CR990" s="641"/>
      <c r="CS990" s="641"/>
      <c r="CT990" s="641"/>
      <c r="CU990" s="641"/>
      <c r="CV990" s="641"/>
      <c r="CW990" s="641"/>
      <c r="CX990" s="641"/>
      <c r="CY990" s="641"/>
      <c r="CZ990" s="641"/>
      <c r="DA990" s="641"/>
      <c r="DB990" s="641"/>
      <c r="DC990" s="641"/>
      <c r="DD990" s="641"/>
      <c r="DE990" s="641"/>
      <c r="DF990" s="641"/>
      <c r="DG990" s="641"/>
      <c r="DH990" s="641"/>
      <c r="DI990" s="641"/>
      <c r="DJ990" s="641"/>
      <c r="DK990" s="641"/>
      <c r="DL990" s="641"/>
      <c r="DM990" s="641"/>
      <c r="DN990" s="641"/>
      <c r="DO990" s="641"/>
      <c r="DP990" s="641"/>
      <c r="DQ990" s="641"/>
      <c r="DR990" s="641"/>
      <c r="DS990" s="641"/>
      <c r="DT990" s="641"/>
      <c r="DU990" s="641"/>
      <c r="DV990" s="641"/>
      <c r="DW990" s="641"/>
      <c r="DX990" s="641"/>
      <c r="DY990" s="641"/>
      <c r="DZ990" s="641"/>
      <c r="EA990" s="641"/>
      <c r="EB990" s="641"/>
      <c r="EC990" s="641"/>
      <c r="ED990" s="641"/>
      <c r="EE990" s="641"/>
      <c r="EF990" s="641"/>
      <c r="EG990" s="641"/>
      <c r="EH990" s="641"/>
      <c r="EI990" s="641"/>
      <c r="EJ990" s="641"/>
      <c r="EK990" s="641"/>
      <c r="EL990" s="641"/>
      <c r="EM990" s="641"/>
      <c r="EN990" s="641"/>
      <c r="EO990" s="641"/>
      <c r="EP990" s="641"/>
      <c r="EQ990" s="641"/>
      <c r="ER990" s="641"/>
      <c r="ES990" s="641"/>
      <c r="ET990" s="641"/>
      <c r="EU990" s="641"/>
      <c r="EV990" s="641"/>
      <c r="EW990" s="641"/>
      <c r="EX990" s="641"/>
      <c r="EY990" s="641"/>
      <c r="EZ990" s="641"/>
      <c r="FA990" s="641"/>
      <c r="FB990" s="641"/>
      <c r="FC990" s="641"/>
      <c r="FD990" s="641"/>
      <c r="FE990" s="641"/>
      <c r="FF990" s="641"/>
      <c r="FG990" s="641"/>
      <c r="FH990" s="641"/>
      <c r="FI990" s="641"/>
      <c r="FJ990" s="641"/>
      <c r="FK990" s="641"/>
      <c r="FL990" s="641"/>
      <c r="FM990" s="641"/>
      <c r="FN990" s="641"/>
      <c r="FO990" s="641"/>
      <c r="FP990" s="641"/>
      <c r="FQ990" s="641"/>
      <c r="FR990" s="641"/>
      <c r="FS990" s="641"/>
      <c r="FT990" s="641"/>
      <c r="FU990" s="641"/>
      <c r="FV990" s="641"/>
      <c r="FW990" s="641"/>
      <c r="FX990" s="641"/>
      <c r="FY990" s="641"/>
      <c r="FZ990" s="641"/>
      <c r="GA990" s="641"/>
      <c r="GB990" s="641"/>
      <c r="GC990" s="641"/>
      <c r="GD990" s="641"/>
      <c r="GE990" s="641"/>
      <c r="GF990" s="641"/>
      <c r="GG990" s="641"/>
      <c r="GH990" s="641"/>
      <c r="GI990" s="641"/>
      <c r="GJ990" s="641"/>
      <c r="GK990" s="641"/>
      <c r="GL990" s="641"/>
      <c r="GM990" s="641"/>
      <c r="GN990" s="641"/>
      <c r="GO990" s="641"/>
      <c r="GP990" s="641"/>
      <c r="GQ990" s="641"/>
      <c r="GR990" s="641"/>
      <c r="GS990" s="641"/>
      <c r="GT990" s="641"/>
      <c r="GU990" s="641"/>
      <c r="GV990" s="641"/>
      <c r="GW990" s="641"/>
      <c r="GX990" s="641"/>
      <c r="GY990" s="641"/>
      <c r="GZ990" s="641"/>
      <c r="HA990" s="641"/>
      <c r="HB990" s="641"/>
      <c r="HC990" s="641"/>
      <c r="HD990" s="641"/>
      <c r="HE990" s="641"/>
      <c r="HF990" s="641"/>
      <c r="HG990" s="641"/>
      <c r="HH990" s="641"/>
      <c r="HI990" s="641"/>
      <c r="HJ990" s="641"/>
      <c r="HK990" s="641"/>
      <c r="HL990" s="641"/>
      <c r="HM990" s="641"/>
      <c r="HN990" s="641"/>
      <c r="HO990" s="641"/>
      <c r="HP990" s="641"/>
      <c r="HQ990" s="641"/>
      <c r="HR990" s="641"/>
      <c r="HS990" s="641"/>
      <c r="HT990" s="641"/>
      <c r="HU990" s="641"/>
      <c r="HV990" s="641"/>
      <c r="HW990" s="641"/>
      <c r="HX990" s="641"/>
      <c r="HY990" s="641"/>
      <c r="HZ990" s="641"/>
      <c r="IA990" s="641"/>
      <c r="IB990" s="641"/>
      <c r="IC990" s="641"/>
      <c r="ID990" s="641"/>
      <c r="IE990" s="641"/>
      <c r="IF990" s="641"/>
      <c r="IG990" s="641"/>
      <c r="IH990" s="641"/>
      <c r="II990" s="641"/>
      <c r="IJ990" s="641"/>
      <c r="IK990" s="641"/>
      <c r="IL990" s="641"/>
      <c r="IM990" s="641"/>
      <c r="IN990" s="641"/>
      <c r="IO990" s="641"/>
      <c r="IP990" s="641"/>
      <c r="IQ990" s="641"/>
      <c r="IR990" s="641"/>
      <c r="IS990" s="641"/>
      <c r="IT990" s="641"/>
      <c r="IU990" s="641"/>
      <c r="IV990" s="641"/>
      <c r="IW990" s="641"/>
    </row>
    <row r="991" spans="1:257" s="582" customFormat="1">
      <c r="A991" s="635" t="s">
        <v>258</v>
      </c>
      <c r="B991" s="696" t="s">
        <v>543</v>
      </c>
      <c r="C991" s="635"/>
      <c r="D991" s="635"/>
      <c r="E991" s="651"/>
      <c r="F991" s="651">
        <v>40000000</v>
      </c>
      <c r="G991" s="651"/>
      <c r="H991" s="651"/>
      <c r="I991" s="651"/>
      <c r="J991" s="651">
        <v>40000000</v>
      </c>
      <c r="K991" s="651"/>
      <c r="L991" s="1305"/>
      <c r="M991" s="651"/>
      <c r="N991" s="826"/>
      <c r="O991" s="826"/>
      <c r="P991" s="826"/>
      <c r="Q991" s="826"/>
      <c r="R991" s="869"/>
      <c r="S991" s="866"/>
      <c r="T991" s="839"/>
      <c r="U991" s="580"/>
      <c r="V991" s="639"/>
      <c r="W991" s="639"/>
      <c r="X991" s="640"/>
      <c r="Y991" s="641"/>
      <c r="Z991" s="641"/>
      <c r="AA991" s="641"/>
      <c r="AB991" s="641"/>
      <c r="AC991" s="641"/>
      <c r="AD991" s="641"/>
      <c r="AE991" s="641"/>
      <c r="AF991" s="641"/>
      <c r="AG991" s="641"/>
      <c r="AH991" s="641"/>
      <c r="AI991" s="641"/>
      <c r="AJ991" s="641"/>
      <c r="AK991" s="641"/>
      <c r="AL991" s="641"/>
      <c r="AM991" s="641"/>
      <c r="AN991" s="641"/>
      <c r="AO991" s="641"/>
      <c r="AP991" s="641"/>
      <c r="AQ991" s="641"/>
      <c r="AR991" s="641"/>
      <c r="AS991" s="641"/>
      <c r="AT991" s="641"/>
      <c r="AU991" s="641"/>
      <c r="AV991" s="641"/>
      <c r="AW991" s="641"/>
      <c r="AX991" s="641"/>
      <c r="AY991" s="641"/>
      <c r="AZ991" s="641"/>
      <c r="BA991" s="641"/>
      <c r="BB991" s="641"/>
      <c r="BC991" s="641"/>
      <c r="BD991" s="641"/>
      <c r="BE991" s="641"/>
      <c r="BF991" s="641"/>
      <c r="BG991" s="641"/>
      <c r="BH991" s="641"/>
      <c r="BI991" s="641"/>
      <c r="BJ991" s="641"/>
      <c r="BK991" s="641"/>
      <c r="BL991" s="641"/>
      <c r="BM991" s="641"/>
      <c r="BN991" s="641"/>
      <c r="BO991" s="641"/>
      <c r="BP991" s="641"/>
      <c r="BQ991" s="641"/>
      <c r="BR991" s="641"/>
      <c r="BS991" s="641"/>
      <c r="BT991" s="641"/>
      <c r="BU991" s="641"/>
      <c r="BV991" s="641"/>
      <c r="BW991" s="641"/>
      <c r="BX991" s="641"/>
      <c r="BY991" s="641"/>
      <c r="BZ991" s="641"/>
      <c r="CA991" s="641"/>
      <c r="CB991" s="641"/>
      <c r="CC991" s="641"/>
      <c r="CD991" s="641"/>
      <c r="CE991" s="641"/>
      <c r="CF991" s="641"/>
      <c r="CG991" s="641"/>
      <c r="CH991" s="641"/>
      <c r="CI991" s="641"/>
      <c r="CJ991" s="641"/>
      <c r="CK991" s="641"/>
      <c r="CL991" s="641"/>
      <c r="CM991" s="641"/>
      <c r="CN991" s="641"/>
      <c r="CO991" s="641"/>
      <c r="CP991" s="641"/>
      <c r="CQ991" s="641"/>
      <c r="CR991" s="641"/>
      <c r="CS991" s="641"/>
      <c r="CT991" s="641"/>
      <c r="CU991" s="641"/>
      <c r="CV991" s="641"/>
      <c r="CW991" s="641"/>
      <c r="CX991" s="641"/>
      <c r="CY991" s="641"/>
      <c r="CZ991" s="641"/>
      <c r="DA991" s="641"/>
      <c r="DB991" s="641"/>
      <c r="DC991" s="641"/>
      <c r="DD991" s="641"/>
      <c r="DE991" s="641"/>
      <c r="DF991" s="641"/>
      <c r="DG991" s="641"/>
      <c r="DH991" s="641"/>
      <c r="DI991" s="641"/>
      <c r="DJ991" s="641"/>
      <c r="DK991" s="641"/>
      <c r="DL991" s="641"/>
      <c r="DM991" s="641"/>
      <c r="DN991" s="641"/>
      <c r="DO991" s="641"/>
      <c r="DP991" s="641"/>
      <c r="DQ991" s="641"/>
      <c r="DR991" s="641"/>
      <c r="DS991" s="641"/>
      <c r="DT991" s="641"/>
      <c r="DU991" s="641"/>
      <c r="DV991" s="641"/>
      <c r="DW991" s="641"/>
      <c r="DX991" s="641"/>
      <c r="DY991" s="641"/>
      <c r="DZ991" s="641"/>
      <c r="EA991" s="641"/>
      <c r="EB991" s="641"/>
      <c r="EC991" s="641"/>
      <c r="ED991" s="641"/>
      <c r="EE991" s="641"/>
      <c r="EF991" s="641"/>
      <c r="EG991" s="641"/>
      <c r="EH991" s="641"/>
      <c r="EI991" s="641"/>
      <c r="EJ991" s="641"/>
      <c r="EK991" s="641"/>
      <c r="EL991" s="641"/>
      <c r="EM991" s="641"/>
      <c r="EN991" s="641"/>
      <c r="EO991" s="641"/>
      <c r="EP991" s="641"/>
      <c r="EQ991" s="641"/>
      <c r="ER991" s="641"/>
      <c r="ES991" s="641"/>
      <c r="ET991" s="641"/>
      <c r="EU991" s="641"/>
      <c r="EV991" s="641"/>
      <c r="EW991" s="641"/>
      <c r="EX991" s="641"/>
      <c r="EY991" s="641"/>
      <c r="EZ991" s="641"/>
      <c r="FA991" s="641"/>
      <c r="FB991" s="641"/>
      <c r="FC991" s="641"/>
      <c r="FD991" s="641"/>
      <c r="FE991" s="641"/>
      <c r="FF991" s="641"/>
      <c r="FG991" s="641"/>
      <c r="FH991" s="641"/>
      <c r="FI991" s="641"/>
      <c r="FJ991" s="641"/>
      <c r="FK991" s="641"/>
      <c r="FL991" s="641"/>
      <c r="FM991" s="641"/>
      <c r="FN991" s="641"/>
      <c r="FO991" s="641"/>
      <c r="FP991" s="641"/>
      <c r="FQ991" s="641"/>
      <c r="FR991" s="641"/>
      <c r="FS991" s="641"/>
      <c r="FT991" s="641"/>
      <c r="FU991" s="641"/>
      <c r="FV991" s="641"/>
      <c r="FW991" s="641"/>
      <c r="FX991" s="641"/>
      <c r="FY991" s="641"/>
      <c r="FZ991" s="641"/>
      <c r="GA991" s="641"/>
      <c r="GB991" s="641"/>
      <c r="GC991" s="641"/>
      <c r="GD991" s="641"/>
      <c r="GE991" s="641"/>
      <c r="GF991" s="641"/>
      <c r="GG991" s="641"/>
      <c r="GH991" s="641"/>
      <c r="GI991" s="641"/>
      <c r="GJ991" s="641"/>
      <c r="GK991" s="641"/>
      <c r="GL991" s="641"/>
      <c r="GM991" s="641"/>
      <c r="GN991" s="641"/>
      <c r="GO991" s="641"/>
      <c r="GP991" s="641"/>
      <c r="GQ991" s="641"/>
      <c r="GR991" s="641"/>
      <c r="GS991" s="641"/>
      <c r="GT991" s="641"/>
      <c r="GU991" s="641"/>
      <c r="GV991" s="641"/>
      <c r="GW991" s="641"/>
      <c r="GX991" s="641"/>
      <c r="GY991" s="641"/>
      <c r="GZ991" s="641"/>
      <c r="HA991" s="641"/>
      <c r="HB991" s="641"/>
      <c r="HC991" s="641"/>
      <c r="HD991" s="641"/>
      <c r="HE991" s="641"/>
      <c r="HF991" s="641"/>
      <c r="HG991" s="641"/>
      <c r="HH991" s="641"/>
      <c r="HI991" s="641"/>
      <c r="HJ991" s="641"/>
      <c r="HK991" s="641"/>
      <c r="HL991" s="641"/>
      <c r="HM991" s="641"/>
      <c r="HN991" s="641"/>
      <c r="HO991" s="641"/>
      <c r="HP991" s="641"/>
      <c r="HQ991" s="641"/>
      <c r="HR991" s="641"/>
      <c r="HS991" s="641"/>
      <c r="HT991" s="641"/>
      <c r="HU991" s="641"/>
      <c r="HV991" s="641"/>
      <c r="HW991" s="641"/>
      <c r="HX991" s="641"/>
      <c r="HY991" s="641"/>
      <c r="HZ991" s="641"/>
      <c r="IA991" s="641"/>
      <c r="IB991" s="641"/>
      <c r="IC991" s="641"/>
      <c r="ID991" s="641"/>
      <c r="IE991" s="641"/>
      <c r="IF991" s="641"/>
      <c r="IG991" s="641"/>
      <c r="IH991" s="641"/>
      <c r="II991" s="641"/>
      <c r="IJ991" s="641"/>
      <c r="IK991" s="641"/>
      <c r="IL991" s="641"/>
      <c r="IM991" s="641"/>
      <c r="IN991" s="641"/>
      <c r="IO991" s="641"/>
      <c r="IP991" s="641"/>
      <c r="IQ991" s="641"/>
      <c r="IR991" s="641"/>
      <c r="IS991" s="641"/>
      <c r="IT991" s="641"/>
      <c r="IU991" s="641"/>
      <c r="IV991" s="641"/>
      <c r="IW991" s="641"/>
    </row>
    <row r="992" spans="1:257" s="582" customFormat="1">
      <c r="A992" s="635" t="s">
        <v>258</v>
      </c>
      <c r="B992" s="696" t="s">
        <v>1187</v>
      </c>
      <c r="C992" s="635"/>
      <c r="D992" s="635"/>
      <c r="E992" s="651"/>
      <c r="F992" s="651">
        <v>150000000</v>
      </c>
      <c r="G992" s="651"/>
      <c r="H992" s="651"/>
      <c r="I992" s="651"/>
      <c r="J992" s="651"/>
      <c r="K992" s="651"/>
      <c r="L992" s="1305"/>
      <c r="M992" s="651"/>
      <c r="N992" s="826"/>
      <c r="O992" s="826"/>
      <c r="P992" s="826"/>
      <c r="Q992" s="826"/>
      <c r="R992" s="869"/>
      <c r="S992" s="866"/>
      <c r="T992" s="839"/>
      <c r="U992" s="580"/>
      <c r="V992" s="639"/>
      <c r="W992" s="639"/>
      <c r="X992" s="640"/>
      <c r="Y992" s="641"/>
      <c r="Z992" s="641"/>
      <c r="AA992" s="641"/>
      <c r="AB992" s="641"/>
      <c r="AC992" s="641"/>
      <c r="AD992" s="641"/>
      <c r="AE992" s="641"/>
      <c r="AF992" s="641"/>
      <c r="AG992" s="641"/>
      <c r="AH992" s="641"/>
      <c r="AI992" s="641"/>
      <c r="AJ992" s="641"/>
      <c r="AK992" s="641"/>
      <c r="AL992" s="641"/>
      <c r="AM992" s="641"/>
      <c r="AN992" s="641"/>
      <c r="AO992" s="641"/>
      <c r="AP992" s="641"/>
      <c r="AQ992" s="641"/>
      <c r="AR992" s="641"/>
      <c r="AS992" s="641"/>
      <c r="AT992" s="641"/>
      <c r="AU992" s="641"/>
      <c r="AV992" s="641"/>
      <c r="AW992" s="641"/>
      <c r="AX992" s="641"/>
      <c r="AY992" s="641"/>
      <c r="AZ992" s="641"/>
      <c r="BA992" s="641"/>
      <c r="BB992" s="641"/>
      <c r="BC992" s="641"/>
      <c r="BD992" s="641"/>
      <c r="BE992" s="641"/>
      <c r="BF992" s="641"/>
      <c r="BG992" s="641"/>
      <c r="BH992" s="641"/>
      <c r="BI992" s="641"/>
      <c r="BJ992" s="641"/>
      <c r="BK992" s="641"/>
      <c r="BL992" s="641"/>
      <c r="BM992" s="641"/>
      <c r="BN992" s="641"/>
      <c r="BO992" s="641"/>
      <c r="BP992" s="641"/>
      <c r="BQ992" s="641"/>
      <c r="BR992" s="641"/>
      <c r="BS992" s="641"/>
      <c r="BT992" s="641"/>
      <c r="BU992" s="641"/>
      <c r="BV992" s="641"/>
      <c r="BW992" s="641"/>
      <c r="BX992" s="641"/>
      <c r="BY992" s="641"/>
      <c r="BZ992" s="641"/>
      <c r="CA992" s="641"/>
      <c r="CB992" s="641"/>
      <c r="CC992" s="641"/>
      <c r="CD992" s="641"/>
      <c r="CE992" s="641"/>
      <c r="CF992" s="641"/>
      <c r="CG992" s="641"/>
      <c r="CH992" s="641"/>
      <c r="CI992" s="641"/>
      <c r="CJ992" s="641"/>
      <c r="CK992" s="641"/>
      <c r="CL992" s="641"/>
      <c r="CM992" s="641"/>
      <c r="CN992" s="641"/>
      <c r="CO992" s="641"/>
      <c r="CP992" s="641"/>
      <c r="CQ992" s="641"/>
      <c r="CR992" s="641"/>
      <c r="CS992" s="641"/>
      <c r="CT992" s="641"/>
      <c r="CU992" s="641"/>
      <c r="CV992" s="641"/>
      <c r="CW992" s="641"/>
      <c r="CX992" s="641"/>
      <c r="CY992" s="641"/>
      <c r="CZ992" s="641"/>
      <c r="DA992" s="641"/>
      <c r="DB992" s="641"/>
      <c r="DC992" s="641"/>
      <c r="DD992" s="641"/>
      <c r="DE992" s="641"/>
      <c r="DF992" s="641"/>
      <c r="DG992" s="641"/>
      <c r="DH992" s="641"/>
      <c r="DI992" s="641"/>
      <c r="DJ992" s="641"/>
      <c r="DK992" s="641"/>
      <c r="DL992" s="641"/>
      <c r="DM992" s="641"/>
      <c r="DN992" s="641"/>
      <c r="DO992" s="641"/>
      <c r="DP992" s="641"/>
      <c r="DQ992" s="641"/>
      <c r="DR992" s="641"/>
      <c r="DS992" s="641"/>
      <c r="DT992" s="641"/>
      <c r="DU992" s="641"/>
      <c r="DV992" s="641"/>
      <c r="DW992" s="641"/>
      <c r="DX992" s="641"/>
      <c r="DY992" s="641"/>
      <c r="DZ992" s="641"/>
      <c r="EA992" s="641"/>
      <c r="EB992" s="641"/>
      <c r="EC992" s="641"/>
      <c r="ED992" s="641"/>
      <c r="EE992" s="641"/>
      <c r="EF992" s="641"/>
      <c r="EG992" s="641"/>
      <c r="EH992" s="641"/>
      <c r="EI992" s="641"/>
      <c r="EJ992" s="641"/>
      <c r="EK992" s="641"/>
      <c r="EL992" s="641"/>
      <c r="EM992" s="641"/>
      <c r="EN992" s="641"/>
      <c r="EO992" s="641"/>
      <c r="EP992" s="641"/>
      <c r="EQ992" s="641"/>
      <c r="ER992" s="641"/>
      <c r="ES992" s="641"/>
      <c r="ET992" s="641"/>
      <c r="EU992" s="641"/>
      <c r="EV992" s="641"/>
      <c r="EW992" s="641"/>
      <c r="EX992" s="641"/>
      <c r="EY992" s="641"/>
      <c r="EZ992" s="641"/>
      <c r="FA992" s="641"/>
      <c r="FB992" s="641"/>
      <c r="FC992" s="641"/>
      <c r="FD992" s="641"/>
      <c r="FE992" s="641"/>
      <c r="FF992" s="641"/>
      <c r="FG992" s="641"/>
      <c r="FH992" s="641"/>
      <c r="FI992" s="641"/>
      <c r="FJ992" s="641"/>
      <c r="FK992" s="641"/>
      <c r="FL992" s="641"/>
      <c r="FM992" s="641"/>
      <c r="FN992" s="641"/>
      <c r="FO992" s="641"/>
      <c r="FP992" s="641"/>
      <c r="FQ992" s="641"/>
      <c r="FR992" s="641"/>
      <c r="FS992" s="641"/>
      <c r="FT992" s="641"/>
      <c r="FU992" s="641"/>
      <c r="FV992" s="641"/>
      <c r="FW992" s="641"/>
      <c r="FX992" s="641"/>
      <c r="FY992" s="641"/>
      <c r="FZ992" s="641"/>
      <c r="GA992" s="641"/>
      <c r="GB992" s="641"/>
      <c r="GC992" s="641"/>
      <c r="GD992" s="641"/>
      <c r="GE992" s="641"/>
      <c r="GF992" s="641"/>
      <c r="GG992" s="641"/>
      <c r="GH992" s="641"/>
      <c r="GI992" s="641"/>
      <c r="GJ992" s="641"/>
      <c r="GK992" s="641"/>
      <c r="GL992" s="641"/>
      <c r="GM992" s="641"/>
      <c r="GN992" s="641"/>
      <c r="GO992" s="641"/>
      <c r="GP992" s="641"/>
      <c r="GQ992" s="641"/>
      <c r="GR992" s="641"/>
      <c r="GS992" s="641"/>
      <c r="GT992" s="641"/>
      <c r="GU992" s="641"/>
      <c r="GV992" s="641"/>
      <c r="GW992" s="641"/>
      <c r="GX992" s="641"/>
      <c r="GY992" s="641"/>
      <c r="GZ992" s="641"/>
      <c r="HA992" s="641"/>
      <c r="HB992" s="641"/>
      <c r="HC992" s="641"/>
      <c r="HD992" s="641"/>
      <c r="HE992" s="641"/>
      <c r="HF992" s="641"/>
      <c r="HG992" s="641"/>
      <c r="HH992" s="641"/>
      <c r="HI992" s="641"/>
      <c r="HJ992" s="641"/>
      <c r="HK992" s="641"/>
      <c r="HL992" s="641"/>
      <c r="HM992" s="641"/>
      <c r="HN992" s="641"/>
      <c r="HO992" s="641"/>
      <c r="HP992" s="641"/>
      <c r="HQ992" s="641"/>
      <c r="HR992" s="641"/>
      <c r="HS992" s="641"/>
      <c r="HT992" s="641"/>
      <c r="HU992" s="641"/>
      <c r="HV992" s="641"/>
      <c r="HW992" s="641"/>
      <c r="HX992" s="641"/>
      <c r="HY992" s="641"/>
      <c r="HZ992" s="641"/>
      <c r="IA992" s="641"/>
      <c r="IB992" s="641"/>
      <c r="IC992" s="641"/>
      <c r="ID992" s="641"/>
      <c r="IE992" s="641"/>
      <c r="IF992" s="641"/>
      <c r="IG992" s="641"/>
      <c r="IH992" s="641"/>
      <c r="II992" s="641"/>
      <c r="IJ992" s="641"/>
      <c r="IK992" s="641"/>
      <c r="IL992" s="641"/>
      <c r="IM992" s="641"/>
      <c r="IN992" s="641"/>
      <c r="IO992" s="641"/>
      <c r="IP992" s="641"/>
      <c r="IQ992" s="641"/>
      <c r="IR992" s="641"/>
      <c r="IS992" s="641"/>
      <c r="IT992" s="641"/>
      <c r="IU992" s="641"/>
      <c r="IV992" s="641"/>
      <c r="IW992" s="641"/>
    </row>
    <row r="993" spans="1:257" s="582" customFormat="1">
      <c r="A993" s="635" t="s">
        <v>258</v>
      </c>
      <c r="B993" s="696" t="s">
        <v>544</v>
      </c>
      <c r="C993" s="635"/>
      <c r="D993" s="635"/>
      <c r="E993" s="651"/>
      <c r="F993" s="651">
        <v>30000000</v>
      </c>
      <c r="G993" s="651"/>
      <c r="H993" s="651"/>
      <c r="I993" s="651"/>
      <c r="J993" s="651">
        <v>30000000</v>
      </c>
      <c r="K993" s="651"/>
      <c r="L993" s="1305"/>
      <c r="M993" s="651"/>
      <c r="N993" s="826"/>
      <c r="O993" s="826"/>
      <c r="P993" s="826"/>
      <c r="Q993" s="826"/>
      <c r="R993" s="869"/>
      <c r="S993" s="869"/>
      <c r="T993" s="850"/>
      <c r="U993" s="580"/>
      <c r="V993" s="639"/>
      <c r="W993" s="639"/>
      <c r="X993" s="640"/>
      <c r="Y993" s="641"/>
      <c r="Z993" s="641"/>
      <c r="AA993" s="641"/>
      <c r="AB993" s="641"/>
      <c r="AC993" s="641"/>
      <c r="AD993" s="641"/>
      <c r="AE993" s="641"/>
      <c r="AF993" s="641"/>
      <c r="AG993" s="641"/>
      <c r="AH993" s="641"/>
      <c r="AI993" s="641"/>
      <c r="AJ993" s="641"/>
      <c r="AK993" s="641"/>
      <c r="AL993" s="641"/>
      <c r="AM993" s="641"/>
      <c r="AN993" s="641"/>
      <c r="AO993" s="641"/>
      <c r="AP993" s="641"/>
      <c r="AQ993" s="641"/>
      <c r="AR993" s="641"/>
      <c r="AS993" s="641"/>
      <c r="AT993" s="641"/>
      <c r="AU993" s="641"/>
      <c r="AV993" s="641"/>
      <c r="AW993" s="641"/>
      <c r="AX993" s="641"/>
      <c r="AY993" s="641"/>
      <c r="AZ993" s="641"/>
      <c r="BA993" s="641"/>
      <c r="BB993" s="641"/>
      <c r="BC993" s="641"/>
      <c r="BD993" s="641"/>
      <c r="BE993" s="641"/>
      <c r="BF993" s="641"/>
      <c r="BG993" s="641"/>
      <c r="BH993" s="641"/>
      <c r="BI993" s="641"/>
      <c r="BJ993" s="641"/>
      <c r="BK993" s="641"/>
      <c r="BL993" s="641"/>
      <c r="BM993" s="641"/>
      <c r="BN993" s="641"/>
      <c r="BO993" s="641"/>
      <c r="BP993" s="641"/>
      <c r="BQ993" s="641"/>
      <c r="BR993" s="641"/>
      <c r="BS993" s="641"/>
      <c r="BT993" s="641"/>
      <c r="BU993" s="641"/>
      <c r="BV993" s="641"/>
      <c r="BW993" s="641"/>
      <c r="BX993" s="641"/>
      <c r="BY993" s="641"/>
      <c r="BZ993" s="641"/>
      <c r="CA993" s="641"/>
      <c r="CB993" s="641"/>
      <c r="CC993" s="641"/>
      <c r="CD993" s="641"/>
      <c r="CE993" s="641"/>
      <c r="CF993" s="641"/>
      <c r="CG993" s="641"/>
      <c r="CH993" s="641"/>
      <c r="CI993" s="641"/>
      <c r="CJ993" s="641"/>
      <c r="CK993" s="641"/>
      <c r="CL993" s="641"/>
      <c r="CM993" s="641"/>
      <c r="CN993" s="641"/>
      <c r="CO993" s="641"/>
      <c r="CP993" s="641"/>
      <c r="CQ993" s="641"/>
      <c r="CR993" s="641"/>
      <c r="CS993" s="641"/>
      <c r="CT993" s="641"/>
      <c r="CU993" s="641"/>
      <c r="CV993" s="641"/>
      <c r="CW993" s="641"/>
      <c r="CX993" s="641"/>
      <c r="CY993" s="641"/>
      <c r="CZ993" s="641"/>
      <c r="DA993" s="641"/>
      <c r="DB993" s="641"/>
      <c r="DC993" s="641"/>
      <c r="DD993" s="641"/>
      <c r="DE993" s="641"/>
      <c r="DF993" s="641"/>
      <c r="DG993" s="641"/>
      <c r="DH993" s="641"/>
      <c r="DI993" s="641"/>
      <c r="DJ993" s="641"/>
      <c r="DK993" s="641"/>
      <c r="DL993" s="641"/>
      <c r="DM993" s="641"/>
      <c r="DN993" s="641"/>
      <c r="DO993" s="641"/>
      <c r="DP993" s="641"/>
      <c r="DQ993" s="641"/>
      <c r="DR993" s="641"/>
      <c r="DS993" s="641"/>
      <c r="DT993" s="641"/>
      <c r="DU993" s="641"/>
      <c r="DV993" s="641"/>
      <c r="DW993" s="641"/>
      <c r="DX993" s="641"/>
      <c r="DY993" s="641"/>
      <c r="DZ993" s="641"/>
      <c r="EA993" s="641"/>
      <c r="EB993" s="641"/>
      <c r="EC993" s="641"/>
      <c r="ED993" s="641"/>
      <c r="EE993" s="641"/>
      <c r="EF993" s="641"/>
      <c r="EG993" s="641"/>
      <c r="EH993" s="641"/>
      <c r="EI993" s="641"/>
      <c r="EJ993" s="641"/>
      <c r="EK993" s="641"/>
      <c r="EL993" s="641"/>
      <c r="EM993" s="641"/>
      <c r="EN993" s="641"/>
      <c r="EO993" s="641"/>
      <c r="EP993" s="641"/>
      <c r="EQ993" s="641"/>
      <c r="ER993" s="641"/>
      <c r="ES993" s="641"/>
      <c r="ET993" s="641"/>
      <c r="EU993" s="641"/>
      <c r="EV993" s="641"/>
      <c r="EW993" s="641"/>
      <c r="EX993" s="641"/>
      <c r="EY993" s="641"/>
      <c r="EZ993" s="641"/>
      <c r="FA993" s="641"/>
      <c r="FB993" s="641"/>
      <c r="FC993" s="641"/>
      <c r="FD993" s="641"/>
      <c r="FE993" s="641"/>
      <c r="FF993" s="641"/>
      <c r="FG993" s="641"/>
      <c r="FH993" s="641"/>
      <c r="FI993" s="641"/>
      <c r="FJ993" s="641"/>
      <c r="FK993" s="641"/>
      <c r="FL993" s="641"/>
      <c r="FM993" s="641"/>
      <c r="FN993" s="641"/>
      <c r="FO993" s="641"/>
      <c r="FP993" s="641"/>
      <c r="FQ993" s="641"/>
      <c r="FR993" s="641"/>
      <c r="FS993" s="641"/>
      <c r="FT993" s="641"/>
      <c r="FU993" s="641"/>
      <c r="FV993" s="641"/>
      <c r="FW993" s="641"/>
      <c r="FX993" s="641"/>
      <c r="FY993" s="641"/>
      <c r="FZ993" s="641"/>
      <c r="GA993" s="641"/>
      <c r="GB993" s="641"/>
      <c r="GC993" s="641"/>
      <c r="GD993" s="641"/>
      <c r="GE993" s="641"/>
      <c r="GF993" s="641"/>
      <c r="GG993" s="641"/>
      <c r="GH993" s="641"/>
      <c r="GI993" s="641"/>
      <c r="GJ993" s="641"/>
      <c r="GK993" s="641"/>
      <c r="GL993" s="641"/>
      <c r="GM993" s="641"/>
      <c r="GN993" s="641"/>
      <c r="GO993" s="641"/>
      <c r="GP993" s="641"/>
      <c r="GQ993" s="641"/>
      <c r="GR993" s="641"/>
      <c r="GS993" s="641"/>
      <c r="GT993" s="641"/>
      <c r="GU993" s="641"/>
      <c r="GV993" s="641"/>
      <c r="GW993" s="641"/>
      <c r="GX993" s="641"/>
      <c r="GY993" s="641"/>
      <c r="GZ993" s="641"/>
      <c r="HA993" s="641"/>
      <c r="HB993" s="641"/>
      <c r="HC993" s="641"/>
      <c r="HD993" s="641"/>
      <c r="HE993" s="641"/>
      <c r="HF993" s="641"/>
      <c r="HG993" s="641"/>
      <c r="HH993" s="641"/>
      <c r="HI993" s="641"/>
      <c r="HJ993" s="641"/>
      <c r="HK993" s="641"/>
      <c r="HL993" s="641"/>
      <c r="HM993" s="641"/>
      <c r="HN993" s="641"/>
      <c r="HO993" s="641"/>
      <c r="HP993" s="641"/>
      <c r="HQ993" s="641"/>
      <c r="HR993" s="641"/>
      <c r="HS993" s="641"/>
      <c r="HT993" s="641"/>
      <c r="HU993" s="641"/>
      <c r="HV993" s="641"/>
      <c r="HW993" s="641"/>
      <c r="HX993" s="641"/>
      <c r="HY993" s="641"/>
      <c r="HZ993" s="641"/>
      <c r="IA993" s="641"/>
      <c r="IB993" s="641"/>
      <c r="IC993" s="641"/>
      <c r="ID993" s="641"/>
      <c r="IE993" s="641"/>
      <c r="IF993" s="641"/>
      <c r="IG993" s="641"/>
      <c r="IH993" s="641"/>
      <c r="II993" s="641"/>
      <c r="IJ993" s="641"/>
      <c r="IK993" s="641"/>
      <c r="IL993" s="641"/>
      <c r="IM993" s="641"/>
      <c r="IN993" s="641"/>
      <c r="IO993" s="641"/>
      <c r="IP993" s="641"/>
      <c r="IQ993" s="641"/>
      <c r="IR993" s="641"/>
      <c r="IS993" s="641"/>
      <c r="IT993" s="641"/>
      <c r="IU993" s="641"/>
      <c r="IV993" s="641"/>
      <c r="IW993" s="641"/>
    </row>
    <row r="994" spans="1:257" s="582" customFormat="1">
      <c r="A994" s="635" t="s">
        <v>258</v>
      </c>
      <c r="B994" s="696" t="s">
        <v>545</v>
      </c>
      <c r="C994" s="635"/>
      <c r="D994" s="635"/>
      <c r="E994" s="651"/>
      <c r="F994" s="651">
        <v>30000000</v>
      </c>
      <c r="G994" s="651"/>
      <c r="H994" s="651"/>
      <c r="I994" s="651"/>
      <c r="J994" s="651">
        <v>30000000</v>
      </c>
      <c r="K994" s="651"/>
      <c r="L994" s="1305"/>
      <c r="M994" s="651"/>
      <c r="N994" s="826"/>
      <c r="O994" s="826"/>
      <c r="P994" s="826"/>
      <c r="Q994" s="826"/>
      <c r="R994" s="869"/>
      <c r="S994" s="869"/>
      <c r="T994" s="850"/>
      <c r="U994" s="580"/>
      <c r="V994" s="639"/>
      <c r="W994" s="639"/>
      <c r="X994" s="640"/>
      <c r="Y994" s="641"/>
      <c r="Z994" s="641"/>
      <c r="AA994" s="641"/>
      <c r="AB994" s="641"/>
      <c r="AC994" s="641"/>
      <c r="AD994" s="641"/>
      <c r="AE994" s="641"/>
      <c r="AF994" s="641"/>
      <c r="AG994" s="641"/>
      <c r="AH994" s="641"/>
      <c r="AI994" s="641"/>
      <c r="AJ994" s="641"/>
      <c r="AK994" s="641"/>
      <c r="AL994" s="641"/>
      <c r="AM994" s="641"/>
      <c r="AN994" s="641"/>
      <c r="AO994" s="641"/>
      <c r="AP994" s="641"/>
      <c r="AQ994" s="641"/>
      <c r="AR994" s="641"/>
      <c r="AS994" s="641"/>
      <c r="AT994" s="641"/>
      <c r="AU994" s="641"/>
      <c r="AV994" s="641"/>
      <c r="AW994" s="641"/>
      <c r="AX994" s="641"/>
      <c r="AY994" s="641"/>
      <c r="AZ994" s="641"/>
      <c r="BA994" s="641"/>
      <c r="BB994" s="641"/>
      <c r="BC994" s="641"/>
      <c r="BD994" s="641"/>
      <c r="BE994" s="641"/>
      <c r="BF994" s="641"/>
      <c r="BG994" s="641"/>
      <c r="BH994" s="641"/>
      <c r="BI994" s="641"/>
      <c r="BJ994" s="641"/>
      <c r="BK994" s="641"/>
      <c r="BL994" s="641"/>
      <c r="BM994" s="641"/>
      <c r="BN994" s="641"/>
      <c r="BO994" s="641"/>
      <c r="BP994" s="641"/>
      <c r="BQ994" s="641"/>
      <c r="BR994" s="641"/>
      <c r="BS994" s="641"/>
      <c r="BT994" s="641"/>
      <c r="BU994" s="641"/>
      <c r="BV994" s="641"/>
      <c r="BW994" s="641"/>
      <c r="BX994" s="641"/>
      <c r="BY994" s="641"/>
      <c r="BZ994" s="641"/>
      <c r="CA994" s="641"/>
      <c r="CB994" s="641"/>
      <c r="CC994" s="641"/>
      <c r="CD994" s="641"/>
      <c r="CE994" s="641"/>
      <c r="CF994" s="641"/>
      <c r="CG994" s="641"/>
      <c r="CH994" s="641"/>
      <c r="CI994" s="641"/>
      <c r="CJ994" s="641"/>
      <c r="CK994" s="641"/>
      <c r="CL994" s="641"/>
      <c r="CM994" s="641"/>
      <c r="CN994" s="641"/>
      <c r="CO994" s="641"/>
      <c r="CP994" s="641"/>
      <c r="CQ994" s="641"/>
      <c r="CR994" s="641"/>
      <c r="CS994" s="641"/>
      <c r="CT994" s="641"/>
      <c r="CU994" s="641"/>
      <c r="CV994" s="641"/>
      <c r="CW994" s="641"/>
      <c r="CX994" s="641"/>
      <c r="CY994" s="641"/>
      <c r="CZ994" s="641"/>
      <c r="DA994" s="641"/>
      <c r="DB994" s="641"/>
      <c r="DC994" s="641"/>
      <c r="DD994" s="641"/>
      <c r="DE994" s="641"/>
      <c r="DF994" s="641"/>
      <c r="DG994" s="641"/>
      <c r="DH994" s="641"/>
      <c r="DI994" s="641"/>
      <c r="DJ994" s="641"/>
      <c r="DK994" s="641"/>
      <c r="DL994" s="641"/>
      <c r="DM994" s="641"/>
      <c r="DN994" s="641"/>
      <c r="DO994" s="641"/>
      <c r="DP994" s="641"/>
      <c r="DQ994" s="641"/>
      <c r="DR994" s="641"/>
      <c r="DS994" s="641"/>
      <c r="DT994" s="641"/>
      <c r="DU994" s="641"/>
      <c r="DV994" s="641"/>
      <c r="DW994" s="641"/>
      <c r="DX994" s="641"/>
      <c r="DY994" s="641"/>
      <c r="DZ994" s="641"/>
      <c r="EA994" s="641"/>
      <c r="EB994" s="641"/>
      <c r="EC994" s="641"/>
      <c r="ED994" s="641"/>
      <c r="EE994" s="641"/>
      <c r="EF994" s="641"/>
      <c r="EG994" s="641"/>
      <c r="EH994" s="641"/>
      <c r="EI994" s="641"/>
      <c r="EJ994" s="641"/>
      <c r="EK994" s="641"/>
      <c r="EL994" s="641"/>
      <c r="EM994" s="641"/>
      <c r="EN994" s="641"/>
      <c r="EO994" s="641"/>
      <c r="EP994" s="641"/>
      <c r="EQ994" s="641"/>
      <c r="ER994" s="641"/>
      <c r="ES994" s="641"/>
      <c r="ET994" s="641"/>
      <c r="EU994" s="641"/>
      <c r="EV994" s="641"/>
      <c r="EW994" s="641"/>
      <c r="EX994" s="641"/>
      <c r="EY994" s="641"/>
      <c r="EZ994" s="641"/>
      <c r="FA994" s="641"/>
      <c r="FB994" s="641"/>
      <c r="FC994" s="641"/>
      <c r="FD994" s="641"/>
      <c r="FE994" s="641"/>
      <c r="FF994" s="641"/>
      <c r="FG994" s="641"/>
      <c r="FH994" s="641"/>
      <c r="FI994" s="641"/>
      <c r="FJ994" s="641"/>
      <c r="FK994" s="641"/>
      <c r="FL994" s="641"/>
      <c r="FM994" s="641"/>
      <c r="FN994" s="641"/>
      <c r="FO994" s="641"/>
      <c r="FP994" s="641"/>
      <c r="FQ994" s="641"/>
      <c r="FR994" s="641"/>
      <c r="FS994" s="641"/>
      <c r="FT994" s="641"/>
      <c r="FU994" s="641"/>
      <c r="FV994" s="641"/>
      <c r="FW994" s="641"/>
      <c r="FX994" s="641"/>
      <c r="FY994" s="641"/>
      <c r="FZ994" s="641"/>
      <c r="GA994" s="641"/>
      <c r="GB994" s="641"/>
      <c r="GC994" s="641"/>
      <c r="GD994" s="641"/>
      <c r="GE994" s="641"/>
      <c r="GF994" s="641"/>
      <c r="GG994" s="641"/>
      <c r="GH994" s="641"/>
      <c r="GI994" s="641"/>
      <c r="GJ994" s="641"/>
      <c r="GK994" s="641"/>
      <c r="GL994" s="641"/>
      <c r="GM994" s="641"/>
      <c r="GN994" s="641"/>
      <c r="GO994" s="641"/>
      <c r="GP994" s="641"/>
      <c r="GQ994" s="641"/>
      <c r="GR994" s="641"/>
      <c r="GS994" s="641"/>
      <c r="GT994" s="641"/>
      <c r="GU994" s="641"/>
      <c r="GV994" s="641"/>
      <c r="GW994" s="641"/>
      <c r="GX994" s="641"/>
      <c r="GY994" s="641"/>
      <c r="GZ994" s="641"/>
      <c r="HA994" s="641"/>
      <c r="HB994" s="641"/>
      <c r="HC994" s="641"/>
      <c r="HD994" s="641"/>
      <c r="HE994" s="641"/>
      <c r="HF994" s="641"/>
      <c r="HG994" s="641"/>
      <c r="HH994" s="641"/>
      <c r="HI994" s="641"/>
      <c r="HJ994" s="641"/>
      <c r="HK994" s="641"/>
      <c r="HL994" s="641"/>
      <c r="HM994" s="641"/>
      <c r="HN994" s="641"/>
      <c r="HO994" s="641"/>
      <c r="HP994" s="641"/>
      <c r="HQ994" s="641"/>
      <c r="HR994" s="641"/>
      <c r="HS994" s="641"/>
      <c r="HT994" s="641"/>
      <c r="HU994" s="641"/>
      <c r="HV994" s="641"/>
      <c r="HW994" s="641"/>
      <c r="HX994" s="641"/>
      <c r="HY994" s="641"/>
      <c r="HZ994" s="641"/>
      <c r="IA994" s="641"/>
      <c r="IB994" s="641"/>
      <c r="IC994" s="641"/>
      <c r="ID994" s="641"/>
      <c r="IE994" s="641"/>
      <c r="IF994" s="641"/>
      <c r="IG994" s="641"/>
      <c r="IH994" s="641"/>
      <c r="II994" s="641"/>
      <c r="IJ994" s="641"/>
      <c r="IK994" s="641"/>
      <c r="IL994" s="641"/>
      <c r="IM994" s="641"/>
      <c r="IN994" s="641"/>
      <c r="IO994" s="641"/>
      <c r="IP994" s="641"/>
      <c r="IQ994" s="641"/>
      <c r="IR994" s="641"/>
      <c r="IS994" s="641"/>
      <c r="IT994" s="641"/>
      <c r="IU994" s="641"/>
      <c r="IV994" s="641"/>
      <c r="IW994" s="641"/>
    </row>
    <row r="995" spans="1:257" s="582" customFormat="1">
      <c r="A995" s="635" t="s">
        <v>258</v>
      </c>
      <c r="B995" s="696" t="s">
        <v>546</v>
      </c>
      <c r="C995" s="635"/>
      <c r="D995" s="635"/>
      <c r="E995" s="651"/>
      <c r="F995" s="651">
        <v>50000000</v>
      </c>
      <c r="G995" s="651" t="s">
        <v>1095</v>
      </c>
      <c r="H995" s="651"/>
      <c r="I995" s="651"/>
      <c r="J995" s="651">
        <v>50000000</v>
      </c>
      <c r="K995" s="651"/>
      <c r="L995" s="1305"/>
      <c r="M995" s="651"/>
      <c r="N995" s="826"/>
      <c r="O995" s="826"/>
      <c r="P995" s="826"/>
      <c r="Q995" s="826"/>
      <c r="R995" s="869"/>
      <c r="S995" s="869"/>
      <c r="T995" s="850"/>
      <c r="U995" s="655"/>
      <c r="V995" s="639"/>
      <c r="W995" s="639"/>
      <c r="X995" s="640"/>
      <c r="Y995" s="641"/>
      <c r="Z995" s="641"/>
      <c r="AA995" s="641"/>
      <c r="AB995" s="641"/>
      <c r="AC995" s="641"/>
      <c r="AD995" s="641"/>
      <c r="AE995" s="641"/>
      <c r="AF995" s="641"/>
      <c r="AG995" s="641"/>
      <c r="AH995" s="641"/>
      <c r="AI995" s="641"/>
      <c r="AJ995" s="641"/>
      <c r="AK995" s="641"/>
      <c r="AL995" s="641"/>
      <c r="AM995" s="641"/>
      <c r="AN995" s="641"/>
      <c r="AO995" s="641"/>
      <c r="AP995" s="641"/>
      <c r="AQ995" s="641"/>
      <c r="AR995" s="641"/>
      <c r="AS995" s="641"/>
      <c r="AT995" s="641"/>
      <c r="AU995" s="641"/>
      <c r="AV995" s="641"/>
      <c r="AW995" s="641"/>
      <c r="AX995" s="641"/>
      <c r="AY995" s="641"/>
      <c r="AZ995" s="641"/>
      <c r="BA995" s="641"/>
      <c r="BB995" s="641"/>
      <c r="BC995" s="641"/>
      <c r="BD995" s="641"/>
      <c r="BE995" s="641"/>
      <c r="BF995" s="641"/>
      <c r="BG995" s="641"/>
      <c r="BH995" s="641"/>
      <c r="BI995" s="641"/>
      <c r="BJ995" s="641"/>
      <c r="BK995" s="641"/>
      <c r="BL995" s="641"/>
      <c r="BM995" s="641"/>
      <c r="BN995" s="641"/>
      <c r="BO995" s="641"/>
      <c r="BP995" s="641"/>
      <c r="BQ995" s="641"/>
      <c r="BR995" s="641"/>
      <c r="BS995" s="641"/>
      <c r="BT995" s="641"/>
      <c r="BU995" s="641"/>
      <c r="BV995" s="641"/>
      <c r="BW995" s="641"/>
      <c r="BX995" s="641"/>
      <c r="BY995" s="641"/>
      <c r="BZ995" s="641"/>
      <c r="CA995" s="641"/>
      <c r="CB995" s="641"/>
      <c r="CC995" s="641"/>
      <c r="CD995" s="641"/>
      <c r="CE995" s="641"/>
      <c r="CF995" s="641"/>
      <c r="CG995" s="641"/>
      <c r="CH995" s="641"/>
      <c r="CI995" s="641"/>
      <c r="CJ995" s="641"/>
      <c r="CK995" s="641"/>
      <c r="CL995" s="641"/>
      <c r="CM995" s="641"/>
      <c r="CN995" s="641"/>
      <c r="CO995" s="641"/>
      <c r="CP995" s="641"/>
      <c r="CQ995" s="641"/>
      <c r="CR995" s="641"/>
      <c r="CS995" s="641"/>
      <c r="CT995" s="641"/>
      <c r="CU995" s="641"/>
      <c r="CV995" s="641"/>
      <c r="CW995" s="641"/>
      <c r="CX995" s="641"/>
      <c r="CY995" s="641"/>
      <c r="CZ995" s="641"/>
      <c r="DA995" s="641"/>
      <c r="DB995" s="641"/>
      <c r="DC995" s="641"/>
      <c r="DD995" s="641"/>
      <c r="DE995" s="641"/>
      <c r="DF995" s="641"/>
      <c r="DG995" s="641"/>
      <c r="DH995" s="641"/>
      <c r="DI995" s="641"/>
      <c r="DJ995" s="641"/>
      <c r="DK995" s="641"/>
      <c r="DL995" s="641"/>
      <c r="DM995" s="641"/>
      <c r="DN995" s="641"/>
      <c r="DO995" s="641"/>
      <c r="DP995" s="641"/>
      <c r="DQ995" s="641"/>
      <c r="DR995" s="641"/>
      <c r="DS995" s="641"/>
      <c r="DT995" s="641"/>
      <c r="DU995" s="641"/>
      <c r="DV995" s="641"/>
      <c r="DW995" s="641"/>
      <c r="DX995" s="641"/>
      <c r="DY995" s="641"/>
      <c r="DZ995" s="641"/>
      <c r="EA995" s="641"/>
      <c r="EB995" s="641"/>
      <c r="EC995" s="641"/>
      <c r="ED995" s="641"/>
      <c r="EE995" s="641"/>
      <c r="EF995" s="641"/>
      <c r="EG995" s="641"/>
      <c r="EH995" s="641"/>
      <c r="EI995" s="641"/>
      <c r="EJ995" s="641"/>
      <c r="EK995" s="641"/>
      <c r="EL995" s="641"/>
      <c r="EM995" s="641"/>
      <c r="EN995" s="641"/>
      <c r="EO995" s="641"/>
      <c r="EP995" s="641"/>
      <c r="EQ995" s="641"/>
      <c r="ER995" s="641"/>
      <c r="ES995" s="641"/>
      <c r="ET995" s="641"/>
      <c r="EU995" s="641"/>
      <c r="EV995" s="641"/>
      <c r="EW995" s="641"/>
      <c r="EX995" s="641"/>
      <c r="EY995" s="641"/>
      <c r="EZ995" s="641"/>
      <c r="FA995" s="641"/>
      <c r="FB995" s="641"/>
      <c r="FC995" s="641"/>
      <c r="FD995" s="641"/>
      <c r="FE995" s="641"/>
      <c r="FF995" s="641"/>
      <c r="FG995" s="641"/>
      <c r="FH995" s="641"/>
      <c r="FI995" s="641"/>
      <c r="FJ995" s="641"/>
      <c r="FK995" s="641"/>
      <c r="FL995" s="641"/>
      <c r="FM995" s="641"/>
      <c r="FN995" s="641"/>
      <c r="FO995" s="641"/>
      <c r="FP995" s="641"/>
      <c r="FQ995" s="641"/>
      <c r="FR995" s="641"/>
      <c r="FS995" s="641"/>
      <c r="FT995" s="641"/>
      <c r="FU995" s="641"/>
      <c r="FV995" s="641"/>
      <c r="FW995" s="641"/>
      <c r="FX995" s="641"/>
      <c r="FY995" s="641"/>
      <c r="FZ995" s="641"/>
      <c r="GA995" s="641"/>
      <c r="GB995" s="641"/>
      <c r="GC995" s="641"/>
      <c r="GD995" s="641"/>
      <c r="GE995" s="641"/>
      <c r="GF995" s="641"/>
      <c r="GG995" s="641"/>
      <c r="GH995" s="641"/>
      <c r="GI995" s="641"/>
      <c r="GJ995" s="641"/>
      <c r="GK995" s="641"/>
      <c r="GL995" s="641"/>
      <c r="GM995" s="641"/>
      <c r="GN995" s="641"/>
      <c r="GO995" s="641"/>
      <c r="GP995" s="641"/>
      <c r="GQ995" s="641"/>
      <c r="GR995" s="641"/>
      <c r="GS995" s="641"/>
      <c r="GT995" s="641"/>
      <c r="GU995" s="641"/>
      <c r="GV995" s="641"/>
      <c r="GW995" s="641"/>
      <c r="GX995" s="641"/>
      <c r="GY995" s="641"/>
      <c r="GZ995" s="641"/>
      <c r="HA995" s="641"/>
      <c r="HB995" s="641"/>
      <c r="HC995" s="641"/>
      <c r="HD995" s="641"/>
      <c r="HE995" s="641"/>
      <c r="HF995" s="641"/>
      <c r="HG995" s="641"/>
      <c r="HH995" s="641"/>
      <c r="HI995" s="641"/>
      <c r="HJ995" s="641"/>
      <c r="HK995" s="641"/>
      <c r="HL995" s="641"/>
      <c r="HM995" s="641"/>
      <c r="HN995" s="641"/>
      <c r="HO995" s="641"/>
      <c r="HP995" s="641"/>
      <c r="HQ995" s="641"/>
      <c r="HR995" s="641"/>
      <c r="HS995" s="641"/>
      <c r="HT995" s="641"/>
      <c r="HU995" s="641"/>
      <c r="HV995" s="641"/>
      <c r="HW995" s="641"/>
      <c r="HX995" s="641"/>
      <c r="HY995" s="641"/>
      <c r="HZ995" s="641"/>
      <c r="IA995" s="641"/>
      <c r="IB995" s="641"/>
      <c r="IC995" s="641"/>
      <c r="ID995" s="641"/>
      <c r="IE995" s="641"/>
      <c r="IF995" s="641"/>
      <c r="IG995" s="641"/>
      <c r="IH995" s="641"/>
      <c r="II995" s="641"/>
      <c r="IJ995" s="641"/>
      <c r="IK995" s="641"/>
      <c r="IL995" s="641"/>
      <c r="IM995" s="641"/>
      <c r="IN995" s="641"/>
      <c r="IO995" s="641"/>
      <c r="IP995" s="641"/>
      <c r="IQ995" s="641"/>
      <c r="IR995" s="641"/>
      <c r="IS995" s="641"/>
      <c r="IT995" s="641"/>
      <c r="IU995" s="641"/>
      <c r="IV995" s="641"/>
      <c r="IW995" s="641"/>
    </row>
    <row r="996" spans="1:257" s="582" customFormat="1">
      <c r="A996" s="635" t="s">
        <v>258</v>
      </c>
      <c r="B996" s="696" t="s">
        <v>547</v>
      </c>
      <c r="C996" s="635"/>
      <c r="D996" s="635"/>
      <c r="E996" s="651"/>
      <c r="F996" s="651">
        <v>50000000</v>
      </c>
      <c r="G996" s="651"/>
      <c r="H996" s="651"/>
      <c r="I996" s="651"/>
      <c r="J996" s="651">
        <v>50000000</v>
      </c>
      <c r="K996" s="651">
        <v>50000000</v>
      </c>
      <c r="L996" s="1305">
        <v>50000000</v>
      </c>
      <c r="M996" s="651"/>
      <c r="N996" s="826"/>
      <c r="O996" s="826"/>
      <c r="P996" s="826"/>
      <c r="Q996" s="826"/>
      <c r="R996" s="869"/>
      <c r="S996" s="869"/>
      <c r="T996" s="850"/>
      <c r="U996" s="655"/>
      <c r="V996" s="639"/>
      <c r="W996" s="639"/>
      <c r="X996" s="640"/>
      <c r="Y996" s="641"/>
      <c r="Z996" s="641"/>
      <c r="AA996" s="641"/>
      <c r="AB996" s="641"/>
      <c r="AC996" s="641"/>
      <c r="AD996" s="641"/>
      <c r="AE996" s="641"/>
      <c r="AF996" s="641"/>
      <c r="AG996" s="641"/>
      <c r="AH996" s="641"/>
      <c r="AI996" s="641"/>
      <c r="AJ996" s="641"/>
      <c r="AK996" s="641"/>
      <c r="AL996" s="641"/>
      <c r="AM996" s="641"/>
      <c r="AN996" s="641"/>
      <c r="AO996" s="641"/>
      <c r="AP996" s="641"/>
      <c r="AQ996" s="641"/>
      <c r="AR996" s="641"/>
      <c r="AS996" s="641"/>
      <c r="AT996" s="641"/>
      <c r="AU996" s="641"/>
      <c r="AV996" s="641"/>
      <c r="AW996" s="641"/>
      <c r="AX996" s="641"/>
      <c r="AY996" s="641"/>
      <c r="AZ996" s="641"/>
      <c r="BA996" s="641"/>
      <c r="BB996" s="641"/>
      <c r="BC996" s="641"/>
      <c r="BD996" s="641"/>
      <c r="BE996" s="641"/>
      <c r="BF996" s="641"/>
      <c r="BG996" s="641"/>
      <c r="BH996" s="641"/>
      <c r="BI996" s="641"/>
      <c r="BJ996" s="641"/>
      <c r="BK996" s="641"/>
      <c r="BL996" s="641"/>
      <c r="BM996" s="641"/>
      <c r="BN996" s="641"/>
      <c r="BO996" s="641"/>
      <c r="BP996" s="641"/>
      <c r="BQ996" s="641"/>
      <c r="BR996" s="641"/>
      <c r="BS996" s="641"/>
      <c r="BT996" s="641"/>
      <c r="BU996" s="641"/>
      <c r="BV996" s="641"/>
      <c r="BW996" s="641"/>
      <c r="BX996" s="641"/>
      <c r="BY996" s="641"/>
      <c r="BZ996" s="641"/>
      <c r="CA996" s="641"/>
      <c r="CB996" s="641"/>
      <c r="CC996" s="641"/>
      <c r="CD996" s="641"/>
      <c r="CE996" s="641"/>
      <c r="CF996" s="641"/>
      <c r="CG996" s="641"/>
      <c r="CH996" s="641"/>
      <c r="CI996" s="641"/>
      <c r="CJ996" s="641"/>
      <c r="CK996" s="641"/>
      <c r="CL996" s="641"/>
      <c r="CM996" s="641"/>
      <c r="CN996" s="641"/>
      <c r="CO996" s="641"/>
      <c r="CP996" s="641"/>
      <c r="CQ996" s="641"/>
      <c r="CR996" s="641"/>
      <c r="CS996" s="641"/>
      <c r="CT996" s="641"/>
      <c r="CU996" s="641"/>
      <c r="CV996" s="641"/>
      <c r="CW996" s="641"/>
      <c r="CX996" s="641"/>
      <c r="CY996" s="641"/>
      <c r="CZ996" s="641"/>
      <c r="DA996" s="641"/>
      <c r="DB996" s="641"/>
      <c r="DC996" s="641"/>
      <c r="DD996" s="641"/>
      <c r="DE996" s="641"/>
      <c r="DF996" s="641"/>
      <c r="DG996" s="641"/>
      <c r="DH996" s="641"/>
      <c r="DI996" s="641"/>
      <c r="DJ996" s="641"/>
      <c r="DK996" s="641"/>
      <c r="DL996" s="641"/>
      <c r="DM996" s="641"/>
      <c r="DN996" s="641"/>
      <c r="DO996" s="641"/>
      <c r="DP996" s="641"/>
      <c r="DQ996" s="641"/>
      <c r="DR996" s="641"/>
      <c r="DS996" s="641"/>
      <c r="DT996" s="641"/>
      <c r="DU996" s="641"/>
      <c r="DV996" s="641"/>
      <c r="DW996" s="641"/>
      <c r="DX996" s="641"/>
      <c r="DY996" s="641"/>
      <c r="DZ996" s="641"/>
      <c r="EA996" s="641"/>
      <c r="EB996" s="641"/>
      <c r="EC996" s="641"/>
      <c r="ED996" s="641"/>
      <c r="EE996" s="641"/>
      <c r="EF996" s="641"/>
      <c r="EG996" s="641"/>
      <c r="EH996" s="641"/>
      <c r="EI996" s="641"/>
      <c r="EJ996" s="641"/>
      <c r="EK996" s="641"/>
      <c r="EL996" s="641"/>
      <c r="EM996" s="641"/>
      <c r="EN996" s="641"/>
      <c r="EO996" s="641"/>
      <c r="EP996" s="641"/>
      <c r="EQ996" s="641"/>
      <c r="ER996" s="641"/>
      <c r="ES996" s="641"/>
      <c r="ET996" s="641"/>
      <c r="EU996" s="641"/>
      <c r="EV996" s="641"/>
      <c r="EW996" s="641"/>
      <c r="EX996" s="641"/>
      <c r="EY996" s="641"/>
      <c r="EZ996" s="641"/>
      <c r="FA996" s="641"/>
      <c r="FB996" s="641"/>
      <c r="FC996" s="641"/>
      <c r="FD996" s="641"/>
      <c r="FE996" s="641"/>
      <c r="FF996" s="641"/>
      <c r="FG996" s="641"/>
      <c r="FH996" s="641"/>
      <c r="FI996" s="641"/>
      <c r="FJ996" s="641"/>
      <c r="FK996" s="641"/>
      <c r="FL996" s="641"/>
      <c r="FM996" s="641"/>
      <c r="FN996" s="641"/>
      <c r="FO996" s="641"/>
      <c r="FP996" s="641"/>
      <c r="FQ996" s="641"/>
      <c r="FR996" s="641"/>
      <c r="FS996" s="641"/>
      <c r="FT996" s="641"/>
      <c r="FU996" s="641"/>
      <c r="FV996" s="641"/>
      <c r="FW996" s="641"/>
      <c r="FX996" s="641"/>
      <c r="FY996" s="641"/>
      <c r="FZ996" s="641"/>
      <c r="GA996" s="641"/>
      <c r="GB996" s="641"/>
      <c r="GC996" s="641"/>
      <c r="GD996" s="641"/>
      <c r="GE996" s="641"/>
      <c r="GF996" s="641"/>
      <c r="GG996" s="641"/>
      <c r="GH996" s="641"/>
      <c r="GI996" s="641"/>
      <c r="GJ996" s="641"/>
      <c r="GK996" s="641"/>
      <c r="GL996" s="641"/>
      <c r="GM996" s="641"/>
      <c r="GN996" s="641"/>
      <c r="GO996" s="641"/>
      <c r="GP996" s="641"/>
      <c r="GQ996" s="641"/>
      <c r="GR996" s="641"/>
      <c r="GS996" s="641"/>
      <c r="GT996" s="641"/>
      <c r="GU996" s="641"/>
      <c r="GV996" s="641"/>
      <c r="GW996" s="641"/>
      <c r="GX996" s="641"/>
      <c r="GY996" s="641"/>
      <c r="GZ996" s="641"/>
      <c r="HA996" s="641"/>
      <c r="HB996" s="641"/>
      <c r="HC996" s="641"/>
      <c r="HD996" s="641"/>
      <c r="HE996" s="641"/>
      <c r="HF996" s="641"/>
      <c r="HG996" s="641"/>
      <c r="HH996" s="641"/>
      <c r="HI996" s="641"/>
      <c r="HJ996" s="641"/>
      <c r="HK996" s="641"/>
      <c r="HL996" s="641"/>
      <c r="HM996" s="641"/>
      <c r="HN996" s="641"/>
      <c r="HO996" s="641"/>
      <c r="HP996" s="641"/>
      <c r="HQ996" s="641"/>
      <c r="HR996" s="641"/>
      <c r="HS996" s="641"/>
      <c r="HT996" s="641"/>
      <c r="HU996" s="641"/>
      <c r="HV996" s="641"/>
      <c r="HW996" s="641"/>
      <c r="HX996" s="641"/>
      <c r="HY996" s="641"/>
      <c r="HZ996" s="641"/>
      <c r="IA996" s="641"/>
      <c r="IB996" s="641"/>
      <c r="IC996" s="641"/>
      <c r="ID996" s="641"/>
      <c r="IE996" s="641"/>
      <c r="IF996" s="641"/>
      <c r="IG996" s="641"/>
      <c r="IH996" s="641"/>
      <c r="II996" s="641"/>
      <c r="IJ996" s="641"/>
      <c r="IK996" s="641"/>
      <c r="IL996" s="641"/>
      <c r="IM996" s="641"/>
      <c r="IN996" s="641"/>
      <c r="IO996" s="641"/>
      <c r="IP996" s="641"/>
      <c r="IQ996" s="641"/>
      <c r="IR996" s="641"/>
      <c r="IS996" s="641"/>
      <c r="IT996" s="641"/>
      <c r="IU996" s="641"/>
      <c r="IV996" s="641"/>
      <c r="IW996" s="641"/>
    </row>
    <row r="997" spans="1:257" s="582" customFormat="1">
      <c r="A997" s="635" t="s">
        <v>258</v>
      </c>
      <c r="B997" s="696" t="s">
        <v>548</v>
      </c>
      <c r="C997" s="635"/>
      <c r="D997" s="635"/>
      <c r="E997" s="651"/>
      <c r="F997" s="651">
        <v>20000000</v>
      </c>
      <c r="G997" s="651"/>
      <c r="H997" s="651"/>
      <c r="I997" s="651"/>
      <c r="J997" s="651">
        <v>20000000</v>
      </c>
      <c r="K997" s="651">
        <v>20000000</v>
      </c>
      <c r="L997" s="1305">
        <v>20000000</v>
      </c>
      <c r="M997" s="651"/>
      <c r="N997" s="826"/>
      <c r="O997" s="826"/>
      <c r="P997" s="826"/>
      <c r="Q997" s="826"/>
      <c r="R997" s="869"/>
      <c r="S997" s="869"/>
      <c r="T997" s="850"/>
      <c r="U997" s="655"/>
      <c r="V997" s="639"/>
      <c r="W997" s="639"/>
      <c r="X997" s="640"/>
      <c r="Y997" s="641"/>
      <c r="Z997" s="641"/>
      <c r="AA997" s="641"/>
      <c r="AB997" s="641"/>
      <c r="AC997" s="641"/>
      <c r="AD997" s="641"/>
      <c r="AE997" s="641"/>
      <c r="AF997" s="641"/>
      <c r="AG997" s="641"/>
      <c r="AH997" s="641"/>
      <c r="AI997" s="641"/>
      <c r="AJ997" s="641"/>
      <c r="AK997" s="641"/>
      <c r="AL997" s="641"/>
      <c r="AM997" s="641"/>
      <c r="AN997" s="641"/>
      <c r="AO997" s="641"/>
      <c r="AP997" s="641"/>
      <c r="AQ997" s="641"/>
      <c r="AR997" s="641"/>
      <c r="AS997" s="641"/>
      <c r="AT997" s="641"/>
      <c r="AU997" s="641"/>
      <c r="AV997" s="641"/>
      <c r="AW997" s="641"/>
      <c r="AX997" s="641"/>
      <c r="AY997" s="641"/>
      <c r="AZ997" s="641"/>
      <c r="BA997" s="641"/>
      <c r="BB997" s="641"/>
      <c r="BC997" s="641"/>
      <c r="BD997" s="641"/>
      <c r="BE997" s="641"/>
      <c r="BF997" s="641"/>
      <c r="BG997" s="641"/>
      <c r="BH997" s="641"/>
      <c r="BI997" s="641"/>
      <c r="BJ997" s="641"/>
      <c r="BK997" s="641"/>
      <c r="BL997" s="641"/>
      <c r="BM997" s="641"/>
      <c r="BN997" s="641"/>
      <c r="BO997" s="641"/>
      <c r="BP997" s="641"/>
      <c r="BQ997" s="641"/>
      <c r="BR997" s="641"/>
      <c r="BS997" s="641"/>
      <c r="BT997" s="641"/>
      <c r="BU997" s="641"/>
      <c r="BV997" s="641"/>
      <c r="BW997" s="641"/>
      <c r="BX997" s="641"/>
      <c r="BY997" s="641"/>
      <c r="BZ997" s="641"/>
      <c r="CA997" s="641"/>
      <c r="CB997" s="641"/>
      <c r="CC997" s="641"/>
      <c r="CD997" s="641"/>
      <c r="CE997" s="641"/>
      <c r="CF997" s="641"/>
      <c r="CG997" s="641"/>
      <c r="CH997" s="641"/>
      <c r="CI997" s="641"/>
      <c r="CJ997" s="641"/>
      <c r="CK997" s="641"/>
      <c r="CL997" s="641"/>
      <c r="CM997" s="641"/>
      <c r="CN997" s="641"/>
      <c r="CO997" s="641"/>
      <c r="CP997" s="641"/>
      <c r="CQ997" s="641"/>
      <c r="CR997" s="641"/>
      <c r="CS997" s="641"/>
      <c r="CT997" s="641"/>
      <c r="CU997" s="641"/>
      <c r="CV997" s="641"/>
      <c r="CW997" s="641"/>
      <c r="CX997" s="641"/>
      <c r="CY997" s="641"/>
      <c r="CZ997" s="641"/>
      <c r="DA997" s="641"/>
      <c r="DB997" s="641"/>
      <c r="DC997" s="641"/>
      <c r="DD997" s="641"/>
      <c r="DE997" s="641"/>
      <c r="DF997" s="641"/>
      <c r="DG997" s="641"/>
      <c r="DH997" s="641"/>
      <c r="DI997" s="641"/>
      <c r="DJ997" s="641"/>
      <c r="DK997" s="641"/>
      <c r="DL997" s="641"/>
      <c r="DM997" s="641"/>
      <c r="DN997" s="641"/>
      <c r="DO997" s="641"/>
      <c r="DP997" s="641"/>
      <c r="DQ997" s="641"/>
      <c r="DR997" s="641"/>
      <c r="DS997" s="641"/>
      <c r="DT997" s="641"/>
      <c r="DU997" s="641"/>
      <c r="DV997" s="641"/>
      <c r="DW997" s="641"/>
      <c r="DX997" s="641"/>
      <c r="DY997" s="641"/>
      <c r="DZ997" s="641"/>
      <c r="EA997" s="641"/>
      <c r="EB997" s="641"/>
      <c r="EC997" s="641"/>
      <c r="ED997" s="641"/>
      <c r="EE997" s="641"/>
      <c r="EF997" s="641"/>
      <c r="EG997" s="641"/>
      <c r="EH997" s="641"/>
      <c r="EI997" s="641"/>
      <c r="EJ997" s="641"/>
      <c r="EK997" s="641"/>
      <c r="EL997" s="641"/>
      <c r="EM997" s="641"/>
      <c r="EN997" s="641"/>
      <c r="EO997" s="641"/>
      <c r="EP997" s="641"/>
      <c r="EQ997" s="641"/>
      <c r="ER997" s="641"/>
      <c r="ES997" s="641"/>
      <c r="ET997" s="641"/>
      <c r="EU997" s="641"/>
      <c r="EV997" s="641"/>
      <c r="EW997" s="641"/>
      <c r="EX997" s="641"/>
      <c r="EY997" s="641"/>
      <c r="EZ997" s="641"/>
      <c r="FA997" s="641"/>
      <c r="FB997" s="641"/>
      <c r="FC997" s="641"/>
      <c r="FD997" s="641"/>
      <c r="FE997" s="641"/>
      <c r="FF997" s="641"/>
      <c r="FG997" s="641"/>
      <c r="FH997" s="641"/>
      <c r="FI997" s="641"/>
      <c r="FJ997" s="641"/>
      <c r="FK997" s="641"/>
      <c r="FL997" s="641"/>
      <c r="FM997" s="641"/>
      <c r="FN997" s="641"/>
      <c r="FO997" s="641"/>
      <c r="FP997" s="641"/>
      <c r="FQ997" s="641"/>
      <c r="FR997" s="641"/>
      <c r="FS997" s="641"/>
      <c r="FT997" s="641"/>
      <c r="FU997" s="641"/>
      <c r="FV997" s="641"/>
      <c r="FW997" s="641"/>
      <c r="FX997" s="641"/>
      <c r="FY997" s="641"/>
      <c r="FZ997" s="641"/>
      <c r="GA997" s="641"/>
      <c r="GB997" s="641"/>
      <c r="GC997" s="641"/>
      <c r="GD997" s="641"/>
      <c r="GE997" s="641"/>
      <c r="GF997" s="641"/>
      <c r="GG997" s="641"/>
      <c r="GH997" s="641"/>
      <c r="GI997" s="641"/>
      <c r="GJ997" s="641"/>
      <c r="GK997" s="641"/>
      <c r="GL997" s="641"/>
      <c r="GM997" s="641"/>
      <c r="GN997" s="641"/>
      <c r="GO997" s="641"/>
      <c r="GP997" s="641"/>
      <c r="GQ997" s="641"/>
      <c r="GR997" s="641"/>
      <c r="GS997" s="641"/>
      <c r="GT997" s="641"/>
      <c r="GU997" s="641"/>
      <c r="GV997" s="641"/>
      <c r="GW997" s="641"/>
      <c r="GX997" s="641"/>
      <c r="GY997" s="641"/>
      <c r="GZ997" s="641"/>
      <c r="HA997" s="641"/>
      <c r="HB997" s="641"/>
      <c r="HC997" s="641"/>
      <c r="HD997" s="641"/>
      <c r="HE997" s="641"/>
      <c r="HF997" s="641"/>
      <c r="HG997" s="641"/>
      <c r="HH997" s="641"/>
      <c r="HI997" s="641"/>
      <c r="HJ997" s="641"/>
      <c r="HK997" s="641"/>
      <c r="HL997" s="641"/>
      <c r="HM997" s="641"/>
      <c r="HN997" s="641"/>
      <c r="HO997" s="641"/>
      <c r="HP997" s="641"/>
      <c r="HQ997" s="641"/>
      <c r="HR997" s="641"/>
      <c r="HS997" s="641"/>
      <c r="HT997" s="641"/>
      <c r="HU997" s="641"/>
      <c r="HV997" s="641"/>
      <c r="HW997" s="641"/>
      <c r="HX997" s="641"/>
      <c r="HY997" s="641"/>
      <c r="HZ997" s="641"/>
      <c r="IA997" s="641"/>
      <c r="IB997" s="641"/>
      <c r="IC997" s="641"/>
      <c r="ID997" s="641"/>
      <c r="IE997" s="641"/>
      <c r="IF997" s="641"/>
      <c r="IG997" s="641"/>
      <c r="IH997" s="641"/>
      <c r="II997" s="641"/>
      <c r="IJ997" s="641"/>
      <c r="IK997" s="641"/>
      <c r="IL997" s="641"/>
      <c r="IM997" s="641"/>
      <c r="IN997" s="641"/>
      <c r="IO997" s="641"/>
      <c r="IP997" s="641"/>
      <c r="IQ997" s="641"/>
      <c r="IR997" s="641"/>
      <c r="IS997" s="641"/>
      <c r="IT997" s="641"/>
      <c r="IU997" s="641"/>
      <c r="IV997" s="641"/>
      <c r="IW997" s="641"/>
    </row>
    <row r="998" spans="1:257" s="582" customFormat="1" ht="31.5">
      <c r="A998" s="635"/>
      <c r="B998" s="696" t="s">
        <v>1398</v>
      </c>
      <c r="C998" s="635"/>
      <c r="D998" s="635"/>
      <c r="E998" s="651"/>
      <c r="F998" s="651"/>
      <c r="G998" s="651"/>
      <c r="H998" s="651"/>
      <c r="I998" s="651"/>
      <c r="J998" s="651"/>
      <c r="K998" s="651">
        <v>120000000</v>
      </c>
      <c r="L998" s="1305">
        <v>120000000</v>
      </c>
      <c r="M998" s="651"/>
      <c r="N998" s="826"/>
      <c r="O998" s="826"/>
      <c r="P998" s="826"/>
      <c r="Q998" s="826"/>
      <c r="R998" s="869"/>
      <c r="S998" s="869"/>
      <c r="T998" s="850"/>
      <c r="U998" s="655"/>
      <c r="V998" s="639"/>
      <c r="W998" s="639"/>
      <c r="X998" s="640"/>
      <c r="Y998" s="641"/>
      <c r="Z998" s="641"/>
      <c r="AA998" s="641"/>
      <c r="AB998" s="641"/>
      <c r="AC998" s="641"/>
      <c r="AD998" s="641"/>
      <c r="AE998" s="641"/>
      <c r="AF998" s="641"/>
      <c r="AG998" s="641"/>
      <c r="AH998" s="641"/>
      <c r="AI998" s="641"/>
      <c r="AJ998" s="641"/>
      <c r="AK998" s="641"/>
      <c r="AL998" s="641"/>
      <c r="AM998" s="641"/>
      <c r="AN998" s="641"/>
      <c r="AO998" s="641"/>
      <c r="AP998" s="641"/>
      <c r="AQ998" s="641"/>
      <c r="AR998" s="641"/>
      <c r="AS998" s="641"/>
      <c r="AT998" s="641"/>
      <c r="AU998" s="641"/>
      <c r="AV998" s="641"/>
      <c r="AW998" s="641"/>
      <c r="AX998" s="641"/>
      <c r="AY998" s="641"/>
      <c r="AZ998" s="641"/>
      <c r="BA998" s="641"/>
      <c r="BB998" s="641"/>
      <c r="BC998" s="641"/>
      <c r="BD998" s="641"/>
      <c r="BE998" s="641"/>
      <c r="BF998" s="641"/>
      <c r="BG998" s="641"/>
      <c r="BH998" s="641"/>
      <c r="BI998" s="641"/>
      <c r="BJ998" s="641"/>
      <c r="BK998" s="641"/>
      <c r="BL998" s="641"/>
      <c r="BM998" s="641"/>
      <c r="BN998" s="641"/>
      <c r="BO998" s="641"/>
      <c r="BP998" s="641"/>
      <c r="BQ998" s="641"/>
      <c r="BR998" s="641"/>
      <c r="BS998" s="641"/>
      <c r="BT998" s="641"/>
      <c r="BU998" s="641"/>
      <c r="BV998" s="641"/>
      <c r="BW998" s="641"/>
      <c r="BX998" s="641"/>
      <c r="BY998" s="641"/>
      <c r="BZ998" s="641"/>
      <c r="CA998" s="641"/>
      <c r="CB998" s="641"/>
      <c r="CC998" s="641"/>
      <c r="CD998" s="641"/>
      <c r="CE998" s="641"/>
      <c r="CF998" s="641"/>
      <c r="CG998" s="641"/>
      <c r="CH998" s="641"/>
      <c r="CI998" s="641"/>
      <c r="CJ998" s="641"/>
      <c r="CK998" s="641"/>
      <c r="CL998" s="641"/>
      <c r="CM998" s="641"/>
      <c r="CN998" s="641"/>
      <c r="CO998" s="641"/>
      <c r="CP998" s="641"/>
      <c r="CQ998" s="641"/>
      <c r="CR998" s="641"/>
      <c r="CS998" s="641"/>
      <c r="CT998" s="641"/>
      <c r="CU998" s="641"/>
      <c r="CV998" s="641"/>
      <c r="CW998" s="641"/>
      <c r="CX998" s="641"/>
      <c r="CY998" s="641"/>
      <c r="CZ998" s="641"/>
      <c r="DA998" s="641"/>
      <c r="DB998" s="641"/>
      <c r="DC998" s="641"/>
      <c r="DD998" s="641"/>
      <c r="DE998" s="641"/>
      <c r="DF998" s="641"/>
      <c r="DG998" s="641"/>
      <c r="DH998" s="641"/>
      <c r="DI998" s="641"/>
      <c r="DJ998" s="641"/>
      <c r="DK998" s="641"/>
      <c r="DL998" s="641"/>
      <c r="DM998" s="641"/>
      <c r="DN998" s="641"/>
      <c r="DO998" s="641"/>
      <c r="DP998" s="641"/>
      <c r="DQ998" s="641"/>
      <c r="DR998" s="641"/>
      <c r="DS998" s="641"/>
      <c r="DT998" s="641"/>
      <c r="DU998" s="641"/>
      <c r="DV998" s="641"/>
      <c r="DW998" s="641"/>
      <c r="DX998" s="641"/>
      <c r="DY998" s="641"/>
      <c r="DZ998" s="641"/>
      <c r="EA998" s="641"/>
      <c r="EB998" s="641"/>
      <c r="EC998" s="641"/>
      <c r="ED998" s="641"/>
      <c r="EE998" s="641"/>
      <c r="EF998" s="641"/>
      <c r="EG998" s="641"/>
      <c r="EH998" s="641"/>
      <c r="EI998" s="641"/>
      <c r="EJ998" s="641"/>
      <c r="EK998" s="641"/>
      <c r="EL998" s="641"/>
      <c r="EM998" s="641"/>
      <c r="EN998" s="641"/>
      <c r="EO998" s="641"/>
      <c r="EP998" s="641"/>
      <c r="EQ998" s="641"/>
      <c r="ER998" s="641"/>
      <c r="ES998" s="641"/>
      <c r="ET998" s="641"/>
      <c r="EU998" s="641"/>
      <c r="EV998" s="641"/>
      <c r="EW998" s="641"/>
      <c r="EX998" s="641"/>
      <c r="EY998" s="641"/>
      <c r="EZ998" s="641"/>
      <c r="FA998" s="641"/>
      <c r="FB998" s="641"/>
      <c r="FC998" s="641"/>
      <c r="FD998" s="641"/>
      <c r="FE998" s="641"/>
      <c r="FF998" s="641"/>
      <c r="FG998" s="641"/>
      <c r="FH998" s="641"/>
      <c r="FI998" s="641"/>
      <c r="FJ998" s="641"/>
      <c r="FK998" s="641"/>
      <c r="FL998" s="641"/>
      <c r="FM998" s="641"/>
      <c r="FN998" s="641"/>
      <c r="FO998" s="641"/>
      <c r="FP998" s="641"/>
      <c r="FQ998" s="641"/>
      <c r="FR998" s="641"/>
      <c r="FS998" s="641"/>
      <c r="FT998" s="641"/>
      <c r="FU998" s="641"/>
      <c r="FV998" s="641"/>
      <c r="FW998" s="641"/>
      <c r="FX998" s="641"/>
      <c r="FY998" s="641"/>
      <c r="FZ998" s="641"/>
      <c r="GA998" s="641"/>
      <c r="GB998" s="641"/>
      <c r="GC998" s="641"/>
      <c r="GD998" s="641"/>
      <c r="GE998" s="641"/>
      <c r="GF998" s="641"/>
      <c r="GG998" s="641"/>
      <c r="GH998" s="641"/>
      <c r="GI998" s="641"/>
      <c r="GJ998" s="641"/>
      <c r="GK998" s="641"/>
      <c r="GL998" s="641"/>
      <c r="GM998" s="641"/>
      <c r="GN998" s="641"/>
      <c r="GO998" s="641"/>
      <c r="GP998" s="641"/>
      <c r="GQ998" s="641"/>
      <c r="GR998" s="641"/>
      <c r="GS998" s="641"/>
      <c r="GT998" s="641"/>
      <c r="GU998" s="641"/>
      <c r="GV998" s="641"/>
      <c r="GW998" s="641"/>
      <c r="GX998" s="641"/>
      <c r="GY998" s="641"/>
      <c r="GZ998" s="641"/>
      <c r="HA998" s="641"/>
      <c r="HB998" s="641"/>
      <c r="HC998" s="641"/>
      <c r="HD998" s="641"/>
      <c r="HE998" s="641"/>
      <c r="HF998" s="641"/>
      <c r="HG998" s="641"/>
      <c r="HH998" s="641"/>
      <c r="HI998" s="641"/>
      <c r="HJ998" s="641"/>
      <c r="HK998" s="641"/>
      <c r="HL998" s="641"/>
      <c r="HM998" s="641"/>
      <c r="HN998" s="641"/>
      <c r="HO998" s="641"/>
      <c r="HP998" s="641"/>
      <c r="HQ998" s="641"/>
      <c r="HR998" s="641"/>
      <c r="HS998" s="641"/>
      <c r="HT998" s="641"/>
      <c r="HU998" s="641"/>
      <c r="HV998" s="641"/>
      <c r="HW998" s="641"/>
      <c r="HX998" s="641"/>
      <c r="HY998" s="641"/>
      <c r="HZ998" s="641"/>
      <c r="IA998" s="641"/>
      <c r="IB998" s="641"/>
      <c r="IC998" s="641"/>
      <c r="ID998" s="641"/>
      <c r="IE998" s="641"/>
      <c r="IF998" s="641"/>
      <c r="IG998" s="641"/>
      <c r="IH998" s="641"/>
      <c r="II998" s="641"/>
      <c r="IJ998" s="641"/>
      <c r="IK998" s="641"/>
      <c r="IL998" s="641"/>
      <c r="IM998" s="641"/>
      <c r="IN998" s="641"/>
      <c r="IO998" s="641"/>
      <c r="IP998" s="641"/>
      <c r="IQ998" s="641"/>
      <c r="IR998" s="641"/>
      <c r="IS998" s="641"/>
      <c r="IT998" s="641"/>
      <c r="IU998" s="641"/>
      <c r="IV998" s="641"/>
      <c r="IW998" s="641"/>
    </row>
    <row r="999" spans="1:257" s="582" customFormat="1">
      <c r="A999" s="635" t="s">
        <v>258</v>
      </c>
      <c r="B999" s="696" t="s">
        <v>549</v>
      </c>
      <c r="C999" s="635"/>
      <c r="D999" s="635"/>
      <c r="E999" s="651"/>
      <c r="F999" s="651">
        <v>25000000</v>
      </c>
      <c r="G999" s="651"/>
      <c r="H999" s="651"/>
      <c r="I999" s="651"/>
      <c r="J999" s="651">
        <v>25000000</v>
      </c>
      <c r="K999" s="651"/>
      <c r="L999" s="1305"/>
      <c r="M999" s="651"/>
      <c r="N999" s="826"/>
      <c r="O999" s="826"/>
      <c r="P999" s="826"/>
      <c r="Q999" s="826"/>
      <c r="R999" s="869"/>
      <c r="S999" s="869"/>
      <c r="T999" s="850"/>
      <c r="U999" s="655"/>
      <c r="V999" s="639"/>
      <c r="W999" s="639"/>
      <c r="X999" s="640"/>
      <c r="Y999" s="641"/>
      <c r="Z999" s="641"/>
      <c r="AA999" s="641"/>
      <c r="AB999" s="641"/>
      <c r="AC999" s="641"/>
      <c r="AD999" s="641"/>
      <c r="AE999" s="641"/>
      <c r="AF999" s="641"/>
      <c r="AG999" s="641"/>
      <c r="AH999" s="641"/>
      <c r="AI999" s="641"/>
      <c r="AJ999" s="641"/>
      <c r="AK999" s="641"/>
      <c r="AL999" s="641"/>
      <c r="AM999" s="641"/>
      <c r="AN999" s="641"/>
      <c r="AO999" s="641"/>
      <c r="AP999" s="641"/>
      <c r="AQ999" s="641"/>
      <c r="AR999" s="641"/>
      <c r="AS999" s="641"/>
      <c r="AT999" s="641"/>
      <c r="AU999" s="641"/>
      <c r="AV999" s="641"/>
      <c r="AW999" s="641"/>
      <c r="AX999" s="641"/>
      <c r="AY999" s="641"/>
      <c r="AZ999" s="641"/>
      <c r="BA999" s="641"/>
      <c r="BB999" s="641"/>
      <c r="BC999" s="641"/>
      <c r="BD999" s="641"/>
      <c r="BE999" s="641"/>
      <c r="BF999" s="641"/>
      <c r="BG999" s="641"/>
      <c r="BH999" s="641"/>
      <c r="BI999" s="641"/>
      <c r="BJ999" s="641"/>
      <c r="BK999" s="641"/>
      <c r="BL999" s="641"/>
      <c r="BM999" s="641"/>
      <c r="BN999" s="641"/>
      <c r="BO999" s="641"/>
      <c r="BP999" s="641"/>
      <c r="BQ999" s="641"/>
      <c r="BR999" s="641"/>
      <c r="BS999" s="641"/>
      <c r="BT999" s="641"/>
      <c r="BU999" s="641"/>
      <c r="BV999" s="641"/>
      <c r="BW999" s="641"/>
      <c r="BX999" s="641"/>
      <c r="BY999" s="641"/>
      <c r="BZ999" s="641"/>
      <c r="CA999" s="641"/>
      <c r="CB999" s="641"/>
      <c r="CC999" s="641"/>
      <c r="CD999" s="641"/>
      <c r="CE999" s="641"/>
      <c r="CF999" s="641"/>
      <c r="CG999" s="641"/>
      <c r="CH999" s="641"/>
      <c r="CI999" s="641"/>
      <c r="CJ999" s="641"/>
      <c r="CK999" s="641"/>
      <c r="CL999" s="641"/>
      <c r="CM999" s="641"/>
      <c r="CN999" s="641"/>
      <c r="CO999" s="641"/>
      <c r="CP999" s="641"/>
      <c r="CQ999" s="641"/>
      <c r="CR999" s="641"/>
      <c r="CS999" s="641"/>
      <c r="CT999" s="641"/>
      <c r="CU999" s="641"/>
      <c r="CV999" s="641"/>
      <c r="CW999" s="641"/>
      <c r="CX999" s="641"/>
      <c r="CY999" s="641"/>
      <c r="CZ999" s="641"/>
      <c r="DA999" s="641"/>
      <c r="DB999" s="641"/>
      <c r="DC999" s="641"/>
      <c r="DD999" s="641"/>
      <c r="DE999" s="641"/>
      <c r="DF999" s="641"/>
      <c r="DG999" s="641"/>
      <c r="DH999" s="641"/>
      <c r="DI999" s="641"/>
      <c r="DJ999" s="641"/>
      <c r="DK999" s="641"/>
      <c r="DL999" s="641"/>
      <c r="DM999" s="641"/>
      <c r="DN999" s="641"/>
      <c r="DO999" s="641"/>
      <c r="DP999" s="641"/>
      <c r="DQ999" s="641"/>
      <c r="DR999" s="641"/>
      <c r="DS999" s="641"/>
      <c r="DT999" s="641"/>
      <c r="DU999" s="641"/>
      <c r="DV999" s="641"/>
      <c r="DW999" s="641"/>
      <c r="DX999" s="641"/>
      <c r="DY999" s="641"/>
      <c r="DZ999" s="641"/>
      <c r="EA999" s="641"/>
      <c r="EB999" s="641"/>
      <c r="EC999" s="641"/>
      <c r="ED999" s="641"/>
      <c r="EE999" s="641"/>
      <c r="EF999" s="641"/>
      <c r="EG999" s="641"/>
      <c r="EH999" s="641"/>
      <c r="EI999" s="641"/>
      <c r="EJ999" s="641"/>
      <c r="EK999" s="641"/>
      <c r="EL999" s="641"/>
      <c r="EM999" s="641"/>
      <c r="EN999" s="641"/>
      <c r="EO999" s="641"/>
      <c r="EP999" s="641"/>
      <c r="EQ999" s="641"/>
      <c r="ER999" s="641"/>
      <c r="ES999" s="641"/>
      <c r="ET999" s="641"/>
      <c r="EU999" s="641"/>
      <c r="EV999" s="641"/>
      <c r="EW999" s="641"/>
      <c r="EX999" s="641"/>
      <c r="EY999" s="641"/>
      <c r="EZ999" s="641"/>
      <c r="FA999" s="641"/>
      <c r="FB999" s="641"/>
      <c r="FC999" s="641"/>
      <c r="FD999" s="641"/>
      <c r="FE999" s="641"/>
      <c r="FF999" s="641"/>
      <c r="FG999" s="641"/>
      <c r="FH999" s="641"/>
      <c r="FI999" s="641"/>
      <c r="FJ999" s="641"/>
      <c r="FK999" s="641"/>
      <c r="FL999" s="641"/>
      <c r="FM999" s="641"/>
      <c r="FN999" s="641"/>
      <c r="FO999" s="641"/>
      <c r="FP999" s="641"/>
      <c r="FQ999" s="641"/>
      <c r="FR999" s="641"/>
      <c r="FS999" s="641"/>
      <c r="FT999" s="641"/>
      <c r="FU999" s="641"/>
      <c r="FV999" s="641"/>
      <c r="FW999" s="641"/>
      <c r="FX999" s="641"/>
      <c r="FY999" s="641"/>
      <c r="FZ999" s="641"/>
      <c r="GA999" s="641"/>
      <c r="GB999" s="641"/>
      <c r="GC999" s="641"/>
      <c r="GD999" s="641"/>
      <c r="GE999" s="641"/>
      <c r="GF999" s="641"/>
      <c r="GG999" s="641"/>
      <c r="GH999" s="641"/>
      <c r="GI999" s="641"/>
      <c r="GJ999" s="641"/>
      <c r="GK999" s="641"/>
      <c r="GL999" s="641"/>
      <c r="GM999" s="641"/>
      <c r="GN999" s="641"/>
      <c r="GO999" s="641"/>
      <c r="GP999" s="641"/>
      <c r="GQ999" s="641"/>
      <c r="GR999" s="641"/>
      <c r="GS999" s="641"/>
      <c r="GT999" s="641"/>
      <c r="GU999" s="641"/>
      <c r="GV999" s="641"/>
      <c r="GW999" s="641"/>
      <c r="GX999" s="641"/>
      <c r="GY999" s="641"/>
      <c r="GZ999" s="641"/>
      <c r="HA999" s="641"/>
      <c r="HB999" s="641"/>
      <c r="HC999" s="641"/>
      <c r="HD999" s="641"/>
      <c r="HE999" s="641"/>
      <c r="HF999" s="641"/>
      <c r="HG999" s="641"/>
      <c r="HH999" s="641"/>
      <c r="HI999" s="641"/>
      <c r="HJ999" s="641"/>
      <c r="HK999" s="641"/>
      <c r="HL999" s="641"/>
      <c r="HM999" s="641"/>
      <c r="HN999" s="641"/>
      <c r="HO999" s="641"/>
      <c r="HP999" s="641"/>
      <c r="HQ999" s="641"/>
      <c r="HR999" s="641"/>
      <c r="HS999" s="641"/>
      <c r="HT999" s="641"/>
      <c r="HU999" s="641"/>
      <c r="HV999" s="641"/>
      <c r="HW999" s="641"/>
      <c r="HX999" s="641"/>
      <c r="HY999" s="641"/>
      <c r="HZ999" s="641"/>
      <c r="IA999" s="641"/>
      <c r="IB999" s="641"/>
      <c r="IC999" s="641"/>
      <c r="ID999" s="641"/>
      <c r="IE999" s="641"/>
      <c r="IF999" s="641"/>
      <c r="IG999" s="641"/>
      <c r="IH999" s="641"/>
      <c r="II999" s="641"/>
      <c r="IJ999" s="641"/>
      <c r="IK999" s="641"/>
      <c r="IL999" s="641"/>
      <c r="IM999" s="641"/>
      <c r="IN999" s="641"/>
      <c r="IO999" s="641"/>
      <c r="IP999" s="641"/>
      <c r="IQ999" s="641"/>
      <c r="IR999" s="641"/>
      <c r="IS999" s="641"/>
      <c r="IT999" s="641"/>
      <c r="IU999" s="641"/>
      <c r="IV999" s="641"/>
      <c r="IW999" s="641"/>
    </row>
    <row r="1000" spans="1:257" s="582" customFormat="1" ht="31.5">
      <c r="A1000" s="635" t="s">
        <v>258</v>
      </c>
      <c r="B1000" s="696" t="s">
        <v>550</v>
      </c>
      <c r="C1000" s="635"/>
      <c r="D1000" s="635"/>
      <c r="E1000" s="651"/>
      <c r="F1000" s="651">
        <v>50000000</v>
      </c>
      <c r="G1000" s="651"/>
      <c r="H1000" s="651"/>
      <c r="I1000" s="651"/>
      <c r="J1000" s="651">
        <v>50000000</v>
      </c>
      <c r="K1000" s="651"/>
      <c r="L1000" s="1305"/>
      <c r="M1000" s="651"/>
      <c r="N1000" s="826"/>
      <c r="O1000" s="826"/>
      <c r="P1000" s="826"/>
      <c r="Q1000" s="826"/>
      <c r="R1000" s="869"/>
      <c r="S1000" s="869"/>
      <c r="T1000" s="850"/>
      <c r="U1000" s="655"/>
      <c r="V1000" s="639"/>
      <c r="W1000" s="639"/>
      <c r="X1000" s="640"/>
      <c r="Y1000" s="641"/>
      <c r="Z1000" s="641"/>
      <c r="AA1000" s="641"/>
      <c r="AB1000" s="641"/>
      <c r="AC1000" s="641"/>
      <c r="AD1000" s="641"/>
      <c r="AE1000" s="641"/>
      <c r="AF1000" s="641"/>
      <c r="AG1000" s="641"/>
      <c r="AH1000" s="641"/>
      <c r="AI1000" s="641"/>
      <c r="AJ1000" s="641"/>
      <c r="AK1000" s="641"/>
      <c r="AL1000" s="641"/>
      <c r="AM1000" s="641"/>
      <c r="AN1000" s="641"/>
      <c r="AO1000" s="641"/>
      <c r="AP1000" s="641"/>
      <c r="AQ1000" s="641"/>
      <c r="AR1000" s="641"/>
      <c r="AS1000" s="641"/>
      <c r="AT1000" s="641"/>
      <c r="AU1000" s="641"/>
      <c r="AV1000" s="641"/>
      <c r="AW1000" s="641"/>
      <c r="AX1000" s="641"/>
      <c r="AY1000" s="641"/>
      <c r="AZ1000" s="641"/>
      <c r="BA1000" s="641"/>
      <c r="BB1000" s="641"/>
      <c r="BC1000" s="641"/>
      <c r="BD1000" s="641"/>
      <c r="BE1000" s="641"/>
      <c r="BF1000" s="641"/>
      <c r="BG1000" s="641"/>
      <c r="BH1000" s="641"/>
      <c r="BI1000" s="641"/>
      <c r="BJ1000" s="641"/>
      <c r="BK1000" s="641"/>
      <c r="BL1000" s="641"/>
      <c r="BM1000" s="641"/>
      <c r="BN1000" s="641"/>
      <c r="BO1000" s="641"/>
      <c r="BP1000" s="641"/>
      <c r="BQ1000" s="641"/>
      <c r="BR1000" s="641"/>
      <c r="BS1000" s="641"/>
      <c r="BT1000" s="641"/>
      <c r="BU1000" s="641"/>
      <c r="BV1000" s="641"/>
      <c r="BW1000" s="641"/>
      <c r="BX1000" s="641"/>
      <c r="BY1000" s="641"/>
      <c r="BZ1000" s="641"/>
      <c r="CA1000" s="641"/>
      <c r="CB1000" s="641"/>
      <c r="CC1000" s="641"/>
      <c r="CD1000" s="641"/>
      <c r="CE1000" s="641"/>
      <c r="CF1000" s="641"/>
      <c r="CG1000" s="641"/>
      <c r="CH1000" s="641"/>
      <c r="CI1000" s="641"/>
      <c r="CJ1000" s="641"/>
      <c r="CK1000" s="641"/>
      <c r="CL1000" s="641"/>
      <c r="CM1000" s="641"/>
      <c r="CN1000" s="641"/>
      <c r="CO1000" s="641"/>
      <c r="CP1000" s="641"/>
      <c r="CQ1000" s="641"/>
      <c r="CR1000" s="641"/>
      <c r="CS1000" s="641"/>
      <c r="CT1000" s="641"/>
      <c r="CU1000" s="641"/>
      <c r="CV1000" s="641"/>
      <c r="CW1000" s="641"/>
      <c r="CX1000" s="641"/>
      <c r="CY1000" s="641"/>
      <c r="CZ1000" s="641"/>
      <c r="DA1000" s="641"/>
      <c r="DB1000" s="641"/>
      <c r="DC1000" s="641"/>
      <c r="DD1000" s="641"/>
      <c r="DE1000" s="641"/>
      <c r="DF1000" s="641"/>
      <c r="DG1000" s="641"/>
      <c r="DH1000" s="641"/>
      <c r="DI1000" s="641"/>
      <c r="DJ1000" s="641"/>
      <c r="DK1000" s="641"/>
      <c r="DL1000" s="641"/>
      <c r="DM1000" s="641"/>
      <c r="DN1000" s="641"/>
      <c r="DO1000" s="641"/>
      <c r="DP1000" s="641"/>
      <c r="DQ1000" s="641"/>
      <c r="DR1000" s="641"/>
      <c r="DS1000" s="641"/>
      <c r="DT1000" s="641"/>
      <c r="DU1000" s="641"/>
      <c r="DV1000" s="641"/>
      <c r="DW1000" s="641"/>
      <c r="DX1000" s="641"/>
      <c r="DY1000" s="641"/>
      <c r="DZ1000" s="641"/>
      <c r="EA1000" s="641"/>
      <c r="EB1000" s="641"/>
      <c r="EC1000" s="641"/>
      <c r="ED1000" s="641"/>
      <c r="EE1000" s="641"/>
      <c r="EF1000" s="641"/>
      <c r="EG1000" s="641"/>
      <c r="EH1000" s="641"/>
      <c r="EI1000" s="641"/>
      <c r="EJ1000" s="641"/>
      <c r="EK1000" s="641"/>
      <c r="EL1000" s="641"/>
      <c r="EM1000" s="641"/>
      <c r="EN1000" s="641"/>
      <c r="EO1000" s="641"/>
      <c r="EP1000" s="641"/>
      <c r="EQ1000" s="641"/>
      <c r="ER1000" s="641"/>
      <c r="ES1000" s="641"/>
      <c r="ET1000" s="641"/>
      <c r="EU1000" s="641"/>
      <c r="EV1000" s="641"/>
      <c r="EW1000" s="641"/>
      <c r="EX1000" s="641"/>
      <c r="EY1000" s="641"/>
      <c r="EZ1000" s="641"/>
      <c r="FA1000" s="641"/>
      <c r="FB1000" s="641"/>
      <c r="FC1000" s="641"/>
      <c r="FD1000" s="641"/>
      <c r="FE1000" s="641"/>
      <c r="FF1000" s="641"/>
      <c r="FG1000" s="641"/>
      <c r="FH1000" s="641"/>
      <c r="FI1000" s="641"/>
      <c r="FJ1000" s="641"/>
      <c r="FK1000" s="641"/>
      <c r="FL1000" s="641"/>
      <c r="FM1000" s="641"/>
      <c r="FN1000" s="641"/>
      <c r="FO1000" s="641"/>
      <c r="FP1000" s="641"/>
      <c r="FQ1000" s="641"/>
      <c r="FR1000" s="641"/>
      <c r="FS1000" s="641"/>
      <c r="FT1000" s="641"/>
      <c r="FU1000" s="641"/>
      <c r="FV1000" s="641"/>
      <c r="FW1000" s="641"/>
      <c r="FX1000" s="641"/>
      <c r="FY1000" s="641"/>
      <c r="FZ1000" s="641"/>
      <c r="GA1000" s="641"/>
      <c r="GB1000" s="641"/>
      <c r="GC1000" s="641"/>
      <c r="GD1000" s="641"/>
      <c r="GE1000" s="641"/>
      <c r="GF1000" s="641"/>
      <c r="GG1000" s="641"/>
      <c r="GH1000" s="641"/>
      <c r="GI1000" s="641"/>
      <c r="GJ1000" s="641"/>
      <c r="GK1000" s="641"/>
      <c r="GL1000" s="641"/>
      <c r="GM1000" s="641"/>
      <c r="GN1000" s="641"/>
      <c r="GO1000" s="641"/>
      <c r="GP1000" s="641"/>
      <c r="GQ1000" s="641"/>
      <c r="GR1000" s="641"/>
      <c r="GS1000" s="641"/>
      <c r="GT1000" s="641"/>
      <c r="GU1000" s="641"/>
      <c r="GV1000" s="641"/>
      <c r="GW1000" s="641"/>
      <c r="GX1000" s="641"/>
      <c r="GY1000" s="641"/>
      <c r="GZ1000" s="641"/>
      <c r="HA1000" s="641"/>
      <c r="HB1000" s="641"/>
      <c r="HC1000" s="641"/>
      <c r="HD1000" s="641"/>
      <c r="HE1000" s="641"/>
      <c r="HF1000" s="641"/>
      <c r="HG1000" s="641"/>
      <c r="HH1000" s="641"/>
      <c r="HI1000" s="641"/>
      <c r="HJ1000" s="641"/>
      <c r="HK1000" s="641"/>
      <c r="HL1000" s="641"/>
      <c r="HM1000" s="641"/>
      <c r="HN1000" s="641"/>
      <c r="HO1000" s="641"/>
      <c r="HP1000" s="641"/>
      <c r="HQ1000" s="641"/>
      <c r="HR1000" s="641"/>
      <c r="HS1000" s="641"/>
      <c r="HT1000" s="641"/>
      <c r="HU1000" s="641"/>
      <c r="HV1000" s="641"/>
      <c r="HW1000" s="641"/>
      <c r="HX1000" s="641"/>
      <c r="HY1000" s="641"/>
      <c r="HZ1000" s="641"/>
      <c r="IA1000" s="641"/>
      <c r="IB1000" s="641"/>
      <c r="IC1000" s="641"/>
      <c r="ID1000" s="641"/>
      <c r="IE1000" s="641"/>
      <c r="IF1000" s="641"/>
      <c r="IG1000" s="641"/>
      <c r="IH1000" s="641"/>
      <c r="II1000" s="641"/>
      <c r="IJ1000" s="641"/>
      <c r="IK1000" s="641"/>
      <c r="IL1000" s="641"/>
      <c r="IM1000" s="641"/>
      <c r="IN1000" s="641"/>
      <c r="IO1000" s="641"/>
      <c r="IP1000" s="641"/>
      <c r="IQ1000" s="641"/>
      <c r="IR1000" s="641"/>
      <c r="IS1000" s="641"/>
      <c r="IT1000" s="641"/>
      <c r="IU1000" s="641"/>
      <c r="IV1000" s="641"/>
      <c r="IW1000" s="641"/>
    </row>
    <row r="1001" spans="1:257" s="582" customFormat="1">
      <c r="A1001" s="635" t="s">
        <v>258</v>
      </c>
      <c r="B1001" s="696" t="s">
        <v>1188</v>
      </c>
      <c r="C1001" s="635"/>
      <c r="D1001" s="635"/>
      <c r="E1001" s="651"/>
      <c r="F1001" s="651">
        <v>90000000</v>
      </c>
      <c r="G1001" s="651"/>
      <c r="H1001" s="651"/>
      <c r="I1001" s="651"/>
      <c r="J1001" s="651">
        <v>90000000</v>
      </c>
      <c r="K1001" s="651"/>
      <c r="L1001" s="1305"/>
      <c r="M1001" s="651"/>
      <c r="N1001" s="826"/>
      <c r="O1001" s="826"/>
      <c r="P1001" s="826"/>
      <c r="Q1001" s="826"/>
      <c r="R1001" s="869"/>
      <c r="S1001" s="869"/>
      <c r="T1001" s="850"/>
      <c r="U1001" s="655"/>
      <c r="V1001" s="639"/>
      <c r="W1001" s="639"/>
      <c r="X1001" s="640"/>
      <c r="Y1001" s="641"/>
      <c r="Z1001" s="641"/>
      <c r="AA1001" s="641"/>
      <c r="AB1001" s="641"/>
      <c r="AC1001" s="641"/>
      <c r="AD1001" s="641"/>
      <c r="AE1001" s="641"/>
      <c r="AF1001" s="641"/>
      <c r="AG1001" s="641"/>
      <c r="AH1001" s="641"/>
      <c r="AI1001" s="641"/>
      <c r="AJ1001" s="641"/>
      <c r="AK1001" s="641"/>
      <c r="AL1001" s="641"/>
      <c r="AM1001" s="641"/>
      <c r="AN1001" s="641"/>
      <c r="AO1001" s="641"/>
      <c r="AP1001" s="641"/>
      <c r="AQ1001" s="641"/>
      <c r="AR1001" s="641"/>
      <c r="AS1001" s="641"/>
      <c r="AT1001" s="641"/>
      <c r="AU1001" s="641"/>
      <c r="AV1001" s="641"/>
      <c r="AW1001" s="641"/>
      <c r="AX1001" s="641"/>
      <c r="AY1001" s="641"/>
      <c r="AZ1001" s="641"/>
      <c r="BA1001" s="641"/>
      <c r="BB1001" s="641"/>
      <c r="BC1001" s="641"/>
      <c r="BD1001" s="641"/>
      <c r="BE1001" s="641"/>
      <c r="BF1001" s="641"/>
      <c r="BG1001" s="641"/>
      <c r="BH1001" s="641"/>
      <c r="BI1001" s="641"/>
      <c r="BJ1001" s="641"/>
      <c r="BK1001" s="641"/>
      <c r="BL1001" s="641"/>
      <c r="BM1001" s="641"/>
      <c r="BN1001" s="641"/>
      <c r="BO1001" s="641"/>
      <c r="BP1001" s="641"/>
      <c r="BQ1001" s="641"/>
      <c r="BR1001" s="641"/>
      <c r="BS1001" s="641"/>
      <c r="BT1001" s="641"/>
      <c r="BU1001" s="641"/>
      <c r="BV1001" s="641"/>
      <c r="BW1001" s="641"/>
      <c r="BX1001" s="641"/>
      <c r="BY1001" s="641"/>
      <c r="BZ1001" s="641"/>
      <c r="CA1001" s="641"/>
      <c r="CB1001" s="641"/>
      <c r="CC1001" s="641"/>
      <c r="CD1001" s="641"/>
      <c r="CE1001" s="641"/>
      <c r="CF1001" s="641"/>
      <c r="CG1001" s="641"/>
      <c r="CH1001" s="641"/>
      <c r="CI1001" s="641"/>
      <c r="CJ1001" s="641"/>
      <c r="CK1001" s="641"/>
      <c r="CL1001" s="641"/>
      <c r="CM1001" s="641"/>
      <c r="CN1001" s="641"/>
      <c r="CO1001" s="641"/>
      <c r="CP1001" s="641"/>
      <c r="CQ1001" s="641"/>
      <c r="CR1001" s="641"/>
      <c r="CS1001" s="641"/>
      <c r="CT1001" s="641"/>
      <c r="CU1001" s="641"/>
      <c r="CV1001" s="641"/>
      <c r="CW1001" s="641"/>
      <c r="CX1001" s="641"/>
      <c r="CY1001" s="641"/>
      <c r="CZ1001" s="641"/>
      <c r="DA1001" s="641"/>
      <c r="DB1001" s="641"/>
      <c r="DC1001" s="641"/>
      <c r="DD1001" s="641"/>
      <c r="DE1001" s="641"/>
      <c r="DF1001" s="641"/>
      <c r="DG1001" s="641"/>
      <c r="DH1001" s="641"/>
      <c r="DI1001" s="641"/>
      <c r="DJ1001" s="641"/>
      <c r="DK1001" s="641"/>
      <c r="DL1001" s="641"/>
      <c r="DM1001" s="641"/>
      <c r="DN1001" s="641"/>
      <c r="DO1001" s="641"/>
      <c r="DP1001" s="641"/>
      <c r="DQ1001" s="641"/>
      <c r="DR1001" s="641"/>
      <c r="DS1001" s="641"/>
      <c r="DT1001" s="641"/>
      <c r="DU1001" s="641"/>
      <c r="DV1001" s="641"/>
      <c r="DW1001" s="641"/>
      <c r="DX1001" s="641"/>
      <c r="DY1001" s="641"/>
      <c r="DZ1001" s="641"/>
      <c r="EA1001" s="641"/>
      <c r="EB1001" s="641"/>
      <c r="EC1001" s="641"/>
      <c r="ED1001" s="641"/>
      <c r="EE1001" s="641"/>
      <c r="EF1001" s="641"/>
      <c r="EG1001" s="641"/>
      <c r="EH1001" s="641"/>
      <c r="EI1001" s="641"/>
      <c r="EJ1001" s="641"/>
      <c r="EK1001" s="641"/>
      <c r="EL1001" s="641"/>
      <c r="EM1001" s="641"/>
      <c r="EN1001" s="641"/>
      <c r="EO1001" s="641"/>
      <c r="EP1001" s="641"/>
      <c r="EQ1001" s="641"/>
      <c r="ER1001" s="641"/>
      <c r="ES1001" s="641"/>
      <c r="ET1001" s="641"/>
      <c r="EU1001" s="641"/>
      <c r="EV1001" s="641"/>
      <c r="EW1001" s="641"/>
      <c r="EX1001" s="641"/>
      <c r="EY1001" s="641"/>
      <c r="EZ1001" s="641"/>
      <c r="FA1001" s="641"/>
      <c r="FB1001" s="641"/>
      <c r="FC1001" s="641"/>
      <c r="FD1001" s="641"/>
      <c r="FE1001" s="641"/>
      <c r="FF1001" s="641"/>
      <c r="FG1001" s="641"/>
      <c r="FH1001" s="641"/>
      <c r="FI1001" s="641"/>
      <c r="FJ1001" s="641"/>
      <c r="FK1001" s="641"/>
      <c r="FL1001" s="641"/>
      <c r="FM1001" s="641"/>
      <c r="FN1001" s="641"/>
      <c r="FO1001" s="641"/>
      <c r="FP1001" s="641"/>
      <c r="FQ1001" s="641"/>
      <c r="FR1001" s="641"/>
      <c r="FS1001" s="641"/>
      <c r="FT1001" s="641"/>
      <c r="FU1001" s="641"/>
      <c r="FV1001" s="641"/>
      <c r="FW1001" s="641"/>
      <c r="FX1001" s="641"/>
      <c r="FY1001" s="641"/>
      <c r="FZ1001" s="641"/>
      <c r="GA1001" s="641"/>
      <c r="GB1001" s="641"/>
      <c r="GC1001" s="641"/>
      <c r="GD1001" s="641"/>
      <c r="GE1001" s="641"/>
      <c r="GF1001" s="641"/>
      <c r="GG1001" s="641"/>
      <c r="GH1001" s="641"/>
      <c r="GI1001" s="641"/>
      <c r="GJ1001" s="641"/>
      <c r="GK1001" s="641"/>
      <c r="GL1001" s="641"/>
      <c r="GM1001" s="641"/>
      <c r="GN1001" s="641"/>
      <c r="GO1001" s="641"/>
      <c r="GP1001" s="641"/>
      <c r="GQ1001" s="641"/>
      <c r="GR1001" s="641"/>
      <c r="GS1001" s="641"/>
      <c r="GT1001" s="641"/>
      <c r="GU1001" s="641"/>
      <c r="GV1001" s="641"/>
      <c r="GW1001" s="641"/>
      <c r="GX1001" s="641"/>
      <c r="GY1001" s="641"/>
      <c r="GZ1001" s="641"/>
      <c r="HA1001" s="641"/>
      <c r="HB1001" s="641"/>
      <c r="HC1001" s="641"/>
      <c r="HD1001" s="641"/>
      <c r="HE1001" s="641"/>
      <c r="HF1001" s="641"/>
      <c r="HG1001" s="641"/>
      <c r="HH1001" s="641"/>
      <c r="HI1001" s="641"/>
      <c r="HJ1001" s="641"/>
      <c r="HK1001" s="641"/>
      <c r="HL1001" s="641"/>
      <c r="HM1001" s="641"/>
      <c r="HN1001" s="641"/>
      <c r="HO1001" s="641"/>
      <c r="HP1001" s="641"/>
      <c r="HQ1001" s="641"/>
      <c r="HR1001" s="641"/>
      <c r="HS1001" s="641"/>
      <c r="HT1001" s="641"/>
      <c r="HU1001" s="641"/>
      <c r="HV1001" s="641"/>
      <c r="HW1001" s="641"/>
      <c r="HX1001" s="641"/>
      <c r="HY1001" s="641"/>
      <c r="HZ1001" s="641"/>
      <c r="IA1001" s="641"/>
      <c r="IB1001" s="641"/>
      <c r="IC1001" s="641"/>
      <c r="ID1001" s="641"/>
      <c r="IE1001" s="641"/>
      <c r="IF1001" s="641"/>
      <c r="IG1001" s="641"/>
      <c r="IH1001" s="641"/>
      <c r="II1001" s="641"/>
      <c r="IJ1001" s="641"/>
      <c r="IK1001" s="641"/>
      <c r="IL1001" s="641"/>
      <c r="IM1001" s="641"/>
      <c r="IN1001" s="641"/>
      <c r="IO1001" s="641"/>
      <c r="IP1001" s="641"/>
      <c r="IQ1001" s="641"/>
      <c r="IR1001" s="641"/>
      <c r="IS1001" s="641"/>
      <c r="IT1001" s="641"/>
      <c r="IU1001" s="641"/>
      <c r="IV1001" s="641"/>
      <c r="IW1001" s="641"/>
    </row>
    <row r="1002" spans="1:257" s="582" customFormat="1">
      <c r="A1002" s="635" t="s">
        <v>258</v>
      </c>
      <c r="B1002" s="696" t="s">
        <v>1189</v>
      </c>
      <c r="C1002" s="635"/>
      <c r="D1002" s="635"/>
      <c r="E1002" s="651"/>
      <c r="F1002" s="651">
        <v>150000000</v>
      </c>
      <c r="G1002" s="651"/>
      <c r="H1002" s="651"/>
      <c r="I1002" s="651"/>
      <c r="J1002" s="651"/>
      <c r="K1002" s="651"/>
      <c r="L1002" s="1305"/>
      <c r="M1002" s="651"/>
      <c r="N1002" s="826"/>
      <c r="O1002" s="826"/>
      <c r="P1002" s="826"/>
      <c r="Q1002" s="826"/>
      <c r="R1002" s="869"/>
      <c r="S1002" s="869"/>
      <c r="T1002" s="850"/>
      <c r="U1002" s="655"/>
      <c r="V1002" s="639"/>
      <c r="W1002" s="639"/>
      <c r="X1002" s="640"/>
      <c r="Y1002" s="641"/>
      <c r="Z1002" s="641"/>
      <c r="AA1002" s="641"/>
      <c r="AB1002" s="641"/>
      <c r="AC1002" s="641"/>
      <c r="AD1002" s="641"/>
      <c r="AE1002" s="641"/>
      <c r="AF1002" s="641"/>
      <c r="AG1002" s="641"/>
      <c r="AH1002" s="641"/>
      <c r="AI1002" s="641"/>
      <c r="AJ1002" s="641"/>
      <c r="AK1002" s="641"/>
      <c r="AL1002" s="641"/>
      <c r="AM1002" s="641"/>
      <c r="AN1002" s="641"/>
      <c r="AO1002" s="641"/>
      <c r="AP1002" s="641"/>
      <c r="AQ1002" s="641"/>
      <c r="AR1002" s="641"/>
      <c r="AS1002" s="641"/>
      <c r="AT1002" s="641"/>
      <c r="AU1002" s="641"/>
      <c r="AV1002" s="641"/>
      <c r="AW1002" s="641"/>
      <c r="AX1002" s="641"/>
      <c r="AY1002" s="641"/>
      <c r="AZ1002" s="641"/>
      <c r="BA1002" s="641"/>
      <c r="BB1002" s="641"/>
      <c r="BC1002" s="641"/>
      <c r="BD1002" s="641"/>
      <c r="BE1002" s="641"/>
      <c r="BF1002" s="641"/>
      <c r="BG1002" s="641"/>
      <c r="BH1002" s="641"/>
      <c r="BI1002" s="641"/>
      <c r="BJ1002" s="641"/>
      <c r="BK1002" s="641"/>
      <c r="BL1002" s="641"/>
      <c r="BM1002" s="641"/>
      <c r="BN1002" s="641"/>
      <c r="BO1002" s="641"/>
      <c r="BP1002" s="641"/>
      <c r="BQ1002" s="641"/>
      <c r="BR1002" s="641"/>
      <c r="BS1002" s="641"/>
      <c r="BT1002" s="641"/>
      <c r="BU1002" s="641"/>
      <c r="BV1002" s="641"/>
      <c r="BW1002" s="641"/>
      <c r="BX1002" s="641"/>
      <c r="BY1002" s="641"/>
      <c r="BZ1002" s="641"/>
      <c r="CA1002" s="641"/>
      <c r="CB1002" s="641"/>
      <c r="CC1002" s="641"/>
      <c r="CD1002" s="641"/>
      <c r="CE1002" s="641"/>
      <c r="CF1002" s="641"/>
      <c r="CG1002" s="641"/>
      <c r="CH1002" s="641"/>
      <c r="CI1002" s="641"/>
      <c r="CJ1002" s="641"/>
      <c r="CK1002" s="641"/>
      <c r="CL1002" s="641"/>
      <c r="CM1002" s="641"/>
      <c r="CN1002" s="641"/>
      <c r="CO1002" s="641"/>
      <c r="CP1002" s="641"/>
      <c r="CQ1002" s="641"/>
      <c r="CR1002" s="641"/>
      <c r="CS1002" s="641"/>
      <c r="CT1002" s="641"/>
      <c r="CU1002" s="641"/>
      <c r="CV1002" s="641"/>
      <c r="CW1002" s="641"/>
      <c r="CX1002" s="641"/>
      <c r="CY1002" s="641"/>
      <c r="CZ1002" s="641"/>
      <c r="DA1002" s="641"/>
      <c r="DB1002" s="641"/>
      <c r="DC1002" s="641"/>
      <c r="DD1002" s="641"/>
      <c r="DE1002" s="641"/>
      <c r="DF1002" s="641"/>
      <c r="DG1002" s="641"/>
      <c r="DH1002" s="641"/>
      <c r="DI1002" s="641"/>
      <c r="DJ1002" s="641"/>
      <c r="DK1002" s="641"/>
      <c r="DL1002" s="641"/>
      <c r="DM1002" s="641"/>
      <c r="DN1002" s="641"/>
      <c r="DO1002" s="641"/>
      <c r="DP1002" s="641"/>
      <c r="DQ1002" s="641"/>
      <c r="DR1002" s="641"/>
      <c r="DS1002" s="641"/>
      <c r="DT1002" s="641"/>
      <c r="DU1002" s="641"/>
      <c r="DV1002" s="641"/>
      <c r="DW1002" s="641"/>
      <c r="DX1002" s="641"/>
      <c r="DY1002" s="641"/>
      <c r="DZ1002" s="641"/>
      <c r="EA1002" s="641"/>
      <c r="EB1002" s="641"/>
      <c r="EC1002" s="641"/>
      <c r="ED1002" s="641"/>
      <c r="EE1002" s="641"/>
      <c r="EF1002" s="641"/>
      <c r="EG1002" s="641"/>
      <c r="EH1002" s="641"/>
      <c r="EI1002" s="641"/>
      <c r="EJ1002" s="641"/>
      <c r="EK1002" s="641"/>
      <c r="EL1002" s="641"/>
      <c r="EM1002" s="641"/>
      <c r="EN1002" s="641"/>
      <c r="EO1002" s="641"/>
      <c r="EP1002" s="641"/>
      <c r="EQ1002" s="641"/>
      <c r="ER1002" s="641"/>
      <c r="ES1002" s="641"/>
      <c r="ET1002" s="641"/>
      <c r="EU1002" s="641"/>
      <c r="EV1002" s="641"/>
      <c r="EW1002" s="641"/>
      <c r="EX1002" s="641"/>
      <c r="EY1002" s="641"/>
      <c r="EZ1002" s="641"/>
      <c r="FA1002" s="641"/>
      <c r="FB1002" s="641"/>
      <c r="FC1002" s="641"/>
      <c r="FD1002" s="641"/>
      <c r="FE1002" s="641"/>
      <c r="FF1002" s="641"/>
      <c r="FG1002" s="641"/>
      <c r="FH1002" s="641"/>
      <c r="FI1002" s="641"/>
      <c r="FJ1002" s="641"/>
      <c r="FK1002" s="641"/>
      <c r="FL1002" s="641"/>
      <c r="FM1002" s="641"/>
      <c r="FN1002" s="641"/>
      <c r="FO1002" s="641"/>
      <c r="FP1002" s="641"/>
      <c r="FQ1002" s="641"/>
      <c r="FR1002" s="641"/>
      <c r="FS1002" s="641"/>
      <c r="FT1002" s="641"/>
      <c r="FU1002" s="641"/>
      <c r="FV1002" s="641"/>
      <c r="FW1002" s="641"/>
      <c r="FX1002" s="641"/>
      <c r="FY1002" s="641"/>
      <c r="FZ1002" s="641"/>
      <c r="GA1002" s="641"/>
      <c r="GB1002" s="641"/>
      <c r="GC1002" s="641"/>
      <c r="GD1002" s="641"/>
      <c r="GE1002" s="641"/>
      <c r="GF1002" s="641"/>
      <c r="GG1002" s="641"/>
      <c r="GH1002" s="641"/>
      <c r="GI1002" s="641"/>
      <c r="GJ1002" s="641"/>
      <c r="GK1002" s="641"/>
      <c r="GL1002" s="641"/>
      <c r="GM1002" s="641"/>
      <c r="GN1002" s="641"/>
      <c r="GO1002" s="641"/>
      <c r="GP1002" s="641"/>
      <c r="GQ1002" s="641"/>
      <c r="GR1002" s="641"/>
      <c r="GS1002" s="641"/>
      <c r="GT1002" s="641"/>
      <c r="GU1002" s="641"/>
      <c r="GV1002" s="641"/>
      <c r="GW1002" s="641"/>
      <c r="GX1002" s="641"/>
      <c r="GY1002" s="641"/>
      <c r="GZ1002" s="641"/>
      <c r="HA1002" s="641"/>
      <c r="HB1002" s="641"/>
      <c r="HC1002" s="641"/>
      <c r="HD1002" s="641"/>
      <c r="HE1002" s="641"/>
      <c r="HF1002" s="641"/>
      <c r="HG1002" s="641"/>
      <c r="HH1002" s="641"/>
      <c r="HI1002" s="641"/>
      <c r="HJ1002" s="641"/>
      <c r="HK1002" s="641"/>
      <c r="HL1002" s="641"/>
      <c r="HM1002" s="641"/>
      <c r="HN1002" s="641"/>
      <c r="HO1002" s="641"/>
      <c r="HP1002" s="641"/>
      <c r="HQ1002" s="641"/>
      <c r="HR1002" s="641"/>
      <c r="HS1002" s="641"/>
      <c r="HT1002" s="641"/>
      <c r="HU1002" s="641"/>
      <c r="HV1002" s="641"/>
      <c r="HW1002" s="641"/>
      <c r="HX1002" s="641"/>
      <c r="HY1002" s="641"/>
      <c r="HZ1002" s="641"/>
      <c r="IA1002" s="641"/>
      <c r="IB1002" s="641"/>
      <c r="IC1002" s="641"/>
      <c r="ID1002" s="641"/>
      <c r="IE1002" s="641"/>
      <c r="IF1002" s="641"/>
      <c r="IG1002" s="641"/>
      <c r="IH1002" s="641"/>
      <c r="II1002" s="641"/>
      <c r="IJ1002" s="641"/>
      <c r="IK1002" s="641"/>
      <c r="IL1002" s="641"/>
      <c r="IM1002" s="641"/>
      <c r="IN1002" s="641"/>
      <c r="IO1002" s="641"/>
      <c r="IP1002" s="641"/>
      <c r="IQ1002" s="641"/>
      <c r="IR1002" s="641"/>
      <c r="IS1002" s="641"/>
      <c r="IT1002" s="641"/>
      <c r="IU1002" s="641"/>
      <c r="IV1002" s="641"/>
      <c r="IW1002" s="641"/>
    </row>
    <row r="1003" spans="1:257" s="582" customFormat="1" ht="31.5">
      <c r="A1003" s="635"/>
      <c r="B1003" s="696" t="s">
        <v>1190</v>
      </c>
      <c r="C1003" s="635"/>
      <c r="D1003" s="635"/>
      <c r="E1003" s="651"/>
      <c r="F1003" s="651"/>
      <c r="G1003" s="651"/>
      <c r="H1003" s="651"/>
      <c r="I1003" s="651"/>
      <c r="J1003" s="651"/>
      <c r="K1003" s="651">
        <v>150000000</v>
      </c>
      <c r="L1003" s="1305"/>
      <c r="M1003" s="651"/>
      <c r="N1003" s="826"/>
      <c r="O1003" s="826"/>
      <c r="P1003" s="826"/>
      <c r="Q1003" s="826"/>
      <c r="R1003" s="869"/>
      <c r="S1003" s="869"/>
      <c r="T1003" s="850"/>
      <c r="U1003" s="655"/>
      <c r="V1003" s="639"/>
      <c r="W1003" s="639"/>
      <c r="X1003" s="640"/>
      <c r="Y1003" s="641"/>
      <c r="Z1003" s="641"/>
      <c r="AA1003" s="641"/>
      <c r="AB1003" s="641"/>
      <c r="AC1003" s="641"/>
      <c r="AD1003" s="641"/>
      <c r="AE1003" s="641"/>
      <c r="AF1003" s="641"/>
      <c r="AG1003" s="641"/>
      <c r="AH1003" s="641"/>
      <c r="AI1003" s="641"/>
      <c r="AJ1003" s="641"/>
      <c r="AK1003" s="641"/>
      <c r="AL1003" s="641"/>
      <c r="AM1003" s="641"/>
      <c r="AN1003" s="641"/>
      <c r="AO1003" s="641"/>
      <c r="AP1003" s="641"/>
      <c r="AQ1003" s="641"/>
      <c r="AR1003" s="641"/>
      <c r="AS1003" s="641"/>
      <c r="AT1003" s="641"/>
      <c r="AU1003" s="641"/>
      <c r="AV1003" s="641"/>
      <c r="AW1003" s="641"/>
      <c r="AX1003" s="641"/>
      <c r="AY1003" s="641"/>
      <c r="AZ1003" s="641"/>
      <c r="BA1003" s="641"/>
      <c r="BB1003" s="641"/>
      <c r="BC1003" s="641"/>
      <c r="BD1003" s="641"/>
      <c r="BE1003" s="641"/>
      <c r="BF1003" s="641"/>
      <c r="BG1003" s="641"/>
      <c r="BH1003" s="641"/>
      <c r="BI1003" s="641"/>
      <c r="BJ1003" s="641"/>
      <c r="BK1003" s="641"/>
      <c r="BL1003" s="641"/>
      <c r="BM1003" s="641"/>
      <c r="BN1003" s="641"/>
      <c r="BO1003" s="641"/>
      <c r="BP1003" s="641"/>
      <c r="BQ1003" s="641"/>
      <c r="BR1003" s="641"/>
      <c r="BS1003" s="641"/>
      <c r="BT1003" s="641"/>
      <c r="BU1003" s="641"/>
      <c r="BV1003" s="641"/>
      <c r="BW1003" s="641"/>
      <c r="BX1003" s="641"/>
      <c r="BY1003" s="641"/>
      <c r="BZ1003" s="641"/>
      <c r="CA1003" s="641"/>
      <c r="CB1003" s="641"/>
      <c r="CC1003" s="641"/>
      <c r="CD1003" s="641"/>
      <c r="CE1003" s="641"/>
      <c r="CF1003" s="641"/>
      <c r="CG1003" s="641"/>
      <c r="CH1003" s="641"/>
      <c r="CI1003" s="641"/>
      <c r="CJ1003" s="641"/>
      <c r="CK1003" s="641"/>
      <c r="CL1003" s="641"/>
      <c r="CM1003" s="641"/>
      <c r="CN1003" s="641"/>
      <c r="CO1003" s="641"/>
      <c r="CP1003" s="641"/>
      <c r="CQ1003" s="641"/>
      <c r="CR1003" s="641"/>
      <c r="CS1003" s="641"/>
      <c r="CT1003" s="641"/>
      <c r="CU1003" s="641"/>
      <c r="CV1003" s="641"/>
      <c r="CW1003" s="641"/>
      <c r="CX1003" s="641"/>
      <c r="CY1003" s="641"/>
      <c r="CZ1003" s="641"/>
      <c r="DA1003" s="641"/>
      <c r="DB1003" s="641"/>
      <c r="DC1003" s="641"/>
      <c r="DD1003" s="641"/>
      <c r="DE1003" s="641"/>
      <c r="DF1003" s="641"/>
      <c r="DG1003" s="641"/>
      <c r="DH1003" s="641"/>
      <c r="DI1003" s="641"/>
      <c r="DJ1003" s="641"/>
      <c r="DK1003" s="641"/>
      <c r="DL1003" s="641"/>
      <c r="DM1003" s="641"/>
      <c r="DN1003" s="641"/>
      <c r="DO1003" s="641"/>
      <c r="DP1003" s="641"/>
      <c r="DQ1003" s="641"/>
      <c r="DR1003" s="641"/>
      <c r="DS1003" s="641"/>
      <c r="DT1003" s="641"/>
      <c r="DU1003" s="641"/>
      <c r="DV1003" s="641"/>
      <c r="DW1003" s="641"/>
      <c r="DX1003" s="641"/>
      <c r="DY1003" s="641"/>
      <c r="DZ1003" s="641"/>
      <c r="EA1003" s="641"/>
      <c r="EB1003" s="641"/>
      <c r="EC1003" s="641"/>
      <c r="ED1003" s="641"/>
      <c r="EE1003" s="641"/>
      <c r="EF1003" s="641"/>
      <c r="EG1003" s="641"/>
      <c r="EH1003" s="641"/>
      <c r="EI1003" s="641"/>
      <c r="EJ1003" s="641"/>
      <c r="EK1003" s="641"/>
      <c r="EL1003" s="641"/>
      <c r="EM1003" s="641"/>
      <c r="EN1003" s="641"/>
      <c r="EO1003" s="641"/>
      <c r="EP1003" s="641"/>
      <c r="EQ1003" s="641"/>
      <c r="ER1003" s="641"/>
      <c r="ES1003" s="641"/>
      <c r="ET1003" s="641"/>
      <c r="EU1003" s="641"/>
      <c r="EV1003" s="641"/>
      <c r="EW1003" s="641"/>
      <c r="EX1003" s="641"/>
      <c r="EY1003" s="641"/>
      <c r="EZ1003" s="641"/>
      <c r="FA1003" s="641"/>
      <c r="FB1003" s="641"/>
      <c r="FC1003" s="641"/>
      <c r="FD1003" s="641"/>
      <c r="FE1003" s="641"/>
      <c r="FF1003" s="641"/>
      <c r="FG1003" s="641"/>
      <c r="FH1003" s="641"/>
      <c r="FI1003" s="641"/>
      <c r="FJ1003" s="641"/>
      <c r="FK1003" s="641"/>
      <c r="FL1003" s="641"/>
      <c r="FM1003" s="641"/>
      <c r="FN1003" s="641"/>
      <c r="FO1003" s="641"/>
      <c r="FP1003" s="641"/>
      <c r="FQ1003" s="641"/>
      <c r="FR1003" s="641"/>
      <c r="FS1003" s="641"/>
      <c r="FT1003" s="641"/>
      <c r="FU1003" s="641"/>
      <c r="FV1003" s="641"/>
      <c r="FW1003" s="641"/>
      <c r="FX1003" s="641"/>
      <c r="FY1003" s="641"/>
      <c r="FZ1003" s="641"/>
      <c r="GA1003" s="641"/>
      <c r="GB1003" s="641"/>
      <c r="GC1003" s="641"/>
      <c r="GD1003" s="641"/>
      <c r="GE1003" s="641"/>
      <c r="GF1003" s="641"/>
      <c r="GG1003" s="641"/>
      <c r="GH1003" s="641"/>
      <c r="GI1003" s="641"/>
      <c r="GJ1003" s="641"/>
      <c r="GK1003" s="641"/>
      <c r="GL1003" s="641"/>
      <c r="GM1003" s="641"/>
      <c r="GN1003" s="641"/>
      <c r="GO1003" s="641"/>
      <c r="GP1003" s="641"/>
      <c r="GQ1003" s="641"/>
      <c r="GR1003" s="641"/>
      <c r="GS1003" s="641"/>
      <c r="GT1003" s="641"/>
      <c r="GU1003" s="641"/>
      <c r="GV1003" s="641"/>
      <c r="GW1003" s="641"/>
      <c r="GX1003" s="641"/>
      <c r="GY1003" s="641"/>
      <c r="GZ1003" s="641"/>
      <c r="HA1003" s="641"/>
      <c r="HB1003" s="641"/>
      <c r="HC1003" s="641"/>
      <c r="HD1003" s="641"/>
      <c r="HE1003" s="641"/>
      <c r="HF1003" s="641"/>
      <c r="HG1003" s="641"/>
      <c r="HH1003" s="641"/>
      <c r="HI1003" s="641"/>
      <c r="HJ1003" s="641"/>
      <c r="HK1003" s="641"/>
      <c r="HL1003" s="641"/>
      <c r="HM1003" s="641"/>
      <c r="HN1003" s="641"/>
      <c r="HO1003" s="641"/>
      <c r="HP1003" s="641"/>
      <c r="HQ1003" s="641"/>
      <c r="HR1003" s="641"/>
      <c r="HS1003" s="641"/>
      <c r="HT1003" s="641"/>
      <c r="HU1003" s="641"/>
      <c r="HV1003" s="641"/>
      <c r="HW1003" s="641"/>
      <c r="HX1003" s="641"/>
      <c r="HY1003" s="641"/>
      <c r="HZ1003" s="641"/>
      <c r="IA1003" s="641"/>
      <c r="IB1003" s="641"/>
      <c r="IC1003" s="641"/>
      <c r="ID1003" s="641"/>
      <c r="IE1003" s="641"/>
      <c r="IF1003" s="641"/>
      <c r="IG1003" s="641"/>
      <c r="IH1003" s="641"/>
      <c r="II1003" s="641"/>
      <c r="IJ1003" s="641"/>
      <c r="IK1003" s="641"/>
      <c r="IL1003" s="641"/>
      <c r="IM1003" s="641"/>
      <c r="IN1003" s="641"/>
      <c r="IO1003" s="641"/>
      <c r="IP1003" s="641"/>
      <c r="IQ1003" s="641"/>
      <c r="IR1003" s="641"/>
      <c r="IS1003" s="641"/>
      <c r="IT1003" s="641"/>
      <c r="IU1003" s="641"/>
      <c r="IV1003" s="641"/>
      <c r="IW1003" s="641"/>
    </row>
    <row r="1004" spans="1:257" s="582" customFormat="1">
      <c r="A1004" s="635" t="s">
        <v>258</v>
      </c>
      <c r="B1004" s="696" t="s">
        <v>1399</v>
      </c>
      <c r="C1004" s="635"/>
      <c r="D1004" s="635"/>
      <c r="E1004" s="651"/>
      <c r="F1004" s="651">
        <v>50000000</v>
      </c>
      <c r="G1004" s="651"/>
      <c r="H1004" s="651"/>
      <c r="I1004" s="651"/>
      <c r="J1004" s="651">
        <v>50000000</v>
      </c>
      <c r="K1004" s="651">
        <v>50000000</v>
      </c>
      <c r="L1004" s="1305">
        <v>50000000</v>
      </c>
      <c r="M1004" s="651"/>
      <c r="N1004" s="826"/>
      <c r="O1004" s="826"/>
      <c r="P1004" s="826"/>
      <c r="Q1004" s="826"/>
      <c r="R1004" s="869"/>
      <c r="S1004" s="869"/>
      <c r="T1004" s="850"/>
      <c r="U1004" s="655"/>
      <c r="V1004" s="639"/>
      <c r="W1004" s="639"/>
      <c r="X1004" s="640"/>
      <c r="Y1004" s="641"/>
      <c r="Z1004" s="641"/>
      <c r="AA1004" s="641"/>
      <c r="AB1004" s="641"/>
      <c r="AC1004" s="641"/>
      <c r="AD1004" s="641"/>
      <c r="AE1004" s="641"/>
      <c r="AF1004" s="641"/>
      <c r="AG1004" s="641"/>
      <c r="AH1004" s="641"/>
      <c r="AI1004" s="641"/>
      <c r="AJ1004" s="641"/>
      <c r="AK1004" s="641"/>
      <c r="AL1004" s="641"/>
      <c r="AM1004" s="641"/>
      <c r="AN1004" s="641"/>
      <c r="AO1004" s="641"/>
      <c r="AP1004" s="641"/>
      <c r="AQ1004" s="641"/>
      <c r="AR1004" s="641"/>
      <c r="AS1004" s="641"/>
      <c r="AT1004" s="641"/>
      <c r="AU1004" s="641"/>
      <c r="AV1004" s="641"/>
      <c r="AW1004" s="641"/>
      <c r="AX1004" s="641"/>
      <c r="AY1004" s="641"/>
      <c r="AZ1004" s="641"/>
      <c r="BA1004" s="641"/>
      <c r="BB1004" s="641"/>
      <c r="BC1004" s="641"/>
      <c r="BD1004" s="641"/>
      <c r="BE1004" s="641"/>
      <c r="BF1004" s="641"/>
      <c r="BG1004" s="641"/>
      <c r="BH1004" s="641"/>
      <c r="BI1004" s="641"/>
      <c r="BJ1004" s="641"/>
      <c r="BK1004" s="641"/>
      <c r="BL1004" s="641"/>
      <c r="BM1004" s="641"/>
      <c r="BN1004" s="641"/>
      <c r="BO1004" s="641"/>
      <c r="BP1004" s="641"/>
      <c r="BQ1004" s="641"/>
      <c r="BR1004" s="641"/>
      <c r="BS1004" s="641"/>
      <c r="BT1004" s="641"/>
      <c r="BU1004" s="641"/>
      <c r="BV1004" s="641"/>
      <c r="BW1004" s="641"/>
      <c r="BX1004" s="641"/>
      <c r="BY1004" s="641"/>
      <c r="BZ1004" s="641"/>
      <c r="CA1004" s="641"/>
      <c r="CB1004" s="641"/>
      <c r="CC1004" s="641"/>
      <c r="CD1004" s="641"/>
      <c r="CE1004" s="641"/>
      <c r="CF1004" s="641"/>
      <c r="CG1004" s="641"/>
      <c r="CH1004" s="641"/>
      <c r="CI1004" s="641"/>
      <c r="CJ1004" s="641"/>
      <c r="CK1004" s="641"/>
      <c r="CL1004" s="641"/>
      <c r="CM1004" s="641"/>
      <c r="CN1004" s="641"/>
      <c r="CO1004" s="641"/>
      <c r="CP1004" s="641"/>
      <c r="CQ1004" s="641"/>
      <c r="CR1004" s="641"/>
      <c r="CS1004" s="641"/>
      <c r="CT1004" s="641"/>
      <c r="CU1004" s="641"/>
      <c r="CV1004" s="641"/>
      <c r="CW1004" s="641"/>
      <c r="CX1004" s="641"/>
      <c r="CY1004" s="641"/>
      <c r="CZ1004" s="641"/>
      <c r="DA1004" s="641"/>
      <c r="DB1004" s="641"/>
      <c r="DC1004" s="641"/>
      <c r="DD1004" s="641"/>
      <c r="DE1004" s="641"/>
      <c r="DF1004" s="641"/>
      <c r="DG1004" s="641"/>
      <c r="DH1004" s="641"/>
      <c r="DI1004" s="641"/>
      <c r="DJ1004" s="641"/>
      <c r="DK1004" s="641"/>
      <c r="DL1004" s="641"/>
      <c r="DM1004" s="641"/>
      <c r="DN1004" s="641"/>
      <c r="DO1004" s="641"/>
      <c r="DP1004" s="641"/>
      <c r="DQ1004" s="641"/>
      <c r="DR1004" s="641"/>
      <c r="DS1004" s="641"/>
      <c r="DT1004" s="641"/>
      <c r="DU1004" s="641"/>
      <c r="DV1004" s="641"/>
      <c r="DW1004" s="641"/>
      <c r="DX1004" s="641"/>
      <c r="DY1004" s="641"/>
      <c r="DZ1004" s="641"/>
      <c r="EA1004" s="641"/>
      <c r="EB1004" s="641"/>
      <c r="EC1004" s="641"/>
      <c r="ED1004" s="641"/>
      <c r="EE1004" s="641"/>
      <c r="EF1004" s="641"/>
      <c r="EG1004" s="641"/>
      <c r="EH1004" s="641"/>
      <c r="EI1004" s="641"/>
      <c r="EJ1004" s="641"/>
      <c r="EK1004" s="641"/>
      <c r="EL1004" s="641"/>
      <c r="EM1004" s="641"/>
      <c r="EN1004" s="641"/>
      <c r="EO1004" s="641"/>
      <c r="EP1004" s="641"/>
      <c r="EQ1004" s="641"/>
      <c r="ER1004" s="641"/>
      <c r="ES1004" s="641"/>
      <c r="ET1004" s="641"/>
      <c r="EU1004" s="641"/>
      <c r="EV1004" s="641"/>
      <c r="EW1004" s="641"/>
      <c r="EX1004" s="641"/>
      <c r="EY1004" s="641"/>
      <c r="EZ1004" s="641"/>
      <c r="FA1004" s="641"/>
      <c r="FB1004" s="641"/>
      <c r="FC1004" s="641"/>
      <c r="FD1004" s="641"/>
      <c r="FE1004" s="641"/>
      <c r="FF1004" s="641"/>
      <c r="FG1004" s="641"/>
      <c r="FH1004" s="641"/>
      <c r="FI1004" s="641"/>
      <c r="FJ1004" s="641"/>
      <c r="FK1004" s="641"/>
      <c r="FL1004" s="641"/>
      <c r="FM1004" s="641"/>
      <c r="FN1004" s="641"/>
      <c r="FO1004" s="641"/>
      <c r="FP1004" s="641"/>
      <c r="FQ1004" s="641"/>
      <c r="FR1004" s="641"/>
      <c r="FS1004" s="641"/>
      <c r="FT1004" s="641"/>
      <c r="FU1004" s="641"/>
      <c r="FV1004" s="641"/>
      <c r="FW1004" s="641"/>
      <c r="FX1004" s="641"/>
      <c r="FY1004" s="641"/>
      <c r="FZ1004" s="641"/>
      <c r="GA1004" s="641"/>
      <c r="GB1004" s="641"/>
      <c r="GC1004" s="641"/>
      <c r="GD1004" s="641"/>
      <c r="GE1004" s="641"/>
      <c r="GF1004" s="641"/>
      <c r="GG1004" s="641"/>
      <c r="GH1004" s="641"/>
      <c r="GI1004" s="641"/>
      <c r="GJ1004" s="641"/>
      <c r="GK1004" s="641"/>
      <c r="GL1004" s="641"/>
      <c r="GM1004" s="641"/>
      <c r="GN1004" s="641"/>
      <c r="GO1004" s="641"/>
      <c r="GP1004" s="641"/>
      <c r="GQ1004" s="641"/>
      <c r="GR1004" s="641"/>
      <c r="GS1004" s="641"/>
      <c r="GT1004" s="641"/>
      <c r="GU1004" s="641"/>
      <c r="GV1004" s="641"/>
      <c r="GW1004" s="641"/>
      <c r="GX1004" s="641"/>
      <c r="GY1004" s="641"/>
      <c r="GZ1004" s="641"/>
      <c r="HA1004" s="641"/>
      <c r="HB1004" s="641"/>
      <c r="HC1004" s="641"/>
      <c r="HD1004" s="641"/>
      <c r="HE1004" s="641"/>
      <c r="HF1004" s="641"/>
      <c r="HG1004" s="641"/>
      <c r="HH1004" s="641"/>
      <c r="HI1004" s="641"/>
      <c r="HJ1004" s="641"/>
      <c r="HK1004" s="641"/>
      <c r="HL1004" s="641"/>
      <c r="HM1004" s="641"/>
      <c r="HN1004" s="641"/>
      <c r="HO1004" s="641"/>
      <c r="HP1004" s="641"/>
      <c r="HQ1004" s="641"/>
      <c r="HR1004" s="641"/>
      <c r="HS1004" s="641"/>
      <c r="HT1004" s="641"/>
      <c r="HU1004" s="641"/>
      <c r="HV1004" s="641"/>
      <c r="HW1004" s="641"/>
      <c r="HX1004" s="641"/>
      <c r="HY1004" s="641"/>
      <c r="HZ1004" s="641"/>
      <c r="IA1004" s="641"/>
      <c r="IB1004" s="641"/>
      <c r="IC1004" s="641"/>
      <c r="ID1004" s="641"/>
      <c r="IE1004" s="641"/>
      <c r="IF1004" s="641"/>
      <c r="IG1004" s="641"/>
      <c r="IH1004" s="641"/>
      <c r="II1004" s="641"/>
      <c r="IJ1004" s="641"/>
      <c r="IK1004" s="641"/>
      <c r="IL1004" s="641"/>
      <c r="IM1004" s="641"/>
      <c r="IN1004" s="641"/>
      <c r="IO1004" s="641"/>
      <c r="IP1004" s="641"/>
      <c r="IQ1004" s="641"/>
      <c r="IR1004" s="641"/>
      <c r="IS1004" s="641"/>
      <c r="IT1004" s="641"/>
      <c r="IU1004" s="641"/>
      <c r="IV1004" s="641"/>
      <c r="IW1004" s="641"/>
    </row>
    <row r="1005" spans="1:257" s="582" customFormat="1" ht="47.25">
      <c r="A1005" s="635"/>
      <c r="B1005" s="696" t="s">
        <v>1437</v>
      </c>
      <c r="C1005" s="635"/>
      <c r="D1005" s="635"/>
      <c r="E1005" s="651"/>
      <c r="F1005" s="651"/>
      <c r="G1005" s="651"/>
      <c r="H1005" s="651"/>
      <c r="I1005" s="651"/>
      <c r="J1005" s="651"/>
      <c r="K1005" s="651">
        <v>50000000</v>
      </c>
      <c r="L1005" s="1305">
        <v>50000000</v>
      </c>
      <c r="M1005" s="651"/>
      <c r="N1005" s="826"/>
      <c r="O1005" s="826"/>
      <c r="P1005" s="826"/>
      <c r="Q1005" s="826"/>
      <c r="R1005" s="869"/>
      <c r="S1005" s="869"/>
      <c r="T1005" s="850"/>
      <c r="U1005" s="655"/>
      <c r="V1005" s="639"/>
      <c r="W1005" s="639"/>
      <c r="X1005" s="640"/>
      <c r="Y1005" s="641"/>
      <c r="Z1005" s="641"/>
      <c r="AA1005" s="641"/>
      <c r="AB1005" s="641"/>
      <c r="AC1005" s="641"/>
      <c r="AD1005" s="641"/>
      <c r="AE1005" s="641"/>
      <c r="AF1005" s="641"/>
      <c r="AG1005" s="641"/>
      <c r="AH1005" s="641"/>
      <c r="AI1005" s="641"/>
      <c r="AJ1005" s="641"/>
      <c r="AK1005" s="641"/>
      <c r="AL1005" s="641"/>
      <c r="AM1005" s="641"/>
      <c r="AN1005" s="641"/>
      <c r="AO1005" s="641"/>
      <c r="AP1005" s="641"/>
      <c r="AQ1005" s="641"/>
      <c r="AR1005" s="641"/>
      <c r="AS1005" s="641"/>
      <c r="AT1005" s="641"/>
      <c r="AU1005" s="641"/>
      <c r="AV1005" s="641"/>
      <c r="AW1005" s="641"/>
      <c r="AX1005" s="641"/>
      <c r="AY1005" s="641"/>
      <c r="AZ1005" s="641"/>
      <c r="BA1005" s="641"/>
      <c r="BB1005" s="641"/>
      <c r="BC1005" s="641"/>
      <c r="BD1005" s="641"/>
      <c r="BE1005" s="641"/>
      <c r="BF1005" s="641"/>
      <c r="BG1005" s="641"/>
      <c r="BH1005" s="641"/>
      <c r="BI1005" s="641"/>
      <c r="BJ1005" s="641"/>
      <c r="BK1005" s="641"/>
      <c r="BL1005" s="641"/>
      <c r="BM1005" s="641"/>
      <c r="BN1005" s="641"/>
      <c r="BO1005" s="641"/>
      <c r="BP1005" s="641"/>
      <c r="BQ1005" s="641"/>
      <c r="BR1005" s="641"/>
      <c r="BS1005" s="641"/>
      <c r="BT1005" s="641"/>
      <c r="BU1005" s="641"/>
      <c r="BV1005" s="641"/>
      <c r="BW1005" s="641"/>
      <c r="BX1005" s="641"/>
      <c r="BY1005" s="641"/>
      <c r="BZ1005" s="641"/>
      <c r="CA1005" s="641"/>
      <c r="CB1005" s="641"/>
      <c r="CC1005" s="641"/>
      <c r="CD1005" s="641"/>
      <c r="CE1005" s="641"/>
      <c r="CF1005" s="641"/>
      <c r="CG1005" s="641"/>
      <c r="CH1005" s="641"/>
      <c r="CI1005" s="641"/>
      <c r="CJ1005" s="641"/>
      <c r="CK1005" s="641"/>
      <c r="CL1005" s="641"/>
      <c r="CM1005" s="641"/>
      <c r="CN1005" s="641"/>
      <c r="CO1005" s="641"/>
      <c r="CP1005" s="641"/>
      <c r="CQ1005" s="641"/>
      <c r="CR1005" s="641"/>
      <c r="CS1005" s="641"/>
      <c r="CT1005" s="641"/>
      <c r="CU1005" s="641"/>
      <c r="CV1005" s="641"/>
      <c r="CW1005" s="641"/>
      <c r="CX1005" s="641"/>
      <c r="CY1005" s="641"/>
      <c r="CZ1005" s="641"/>
      <c r="DA1005" s="641"/>
      <c r="DB1005" s="641"/>
      <c r="DC1005" s="641"/>
      <c r="DD1005" s="641"/>
      <c r="DE1005" s="641"/>
      <c r="DF1005" s="641"/>
      <c r="DG1005" s="641"/>
      <c r="DH1005" s="641"/>
      <c r="DI1005" s="641"/>
      <c r="DJ1005" s="641"/>
      <c r="DK1005" s="641"/>
      <c r="DL1005" s="641"/>
      <c r="DM1005" s="641"/>
      <c r="DN1005" s="641"/>
      <c r="DO1005" s="641"/>
      <c r="DP1005" s="641"/>
      <c r="DQ1005" s="641"/>
      <c r="DR1005" s="641"/>
      <c r="DS1005" s="641"/>
      <c r="DT1005" s="641"/>
      <c r="DU1005" s="641"/>
      <c r="DV1005" s="641"/>
      <c r="DW1005" s="641"/>
      <c r="DX1005" s="641"/>
      <c r="DY1005" s="641"/>
      <c r="DZ1005" s="641"/>
      <c r="EA1005" s="641"/>
      <c r="EB1005" s="641"/>
      <c r="EC1005" s="641"/>
      <c r="ED1005" s="641"/>
      <c r="EE1005" s="641"/>
      <c r="EF1005" s="641"/>
      <c r="EG1005" s="641"/>
      <c r="EH1005" s="641"/>
      <c r="EI1005" s="641"/>
      <c r="EJ1005" s="641"/>
      <c r="EK1005" s="641"/>
      <c r="EL1005" s="641"/>
      <c r="EM1005" s="641"/>
      <c r="EN1005" s="641"/>
      <c r="EO1005" s="641"/>
      <c r="EP1005" s="641"/>
      <c r="EQ1005" s="641"/>
      <c r="ER1005" s="641"/>
      <c r="ES1005" s="641"/>
      <c r="ET1005" s="641"/>
      <c r="EU1005" s="641"/>
      <c r="EV1005" s="641"/>
      <c r="EW1005" s="641"/>
      <c r="EX1005" s="641"/>
      <c r="EY1005" s="641"/>
      <c r="EZ1005" s="641"/>
      <c r="FA1005" s="641"/>
      <c r="FB1005" s="641"/>
      <c r="FC1005" s="641"/>
      <c r="FD1005" s="641"/>
      <c r="FE1005" s="641"/>
      <c r="FF1005" s="641"/>
      <c r="FG1005" s="641"/>
      <c r="FH1005" s="641"/>
      <c r="FI1005" s="641"/>
      <c r="FJ1005" s="641"/>
      <c r="FK1005" s="641"/>
      <c r="FL1005" s="641"/>
      <c r="FM1005" s="641"/>
      <c r="FN1005" s="641"/>
      <c r="FO1005" s="641"/>
      <c r="FP1005" s="641"/>
      <c r="FQ1005" s="641"/>
      <c r="FR1005" s="641"/>
      <c r="FS1005" s="641"/>
      <c r="FT1005" s="641"/>
      <c r="FU1005" s="641"/>
      <c r="FV1005" s="641"/>
      <c r="FW1005" s="641"/>
      <c r="FX1005" s="641"/>
      <c r="FY1005" s="641"/>
      <c r="FZ1005" s="641"/>
      <c r="GA1005" s="641"/>
      <c r="GB1005" s="641"/>
      <c r="GC1005" s="641"/>
      <c r="GD1005" s="641"/>
      <c r="GE1005" s="641"/>
      <c r="GF1005" s="641"/>
      <c r="GG1005" s="641"/>
      <c r="GH1005" s="641"/>
      <c r="GI1005" s="641"/>
      <c r="GJ1005" s="641"/>
      <c r="GK1005" s="641"/>
      <c r="GL1005" s="641"/>
      <c r="GM1005" s="641"/>
      <c r="GN1005" s="641"/>
      <c r="GO1005" s="641"/>
      <c r="GP1005" s="641"/>
      <c r="GQ1005" s="641"/>
      <c r="GR1005" s="641"/>
      <c r="GS1005" s="641"/>
      <c r="GT1005" s="641"/>
      <c r="GU1005" s="641"/>
      <c r="GV1005" s="641"/>
      <c r="GW1005" s="641"/>
      <c r="GX1005" s="641"/>
      <c r="GY1005" s="641"/>
      <c r="GZ1005" s="641"/>
      <c r="HA1005" s="641"/>
      <c r="HB1005" s="641"/>
      <c r="HC1005" s="641"/>
      <c r="HD1005" s="641"/>
      <c r="HE1005" s="641"/>
      <c r="HF1005" s="641"/>
      <c r="HG1005" s="641"/>
      <c r="HH1005" s="641"/>
      <c r="HI1005" s="641"/>
      <c r="HJ1005" s="641"/>
      <c r="HK1005" s="641"/>
      <c r="HL1005" s="641"/>
      <c r="HM1005" s="641"/>
      <c r="HN1005" s="641"/>
      <c r="HO1005" s="641"/>
      <c r="HP1005" s="641"/>
      <c r="HQ1005" s="641"/>
      <c r="HR1005" s="641"/>
      <c r="HS1005" s="641"/>
      <c r="HT1005" s="641"/>
      <c r="HU1005" s="641"/>
      <c r="HV1005" s="641"/>
      <c r="HW1005" s="641"/>
      <c r="HX1005" s="641"/>
      <c r="HY1005" s="641"/>
      <c r="HZ1005" s="641"/>
      <c r="IA1005" s="641"/>
      <c r="IB1005" s="641"/>
      <c r="IC1005" s="641"/>
      <c r="ID1005" s="641"/>
      <c r="IE1005" s="641"/>
      <c r="IF1005" s="641"/>
      <c r="IG1005" s="641"/>
      <c r="IH1005" s="641"/>
      <c r="II1005" s="641"/>
      <c r="IJ1005" s="641"/>
      <c r="IK1005" s="641"/>
      <c r="IL1005" s="641"/>
      <c r="IM1005" s="641"/>
      <c r="IN1005" s="641"/>
      <c r="IO1005" s="641"/>
      <c r="IP1005" s="641"/>
      <c r="IQ1005" s="641"/>
      <c r="IR1005" s="641"/>
      <c r="IS1005" s="641"/>
      <c r="IT1005" s="641"/>
      <c r="IU1005" s="641"/>
      <c r="IV1005" s="641"/>
      <c r="IW1005" s="641"/>
    </row>
    <row r="1006" spans="1:257" s="582" customFormat="1">
      <c r="A1006" s="635"/>
      <c r="B1006" s="696" t="s">
        <v>1191</v>
      </c>
      <c r="C1006" s="635"/>
      <c r="D1006" s="635"/>
      <c r="E1006" s="651"/>
      <c r="F1006" s="651"/>
      <c r="G1006" s="651"/>
      <c r="H1006" s="651"/>
      <c r="I1006" s="651"/>
      <c r="J1006" s="651"/>
      <c r="K1006" s="651">
        <v>400000000</v>
      </c>
      <c r="L1006" s="1305"/>
      <c r="M1006" s="651"/>
      <c r="N1006" s="826"/>
      <c r="O1006" s="826"/>
      <c r="P1006" s="826"/>
      <c r="Q1006" s="826"/>
      <c r="R1006" s="869"/>
      <c r="S1006" s="869"/>
      <c r="T1006" s="850"/>
      <c r="U1006" s="655"/>
      <c r="V1006" s="639"/>
      <c r="W1006" s="639"/>
      <c r="X1006" s="640"/>
      <c r="Y1006" s="641"/>
      <c r="Z1006" s="641"/>
      <c r="AA1006" s="641"/>
      <c r="AB1006" s="641"/>
      <c r="AC1006" s="641"/>
      <c r="AD1006" s="641"/>
      <c r="AE1006" s="641"/>
      <c r="AF1006" s="641"/>
      <c r="AG1006" s="641"/>
      <c r="AH1006" s="641"/>
      <c r="AI1006" s="641"/>
      <c r="AJ1006" s="641"/>
      <c r="AK1006" s="641"/>
      <c r="AL1006" s="641"/>
      <c r="AM1006" s="641"/>
      <c r="AN1006" s="641"/>
      <c r="AO1006" s="641"/>
      <c r="AP1006" s="641"/>
      <c r="AQ1006" s="641"/>
      <c r="AR1006" s="641"/>
      <c r="AS1006" s="641"/>
      <c r="AT1006" s="641"/>
      <c r="AU1006" s="641"/>
      <c r="AV1006" s="641"/>
      <c r="AW1006" s="641"/>
      <c r="AX1006" s="641"/>
      <c r="AY1006" s="641"/>
      <c r="AZ1006" s="641"/>
      <c r="BA1006" s="641"/>
      <c r="BB1006" s="641"/>
      <c r="BC1006" s="641"/>
      <c r="BD1006" s="641"/>
      <c r="BE1006" s="641"/>
      <c r="BF1006" s="641"/>
      <c r="BG1006" s="641"/>
      <c r="BH1006" s="641"/>
      <c r="BI1006" s="641"/>
      <c r="BJ1006" s="641"/>
      <c r="BK1006" s="641"/>
      <c r="BL1006" s="641"/>
      <c r="BM1006" s="641"/>
      <c r="BN1006" s="641"/>
      <c r="BO1006" s="641"/>
      <c r="BP1006" s="641"/>
      <c r="BQ1006" s="641"/>
      <c r="BR1006" s="641"/>
      <c r="BS1006" s="641"/>
      <c r="BT1006" s="641"/>
      <c r="BU1006" s="641"/>
      <c r="BV1006" s="641"/>
      <c r="BW1006" s="641"/>
      <c r="BX1006" s="641"/>
      <c r="BY1006" s="641"/>
      <c r="BZ1006" s="641"/>
      <c r="CA1006" s="641"/>
      <c r="CB1006" s="641"/>
      <c r="CC1006" s="641"/>
      <c r="CD1006" s="641"/>
      <c r="CE1006" s="641"/>
      <c r="CF1006" s="641"/>
      <c r="CG1006" s="641"/>
      <c r="CH1006" s="641"/>
      <c r="CI1006" s="641"/>
      <c r="CJ1006" s="641"/>
      <c r="CK1006" s="641"/>
      <c r="CL1006" s="641"/>
      <c r="CM1006" s="641"/>
      <c r="CN1006" s="641"/>
      <c r="CO1006" s="641"/>
      <c r="CP1006" s="641"/>
      <c r="CQ1006" s="641"/>
      <c r="CR1006" s="641"/>
      <c r="CS1006" s="641"/>
      <c r="CT1006" s="641"/>
      <c r="CU1006" s="641"/>
      <c r="CV1006" s="641"/>
      <c r="CW1006" s="641"/>
      <c r="CX1006" s="641"/>
      <c r="CY1006" s="641"/>
      <c r="CZ1006" s="641"/>
      <c r="DA1006" s="641"/>
      <c r="DB1006" s="641"/>
      <c r="DC1006" s="641"/>
      <c r="DD1006" s="641"/>
      <c r="DE1006" s="641"/>
      <c r="DF1006" s="641"/>
      <c r="DG1006" s="641"/>
      <c r="DH1006" s="641"/>
      <c r="DI1006" s="641"/>
      <c r="DJ1006" s="641"/>
      <c r="DK1006" s="641"/>
      <c r="DL1006" s="641"/>
      <c r="DM1006" s="641"/>
      <c r="DN1006" s="641"/>
      <c r="DO1006" s="641"/>
      <c r="DP1006" s="641"/>
      <c r="DQ1006" s="641"/>
      <c r="DR1006" s="641"/>
      <c r="DS1006" s="641"/>
      <c r="DT1006" s="641"/>
      <c r="DU1006" s="641"/>
      <c r="DV1006" s="641"/>
      <c r="DW1006" s="641"/>
      <c r="DX1006" s="641"/>
      <c r="DY1006" s="641"/>
      <c r="DZ1006" s="641"/>
      <c r="EA1006" s="641"/>
      <c r="EB1006" s="641"/>
      <c r="EC1006" s="641"/>
      <c r="ED1006" s="641"/>
      <c r="EE1006" s="641"/>
      <c r="EF1006" s="641"/>
      <c r="EG1006" s="641"/>
      <c r="EH1006" s="641"/>
      <c r="EI1006" s="641"/>
      <c r="EJ1006" s="641"/>
      <c r="EK1006" s="641"/>
      <c r="EL1006" s="641"/>
      <c r="EM1006" s="641"/>
      <c r="EN1006" s="641"/>
      <c r="EO1006" s="641"/>
      <c r="EP1006" s="641"/>
      <c r="EQ1006" s="641"/>
      <c r="ER1006" s="641"/>
      <c r="ES1006" s="641"/>
      <c r="ET1006" s="641"/>
      <c r="EU1006" s="641"/>
      <c r="EV1006" s="641"/>
      <c r="EW1006" s="641"/>
      <c r="EX1006" s="641"/>
      <c r="EY1006" s="641"/>
      <c r="EZ1006" s="641"/>
      <c r="FA1006" s="641"/>
      <c r="FB1006" s="641"/>
      <c r="FC1006" s="641"/>
      <c r="FD1006" s="641"/>
      <c r="FE1006" s="641"/>
      <c r="FF1006" s="641"/>
      <c r="FG1006" s="641"/>
      <c r="FH1006" s="641"/>
      <c r="FI1006" s="641"/>
      <c r="FJ1006" s="641"/>
      <c r="FK1006" s="641"/>
      <c r="FL1006" s="641"/>
      <c r="FM1006" s="641"/>
      <c r="FN1006" s="641"/>
      <c r="FO1006" s="641"/>
      <c r="FP1006" s="641"/>
      <c r="FQ1006" s="641"/>
      <c r="FR1006" s="641"/>
      <c r="FS1006" s="641"/>
      <c r="FT1006" s="641"/>
      <c r="FU1006" s="641"/>
      <c r="FV1006" s="641"/>
      <c r="FW1006" s="641"/>
      <c r="FX1006" s="641"/>
      <c r="FY1006" s="641"/>
      <c r="FZ1006" s="641"/>
      <c r="GA1006" s="641"/>
      <c r="GB1006" s="641"/>
      <c r="GC1006" s="641"/>
      <c r="GD1006" s="641"/>
      <c r="GE1006" s="641"/>
      <c r="GF1006" s="641"/>
      <c r="GG1006" s="641"/>
      <c r="GH1006" s="641"/>
      <c r="GI1006" s="641"/>
      <c r="GJ1006" s="641"/>
      <c r="GK1006" s="641"/>
      <c r="GL1006" s="641"/>
      <c r="GM1006" s="641"/>
      <c r="GN1006" s="641"/>
      <c r="GO1006" s="641"/>
      <c r="GP1006" s="641"/>
      <c r="GQ1006" s="641"/>
      <c r="GR1006" s="641"/>
      <c r="GS1006" s="641"/>
      <c r="GT1006" s="641"/>
      <c r="GU1006" s="641"/>
      <c r="GV1006" s="641"/>
      <c r="GW1006" s="641"/>
      <c r="GX1006" s="641"/>
      <c r="GY1006" s="641"/>
      <c r="GZ1006" s="641"/>
      <c r="HA1006" s="641"/>
      <c r="HB1006" s="641"/>
      <c r="HC1006" s="641"/>
      <c r="HD1006" s="641"/>
      <c r="HE1006" s="641"/>
      <c r="HF1006" s="641"/>
      <c r="HG1006" s="641"/>
      <c r="HH1006" s="641"/>
      <c r="HI1006" s="641"/>
      <c r="HJ1006" s="641"/>
      <c r="HK1006" s="641"/>
      <c r="HL1006" s="641"/>
      <c r="HM1006" s="641"/>
      <c r="HN1006" s="641"/>
      <c r="HO1006" s="641"/>
      <c r="HP1006" s="641"/>
      <c r="HQ1006" s="641"/>
      <c r="HR1006" s="641"/>
      <c r="HS1006" s="641"/>
      <c r="HT1006" s="641"/>
      <c r="HU1006" s="641"/>
      <c r="HV1006" s="641"/>
      <c r="HW1006" s="641"/>
      <c r="HX1006" s="641"/>
      <c r="HY1006" s="641"/>
      <c r="HZ1006" s="641"/>
      <c r="IA1006" s="641"/>
      <c r="IB1006" s="641"/>
      <c r="IC1006" s="641"/>
      <c r="ID1006" s="641"/>
      <c r="IE1006" s="641"/>
      <c r="IF1006" s="641"/>
      <c r="IG1006" s="641"/>
      <c r="IH1006" s="641"/>
      <c r="II1006" s="641"/>
      <c r="IJ1006" s="641"/>
      <c r="IK1006" s="641"/>
      <c r="IL1006" s="641"/>
      <c r="IM1006" s="641"/>
      <c r="IN1006" s="641"/>
      <c r="IO1006" s="641"/>
      <c r="IP1006" s="641"/>
      <c r="IQ1006" s="641"/>
      <c r="IR1006" s="641"/>
      <c r="IS1006" s="641"/>
      <c r="IT1006" s="641"/>
      <c r="IU1006" s="641"/>
      <c r="IV1006" s="641"/>
      <c r="IW1006" s="641"/>
    </row>
    <row r="1007" spans="1:257" s="582" customFormat="1" ht="30.75" customHeight="1">
      <c r="A1007" s="635"/>
      <c r="B1007" s="696" t="s">
        <v>1192</v>
      </c>
      <c r="C1007" s="635"/>
      <c r="D1007" s="635"/>
      <c r="E1007" s="651"/>
      <c r="F1007" s="651"/>
      <c r="G1007" s="651"/>
      <c r="H1007" s="651"/>
      <c r="I1007" s="651"/>
      <c r="J1007" s="651"/>
      <c r="K1007" s="651">
        <v>50000000</v>
      </c>
      <c r="L1007" s="1305">
        <v>50000000</v>
      </c>
      <c r="M1007" s="651"/>
      <c r="N1007" s="826"/>
      <c r="O1007" s="826"/>
      <c r="P1007" s="826"/>
      <c r="Q1007" s="826"/>
      <c r="R1007" s="869"/>
      <c r="S1007" s="869"/>
      <c r="T1007" s="850"/>
      <c r="U1007" s="655"/>
      <c r="V1007" s="639"/>
      <c r="W1007" s="639"/>
      <c r="X1007" s="640"/>
      <c r="Y1007" s="641"/>
      <c r="Z1007" s="641"/>
      <c r="AA1007" s="641"/>
      <c r="AB1007" s="641"/>
      <c r="AC1007" s="641"/>
      <c r="AD1007" s="641"/>
      <c r="AE1007" s="641"/>
      <c r="AF1007" s="641"/>
      <c r="AG1007" s="641"/>
      <c r="AH1007" s="641"/>
      <c r="AI1007" s="641"/>
      <c r="AJ1007" s="641"/>
      <c r="AK1007" s="641"/>
      <c r="AL1007" s="641"/>
      <c r="AM1007" s="641"/>
      <c r="AN1007" s="641"/>
      <c r="AO1007" s="641"/>
      <c r="AP1007" s="641"/>
      <c r="AQ1007" s="641"/>
      <c r="AR1007" s="641"/>
      <c r="AS1007" s="641"/>
      <c r="AT1007" s="641"/>
      <c r="AU1007" s="641"/>
      <c r="AV1007" s="641"/>
      <c r="AW1007" s="641"/>
      <c r="AX1007" s="641"/>
      <c r="AY1007" s="641"/>
      <c r="AZ1007" s="641"/>
      <c r="BA1007" s="641"/>
      <c r="BB1007" s="641"/>
      <c r="BC1007" s="641"/>
      <c r="BD1007" s="641"/>
      <c r="BE1007" s="641"/>
      <c r="BF1007" s="641"/>
      <c r="BG1007" s="641"/>
      <c r="BH1007" s="641"/>
      <c r="BI1007" s="641"/>
      <c r="BJ1007" s="641"/>
      <c r="BK1007" s="641"/>
      <c r="BL1007" s="641"/>
      <c r="BM1007" s="641"/>
      <c r="BN1007" s="641"/>
      <c r="BO1007" s="641"/>
      <c r="BP1007" s="641"/>
      <c r="BQ1007" s="641"/>
      <c r="BR1007" s="641"/>
      <c r="BS1007" s="641"/>
      <c r="BT1007" s="641"/>
      <c r="BU1007" s="641"/>
      <c r="BV1007" s="641"/>
      <c r="BW1007" s="641"/>
      <c r="BX1007" s="641"/>
      <c r="BY1007" s="641"/>
      <c r="BZ1007" s="641"/>
      <c r="CA1007" s="641"/>
      <c r="CB1007" s="641"/>
      <c r="CC1007" s="641"/>
      <c r="CD1007" s="641"/>
      <c r="CE1007" s="641"/>
      <c r="CF1007" s="641"/>
      <c r="CG1007" s="641"/>
      <c r="CH1007" s="641"/>
      <c r="CI1007" s="641"/>
      <c r="CJ1007" s="641"/>
      <c r="CK1007" s="641"/>
      <c r="CL1007" s="641"/>
      <c r="CM1007" s="641"/>
      <c r="CN1007" s="641"/>
      <c r="CO1007" s="641"/>
      <c r="CP1007" s="641"/>
      <c r="CQ1007" s="641"/>
      <c r="CR1007" s="641"/>
      <c r="CS1007" s="641"/>
      <c r="CT1007" s="641"/>
      <c r="CU1007" s="641"/>
      <c r="CV1007" s="641"/>
      <c r="CW1007" s="641"/>
      <c r="CX1007" s="641"/>
      <c r="CY1007" s="641"/>
      <c r="CZ1007" s="641"/>
      <c r="DA1007" s="641"/>
      <c r="DB1007" s="641"/>
      <c r="DC1007" s="641"/>
      <c r="DD1007" s="641"/>
      <c r="DE1007" s="641"/>
      <c r="DF1007" s="641"/>
      <c r="DG1007" s="641"/>
      <c r="DH1007" s="641"/>
      <c r="DI1007" s="641"/>
      <c r="DJ1007" s="641"/>
      <c r="DK1007" s="641"/>
      <c r="DL1007" s="641"/>
      <c r="DM1007" s="641"/>
      <c r="DN1007" s="641"/>
      <c r="DO1007" s="641"/>
      <c r="DP1007" s="641"/>
      <c r="DQ1007" s="641"/>
      <c r="DR1007" s="641"/>
      <c r="DS1007" s="641"/>
      <c r="DT1007" s="641"/>
      <c r="DU1007" s="641"/>
      <c r="DV1007" s="641"/>
      <c r="DW1007" s="641"/>
      <c r="DX1007" s="641"/>
      <c r="DY1007" s="641"/>
      <c r="DZ1007" s="641"/>
      <c r="EA1007" s="641"/>
      <c r="EB1007" s="641"/>
      <c r="EC1007" s="641"/>
      <c r="ED1007" s="641"/>
      <c r="EE1007" s="641"/>
      <c r="EF1007" s="641"/>
      <c r="EG1007" s="641"/>
      <c r="EH1007" s="641"/>
      <c r="EI1007" s="641"/>
      <c r="EJ1007" s="641"/>
      <c r="EK1007" s="641"/>
      <c r="EL1007" s="641"/>
      <c r="EM1007" s="641"/>
      <c r="EN1007" s="641"/>
      <c r="EO1007" s="641"/>
      <c r="EP1007" s="641"/>
      <c r="EQ1007" s="641"/>
      <c r="ER1007" s="641"/>
      <c r="ES1007" s="641"/>
      <c r="ET1007" s="641"/>
      <c r="EU1007" s="641"/>
      <c r="EV1007" s="641"/>
      <c r="EW1007" s="641"/>
      <c r="EX1007" s="641"/>
      <c r="EY1007" s="641"/>
      <c r="EZ1007" s="641"/>
      <c r="FA1007" s="641"/>
      <c r="FB1007" s="641"/>
      <c r="FC1007" s="641"/>
      <c r="FD1007" s="641"/>
      <c r="FE1007" s="641"/>
      <c r="FF1007" s="641"/>
      <c r="FG1007" s="641"/>
      <c r="FH1007" s="641"/>
      <c r="FI1007" s="641"/>
      <c r="FJ1007" s="641"/>
      <c r="FK1007" s="641"/>
      <c r="FL1007" s="641"/>
      <c r="FM1007" s="641"/>
      <c r="FN1007" s="641"/>
      <c r="FO1007" s="641"/>
      <c r="FP1007" s="641"/>
      <c r="FQ1007" s="641"/>
      <c r="FR1007" s="641"/>
      <c r="FS1007" s="641"/>
      <c r="FT1007" s="641"/>
      <c r="FU1007" s="641"/>
      <c r="FV1007" s="641"/>
      <c r="FW1007" s="641"/>
      <c r="FX1007" s="641"/>
      <c r="FY1007" s="641"/>
      <c r="FZ1007" s="641"/>
      <c r="GA1007" s="641"/>
      <c r="GB1007" s="641"/>
      <c r="GC1007" s="641"/>
      <c r="GD1007" s="641"/>
      <c r="GE1007" s="641"/>
      <c r="GF1007" s="641"/>
      <c r="GG1007" s="641"/>
      <c r="GH1007" s="641"/>
      <c r="GI1007" s="641"/>
      <c r="GJ1007" s="641"/>
      <c r="GK1007" s="641"/>
      <c r="GL1007" s="641"/>
      <c r="GM1007" s="641"/>
      <c r="GN1007" s="641"/>
      <c r="GO1007" s="641"/>
      <c r="GP1007" s="641"/>
      <c r="GQ1007" s="641"/>
      <c r="GR1007" s="641"/>
      <c r="GS1007" s="641"/>
      <c r="GT1007" s="641"/>
      <c r="GU1007" s="641"/>
      <c r="GV1007" s="641"/>
      <c r="GW1007" s="641"/>
      <c r="GX1007" s="641"/>
      <c r="GY1007" s="641"/>
      <c r="GZ1007" s="641"/>
      <c r="HA1007" s="641"/>
      <c r="HB1007" s="641"/>
      <c r="HC1007" s="641"/>
      <c r="HD1007" s="641"/>
      <c r="HE1007" s="641"/>
      <c r="HF1007" s="641"/>
      <c r="HG1007" s="641"/>
      <c r="HH1007" s="641"/>
      <c r="HI1007" s="641"/>
      <c r="HJ1007" s="641"/>
      <c r="HK1007" s="641"/>
      <c r="HL1007" s="641"/>
      <c r="HM1007" s="641"/>
      <c r="HN1007" s="641"/>
      <c r="HO1007" s="641"/>
      <c r="HP1007" s="641"/>
      <c r="HQ1007" s="641"/>
      <c r="HR1007" s="641"/>
      <c r="HS1007" s="641"/>
      <c r="HT1007" s="641"/>
      <c r="HU1007" s="641"/>
      <c r="HV1007" s="641"/>
      <c r="HW1007" s="641"/>
      <c r="HX1007" s="641"/>
      <c r="HY1007" s="641"/>
      <c r="HZ1007" s="641"/>
      <c r="IA1007" s="641"/>
      <c r="IB1007" s="641"/>
      <c r="IC1007" s="641"/>
      <c r="ID1007" s="641"/>
      <c r="IE1007" s="641"/>
      <c r="IF1007" s="641"/>
      <c r="IG1007" s="641"/>
      <c r="IH1007" s="641"/>
      <c r="II1007" s="641"/>
      <c r="IJ1007" s="641"/>
      <c r="IK1007" s="641"/>
      <c r="IL1007" s="641"/>
      <c r="IM1007" s="641"/>
      <c r="IN1007" s="641"/>
      <c r="IO1007" s="641"/>
      <c r="IP1007" s="641"/>
      <c r="IQ1007" s="641"/>
      <c r="IR1007" s="641"/>
      <c r="IS1007" s="641"/>
      <c r="IT1007" s="641"/>
      <c r="IU1007" s="641"/>
      <c r="IV1007" s="641"/>
      <c r="IW1007" s="641"/>
    </row>
    <row r="1008" spans="1:257" s="582" customFormat="1">
      <c r="A1008" s="635" t="s">
        <v>258</v>
      </c>
      <c r="B1008" s="696" t="s">
        <v>1400</v>
      </c>
      <c r="C1008" s="635"/>
      <c r="D1008" s="635"/>
      <c r="E1008" s="651"/>
      <c r="F1008" s="651"/>
      <c r="G1008" s="651"/>
      <c r="H1008" s="651"/>
      <c r="I1008" s="651"/>
      <c r="J1008" s="651">
        <v>50000000</v>
      </c>
      <c r="K1008" s="651"/>
      <c r="L1008" s="1305"/>
      <c r="M1008" s="651"/>
      <c r="N1008" s="826"/>
      <c r="O1008" s="826"/>
      <c r="P1008" s="826"/>
      <c r="Q1008" s="826"/>
      <c r="R1008" s="869"/>
      <c r="S1008" s="869"/>
      <c r="T1008" s="850"/>
      <c r="U1008" s="655"/>
      <c r="V1008" s="639"/>
      <c r="W1008" s="639"/>
      <c r="X1008" s="640"/>
      <c r="Y1008" s="641"/>
      <c r="Z1008" s="641"/>
      <c r="AA1008" s="641"/>
      <c r="AB1008" s="641"/>
      <c r="AC1008" s="641"/>
      <c r="AD1008" s="641"/>
      <c r="AE1008" s="641"/>
      <c r="AF1008" s="641"/>
      <c r="AG1008" s="641"/>
      <c r="AH1008" s="641"/>
      <c r="AI1008" s="641"/>
      <c r="AJ1008" s="641"/>
      <c r="AK1008" s="641"/>
      <c r="AL1008" s="641"/>
      <c r="AM1008" s="641"/>
      <c r="AN1008" s="641"/>
      <c r="AO1008" s="641"/>
      <c r="AP1008" s="641"/>
      <c r="AQ1008" s="641"/>
      <c r="AR1008" s="641"/>
      <c r="AS1008" s="641"/>
      <c r="AT1008" s="641"/>
      <c r="AU1008" s="641"/>
      <c r="AV1008" s="641"/>
      <c r="AW1008" s="641"/>
      <c r="AX1008" s="641"/>
      <c r="AY1008" s="641"/>
      <c r="AZ1008" s="641"/>
      <c r="BA1008" s="641"/>
      <c r="BB1008" s="641"/>
      <c r="BC1008" s="641"/>
      <c r="BD1008" s="641"/>
      <c r="BE1008" s="641"/>
      <c r="BF1008" s="641"/>
      <c r="BG1008" s="641"/>
      <c r="BH1008" s="641"/>
      <c r="BI1008" s="641"/>
      <c r="BJ1008" s="641"/>
      <c r="BK1008" s="641"/>
      <c r="BL1008" s="641"/>
      <c r="BM1008" s="641"/>
      <c r="BN1008" s="641"/>
      <c r="BO1008" s="641"/>
      <c r="BP1008" s="641"/>
      <c r="BQ1008" s="641"/>
      <c r="BR1008" s="641"/>
      <c r="BS1008" s="641"/>
      <c r="BT1008" s="641"/>
      <c r="BU1008" s="641"/>
      <c r="BV1008" s="641"/>
      <c r="BW1008" s="641"/>
      <c r="BX1008" s="641"/>
      <c r="BY1008" s="641"/>
      <c r="BZ1008" s="641"/>
      <c r="CA1008" s="641"/>
      <c r="CB1008" s="641"/>
      <c r="CC1008" s="641"/>
      <c r="CD1008" s="641"/>
      <c r="CE1008" s="641"/>
      <c r="CF1008" s="641"/>
      <c r="CG1008" s="641"/>
      <c r="CH1008" s="641"/>
      <c r="CI1008" s="641"/>
      <c r="CJ1008" s="641"/>
      <c r="CK1008" s="641"/>
      <c r="CL1008" s="641"/>
      <c r="CM1008" s="641"/>
      <c r="CN1008" s="641"/>
      <c r="CO1008" s="641"/>
      <c r="CP1008" s="641"/>
      <c r="CQ1008" s="641"/>
      <c r="CR1008" s="641"/>
      <c r="CS1008" s="641"/>
      <c r="CT1008" s="641"/>
      <c r="CU1008" s="641"/>
      <c r="CV1008" s="641"/>
      <c r="CW1008" s="641"/>
      <c r="CX1008" s="641"/>
      <c r="CY1008" s="641"/>
      <c r="CZ1008" s="641"/>
      <c r="DA1008" s="641"/>
      <c r="DB1008" s="641"/>
      <c r="DC1008" s="641"/>
      <c r="DD1008" s="641"/>
      <c r="DE1008" s="641"/>
      <c r="DF1008" s="641"/>
      <c r="DG1008" s="641"/>
      <c r="DH1008" s="641"/>
      <c r="DI1008" s="641"/>
      <c r="DJ1008" s="641"/>
      <c r="DK1008" s="641"/>
      <c r="DL1008" s="641"/>
      <c r="DM1008" s="641"/>
      <c r="DN1008" s="641"/>
      <c r="DO1008" s="641"/>
      <c r="DP1008" s="641"/>
      <c r="DQ1008" s="641"/>
      <c r="DR1008" s="641"/>
      <c r="DS1008" s="641"/>
      <c r="DT1008" s="641"/>
      <c r="DU1008" s="641"/>
      <c r="DV1008" s="641"/>
      <c r="DW1008" s="641"/>
      <c r="DX1008" s="641"/>
      <c r="DY1008" s="641"/>
      <c r="DZ1008" s="641"/>
      <c r="EA1008" s="641"/>
      <c r="EB1008" s="641"/>
      <c r="EC1008" s="641"/>
      <c r="ED1008" s="641"/>
      <c r="EE1008" s="641"/>
      <c r="EF1008" s="641"/>
      <c r="EG1008" s="641"/>
      <c r="EH1008" s="641"/>
      <c r="EI1008" s="641"/>
      <c r="EJ1008" s="641"/>
      <c r="EK1008" s="641"/>
      <c r="EL1008" s="641"/>
      <c r="EM1008" s="641"/>
      <c r="EN1008" s="641"/>
      <c r="EO1008" s="641"/>
      <c r="EP1008" s="641"/>
      <c r="EQ1008" s="641"/>
      <c r="ER1008" s="641"/>
      <c r="ES1008" s="641"/>
      <c r="ET1008" s="641"/>
      <c r="EU1008" s="641"/>
      <c r="EV1008" s="641"/>
      <c r="EW1008" s="641"/>
      <c r="EX1008" s="641"/>
      <c r="EY1008" s="641"/>
      <c r="EZ1008" s="641"/>
      <c r="FA1008" s="641"/>
      <c r="FB1008" s="641"/>
      <c r="FC1008" s="641"/>
      <c r="FD1008" s="641"/>
      <c r="FE1008" s="641"/>
      <c r="FF1008" s="641"/>
      <c r="FG1008" s="641"/>
      <c r="FH1008" s="641"/>
      <c r="FI1008" s="641"/>
      <c r="FJ1008" s="641"/>
      <c r="FK1008" s="641"/>
      <c r="FL1008" s="641"/>
      <c r="FM1008" s="641"/>
      <c r="FN1008" s="641"/>
      <c r="FO1008" s="641"/>
      <c r="FP1008" s="641"/>
      <c r="FQ1008" s="641"/>
      <c r="FR1008" s="641"/>
      <c r="FS1008" s="641"/>
      <c r="FT1008" s="641"/>
      <c r="FU1008" s="641"/>
      <c r="FV1008" s="641"/>
      <c r="FW1008" s="641"/>
      <c r="FX1008" s="641"/>
      <c r="FY1008" s="641"/>
      <c r="FZ1008" s="641"/>
      <c r="GA1008" s="641"/>
      <c r="GB1008" s="641"/>
      <c r="GC1008" s="641"/>
      <c r="GD1008" s="641"/>
      <c r="GE1008" s="641"/>
      <c r="GF1008" s="641"/>
      <c r="GG1008" s="641"/>
      <c r="GH1008" s="641"/>
      <c r="GI1008" s="641"/>
      <c r="GJ1008" s="641"/>
      <c r="GK1008" s="641"/>
      <c r="GL1008" s="641"/>
      <c r="GM1008" s="641"/>
      <c r="GN1008" s="641"/>
      <c r="GO1008" s="641"/>
      <c r="GP1008" s="641"/>
      <c r="GQ1008" s="641"/>
      <c r="GR1008" s="641"/>
      <c r="GS1008" s="641"/>
      <c r="GT1008" s="641"/>
      <c r="GU1008" s="641"/>
      <c r="GV1008" s="641"/>
      <c r="GW1008" s="641"/>
      <c r="GX1008" s="641"/>
      <c r="GY1008" s="641"/>
      <c r="GZ1008" s="641"/>
      <c r="HA1008" s="641"/>
      <c r="HB1008" s="641"/>
      <c r="HC1008" s="641"/>
      <c r="HD1008" s="641"/>
      <c r="HE1008" s="641"/>
      <c r="HF1008" s="641"/>
      <c r="HG1008" s="641"/>
      <c r="HH1008" s="641"/>
      <c r="HI1008" s="641"/>
      <c r="HJ1008" s="641"/>
      <c r="HK1008" s="641"/>
      <c r="HL1008" s="641"/>
      <c r="HM1008" s="641"/>
      <c r="HN1008" s="641"/>
      <c r="HO1008" s="641"/>
      <c r="HP1008" s="641"/>
      <c r="HQ1008" s="641"/>
      <c r="HR1008" s="641"/>
      <c r="HS1008" s="641"/>
      <c r="HT1008" s="641"/>
      <c r="HU1008" s="641"/>
      <c r="HV1008" s="641"/>
      <c r="HW1008" s="641"/>
      <c r="HX1008" s="641"/>
      <c r="HY1008" s="641"/>
      <c r="HZ1008" s="641"/>
      <c r="IA1008" s="641"/>
      <c r="IB1008" s="641"/>
      <c r="IC1008" s="641"/>
      <c r="ID1008" s="641"/>
      <c r="IE1008" s="641"/>
      <c r="IF1008" s="641"/>
      <c r="IG1008" s="641"/>
      <c r="IH1008" s="641"/>
      <c r="II1008" s="641"/>
      <c r="IJ1008" s="641"/>
      <c r="IK1008" s="641"/>
      <c r="IL1008" s="641"/>
      <c r="IM1008" s="641"/>
      <c r="IN1008" s="641"/>
      <c r="IO1008" s="641"/>
      <c r="IP1008" s="641"/>
      <c r="IQ1008" s="641"/>
      <c r="IR1008" s="641"/>
      <c r="IS1008" s="641"/>
      <c r="IT1008" s="641"/>
      <c r="IU1008" s="641"/>
      <c r="IV1008" s="641"/>
      <c r="IW1008" s="641"/>
    </row>
    <row r="1009" spans="1:257" s="582" customFormat="1">
      <c r="A1009" s="635" t="s">
        <v>258</v>
      </c>
      <c r="B1009" s="696" t="s">
        <v>554</v>
      </c>
      <c r="C1009" s="635"/>
      <c r="D1009" s="635"/>
      <c r="E1009" s="651"/>
      <c r="F1009" s="651"/>
      <c r="G1009" s="651"/>
      <c r="H1009" s="651"/>
      <c r="I1009" s="651"/>
      <c r="J1009" s="651"/>
      <c r="K1009" s="651">
        <v>20000000</v>
      </c>
      <c r="L1009" s="1305">
        <v>20000000</v>
      </c>
      <c r="M1009" s="651"/>
      <c r="N1009" s="826"/>
      <c r="O1009" s="826"/>
      <c r="P1009" s="826"/>
      <c r="Q1009" s="826"/>
      <c r="R1009" s="869"/>
      <c r="S1009" s="869"/>
      <c r="T1009" s="850"/>
      <c r="U1009" s="655"/>
      <c r="V1009" s="639"/>
      <c r="W1009" s="639"/>
      <c r="X1009" s="640"/>
      <c r="Y1009" s="641"/>
      <c r="Z1009" s="641"/>
      <c r="AA1009" s="641"/>
      <c r="AB1009" s="641"/>
      <c r="AC1009" s="641"/>
      <c r="AD1009" s="641"/>
      <c r="AE1009" s="641"/>
      <c r="AF1009" s="641"/>
      <c r="AG1009" s="641"/>
      <c r="AH1009" s="641"/>
      <c r="AI1009" s="641"/>
      <c r="AJ1009" s="641"/>
      <c r="AK1009" s="641"/>
      <c r="AL1009" s="641"/>
      <c r="AM1009" s="641"/>
      <c r="AN1009" s="641"/>
      <c r="AO1009" s="641"/>
      <c r="AP1009" s="641"/>
      <c r="AQ1009" s="641"/>
      <c r="AR1009" s="641"/>
      <c r="AS1009" s="641"/>
      <c r="AT1009" s="641"/>
      <c r="AU1009" s="641"/>
      <c r="AV1009" s="641"/>
      <c r="AW1009" s="641"/>
      <c r="AX1009" s="641"/>
      <c r="AY1009" s="641"/>
      <c r="AZ1009" s="641"/>
      <c r="BA1009" s="641"/>
      <c r="BB1009" s="641"/>
      <c r="BC1009" s="641"/>
      <c r="BD1009" s="641"/>
      <c r="BE1009" s="641"/>
      <c r="BF1009" s="641"/>
      <c r="BG1009" s="641"/>
      <c r="BH1009" s="641"/>
      <c r="BI1009" s="641"/>
      <c r="BJ1009" s="641"/>
      <c r="BK1009" s="641"/>
      <c r="BL1009" s="641"/>
      <c r="BM1009" s="641"/>
      <c r="BN1009" s="641"/>
      <c r="BO1009" s="641"/>
      <c r="BP1009" s="641"/>
      <c r="BQ1009" s="641"/>
      <c r="BR1009" s="641"/>
      <c r="BS1009" s="641"/>
      <c r="BT1009" s="641"/>
      <c r="BU1009" s="641"/>
      <c r="BV1009" s="641"/>
      <c r="BW1009" s="641"/>
      <c r="BX1009" s="641"/>
      <c r="BY1009" s="641"/>
      <c r="BZ1009" s="641"/>
      <c r="CA1009" s="641"/>
      <c r="CB1009" s="641"/>
      <c r="CC1009" s="641"/>
      <c r="CD1009" s="641"/>
      <c r="CE1009" s="641"/>
      <c r="CF1009" s="641"/>
      <c r="CG1009" s="641"/>
      <c r="CH1009" s="641"/>
      <c r="CI1009" s="641"/>
      <c r="CJ1009" s="641"/>
      <c r="CK1009" s="641"/>
      <c r="CL1009" s="641"/>
      <c r="CM1009" s="641"/>
      <c r="CN1009" s="641"/>
      <c r="CO1009" s="641"/>
      <c r="CP1009" s="641"/>
      <c r="CQ1009" s="641"/>
      <c r="CR1009" s="641"/>
      <c r="CS1009" s="641"/>
      <c r="CT1009" s="641"/>
      <c r="CU1009" s="641"/>
      <c r="CV1009" s="641"/>
      <c r="CW1009" s="641"/>
      <c r="CX1009" s="641"/>
      <c r="CY1009" s="641"/>
      <c r="CZ1009" s="641"/>
      <c r="DA1009" s="641"/>
      <c r="DB1009" s="641"/>
      <c r="DC1009" s="641"/>
      <c r="DD1009" s="641"/>
      <c r="DE1009" s="641"/>
      <c r="DF1009" s="641"/>
      <c r="DG1009" s="641"/>
      <c r="DH1009" s="641"/>
      <c r="DI1009" s="641"/>
      <c r="DJ1009" s="641"/>
      <c r="DK1009" s="641"/>
      <c r="DL1009" s="641"/>
      <c r="DM1009" s="641"/>
      <c r="DN1009" s="641"/>
      <c r="DO1009" s="641"/>
      <c r="DP1009" s="641"/>
      <c r="DQ1009" s="641"/>
      <c r="DR1009" s="641"/>
      <c r="DS1009" s="641"/>
      <c r="DT1009" s="641"/>
      <c r="DU1009" s="641"/>
      <c r="DV1009" s="641"/>
      <c r="DW1009" s="641"/>
      <c r="DX1009" s="641"/>
      <c r="DY1009" s="641"/>
      <c r="DZ1009" s="641"/>
      <c r="EA1009" s="641"/>
      <c r="EB1009" s="641"/>
      <c r="EC1009" s="641"/>
      <c r="ED1009" s="641"/>
      <c r="EE1009" s="641"/>
      <c r="EF1009" s="641"/>
      <c r="EG1009" s="641"/>
      <c r="EH1009" s="641"/>
      <c r="EI1009" s="641"/>
      <c r="EJ1009" s="641"/>
      <c r="EK1009" s="641"/>
      <c r="EL1009" s="641"/>
      <c r="EM1009" s="641"/>
      <c r="EN1009" s="641"/>
      <c r="EO1009" s="641"/>
      <c r="EP1009" s="641"/>
      <c r="EQ1009" s="641"/>
      <c r="ER1009" s="641"/>
      <c r="ES1009" s="641"/>
      <c r="ET1009" s="641"/>
      <c r="EU1009" s="641"/>
      <c r="EV1009" s="641"/>
      <c r="EW1009" s="641"/>
      <c r="EX1009" s="641"/>
      <c r="EY1009" s="641"/>
      <c r="EZ1009" s="641"/>
      <c r="FA1009" s="641"/>
      <c r="FB1009" s="641"/>
      <c r="FC1009" s="641"/>
      <c r="FD1009" s="641"/>
      <c r="FE1009" s="641"/>
      <c r="FF1009" s="641"/>
      <c r="FG1009" s="641"/>
      <c r="FH1009" s="641"/>
      <c r="FI1009" s="641"/>
      <c r="FJ1009" s="641"/>
      <c r="FK1009" s="641"/>
      <c r="FL1009" s="641"/>
      <c r="FM1009" s="641"/>
      <c r="FN1009" s="641"/>
      <c r="FO1009" s="641"/>
      <c r="FP1009" s="641"/>
      <c r="FQ1009" s="641"/>
      <c r="FR1009" s="641"/>
      <c r="FS1009" s="641"/>
      <c r="FT1009" s="641"/>
      <c r="FU1009" s="641"/>
      <c r="FV1009" s="641"/>
      <c r="FW1009" s="641"/>
      <c r="FX1009" s="641"/>
      <c r="FY1009" s="641"/>
      <c r="FZ1009" s="641"/>
      <c r="GA1009" s="641"/>
      <c r="GB1009" s="641"/>
      <c r="GC1009" s="641"/>
      <c r="GD1009" s="641"/>
      <c r="GE1009" s="641"/>
      <c r="GF1009" s="641"/>
      <c r="GG1009" s="641"/>
      <c r="GH1009" s="641"/>
      <c r="GI1009" s="641"/>
      <c r="GJ1009" s="641"/>
      <c r="GK1009" s="641"/>
      <c r="GL1009" s="641"/>
      <c r="GM1009" s="641"/>
      <c r="GN1009" s="641"/>
      <c r="GO1009" s="641"/>
      <c r="GP1009" s="641"/>
      <c r="GQ1009" s="641"/>
      <c r="GR1009" s="641"/>
      <c r="GS1009" s="641"/>
      <c r="GT1009" s="641"/>
      <c r="GU1009" s="641"/>
      <c r="GV1009" s="641"/>
      <c r="GW1009" s="641"/>
      <c r="GX1009" s="641"/>
      <c r="GY1009" s="641"/>
      <c r="GZ1009" s="641"/>
      <c r="HA1009" s="641"/>
      <c r="HB1009" s="641"/>
      <c r="HC1009" s="641"/>
      <c r="HD1009" s="641"/>
      <c r="HE1009" s="641"/>
      <c r="HF1009" s="641"/>
      <c r="HG1009" s="641"/>
      <c r="HH1009" s="641"/>
      <c r="HI1009" s="641"/>
      <c r="HJ1009" s="641"/>
      <c r="HK1009" s="641"/>
      <c r="HL1009" s="641"/>
      <c r="HM1009" s="641"/>
      <c r="HN1009" s="641"/>
      <c r="HO1009" s="641"/>
      <c r="HP1009" s="641"/>
      <c r="HQ1009" s="641"/>
      <c r="HR1009" s="641"/>
      <c r="HS1009" s="641"/>
      <c r="HT1009" s="641"/>
      <c r="HU1009" s="641"/>
      <c r="HV1009" s="641"/>
      <c r="HW1009" s="641"/>
      <c r="HX1009" s="641"/>
      <c r="HY1009" s="641"/>
      <c r="HZ1009" s="641"/>
      <c r="IA1009" s="641"/>
      <c r="IB1009" s="641"/>
      <c r="IC1009" s="641"/>
      <c r="ID1009" s="641"/>
      <c r="IE1009" s="641"/>
      <c r="IF1009" s="641"/>
      <c r="IG1009" s="641"/>
      <c r="IH1009" s="641"/>
      <c r="II1009" s="641"/>
      <c r="IJ1009" s="641"/>
      <c r="IK1009" s="641"/>
      <c r="IL1009" s="641"/>
      <c r="IM1009" s="641"/>
      <c r="IN1009" s="641"/>
      <c r="IO1009" s="641"/>
      <c r="IP1009" s="641"/>
      <c r="IQ1009" s="641"/>
      <c r="IR1009" s="641"/>
      <c r="IS1009" s="641"/>
      <c r="IT1009" s="641"/>
      <c r="IU1009" s="641"/>
      <c r="IV1009" s="641"/>
      <c r="IW1009" s="641"/>
    </row>
    <row r="1010" spans="1:257" s="582" customFormat="1">
      <c r="A1010" s="635" t="s">
        <v>258</v>
      </c>
      <c r="B1010" s="696" t="s">
        <v>79</v>
      </c>
      <c r="C1010" s="635"/>
      <c r="D1010" s="635"/>
      <c r="E1010" s="651"/>
      <c r="F1010" s="651">
        <v>36000000</v>
      </c>
      <c r="G1010" s="651"/>
      <c r="H1010" s="651"/>
      <c r="I1010" s="651"/>
      <c r="J1010" s="651">
        <v>36000000</v>
      </c>
      <c r="K1010" s="651">
        <v>36000000</v>
      </c>
      <c r="L1010" s="1305">
        <v>36000000</v>
      </c>
      <c r="M1010" s="651"/>
      <c r="N1010" s="826"/>
      <c r="O1010" s="826"/>
      <c r="P1010" s="826"/>
      <c r="Q1010" s="826"/>
      <c r="R1010" s="869"/>
      <c r="S1010" s="869"/>
      <c r="T1010" s="850"/>
      <c r="U1010" s="655"/>
      <c r="V1010" s="639"/>
      <c r="W1010" s="639"/>
      <c r="X1010" s="640"/>
      <c r="Y1010" s="641"/>
      <c r="Z1010" s="641"/>
      <c r="AA1010" s="641"/>
      <c r="AB1010" s="641"/>
      <c r="AC1010" s="641"/>
      <c r="AD1010" s="641"/>
      <c r="AE1010" s="641"/>
      <c r="AF1010" s="641"/>
      <c r="AG1010" s="641"/>
      <c r="AH1010" s="641"/>
      <c r="AI1010" s="641"/>
      <c r="AJ1010" s="641"/>
      <c r="AK1010" s="641"/>
      <c r="AL1010" s="641"/>
      <c r="AM1010" s="641"/>
      <c r="AN1010" s="641"/>
      <c r="AO1010" s="641"/>
      <c r="AP1010" s="641"/>
      <c r="AQ1010" s="641"/>
      <c r="AR1010" s="641"/>
      <c r="AS1010" s="641"/>
      <c r="AT1010" s="641"/>
      <c r="AU1010" s="641"/>
      <c r="AV1010" s="641"/>
      <c r="AW1010" s="641"/>
      <c r="AX1010" s="641"/>
      <c r="AY1010" s="641"/>
      <c r="AZ1010" s="641"/>
      <c r="BA1010" s="641"/>
      <c r="BB1010" s="641"/>
      <c r="BC1010" s="641"/>
      <c r="BD1010" s="641"/>
      <c r="BE1010" s="641"/>
      <c r="BF1010" s="641"/>
      <c r="BG1010" s="641"/>
      <c r="BH1010" s="641"/>
      <c r="BI1010" s="641"/>
      <c r="BJ1010" s="641"/>
      <c r="BK1010" s="641"/>
      <c r="BL1010" s="641"/>
      <c r="BM1010" s="641"/>
      <c r="BN1010" s="641"/>
      <c r="BO1010" s="641"/>
      <c r="BP1010" s="641"/>
      <c r="BQ1010" s="641"/>
      <c r="BR1010" s="641"/>
      <c r="BS1010" s="641"/>
      <c r="BT1010" s="641"/>
      <c r="BU1010" s="641"/>
      <c r="BV1010" s="641"/>
      <c r="BW1010" s="641"/>
      <c r="BX1010" s="641"/>
      <c r="BY1010" s="641"/>
      <c r="BZ1010" s="641"/>
      <c r="CA1010" s="641"/>
      <c r="CB1010" s="641"/>
      <c r="CC1010" s="641"/>
      <c r="CD1010" s="641"/>
      <c r="CE1010" s="641"/>
      <c r="CF1010" s="641"/>
      <c r="CG1010" s="641"/>
      <c r="CH1010" s="641"/>
      <c r="CI1010" s="641"/>
      <c r="CJ1010" s="641"/>
      <c r="CK1010" s="641"/>
      <c r="CL1010" s="641"/>
      <c r="CM1010" s="641"/>
      <c r="CN1010" s="641"/>
      <c r="CO1010" s="641"/>
      <c r="CP1010" s="641"/>
      <c r="CQ1010" s="641"/>
      <c r="CR1010" s="641"/>
      <c r="CS1010" s="641"/>
      <c r="CT1010" s="641"/>
      <c r="CU1010" s="641"/>
      <c r="CV1010" s="641"/>
      <c r="CW1010" s="641"/>
      <c r="CX1010" s="641"/>
      <c r="CY1010" s="641"/>
      <c r="CZ1010" s="641"/>
      <c r="DA1010" s="641"/>
      <c r="DB1010" s="641"/>
      <c r="DC1010" s="641"/>
      <c r="DD1010" s="641"/>
      <c r="DE1010" s="641"/>
      <c r="DF1010" s="641"/>
      <c r="DG1010" s="641"/>
      <c r="DH1010" s="641"/>
      <c r="DI1010" s="641"/>
      <c r="DJ1010" s="641"/>
      <c r="DK1010" s="641"/>
      <c r="DL1010" s="641"/>
      <c r="DM1010" s="641"/>
      <c r="DN1010" s="641"/>
      <c r="DO1010" s="641"/>
      <c r="DP1010" s="641"/>
      <c r="DQ1010" s="641"/>
      <c r="DR1010" s="641"/>
      <c r="DS1010" s="641"/>
      <c r="DT1010" s="641"/>
      <c r="DU1010" s="641"/>
      <c r="DV1010" s="641"/>
      <c r="DW1010" s="641"/>
      <c r="DX1010" s="641"/>
      <c r="DY1010" s="641"/>
      <c r="DZ1010" s="641"/>
      <c r="EA1010" s="641"/>
      <c r="EB1010" s="641"/>
      <c r="EC1010" s="641"/>
      <c r="ED1010" s="641"/>
      <c r="EE1010" s="641"/>
      <c r="EF1010" s="641"/>
      <c r="EG1010" s="641"/>
      <c r="EH1010" s="641"/>
      <c r="EI1010" s="641"/>
      <c r="EJ1010" s="641"/>
      <c r="EK1010" s="641"/>
      <c r="EL1010" s="641"/>
      <c r="EM1010" s="641"/>
      <c r="EN1010" s="641"/>
      <c r="EO1010" s="641"/>
      <c r="EP1010" s="641"/>
      <c r="EQ1010" s="641"/>
      <c r="ER1010" s="641"/>
      <c r="ES1010" s="641"/>
      <c r="ET1010" s="641"/>
      <c r="EU1010" s="641"/>
      <c r="EV1010" s="641"/>
      <c r="EW1010" s="641"/>
      <c r="EX1010" s="641"/>
      <c r="EY1010" s="641"/>
      <c r="EZ1010" s="641"/>
      <c r="FA1010" s="641"/>
      <c r="FB1010" s="641"/>
      <c r="FC1010" s="641"/>
      <c r="FD1010" s="641"/>
      <c r="FE1010" s="641"/>
      <c r="FF1010" s="641"/>
      <c r="FG1010" s="641"/>
      <c r="FH1010" s="641"/>
      <c r="FI1010" s="641"/>
      <c r="FJ1010" s="641"/>
      <c r="FK1010" s="641"/>
      <c r="FL1010" s="641"/>
      <c r="FM1010" s="641"/>
      <c r="FN1010" s="641"/>
      <c r="FO1010" s="641"/>
      <c r="FP1010" s="641"/>
      <c r="FQ1010" s="641"/>
      <c r="FR1010" s="641"/>
      <c r="FS1010" s="641"/>
      <c r="FT1010" s="641"/>
      <c r="FU1010" s="641"/>
      <c r="FV1010" s="641"/>
      <c r="FW1010" s="641"/>
      <c r="FX1010" s="641"/>
      <c r="FY1010" s="641"/>
      <c r="FZ1010" s="641"/>
      <c r="GA1010" s="641"/>
      <c r="GB1010" s="641"/>
      <c r="GC1010" s="641"/>
      <c r="GD1010" s="641"/>
      <c r="GE1010" s="641"/>
      <c r="GF1010" s="641"/>
      <c r="GG1010" s="641"/>
      <c r="GH1010" s="641"/>
      <c r="GI1010" s="641"/>
      <c r="GJ1010" s="641"/>
      <c r="GK1010" s="641"/>
      <c r="GL1010" s="641"/>
      <c r="GM1010" s="641"/>
      <c r="GN1010" s="641"/>
      <c r="GO1010" s="641"/>
      <c r="GP1010" s="641"/>
      <c r="GQ1010" s="641"/>
      <c r="GR1010" s="641"/>
      <c r="GS1010" s="641"/>
      <c r="GT1010" s="641"/>
      <c r="GU1010" s="641"/>
      <c r="GV1010" s="641"/>
      <c r="GW1010" s="641"/>
      <c r="GX1010" s="641"/>
      <c r="GY1010" s="641"/>
      <c r="GZ1010" s="641"/>
      <c r="HA1010" s="641"/>
      <c r="HB1010" s="641"/>
      <c r="HC1010" s="641"/>
      <c r="HD1010" s="641"/>
      <c r="HE1010" s="641"/>
      <c r="HF1010" s="641"/>
      <c r="HG1010" s="641"/>
      <c r="HH1010" s="641"/>
      <c r="HI1010" s="641"/>
      <c r="HJ1010" s="641"/>
      <c r="HK1010" s="641"/>
      <c r="HL1010" s="641"/>
      <c r="HM1010" s="641"/>
      <c r="HN1010" s="641"/>
      <c r="HO1010" s="641"/>
      <c r="HP1010" s="641"/>
      <c r="HQ1010" s="641"/>
      <c r="HR1010" s="641"/>
      <c r="HS1010" s="641"/>
      <c r="HT1010" s="641"/>
      <c r="HU1010" s="641"/>
      <c r="HV1010" s="641"/>
      <c r="HW1010" s="641"/>
      <c r="HX1010" s="641"/>
      <c r="HY1010" s="641"/>
      <c r="HZ1010" s="641"/>
      <c r="IA1010" s="641"/>
      <c r="IB1010" s="641"/>
      <c r="IC1010" s="641"/>
      <c r="ID1010" s="641"/>
      <c r="IE1010" s="641"/>
      <c r="IF1010" s="641"/>
      <c r="IG1010" s="641"/>
      <c r="IH1010" s="641"/>
      <c r="II1010" s="641"/>
      <c r="IJ1010" s="641"/>
      <c r="IK1010" s="641"/>
      <c r="IL1010" s="641"/>
      <c r="IM1010" s="641"/>
      <c r="IN1010" s="641"/>
      <c r="IO1010" s="641"/>
      <c r="IP1010" s="641"/>
      <c r="IQ1010" s="641"/>
      <c r="IR1010" s="641"/>
      <c r="IS1010" s="641"/>
      <c r="IT1010" s="641"/>
      <c r="IU1010" s="641"/>
      <c r="IV1010" s="641"/>
      <c r="IW1010" s="641"/>
    </row>
    <row r="1011" spans="1:257" s="682" customFormat="1">
      <c r="A1011" s="683" t="s">
        <v>261</v>
      </c>
      <c r="B1011" s="808" t="s">
        <v>262</v>
      </c>
      <c r="C1011" s="699"/>
      <c r="D1011" s="699"/>
      <c r="E1011" s="700"/>
      <c r="F1011" s="810">
        <f>F1012+F1013</f>
        <v>98700000</v>
      </c>
      <c r="G1011" s="700"/>
      <c r="H1011" s="700"/>
      <c r="I1011" s="700"/>
      <c r="J1011" s="810">
        <f>J1012+J1013</f>
        <v>74700000</v>
      </c>
      <c r="K1011" s="810">
        <f>K1012+K1013</f>
        <v>121800000</v>
      </c>
      <c r="L1011" s="1313">
        <f>L1012+L1013</f>
        <v>68800000</v>
      </c>
      <c r="M1011" s="707"/>
      <c r="N1011" s="934"/>
      <c r="O1011" s="934"/>
      <c r="P1011" s="820"/>
      <c r="Q1011" s="820"/>
      <c r="R1011" s="871"/>
      <c r="S1011" s="866"/>
      <c r="T1011" s="839"/>
      <c r="U1011" s="670"/>
      <c r="V1011" s="639"/>
      <c r="W1011" s="727"/>
      <c r="X1011" s="728"/>
    </row>
    <row r="1012" spans="1:257" s="582" customFormat="1">
      <c r="A1012" s="683" t="s">
        <v>258</v>
      </c>
      <c r="B1012" s="668" t="s">
        <v>263</v>
      </c>
      <c r="C1012" s="699"/>
      <c r="D1012" s="699"/>
      <c r="E1012" s="700"/>
      <c r="F1012" s="725">
        <f>((F984+F982)-F1010)*10%</f>
        <v>98700000</v>
      </c>
      <c r="G1012" s="700"/>
      <c r="H1012" s="700"/>
      <c r="I1012" s="700"/>
      <c r="J1012" s="725">
        <f>((J984+J982)-J1010)*10%</f>
        <v>74700000</v>
      </c>
      <c r="K1012" s="725">
        <f>(K982+K984-K1010)*10%</f>
        <v>121800000</v>
      </c>
      <c r="L1012" s="1311">
        <f>(L982+L984-L1010)*10%</f>
        <v>68800000</v>
      </c>
      <c r="M1012" s="669"/>
      <c r="N1012" s="868"/>
      <c r="O1012" s="868"/>
      <c r="P1012" s="820"/>
      <c r="Q1012" s="820"/>
      <c r="R1012" s="871"/>
      <c r="S1012" s="866"/>
      <c r="T1012" s="839"/>
      <c r="U1012" s="596"/>
      <c r="V1012" s="727"/>
      <c r="W1012" s="727"/>
      <c r="X1012" s="728"/>
      <c r="Y1012" s="682"/>
      <c r="Z1012" s="682"/>
      <c r="AA1012" s="682"/>
      <c r="AB1012" s="682"/>
      <c r="AC1012" s="682"/>
      <c r="AD1012" s="682"/>
      <c r="AE1012" s="682"/>
      <c r="AF1012" s="682"/>
      <c r="AG1012" s="682"/>
      <c r="AH1012" s="682"/>
      <c r="AI1012" s="682"/>
      <c r="AJ1012" s="682"/>
      <c r="AK1012" s="682"/>
      <c r="AL1012" s="682"/>
      <c r="AM1012" s="682"/>
      <c r="AN1012" s="682"/>
      <c r="AO1012" s="682"/>
      <c r="AP1012" s="682"/>
      <c r="AQ1012" s="682"/>
      <c r="AR1012" s="682"/>
      <c r="AS1012" s="682"/>
      <c r="AT1012" s="682"/>
      <c r="AU1012" s="682"/>
      <c r="AV1012" s="682"/>
      <c r="AW1012" s="682"/>
      <c r="AX1012" s="682"/>
      <c r="AY1012" s="682"/>
      <c r="AZ1012" s="682"/>
      <c r="BA1012" s="682"/>
      <c r="BB1012" s="682"/>
      <c r="BC1012" s="682"/>
      <c r="BD1012" s="682"/>
      <c r="BE1012" s="682"/>
      <c r="BF1012" s="682"/>
      <c r="BG1012" s="682"/>
      <c r="BH1012" s="682"/>
      <c r="BI1012" s="682"/>
      <c r="BJ1012" s="682"/>
      <c r="BK1012" s="682"/>
      <c r="BL1012" s="682"/>
      <c r="BM1012" s="682"/>
      <c r="BN1012" s="682"/>
      <c r="BO1012" s="682"/>
      <c r="BP1012" s="682"/>
      <c r="BQ1012" s="682"/>
      <c r="BR1012" s="682"/>
      <c r="BS1012" s="682"/>
      <c r="BT1012" s="682"/>
      <c r="BU1012" s="682"/>
      <c r="BV1012" s="682"/>
      <c r="BW1012" s="682"/>
      <c r="BX1012" s="682"/>
      <c r="BY1012" s="682"/>
      <c r="BZ1012" s="682"/>
      <c r="CA1012" s="682"/>
      <c r="CB1012" s="682"/>
      <c r="CC1012" s="682"/>
      <c r="CD1012" s="682"/>
      <c r="CE1012" s="682"/>
      <c r="CF1012" s="682"/>
      <c r="CG1012" s="682"/>
      <c r="CH1012" s="682"/>
      <c r="CI1012" s="682"/>
      <c r="CJ1012" s="682"/>
      <c r="CK1012" s="682"/>
      <c r="CL1012" s="682"/>
      <c r="CM1012" s="682"/>
      <c r="CN1012" s="682"/>
      <c r="CO1012" s="682"/>
      <c r="CP1012" s="682"/>
      <c r="CQ1012" s="682"/>
      <c r="CR1012" s="682"/>
      <c r="CS1012" s="682"/>
      <c r="CT1012" s="682"/>
      <c r="CU1012" s="682"/>
      <c r="CV1012" s="682"/>
      <c r="CW1012" s="682"/>
      <c r="CX1012" s="682"/>
      <c r="CY1012" s="682"/>
      <c r="CZ1012" s="682"/>
      <c r="DA1012" s="682"/>
      <c r="DB1012" s="682"/>
      <c r="DC1012" s="682"/>
      <c r="DD1012" s="682"/>
      <c r="DE1012" s="682"/>
      <c r="DF1012" s="682"/>
      <c r="DG1012" s="682"/>
      <c r="DH1012" s="682"/>
      <c r="DI1012" s="682"/>
      <c r="DJ1012" s="682"/>
      <c r="DK1012" s="682"/>
      <c r="DL1012" s="682"/>
      <c r="DM1012" s="682"/>
      <c r="DN1012" s="682"/>
      <c r="DO1012" s="682"/>
      <c r="DP1012" s="682"/>
      <c r="DQ1012" s="682"/>
      <c r="DR1012" s="682"/>
      <c r="DS1012" s="682"/>
      <c r="DT1012" s="682"/>
      <c r="DU1012" s="682"/>
      <c r="DV1012" s="682"/>
      <c r="DW1012" s="682"/>
      <c r="DX1012" s="682"/>
      <c r="DY1012" s="682"/>
      <c r="DZ1012" s="682"/>
      <c r="EA1012" s="682"/>
      <c r="EB1012" s="682"/>
      <c r="EC1012" s="682"/>
      <c r="ED1012" s="682"/>
      <c r="EE1012" s="682"/>
      <c r="EF1012" s="682"/>
      <c r="EG1012" s="682"/>
      <c r="EH1012" s="682"/>
      <c r="EI1012" s="682"/>
      <c r="EJ1012" s="682"/>
      <c r="EK1012" s="682"/>
      <c r="EL1012" s="682"/>
      <c r="EM1012" s="682"/>
      <c r="EN1012" s="682"/>
      <c r="EO1012" s="682"/>
      <c r="EP1012" s="682"/>
      <c r="EQ1012" s="682"/>
      <c r="ER1012" s="682"/>
      <c r="ES1012" s="682"/>
      <c r="ET1012" s="682"/>
      <c r="EU1012" s="682"/>
      <c r="EV1012" s="682"/>
      <c r="EW1012" s="682"/>
      <c r="EX1012" s="682"/>
      <c r="EY1012" s="682"/>
      <c r="EZ1012" s="682"/>
      <c r="FA1012" s="682"/>
      <c r="FB1012" s="682"/>
      <c r="FC1012" s="682"/>
      <c r="FD1012" s="682"/>
      <c r="FE1012" s="682"/>
      <c r="FF1012" s="682"/>
      <c r="FG1012" s="682"/>
      <c r="FH1012" s="682"/>
      <c r="FI1012" s="682"/>
      <c r="FJ1012" s="682"/>
      <c r="FK1012" s="682"/>
      <c r="FL1012" s="682"/>
      <c r="FM1012" s="682"/>
      <c r="FN1012" s="682"/>
      <c r="FO1012" s="682"/>
      <c r="FP1012" s="682"/>
      <c r="FQ1012" s="682"/>
      <c r="FR1012" s="682"/>
      <c r="FS1012" s="682"/>
      <c r="FT1012" s="682"/>
      <c r="FU1012" s="682"/>
      <c r="FV1012" s="682"/>
      <c r="FW1012" s="682"/>
      <c r="FX1012" s="682"/>
      <c r="FY1012" s="682"/>
      <c r="FZ1012" s="682"/>
      <c r="GA1012" s="682"/>
      <c r="GB1012" s="682"/>
      <c r="GC1012" s="682"/>
      <c r="GD1012" s="682"/>
      <c r="GE1012" s="682"/>
      <c r="GF1012" s="682"/>
      <c r="GG1012" s="682"/>
      <c r="GH1012" s="682"/>
      <c r="GI1012" s="682"/>
      <c r="GJ1012" s="682"/>
      <c r="GK1012" s="682"/>
      <c r="GL1012" s="682"/>
      <c r="GM1012" s="682"/>
      <c r="GN1012" s="682"/>
      <c r="GO1012" s="682"/>
      <c r="GP1012" s="682"/>
      <c r="GQ1012" s="682"/>
      <c r="GR1012" s="682"/>
      <c r="GS1012" s="682"/>
      <c r="GT1012" s="682"/>
      <c r="GU1012" s="682"/>
      <c r="GV1012" s="682"/>
      <c r="GW1012" s="682"/>
      <c r="GX1012" s="682"/>
      <c r="GY1012" s="682"/>
      <c r="GZ1012" s="682"/>
      <c r="HA1012" s="682"/>
      <c r="HB1012" s="682"/>
      <c r="HC1012" s="682"/>
      <c r="HD1012" s="682"/>
      <c r="HE1012" s="682"/>
      <c r="HF1012" s="682"/>
      <c r="HG1012" s="682"/>
      <c r="HH1012" s="682"/>
      <c r="HI1012" s="682"/>
      <c r="HJ1012" s="682"/>
      <c r="HK1012" s="682"/>
      <c r="HL1012" s="682"/>
      <c r="HM1012" s="682"/>
      <c r="HN1012" s="682"/>
      <c r="HO1012" s="682"/>
      <c r="HP1012" s="682"/>
      <c r="HQ1012" s="682"/>
      <c r="HR1012" s="682"/>
      <c r="HS1012" s="682"/>
      <c r="HT1012" s="682"/>
      <c r="HU1012" s="682"/>
      <c r="HV1012" s="682"/>
      <c r="HW1012" s="682"/>
      <c r="HX1012" s="682"/>
      <c r="HY1012" s="682"/>
      <c r="HZ1012" s="682"/>
      <c r="IA1012" s="682"/>
      <c r="IB1012" s="682"/>
      <c r="IC1012" s="682"/>
      <c r="ID1012" s="682"/>
      <c r="IE1012" s="682"/>
      <c r="IF1012" s="682"/>
      <c r="IG1012" s="682"/>
      <c r="IH1012" s="682"/>
      <c r="II1012" s="682"/>
      <c r="IJ1012" s="682"/>
      <c r="IK1012" s="682"/>
      <c r="IL1012" s="682"/>
      <c r="IM1012" s="682"/>
      <c r="IN1012" s="682"/>
      <c r="IO1012" s="682"/>
      <c r="IP1012" s="682"/>
      <c r="IQ1012" s="682"/>
      <c r="IR1012" s="682"/>
      <c r="IS1012" s="682"/>
      <c r="IT1012" s="682"/>
      <c r="IU1012" s="682"/>
      <c r="IV1012" s="682"/>
      <c r="IW1012" s="682"/>
    </row>
    <row r="1013" spans="1:257" s="582" customFormat="1">
      <c r="A1013" s="683"/>
      <c r="B1013" s="669"/>
      <c r="C1013" s="699"/>
      <c r="D1013" s="699"/>
      <c r="E1013" s="700"/>
      <c r="F1013" s="725"/>
      <c r="G1013" s="725"/>
      <c r="H1013" s="725"/>
      <c r="I1013" s="725"/>
      <c r="J1013" s="725"/>
      <c r="K1013" s="725"/>
      <c r="L1013" s="1311"/>
      <c r="M1013" s="669"/>
      <c r="N1013" s="868"/>
      <c r="O1013" s="868"/>
      <c r="P1013" s="868"/>
      <c r="Q1013" s="868"/>
      <c r="R1013" s="908"/>
      <c r="S1013" s="866"/>
      <c r="T1013" s="839"/>
      <c r="U1013" s="580"/>
      <c r="V1013" s="727"/>
      <c r="W1013" s="581"/>
      <c r="X1013" s="578"/>
    </row>
    <row r="1014" spans="1:257" s="1093" customFormat="1">
      <c r="A1014" s="791">
        <v>3</v>
      </c>
      <c r="B1014" s="840" t="s">
        <v>217</v>
      </c>
      <c r="C1014" s="791"/>
      <c r="D1014" s="791"/>
      <c r="E1014" s="792"/>
      <c r="F1014" s="792">
        <f>F1015+F1021</f>
        <v>913000000</v>
      </c>
      <c r="G1014" s="1141"/>
      <c r="H1014" s="1141"/>
      <c r="I1014" s="1141"/>
      <c r="J1014" s="792">
        <f>J1015+J1021</f>
        <v>1061000000</v>
      </c>
      <c r="K1014" s="792">
        <f>K1015+K1021</f>
        <v>1202000000</v>
      </c>
      <c r="L1014" s="1303">
        <f>L1015+L1021</f>
        <v>1351700000</v>
      </c>
      <c r="M1014" s="792"/>
      <c r="N1014" s="841"/>
      <c r="O1014" s="841"/>
      <c r="P1014" s="892"/>
      <c r="Q1014" s="892"/>
      <c r="R1014" s="947"/>
      <c r="S1014" s="947"/>
      <c r="T1014" s="948"/>
      <c r="U1014" s="802"/>
      <c r="V1014" s="895"/>
      <c r="W1014" s="800"/>
      <c r="X1014" s="975"/>
      <c r="Y1014" s="976"/>
      <c r="Z1014" s="976"/>
      <c r="AA1014" s="976"/>
      <c r="AB1014" s="976"/>
      <c r="AC1014" s="976"/>
      <c r="AD1014" s="976"/>
      <c r="AE1014" s="976"/>
      <c r="AF1014" s="976"/>
      <c r="AG1014" s="976"/>
      <c r="AH1014" s="976"/>
      <c r="AI1014" s="976"/>
      <c r="AJ1014" s="976"/>
      <c r="AK1014" s="976"/>
      <c r="AL1014" s="976"/>
      <c r="AM1014" s="976"/>
      <c r="AN1014" s="976"/>
      <c r="AO1014" s="976"/>
      <c r="AP1014" s="976"/>
      <c r="AQ1014" s="976"/>
      <c r="AR1014" s="976"/>
      <c r="AS1014" s="976"/>
      <c r="AT1014" s="976"/>
      <c r="AU1014" s="976"/>
      <c r="AV1014" s="976"/>
      <c r="AW1014" s="976"/>
      <c r="AX1014" s="976"/>
      <c r="AY1014" s="976"/>
      <c r="AZ1014" s="976"/>
      <c r="BA1014" s="976"/>
      <c r="BB1014" s="976"/>
      <c r="BC1014" s="976"/>
      <c r="BD1014" s="976"/>
      <c r="BE1014" s="976"/>
      <c r="BF1014" s="976"/>
      <c r="BG1014" s="976"/>
      <c r="BH1014" s="976"/>
      <c r="BI1014" s="976"/>
      <c r="BJ1014" s="976"/>
      <c r="BK1014" s="976"/>
      <c r="BL1014" s="976"/>
      <c r="BM1014" s="976"/>
      <c r="BN1014" s="976"/>
      <c r="BO1014" s="976"/>
      <c r="BP1014" s="976"/>
      <c r="BQ1014" s="976"/>
      <c r="BR1014" s="976"/>
      <c r="BS1014" s="976"/>
      <c r="BT1014" s="976"/>
      <c r="BU1014" s="976"/>
      <c r="BV1014" s="976"/>
      <c r="BW1014" s="976"/>
      <c r="BX1014" s="976"/>
      <c r="BY1014" s="976"/>
      <c r="BZ1014" s="976"/>
      <c r="CA1014" s="976"/>
      <c r="CB1014" s="976"/>
      <c r="CC1014" s="976"/>
      <c r="CD1014" s="976"/>
      <c r="CE1014" s="976"/>
      <c r="CF1014" s="976"/>
      <c r="CG1014" s="976"/>
      <c r="CH1014" s="976"/>
      <c r="CI1014" s="976"/>
      <c r="CJ1014" s="976"/>
      <c r="CK1014" s="976"/>
      <c r="CL1014" s="976"/>
      <c r="CM1014" s="976"/>
      <c r="CN1014" s="976"/>
      <c r="CO1014" s="976"/>
      <c r="CP1014" s="976"/>
      <c r="CQ1014" s="976"/>
      <c r="CR1014" s="976"/>
      <c r="CS1014" s="976"/>
      <c r="CT1014" s="976"/>
      <c r="CU1014" s="976"/>
      <c r="CV1014" s="976"/>
      <c r="CW1014" s="976"/>
      <c r="CX1014" s="976"/>
      <c r="CY1014" s="976"/>
      <c r="CZ1014" s="976"/>
      <c r="DA1014" s="976"/>
      <c r="DB1014" s="976"/>
      <c r="DC1014" s="976"/>
      <c r="DD1014" s="976"/>
      <c r="DE1014" s="976"/>
      <c r="DF1014" s="976"/>
      <c r="DG1014" s="976"/>
      <c r="DH1014" s="976"/>
      <c r="DI1014" s="976"/>
      <c r="DJ1014" s="976"/>
      <c r="DK1014" s="976"/>
      <c r="DL1014" s="976"/>
      <c r="DM1014" s="976"/>
      <c r="DN1014" s="976"/>
      <c r="DO1014" s="976"/>
      <c r="DP1014" s="976"/>
      <c r="DQ1014" s="976"/>
      <c r="DR1014" s="976"/>
      <c r="DS1014" s="976"/>
      <c r="DT1014" s="976"/>
      <c r="DU1014" s="976"/>
      <c r="DV1014" s="976"/>
      <c r="DW1014" s="976"/>
      <c r="DX1014" s="976"/>
      <c r="DY1014" s="976"/>
      <c r="DZ1014" s="976"/>
      <c r="EA1014" s="976"/>
      <c r="EB1014" s="976"/>
      <c r="EC1014" s="976"/>
      <c r="ED1014" s="976"/>
      <c r="EE1014" s="976"/>
      <c r="EF1014" s="976"/>
      <c r="EG1014" s="976"/>
      <c r="EH1014" s="976"/>
      <c r="EI1014" s="976"/>
      <c r="EJ1014" s="976"/>
      <c r="EK1014" s="976"/>
      <c r="EL1014" s="976"/>
      <c r="EM1014" s="976"/>
      <c r="EN1014" s="976"/>
      <c r="EO1014" s="976"/>
      <c r="EP1014" s="976"/>
      <c r="EQ1014" s="976"/>
      <c r="ER1014" s="976"/>
      <c r="ES1014" s="976"/>
      <c r="ET1014" s="976"/>
      <c r="EU1014" s="976"/>
      <c r="EV1014" s="976"/>
      <c r="EW1014" s="976"/>
      <c r="EX1014" s="976"/>
      <c r="EY1014" s="976"/>
      <c r="EZ1014" s="976"/>
      <c r="FA1014" s="976"/>
      <c r="FB1014" s="976"/>
      <c r="FC1014" s="976"/>
      <c r="FD1014" s="976"/>
      <c r="FE1014" s="976"/>
      <c r="FF1014" s="976"/>
      <c r="FG1014" s="976"/>
      <c r="FH1014" s="976"/>
      <c r="FI1014" s="976"/>
      <c r="FJ1014" s="976"/>
      <c r="FK1014" s="976"/>
      <c r="FL1014" s="976"/>
      <c r="FM1014" s="976"/>
      <c r="FN1014" s="976"/>
      <c r="FO1014" s="976"/>
      <c r="FP1014" s="976"/>
      <c r="FQ1014" s="976"/>
      <c r="FR1014" s="976"/>
      <c r="FS1014" s="976"/>
      <c r="FT1014" s="976"/>
      <c r="FU1014" s="976"/>
      <c r="FV1014" s="976"/>
      <c r="FW1014" s="976"/>
      <c r="FX1014" s="976"/>
      <c r="FY1014" s="976"/>
      <c r="FZ1014" s="976"/>
      <c r="GA1014" s="976"/>
      <c r="GB1014" s="976"/>
      <c r="GC1014" s="976"/>
      <c r="GD1014" s="976"/>
      <c r="GE1014" s="976"/>
      <c r="GF1014" s="976"/>
      <c r="GG1014" s="976"/>
      <c r="GH1014" s="976"/>
      <c r="GI1014" s="976"/>
      <c r="GJ1014" s="976"/>
      <c r="GK1014" s="976"/>
      <c r="GL1014" s="976"/>
      <c r="GM1014" s="976"/>
      <c r="GN1014" s="976"/>
      <c r="GO1014" s="976"/>
      <c r="GP1014" s="976"/>
      <c r="GQ1014" s="976"/>
      <c r="GR1014" s="976"/>
      <c r="GS1014" s="976"/>
      <c r="GT1014" s="976"/>
      <c r="GU1014" s="976"/>
      <c r="GV1014" s="976"/>
      <c r="GW1014" s="976"/>
      <c r="GX1014" s="976"/>
      <c r="GY1014" s="976"/>
      <c r="GZ1014" s="976"/>
      <c r="HA1014" s="976"/>
      <c r="HB1014" s="976"/>
      <c r="HC1014" s="976"/>
      <c r="HD1014" s="976"/>
      <c r="HE1014" s="976"/>
      <c r="HF1014" s="976"/>
      <c r="HG1014" s="976"/>
      <c r="HH1014" s="976"/>
      <c r="HI1014" s="976"/>
      <c r="HJ1014" s="976"/>
      <c r="HK1014" s="976"/>
      <c r="HL1014" s="976"/>
      <c r="HM1014" s="976"/>
      <c r="HN1014" s="976"/>
      <c r="HO1014" s="976"/>
      <c r="HP1014" s="976"/>
      <c r="HQ1014" s="976"/>
      <c r="HR1014" s="976"/>
      <c r="HS1014" s="976"/>
      <c r="HT1014" s="976"/>
      <c r="HU1014" s="976"/>
      <c r="HV1014" s="976"/>
      <c r="HW1014" s="976"/>
      <c r="HX1014" s="976"/>
      <c r="HY1014" s="976"/>
      <c r="HZ1014" s="976"/>
      <c r="IA1014" s="976"/>
      <c r="IB1014" s="976"/>
      <c r="IC1014" s="976"/>
      <c r="ID1014" s="976"/>
      <c r="IE1014" s="976"/>
      <c r="IF1014" s="976"/>
      <c r="IG1014" s="976"/>
      <c r="IH1014" s="976"/>
      <c r="II1014" s="976"/>
      <c r="IJ1014" s="976"/>
      <c r="IK1014" s="976"/>
      <c r="IL1014" s="976"/>
      <c r="IM1014" s="976"/>
      <c r="IN1014" s="976"/>
      <c r="IO1014" s="976"/>
      <c r="IP1014" s="976"/>
      <c r="IQ1014" s="976"/>
      <c r="IR1014" s="976"/>
      <c r="IS1014" s="976"/>
      <c r="IT1014" s="976"/>
      <c r="IU1014" s="976"/>
      <c r="IV1014" s="976"/>
      <c r="IW1014" s="976"/>
    </row>
    <row r="1015" spans="1:257" s="724" customFormat="1">
      <c r="A1015" s="589" t="s">
        <v>222</v>
      </c>
      <c r="B1015" s="804" t="s">
        <v>252</v>
      </c>
      <c r="C1015" s="589"/>
      <c r="D1015" s="589"/>
      <c r="E1015" s="704"/>
      <c r="F1015" s="716">
        <f>F1016+F1020</f>
        <v>623000000</v>
      </c>
      <c r="G1015" s="704"/>
      <c r="H1015" s="704"/>
      <c r="I1015" s="704"/>
      <c r="J1015" s="716">
        <f>J1016+J1020</f>
        <v>706000000</v>
      </c>
      <c r="K1015" s="716">
        <f>K1017+K1018+K1020</f>
        <v>775000000</v>
      </c>
      <c r="L1015" s="1316">
        <f>L1017+L1018+L1020</f>
        <v>862000000</v>
      </c>
      <c r="M1015" s="618"/>
      <c r="N1015" s="890"/>
      <c r="O1015" s="890"/>
      <c r="P1015" s="829"/>
      <c r="Q1015" s="829"/>
      <c r="R1015" s="900"/>
      <c r="S1015" s="900"/>
      <c r="T1015" s="822"/>
      <c r="U1015" s="721"/>
      <c r="V1015" s="701"/>
      <c r="W1015" s="701"/>
      <c r="X1015" s="702"/>
      <c r="Y1015" s="703"/>
      <c r="Z1015" s="703"/>
      <c r="AA1015" s="703"/>
      <c r="AB1015" s="703"/>
      <c r="AC1015" s="703"/>
      <c r="AD1015" s="703"/>
      <c r="AE1015" s="703"/>
      <c r="AF1015" s="703"/>
      <c r="AG1015" s="703"/>
      <c r="AH1015" s="703"/>
      <c r="AI1015" s="703"/>
      <c r="AJ1015" s="703"/>
      <c r="AK1015" s="703"/>
      <c r="AL1015" s="703"/>
      <c r="AM1015" s="703"/>
      <c r="AN1015" s="703"/>
      <c r="AO1015" s="703"/>
      <c r="AP1015" s="703"/>
      <c r="AQ1015" s="703"/>
      <c r="AR1015" s="703"/>
      <c r="AS1015" s="703"/>
      <c r="AT1015" s="703"/>
      <c r="AU1015" s="703"/>
      <c r="AV1015" s="703"/>
      <c r="AW1015" s="703"/>
      <c r="AX1015" s="703"/>
      <c r="AY1015" s="703"/>
      <c r="AZ1015" s="703"/>
      <c r="BA1015" s="703"/>
      <c r="BB1015" s="703"/>
      <c r="BC1015" s="703"/>
      <c r="BD1015" s="703"/>
      <c r="BE1015" s="703"/>
      <c r="BF1015" s="703"/>
      <c r="BG1015" s="703"/>
      <c r="BH1015" s="703"/>
      <c r="BI1015" s="703"/>
      <c r="BJ1015" s="703"/>
      <c r="BK1015" s="703"/>
      <c r="BL1015" s="703"/>
      <c r="BM1015" s="703"/>
      <c r="BN1015" s="703"/>
      <c r="BO1015" s="703"/>
      <c r="BP1015" s="703"/>
      <c r="BQ1015" s="703"/>
      <c r="BR1015" s="703"/>
      <c r="BS1015" s="703"/>
      <c r="BT1015" s="703"/>
      <c r="BU1015" s="703"/>
      <c r="BV1015" s="703"/>
      <c r="BW1015" s="703"/>
      <c r="BX1015" s="703"/>
      <c r="BY1015" s="703"/>
      <c r="BZ1015" s="703"/>
      <c r="CA1015" s="703"/>
      <c r="CB1015" s="703"/>
      <c r="CC1015" s="703"/>
      <c r="CD1015" s="703"/>
      <c r="CE1015" s="703"/>
      <c r="CF1015" s="703"/>
      <c r="CG1015" s="703"/>
      <c r="CH1015" s="703"/>
      <c r="CI1015" s="703"/>
      <c r="CJ1015" s="703"/>
      <c r="CK1015" s="703"/>
      <c r="CL1015" s="703"/>
      <c r="CM1015" s="703"/>
      <c r="CN1015" s="703"/>
      <c r="CO1015" s="703"/>
      <c r="CP1015" s="703"/>
      <c r="CQ1015" s="703"/>
      <c r="CR1015" s="703"/>
      <c r="CS1015" s="703"/>
      <c r="CT1015" s="703"/>
      <c r="CU1015" s="703"/>
      <c r="CV1015" s="703"/>
      <c r="CW1015" s="703"/>
      <c r="CX1015" s="703"/>
      <c r="CY1015" s="703"/>
      <c r="CZ1015" s="703"/>
      <c r="DA1015" s="703"/>
      <c r="DB1015" s="703"/>
      <c r="DC1015" s="703"/>
      <c r="DD1015" s="703"/>
      <c r="DE1015" s="703"/>
      <c r="DF1015" s="703"/>
      <c r="DG1015" s="703"/>
      <c r="DH1015" s="703"/>
      <c r="DI1015" s="703"/>
      <c r="DJ1015" s="703"/>
      <c r="DK1015" s="703"/>
      <c r="DL1015" s="703"/>
      <c r="DM1015" s="703"/>
      <c r="DN1015" s="703"/>
      <c r="DO1015" s="703"/>
      <c r="DP1015" s="703"/>
      <c r="DQ1015" s="703"/>
      <c r="DR1015" s="703"/>
      <c r="DS1015" s="703"/>
      <c r="DT1015" s="703"/>
      <c r="DU1015" s="703"/>
      <c r="DV1015" s="703"/>
      <c r="DW1015" s="703"/>
      <c r="DX1015" s="703"/>
      <c r="DY1015" s="703"/>
      <c r="DZ1015" s="703"/>
      <c r="EA1015" s="703"/>
      <c r="EB1015" s="703"/>
      <c r="EC1015" s="703"/>
      <c r="ED1015" s="703"/>
      <c r="EE1015" s="703"/>
      <c r="EF1015" s="703"/>
      <c r="EG1015" s="703"/>
      <c r="EH1015" s="703"/>
      <c r="EI1015" s="703"/>
      <c r="EJ1015" s="703"/>
      <c r="EK1015" s="703"/>
      <c r="EL1015" s="703"/>
      <c r="EM1015" s="703"/>
      <c r="EN1015" s="703"/>
      <c r="EO1015" s="703"/>
      <c r="EP1015" s="703"/>
      <c r="EQ1015" s="703"/>
      <c r="ER1015" s="703"/>
      <c r="ES1015" s="703"/>
      <c r="ET1015" s="703"/>
      <c r="EU1015" s="703"/>
      <c r="EV1015" s="703"/>
      <c r="EW1015" s="703"/>
      <c r="EX1015" s="703"/>
      <c r="EY1015" s="703"/>
      <c r="EZ1015" s="703"/>
      <c r="FA1015" s="703"/>
      <c r="FB1015" s="703"/>
      <c r="FC1015" s="703"/>
      <c r="FD1015" s="703"/>
      <c r="FE1015" s="703"/>
      <c r="FF1015" s="703"/>
      <c r="FG1015" s="703"/>
      <c r="FH1015" s="703"/>
      <c r="FI1015" s="703"/>
      <c r="FJ1015" s="703"/>
      <c r="FK1015" s="703"/>
      <c r="FL1015" s="703"/>
      <c r="FM1015" s="703"/>
      <c r="FN1015" s="703"/>
      <c r="FO1015" s="703"/>
      <c r="FP1015" s="703"/>
      <c r="FQ1015" s="703"/>
      <c r="FR1015" s="703"/>
      <c r="FS1015" s="703"/>
      <c r="FT1015" s="703"/>
      <c r="FU1015" s="703"/>
      <c r="FV1015" s="703"/>
      <c r="FW1015" s="703"/>
      <c r="FX1015" s="703"/>
      <c r="FY1015" s="703"/>
      <c r="FZ1015" s="703"/>
      <c r="GA1015" s="703"/>
      <c r="GB1015" s="703"/>
      <c r="GC1015" s="703"/>
      <c r="GD1015" s="703"/>
      <c r="GE1015" s="703"/>
      <c r="GF1015" s="703"/>
      <c r="GG1015" s="703"/>
      <c r="GH1015" s="703"/>
      <c r="GI1015" s="703"/>
      <c r="GJ1015" s="703"/>
      <c r="GK1015" s="703"/>
      <c r="GL1015" s="703"/>
      <c r="GM1015" s="703"/>
      <c r="GN1015" s="703"/>
      <c r="GO1015" s="703"/>
      <c r="GP1015" s="703"/>
      <c r="GQ1015" s="703"/>
      <c r="GR1015" s="703"/>
      <c r="GS1015" s="703"/>
      <c r="GT1015" s="703"/>
      <c r="GU1015" s="703"/>
      <c r="GV1015" s="703"/>
      <c r="GW1015" s="703"/>
      <c r="GX1015" s="703"/>
      <c r="GY1015" s="703"/>
      <c r="GZ1015" s="703"/>
      <c r="HA1015" s="703"/>
      <c r="HB1015" s="703"/>
      <c r="HC1015" s="703"/>
      <c r="HD1015" s="703"/>
      <c r="HE1015" s="703"/>
      <c r="HF1015" s="703"/>
      <c r="HG1015" s="703"/>
      <c r="HH1015" s="703"/>
      <c r="HI1015" s="703"/>
      <c r="HJ1015" s="703"/>
      <c r="HK1015" s="703"/>
      <c r="HL1015" s="703"/>
      <c r="HM1015" s="703"/>
      <c r="HN1015" s="703"/>
      <c r="HO1015" s="703"/>
      <c r="HP1015" s="703"/>
      <c r="HQ1015" s="703"/>
      <c r="HR1015" s="703"/>
      <c r="HS1015" s="703"/>
      <c r="HT1015" s="703"/>
      <c r="HU1015" s="703"/>
      <c r="HV1015" s="703"/>
      <c r="HW1015" s="703"/>
      <c r="HX1015" s="703"/>
      <c r="HY1015" s="703"/>
      <c r="HZ1015" s="703"/>
      <c r="IA1015" s="703"/>
      <c r="IB1015" s="703"/>
      <c r="IC1015" s="703"/>
      <c r="ID1015" s="703"/>
      <c r="IE1015" s="703"/>
      <c r="IF1015" s="703"/>
      <c r="IG1015" s="703"/>
      <c r="IH1015" s="703"/>
      <c r="II1015" s="703"/>
      <c r="IJ1015" s="703"/>
      <c r="IK1015" s="703"/>
      <c r="IL1015" s="703"/>
      <c r="IM1015" s="703"/>
      <c r="IN1015" s="703"/>
      <c r="IO1015" s="703"/>
      <c r="IP1015" s="703"/>
      <c r="IQ1015" s="703"/>
      <c r="IR1015" s="703"/>
      <c r="IS1015" s="703"/>
      <c r="IT1015" s="703"/>
      <c r="IU1015" s="703"/>
      <c r="IV1015" s="703"/>
      <c r="IW1015" s="703"/>
    </row>
    <row r="1016" spans="1:257" s="724" customFormat="1">
      <c r="A1016" s="713" t="s">
        <v>258</v>
      </c>
      <c r="B1016" s="813" t="s">
        <v>1168</v>
      </c>
      <c r="C1016" s="713">
        <v>5</v>
      </c>
      <c r="D1016" s="713"/>
      <c r="E1016" s="725"/>
      <c r="F1016" s="725">
        <v>488000000</v>
      </c>
      <c r="G1016" s="700"/>
      <c r="H1016" s="700"/>
      <c r="I1016" s="700"/>
      <c r="J1016" s="725">
        <v>571000000</v>
      </c>
      <c r="K1016" s="725">
        <f>K1017+K1019</f>
        <v>695000000</v>
      </c>
      <c r="L1016" s="1311">
        <f>L1017+L1019</f>
        <v>810600000</v>
      </c>
      <c r="M1016" s="669"/>
      <c r="N1016" s="868"/>
      <c r="O1016" s="868"/>
      <c r="P1016" s="820"/>
      <c r="Q1016" s="820"/>
      <c r="R1016" s="866"/>
      <c r="S1016" s="871"/>
      <c r="T1016" s="824"/>
      <c r="U1016" s="580"/>
      <c r="V1016" s="581"/>
      <c r="W1016" s="722"/>
      <c r="X1016" s="723"/>
    </row>
    <row r="1017" spans="1:257" s="724" customFormat="1">
      <c r="A1017" s="713"/>
      <c r="B1017" s="684" t="s">
        <v>1193</v>
      </c>
      <c r="C1017" s="713"/>
      <c r="D1017" s="713"/>
      <c r="E1017" s="725"/>
      <c r="F1017" s="725"/>
      <c r="G1017" s="700"/>
      <c r="H1017" s="700"/>
      <c r="I1017" s="700"/>
      <c r="J1017" s="725"/>
      <c r="K1017" s="725">
        <v>575000000</v>
      </c>
      <c r="L1017" s="1311">
        <f>43000000*12</f>
        <v>516000000</v>
      </c>
      <c r="M1017" s="669">
        <f>L1017+L1019</f>
        <v>810600000</v>
      </c>
      <c r="N1017" s="868"/>
      <c r="O1017" s="868"/>
      <c r="P1017" s="820"/>
      <c r="Q1017" s="820"/>
      <c r="R1017" s="866"/>
      <c r="S1017" s="871"/>
      <c r="T1017" s="824"/>
      <c r="U1017" s="580"/>
      <c r="V1017" s="581"/>
      <c r="W1017" s="722"/>
      <c r="X1017" s="723"/>
    </row>
    <row r="1018" spans="1:257" s="724" customFormat="1">
      <c r="A1018" s="713"/>
      <c r="B1018" s="684" t="s">
        <v>1390</v>
      </c>
      <c r="C1018" s="713"/>
      <c r="D1018" s="713"/>
      <c r="E1018" s="725"/>
      <c r="F1018" s="725"/>
      <c r="G1018" s="700"/>
      <c r="H1018" s="700"/>
      <c r="I1018" s="700"/>
      <c r="J1018" s="725"/>
      <c r="K1018" s="725">
        <f>ROUND(K1019-K1036,-6)</f>
        <v>65000000</v>
      </c>
      <c r="L1018" s="1311">
        <f>ROUND(L1019-L1036,-6)</f>
        <v>238000000</v>
      </c>
      <c r="M1018" s="669"/>
      <c r="N1018" s="868"/>
      <c r="O1018" s="868"/>
      <c r="P1018" s="820"/>
      <c r="Q1018" s="820"/>
      <c r="R1018" s="866"/>
      <c r="S1018" s="871"/>
      <c r="T1018" s="824"/>
      <c r="U1018" s="580"/>
      <c r="V1018" s="581"/>
      <c r="W1018" s="722"/>
      <c r="X1018" s="723"/>
    </row>
    <row r="1019" spans="1:257" s="724" customFormat="1">
      <c r="A1019" s="713"/>
      <c r="B1019" s="684" t="s">
        <v>1380</v>
      </c>
      <c r="C1019" s="713"/>
      <c r="D1019" s="713"/>
      <c r="E1019" s="725"/>
      <c r="F1019" s="725"/>
      <c r="G1019" s="700"/>
      <c r="H1019" s="700"/>
      <c r="I1019" s="700"/>
      <c r="J1019" s="725"/>
      <c r="K1019" s="725">
        <v>120000000</v>
      </c>
      <c r="L1019" s="1311">
        <f>(67550000-43000000)*12</f>
        <v>294600000</v>
      </c>
      <c r="M1019" s="669"/>
      <c r="N1019" s="868"/>
      <c r="O1019" s="868"/>
      <c r="P1019" s="820"/>
      <c r="Q1019" s="820"/>
      <c r="R1019" s="866"/>
      <c r="S1019" s="871"/>
      <c r="T1019" s="824"/>
      <c r="U1019" s="580"/>
      <c r="V1019" s="581"/>
      <c r="W1019" s="722"/>
      <c r="X1019" s="723"/>
    </row>
    <row r="1020" spans="1:257" s="681" customFormat="1">
      <c r="A1020" s="812" t="s">
        <v>91</v>
      </c>
      <c r="B1020" s="813" t="s">
        <v>256</v>
      </c>
      <c r="C1020" s="713" t="s">
        <v>842</v>
      </c>
      <c r="D1020" s="713"/>
      <c r="E1020" s="725">
        <v>27000000</v>
      </c>
      <c r="F1020" s="725">
        <f>C1016*E1020</f>
        <v>135000000</v>
      </c>
      <c r="G1020" s="725"/>
      <c r="H1020" s="725">
        <v>5</v>
      </c>
      <c r="I1020" s="725">
        <v>27000000</v>
      </c>
      <c r="J1020" s="725">
        <f>H1020*I1020</f>
        <v>135000000</v>
      </c>
      <c r="K1020" s="725">
        <f>27000000*5</f>
        <v>135000000</v>
      </c>
      <c r="L1020" s="1311">
        <f>27000000*4</f>
        <v>108000000</v>
      </c>
      <c r="M1020" s="669" t="s">
        <v>1391</v>
      </c>
      <c r="N1020" s="868"/>
      <c r="O1020" s="868"/>
      <c r="P1020" s="868"/>
      <c r="Q1020" s="868"/>
      <c r="R1020" s="866"/>
      <c r="S1020" s="871"/>
      <c r="T1020" s="824"/>
      <c r="U1020" s="726"/>
      <c r="V1020" s="581"/>
      <c r="W1020" s="727"/>
      <c r="X1020" s="728"/>
      <c r="Y1020" s="682"/>
      <c r="Z1020" s="682"/>
      <c r="AA1020" s="682"/>
      <c r="AB1020" s="682"/>
      <c r="AC1020" s="682"/>
      <c r="AD1020" s="682"/>
      <c r="AE1020" s="682"/>
      <c r="AF1020" s="682"/>
      <c r="AG1020" s="682"/>
      <c r="AH1020" s="682"/>
      <c r="AI1020" s="682"/>
      <c r="AJ1020" s="682"/>
      <c r="AK1020" s="682"/>
      <c r="AL1020" s="682"/>
      <c r="AM1020" s="682"/>
      <c r="AN1020" s="682"/>
      <c r="AO1020" s="682"/>
      <c r="AP1020" s="682"/>
      <c r="AQ1020" s="682"/>
      <c r="AR1020" s="682"/>
      <c r="AS1020" s="682"/>
      <c r="AT1020" s="682"/>
      <c r="AU1020" s="682"/>
      <c r="AV1020" s="682"/>
      <c r="AW1020" s="682"/>
      <c r="AX1020" s="682"/>
      <c r="AY1020" s="682"/>
      <c r="AZ1020" s="682"/>
      <c r="BA1020" s="682"/>
      <c r="BB1020" s="682"/>
      <c r="BC1020" s="682"/>
      <c r="BD1020" s="682"/>
      <c r="BE1020" s="682"/>
      <c r="BF1020" s="682"/>
      <c r="BG1020" s="682"/>
      <c r="BH1020" s="682"/>
      <c r="BI1020" s="682"/>
      <c r="BJ1020" s="682"/>
      <c r="BK1020" s="682"/>
      <c r="BL1020" s="682"/>
      <c r="BM1020" s="682"/>
      <c r="BN1020" s="682"/>
      <c r="BO1020" s="682"/>
      <c r="BP1020" s="682"/>
      <c r="BQ1020" s="682"/>
      <c r="BR1020" s="682"/>
      <c r="BS1020" s="682"/>
      <c r="BT1020" s="682"/>
      <c r="BU1020" s="682"/>
      <c r="BV1020" s="682"/>
      <c r="BW1020" s="682"/>
      <c r="BX1020" s="682"/>
      <c r="BY1020" s="682"/>
      <c r="BZ1020" s="682"/>
      <c r="CA1020" s="682"/>
      <c r="CB1020" s="682"/>
      <c r="CC1020" s="682"/>
      <c r="CD1020" s="682"/>
      <c r="CE1020" s="682"/>
      <c r="CF1020" s="682"/>
      <c r="CG1020" s="682"/>
      <c r="CH1020" s="682"/>
      <c r="CI1020" s="682"/>
      <c r="CJ1020" s="682"/>
      <c r="CK1020" s="682"/>
      <c r="CL1020" s="682"/>
      <c r="CM1020" s="682"/>
      <c r="CN1020" s="682"/>
      <c r="CO1020" s="682"/>
      <c r="CP1020" s="682"/>
      <c r="CQ1020" s="682"/>
      <c r="CR1020" s="682"/>
      <c r="CS1020" s="682"/>
      <c r="CT1020" s="682"/>
      <c r="CU1020" s="682"/>
      <c r="CV1020" s="682"/>
      <c r="CW1020" s="682"/>
      <c r="CX1020" s="682"/>
      <c r="CY1020" s="682"/>
      <c r="CZ1020" s="682"/>
      <c r="DA1020" s="682"/>
      <c r="DB1020" s="682"/>
      <c r="DC1020" s="682"/>
      <c r="DD1020" s="682"/>
      <c r="DE1020" s="682"/>
      <c r="DF1020" s="682"/>
      <c r="DG1020" s="682"/>
      <c r="DH1020" s="682"/>
      <c r="DI1020" s="682"/>
      <c r="DJ1020" s="682"/>
      <c r="DK1020" s="682"/>
      <c r="DL1020" s="682"/>
      <c r="DM1020" s="682"/>
      <c r="DN1020" s="682"/>
      <c r="DO1020" s="682"/>
      <c r="DP1020" s="682"/>
      <c r="DQ1020" s="682"/>
      <c r="DR1020" s="682"/>
      <c r="DS1020" s="682"/>
      <c r="DT1020" s="682"/>
      <c r="DU1020" s="682"/>
      <c r="DV1020" s="682"/>
      <c r="DW1020" s="682"/>
      <c r="DX1020" s="682"/>
      <c r="DY1020" s="682"/>
      <c r="DZ1020" s="682"/>
      <c r="EA1020" s="682"/>
      <c r="EB1020" s="682"/>
      <c r="EC1020" s="682"/>
      <c r="ED1020" s="682"/>
      <c r="EE1020" s="682"/>
      <c r="EF1020" s="682"/>
      <c r="EG1020" s="682"/>
      <c r="EH1020" s="682"/>
      <c r="EI1020" s="682"/>
      <c r="EJ1020" s="682"/>
      <c r="EK1020" s="682"/>
      <c r="EL1020" s="682"/>
      <c r="EM1020" s="682"/>
      <c r="EN1020" s="682"/>
      <c r="EO1020" s="682"/>
      <c r="EP1020" s="682"/>
      <c r="EQ1020" s="682"/>
      <c r="ER1020" s="682"/>
      <c r="ES1020" s="682"/>
      <c r="ET1020" s="682"/>
      <c r="EU1020" s="682"/>
      <c r="EV1020" s="682"/>
      <c r="EW1020" s="682"/>
      <c r="EX1020" s="682"/>
      <c r="EY1020" s="682"/>
      <c r="EZ1020" s="682"/>
      <c r="FA1020" s="682"/>
      <c r="FB1020" s="682"/>
      <c r="FC1020" s="682"/>
      <c r="FD1020" s="682"/>
      <c r="FE1020" s="682"/>
      <c r="FF1020" s="682"/>
      <c r="FG1020" s="682"/>
      <c r="FH1020" s="682"/>
      <c r="FI1020" s="682"/>
      <c r="FJ1020" s="682"/>
      <c r="FK1020" s="682"/>
      <c r="FL1020" s="682"/>
      <c r="FM1020" s="682"/>
      <c r="FN1020" s="682"/>
      <c r="FO1020" s="682"/>
      <c r="FP1020" s="682"/>
      <c r="FQ1020" s="682"/>
      <c r="FR1020" s="682"/>
      <c r="FS1020" s="682"/>
      <c r="FT1020" s="682"/>
      <c r="FU1020" s="682"/>
      <c r="FV1020" s="682"/>
      <c r="FW1020" s="682"/>
      <c r="FX1020" s="682"/>
      <c r="FY1020" s="682"/>
      <c r="FZ1020" s="682"/>
      <c r="GA1020" s="682"/>
      <c r="GB1020" s="682"/>
      <c r="GC1020" s="682"/>
      <c r="GD1020" s="682"/>
      <c r="GE1020" s="682"/>
      <c r="GF1020" s="682"/>
      <c r="GG1020" s="682"/>
      <c r="GH1020" s="682"/>
      <c r="GI1020" s="682"/>
      <c r="GJ1020" s="682"/>
      <c r="GK1020" s="682"/>
      <c r="GL1020" s="682"/>
      <c r="GM1020" s="682"/>
      <c r="GN1020" s="682"/>
      <c r="GO1020" s="682"/>
      <c r="GP1020" s="682"/>
      <c r="GQ1020" s="682"/>
      <c r="GR1020" s="682"/>
      <c r="GS1020" s="682"/>
      <c r="GT1020" s="682"/>
      <c r="GU1020" s="682"/>
      <c r="GV1020" s="682"/>
      <c r="GW1020" s="682"/>
      <c r="GX1020" s="682"/>
      <c r="GY1020" s="682"/>
      <c r="GZ1020" s="682"/>
      <c r="HA1020" s="682"/>
      <c r="HB1020" s="682"/>
      <c r="HC1020" s="682"/>
      <c r="HD1020" s="682"/>
      <c r="HE1020" s="682"/>
      <c r="HF1020" s="682"/>
      <c r="HG1020" s="682"/>
      <c r="HH1020" s="682"/>
      <c r="HI1020" s="682"/>
      <c r="HJ1020" s="682"/>
      <c r="HK1020" s="682"/>
      <c r="HL1020" s="682"/>
      <c r="HM1020" s="682"/>
      <c r="HN1020" s="682"/>
      <c r="HO1020" s="682"/>
      <c r="HP1020" s="682"/>
      <c r="HQ1020" s="682"/>
      <c r="HR1020" s="682"/>
      <c r="HS1020" s="682"/>
      <c r="HT1020" s="682"/>
      <c r="HU1020" s="682"/>
      <c r="HV1020" s="682"/>
      <c r="HW1020" s="682"/>
      <c r="HX1020" s="682"/>
      <c r="HY1020" s="682"/>
      <c r="HZ1020" s="682"/>
      <c r="IA1020" s="682"/>
      <c r="IB1020" s="682"/>
      <c r="IC1020" s="682"/>
      <c r="ID1020" s="682"/>
      <c r="IE1020" s="682"/>
      <c r="IF1020" s="682"/>
      <c r="IG1020" s="682"/>
      <c r="IH1020" s="682"/>
      <c r="II1020" s="682"/>
      <c r="IJ1020" s="682"/>
      <c r="IK1020" s="682"/>
      <c r="IL1020" s="682"/>
      <c r="IM1020" s="682"/>
      <c r="IN1020" s="682"/>
      <c r="IO1020" s="682"/>
      <c r="IP1020" s="682"/>
      <c r="IQ1020" s="682"/>
      <c r="IR1020" s="682"/>
      <c r="IS1020" s="682"/>
      <c r="IT1020" s="682"/>
      <c r="IU1020" s="682"/>
      <c r="IV1020" s="682"/>
      <c r="IW1020" s="682"/>
    </row>
    <row r="1021" spans="1:257" s="682" customFormat="1">
      <c r="A1021" s="589" t="s">
        <v>225</v>
      </c>
      <c r="B1021" s="804" t="s">
        <v>257</v>
      </c>
      <c r="C1021" s="589"/>
      <c r="D1021" s="589"/>
      <c r="E1021" s="704"/>
      <c r="F1021" s="805">
        <f>SUM(F1022:F1035)</f>
        <v>290000000</v>
      </c>
      <c r="G1021" s="716"/>
      <c r="H1021" s="716"/>
      <c r="I1021" s="716"/>
      <c r="J1021" s="805">
        <f>J1022+SUM(J1029:J1035)</f>
        <v>355000000</v>
      </c>
      <c r="K1021" s="805">
        <f>K1022+SUM(K1029:K1035)</f>
        <v>427000000</v>
      </c>
      <c r="L1021" s="1312">
        <f>L1022+SUM(L1029:L1035)</f>
        <v>489700000</v>
      </c>
      <c r="M1021" s="603"/>
      <c r="N1021" s="835"/>
      <c r="O1021" s="835"/>
      <c r="P1021" s="890"/>
      <c r="Q1021" s="890"/>
      <c r="R1021" s="871"/>
      <c r="S1021" s="900"/>
      <c r="T1021" s="822"/>
      <c r="U1021" s="580"/>
      <c r="V1021" s="727"/>
      <c r="W1021" s="581"/>
      <c r="X1021" s="578"/>
      <c r="Y1021" s="582"/>
      <c r="Z1021" s="582"/>
      <c r="AA1021" s="582"/>
      <c r="AB1021" s="582"/>
      <c r="AC1021" s="582"/>
      <c r="AD1021" s="582"/>
      <c r="AE1021" s="582"/>
      <c r="AF1021" s="582"/>
      <c r="AG1021" s="582"/>
      <c r="AH1021" s="582"/>
      <c r="AI1021" s="582"/>
      <c r="AJ1021" s="582"/>
      <c r="AK1021" s="582"/>
      <c r="AL1021" s="582"/>
      <c r="AM1021" s="582"/>
      <c r="AN1021" s="582"/>
      <c r="AO1021" s="582"/>
      <c r="AP1021" s="582"/>
      <c r="AQ1021" s="582"/>
      <c r="AR1021" s="582"/>
      <c r="AS1021" s="582"/>
      <c r="AT1021" s="582"/>
      <c r="AU1021" s="582"/>
      <c r="AV1021" s="582"/>
      <c r="AW1021" s="582"/>
      <c r="AX1021" s="582"/>
      <c r="AY1021" s="582"/>
      <c r="AZ1021" s="582"/>
      <c r="BA1021" s="582"/>
      <c r="BB1021" s="582"/>
      <c r="BC1021" s="582"/>
      <c r="BD1021" s="582"/>
      <c r="BE1021" s="582"/>
      <c r="BF1021" s="582"/>
      <c r="BG1021" s="582"/>
      <c r="BH1021" s="582"/>
      <c r="BI1021" s="582"/>
      <c r="BJ1021" s="582"/>
      <c r="BK1021" s="582"/>
      <c r="BL1021" s="582"/>
      <c r="BM1021" s="582"/>
      <c r="BN1021" s="582"/>
      <c r="BO1021" s="582"/>
      <c r="BP1021" s="582"/>
      <c r="BQ1021" s="582"/>
      <c r="BR1021" s="582"/>
      <c r="BS1021" s="582"/>
      <c r="BT1021" s="582"/>
      <c r="BU1021" s="582"/>
      <c r="BV1021" s="582"/>
      <c r="BW1021" s="582"/>
      <c r="BX1021" s="582"/>
      <c r="BY1021" s="582"/>
      <c r="BZ1021" s="582"/>
      <c r="CA1021" s="582"/>
      <c r="CB1021" s="582"/>
      <c r="CC1021" s="582"/>
      <c r="CD1021" s="582"/>
      <c r="CE1021" s="582"/>
      <c r="CF1021" s="582"/>
      <c r="CG1021" s="582"/>
      <c r="CH1021" s="582"/>
      <c r="CI1021" s="582"/>
      <c r="CJ1021" s="582"/>
      <c r="CK1021" s="582"/>
      <c r="CL1021" s="582"/>
      <c r="CM1021" s="582"/>
      <c r="CN1021" s="582"/>
      <c r="CO1021" s="582"/>
      <c r="CP1021" s="582"/>
      <c r="CQ1021" s="582"/>
      <c r="CR1021" s="582"/>
      <c r="CS1021" s="582"/>
      <c r="CT1021" s="582"/>
      <c r="CU1021" s="582"/>
      <c r="CV1021" s="582"/>
      <c r="CW1021" s="582"/>
      <c r="CX1021" s="582"/>
      <c r="CY1021" s="582"/>
      <c r="CZ1021" s="582"/>
      <c r="DA1021" s="582"/>
      <c r="DB1021" s="582"/>
      <c r="DC1021" s="582"/>
      <c r="DD1021" s="582"/>
      <c r="DE1021" s="582"/>
      <c r="DF1021" s="582"/>
      <c r="DG1021" s="582"/>
      <c r="DH1021" s="582"/>
      <c r="DI1021" s="582"/>
      <c r="DJ1021" s="582"/>
      <c r="DK1021" s="582"/>
      <c r="DL1021" s="582"/>
      <c r="DM1021" s="582"/>
      <c r="DN1021" s="582"/>
      <c r="DO1021" s="582"/>
      <c r="DP1021" s="582"/>
      <c r="DQ1021" s="582"/>
      <c r="DR1021" s="582"/>
      <c r="DS1021" s="582"/>
      <c r="DT1021" s="582"/>
      <c r="DU1021" s="582"/>
      <c r="DV1021" s="582"/>
      <c r="DW1021" s="582"/>
      <c r="DX1021" s="582"/>
      <c r="DY1021" s="582"/>
      <c r="DZ1021" s="582"/>
      <c r="EA1021" s="582"/>
      <c r="EB1021" s="582"/>
      <c r="EC1021" s="582"/>
      <c r="ED1021" s="582"/>
      <c r="EE1021" s="582"/>
      <c r="EF1021" s="582"/>
      <c r="EG1021" s="582"/>
      <c r="EH1021" s="582"/>
      <c r="EI1021" s="582"/>
      <c r="EJ1021" s="582"/>
      <c r="EK1021" s="582"/>
      <c r="EL1021" s="582"/>
      <c r="EM1021" s="582"/>
      <c r="EN1021" s="582"/>
      <c r="EO1021" s="582"/>
      <c r="EP1021" s="582"/>
      <c r="EQ1021" s="582"/>
      <c r="ER1021" s="582"/>
      <c r="ES1021" s="582"/>
      <c r="ET1021" s="582"/>
      <c r="EU1021" s="582"/>
      <c r="EV1021" s="582"/>
      <c r="EW1021" s="582"/>
      <c r="EX1021" s="582"/>
      <c r="EY1021" s="582"/>
      <c r="EZ1021" s="582"/>
      <c r="FA1021" s="582"/>
      <c r="FB1021" s="582"/>
      <c r="FC1021" s="582"/>
      <c r="FD1021" s="582"/>
      <c r="FE1021" s="582"/>
      <c r="FF1021" s="582"/>
      <c r="FG1021" s="582"/>
      <c r="FH1021" s="582"/>
      <c r="FI1021" s="582"/>
      <c r="FJ1021" s="582"/>
      <c r="FK1021" s="582"/>
      <c r="FL1021" s="582"/>
      <c r="FM1021" s="582"/>
      <c r="FN1021" s="582"/>
      <c r="FO1021" s="582"/>
      <c r="FP1021" s="582"/>
      <c r="FQ1021" s="582"/>
      <c r="FR1021" s="582"/>
      <c r="FS1021" s="582"/>
      <c r="FT1021" s="582"/>
      <c r="FU1021" s="582"/>
      <c r="FV1021" s="582"/>
      <c r="FW1021" s="582"/>
      <c r="FX1021" s="582"/>
      <c r="FY1021" s="582"/>
      <c r="FZ1021" s="582"/>
      <c r="GA1021" s="582"/>
      <c r="GB1021" s="582"/>
      <c r="GC1021" s="582"/>
      <c r="GD1021" s="582"/>
      <c r="GE1021" s="582"/>
      <c r="GF1021" s="582"/>
      <c r="GG1021" s="582"/>
      <c r="GH1021" s="582"/>
      <c r="GI1021" s="582"/>
      <c r="GJ1021" s="582"/>
      <c r="GK1021" s="582"/>
      <c r="GL1021" s="582"/>
      <c r="GM1021" s="582"/>
      <c r="GN1021" s="582"/>
      <c r="GO1021" s="582"/>
      <c r="GP1021" s="582"/>
      <c r="GQ1021" s="582"/>
      <c r="GR1021" s="582"/>
      <c r="GS1021" s="582"/>
      <c r="GT1021" s="582"/>
      <c r="GU1021" s="582"/>
      <c r="GV1021" s="582"/>
      <c r="GW1021" s="582"/>
      <c r="GX1021" s="582"/>
      <c r="GY1021" s="582"/>
      <c r="GZ1021" s="582"/>
      <c r="HA1021" s="582"/>
      <c r="HB1021" s="582"/>
      <c r="HC1021" s="582"/>
      <c r="HD1021" s="582"/>
      <c r="HE1021" s="582"/>
      <c r="HF1021" s="582"/>
      <c r="HG1021" s="582"/>
      <c r="HH1021" s="582"/>
      <c r="HI1021" s="582"/>
      <c r="HJ1021" s="582"/>
      <c r="HK1021" s="582"/>
      <c r="HL1021" s="582"/>
      <c r="HM1021" s="582"/>
      <c r="HN1021" s="582"/>
      <c r="HO1021" s="582"/>
      <c r="HP1021" s="582"/>
      <c r="HQ1021" s="582"/>
      <c r="HR1021" s="582"/>
      <c r="HS1021" s="582"/>
      <c r="HT1021" s="582"/>
      <c r="HU1021" s="582"/>
      <c r="HV1021" s="582"/>
      <c r="HW1021" s="582"/>
      <c r="HX1021" s="582"/>
      <c r="HY1021" s="582"/>
      <c r="HZ1021" s="582"/>
      <c r="IA1021" s="582"/>
      <c r="IB1021" s="582"/>
      <c r="IC1021" s="582"/>
      <c r="ID1021" s="582"/>
      <c r="IE1021" s="582"/>
      <c r="IF1021" s="582"/>
      <c r="IG1021" s="582"/>
      <c r="IH1021" s="582"/>
      <c r="II1021" s="582"/>
      <c r="IJ1021" s="582"/>
      <c r="IK1021" s="582"/>
      <c r="IL1021" s="582"/>
      <c r="IM1021" s="582"/>
      <c r="IN1021" s="582"/>
      <c r="IO1021" s="582"/>
      <c r="IP1021" s="582"/>
      <c r="IQ1021" s="582"/>
      <c r="IR1021" s="582"/>
      <c r="IS1021" s="582"/>
      <c r="IT1021" s="582"/>
      <c r="IU1021" s="582"/>
      <c r="IV1021" s="582"/>
      <c r="IW1021" s="582"/>
    </row>
    <row r="1022" spans="1:257" s="682" customFormat="1" ht="47.25">
      <c r="A1022" s="713" t="s">
        <v>258</v>
      </c>
      <c r="B1022" s="813" t="s">
        <v>1392</v>
      </c>
      <c r="C1022" s="699"/>
      <c r="D1022" s="699"/>
      <c r="E1022" s="725"/>
      <c r="F1022" s="725">
        <v>270000000</v>
      </c>
      <c r="G1022" s="725"/>
      <c r="H1022" s="725"/>
      <c r="I1022" s="725"/>
      <c r="J1022" s="725">
        <f>SUM(J1023:J1028)</f>
        <v>285000000</v>
      </c>
      <c r="K1022" s="725">
        <f>K1023+K1024+K1025+K1026+K1027+K1028</f>
        <v>342000000</v>
      </c>
      <c r="L1022" s="1311">
        <f>L1023+L1024+L1025+L1026+L1027+L1028</f>
        <v>380000000</v>
      </c>
      <c r="M1022" s="669"/>
      <c r="N1022" s="868"/>
      <c r="O1022" s="868"/>
      <c r="P1022" s="868"/>
      <c r="Q1022" s="868"/>
      <c r="R1022" s="871"/>
      <c r="S1022" s="871"/>
      <c r="T1022" s="824"/>
      <c r="U1022" s="580"/>
      <c r="V1022" s="680"/>
      <c r="W1022" s="727"/>
      <c r="X1022" s="728"/>
    </row>
    <row r="1023" spans="1:257" s="682" customFormat="1" ht="31.5">
      <c r="A1023" s="713"/>
      <c r="B1023" s="684" t="s">
        <v>1393</v>
      </c>
      <c r="C1023" s="699"/>
      <c r="D1023" s="699"/>
      <c r="E1023" s="725"/>
      <c r="F1023" s="725"/>
      <c r="G1023" s="725"/>
      <c r="H1023" s="725"/>
      <c r="I1023" s="725"/>
      <c r="J1023" s="725">
        <v>100000000</v>
      </c>
      <c r="K1023" s="725">
        <f>65000000+52000000+25000000</f>
        <v>142000000</v>
      </c>
      <c r="L1023" s="1311">
        <v>170000000</v>
      </c>
      <c r="M1023" s="669" t="s">
        <v>1438</v>
      </c>
      <c r="N1023" s="868"/>
      <c r="O1023" s="868"/>
      <c r="P1023" s="868"/>
      <c r="Q1023" s="868"/>
      <c r="R1023" s="871"/>
      <c r="S1023" s="871"/>
      <c r="T1023" s="824"/>
      <c r="U1023" s="580"/>
      <c r="V1023" s="680"/>
      <c r="W1023" s="727"/>
      <c r="X1023" s="728"/>
    </row>
    <row r="1024" spans="1:257" s="682" customFormat="1" ht="31.5">
      <c r="A1024" s="713"/>
      <c r="B1024" s="684" t="s">
        <v>558</v>
      </c>
      <c r="C1024" s="699"/>
      <c r="D1024" s="699"/>
      <c r="E1024" s="725"/>
      <c r="F1024" s="725"/>
      <c r="G1024" s="725"/>
      <c r="H1024" s="725"/>
      <c r="I1024" s="725"/>
      <c r="J1024" s="725">
        <v>30000000</v>
      </c>
      <c r="K1024" s="725"/>
      <c r="L1024" s="1311"/>
      <c r="M1024" s="669"/>
      <c r="N1024" s="868"/>
      <c r="O1024" s="868"/>
      <c r="P1024" s="868"/>
      <c r="Q1024" s="868"/>
      <c r="R1024" s="871"/>
      <c r="S1024" s="871"/>
      <c r="T1024" s="824"/>
      <c r="U1024" s="580"/>
      <c r="V1024" s="680"/>
      <c r="W1024" s="727"/>
      <c r="X1024" s="728"/>
    </row>
    <row r="1025" spans="1:257" s="682" customFormat="1" ht="31.5">
      <c r="A1025" s="713"/>
      <c r="B1025" s="684" t="s">
        <v>559</v>
      </c>
      <c r="C1025" s="699"/>
      <c r="D1025" s="699"/>
      <c r="E1025" s="725"/>
      <c r="F1025" s="725"/>
      <c r="G1025" s="725"/>
      <c r="H1025" s="725"/>
      <c r="I1025" s="725"/>
      <c r="J1025" s="725">
        <v>20000000</v>
      </c>
      <c r="K1025" s="725"/>
      <c r="L1025" s="1311"/>
      <c r="M1025" s="669"/>
      <c r="N1025" s="868"/>
      <c r="O1025" s="868"/>
      <c r="P1025" s="868"/>
      <c r="Q1025" s="868"/>
      <c r="R1025" s="871"/>
      <c r="S1025" s="871"/>
      <c r="T1025" s="824"/>
      <c r="U1025" s="580"/>
      <c r="V1025" s="680"/>
      <c r="W1025" s="727"/>
      <c r="X1025" s="728"/>
    </row>
    <row r="1026" spans="1:257" s="682" customFormat="1">
      <c r="A1026" s="713"/>
      <c r="B1026" s="684" t="s">
        <v>1194</v>
      </c>
      <c r="C1026" s="699"/>
      <c r="D1026" s="699"/>
      <c r="E1026" s="725"/>
      <c r="F1026" s="725"/>
      <c r="G1026" s="725"/>
      <c r="H1026" s="725"/>
      <c r="I1026" s="725"/>
      <c r="J1026" s="725"/>
      <c r="K1026" s="725">
        <v>40000000</v>
      </c>
      <c r="L1026" s="1311">
        <v>50000000</v>
      </c>
      <c r="M1026" s="669"/>
      <c r="N1026" s="868"/>
      <c r="O1026" s="868"/>
      <c r="P1026" s="868"/>
      <c r="Q1026" s="868"/>
      <c r="R1026" s="871"/>
      <c r="S1026" s="871"/>
      <c r="T1026" s="824"/>
      <c r="U1026" s="580"/>
      <c r="V1026" s="680"/>
      <c r="W1026" s="727"/>
      <c r="X1026" s="728"/>
    </row>
    <row r="1027" spans="1:257" s="682" customFormat="1">
      <c r="A1027" s="713"/>
      <c r="B1027" s="684" t="s">
        <v>560</v>
      </c>
      <c r="C1027" s="699"/>
      <c r="D1027" s="699"/>
      <c r="E1027" s="725"/>
      <c r="F1027" s="725"/>
      <c r="G1027" s="725"/>
      <c r="H1027" s="725"/>
      <c r="I1027" s="725"/>
      <c r="J1027" s="725">
        <v>60000000</v>
      </c>
      <c r="K1027" s="725">
        <v>60000000</v>
      </c>
      <c r="L1027" s="1311">
        <v>60000000</v>
      </c>
      <c r="M1027" s="669"/>
      <c r="N1027" s="868"/>
      <c r="O1027" s="868"/>
      <c r="P1027" s="868"/>
      <c r="Q1027" s="868"/>
      <c r="R1027" s="871"/>
      <c r="S1027" s="871"/>
      <c r="T1027" s="824"/>
      <c r="U1027" s="580"/>
      <c r="V1027" s="680"/>
      <c r="W1027" s="727"/>
      <c r="X1027" s="728"/>
    </row>
    <row r="1028" spans="1:257" s="682" customFormat="1">
      <c r="A1028" s="713"/>
      <c r="B1028" s="684" t="s">
        <v>561</v>
      </c>
      <c r="C1028" s="699"/>
      <c r="D1028" s="699"/>
      <c r="E1028" s="725"/>
      <c r="F1028" s="725"/>
      <c r="G1028" s="725"/>
      <c r="H1028" s="725"/>
      <c r="I1028" s="725"/>
      <c r="J1028" s="725">
        <v>75000000</v>
      </c>
      <c r="K1028" s="725">
        <v>100000000</v>
      </c>
      <c r="L1028" s="1311">
        <v>100000000</v>
      </c>
      <c r="M1028" s="669"/>
      <c r="N1028" s="868"/>
      <c r="O1028" s="868"/>
      <c r="P1028" s="868"/>
      <c r="Q1028" s="868"/>
      <c r="R1028" s="871"/>
      <c r="S1028" s="871"/>
      <c r="T1028" s="824"/>
      <c r="U1028" s="580"/>
      <c r="V1028" s="680"/>
      <c r="W1028" s="727"/>
      <c r="X1028" s="728"/>
    </row>
    <row r="1029" spans="1:257" s="582" customFormat="1">
      <c r="A1029" s="699" t="s">
        <v>258</v>
      </c>
      <c r="B1029" s="696"/>
      <c r="C1029" s="699"/>
      <c r="D1029" s="699"/>
      <c r="E1029" s="700"/>
      <c r="F1029" s="700"/>
      <c r="G1029" s="700">
        <v>15000000</v>
      </c>
      <c r="H1029" s="700"/>
      <c r="I1029" s="700"/>
      <c r="J1029" s="700"/>
      <c r="K1029" s="725"/>
      <c r="L1029" s="1311"/>
      <c r="M1029" s="651" t="s">
        <v>1395</v>
      </c>
      <c r="N1029" s="820"/>
      <c r="O1029" s="820"/>
      <c r="P1029" s="820"/>
      <c r="Q1029" s="820"/>
      <c r="R1029" s="866"/>
      <c r="S1029" s="866"/>
      <c r="T1029" s="839"/>
      <c r="U1029" s="580"/>
      <c r="V1029" s="639"/>
      <c r="W1029" s="581"/>
      <c r="X1029" s="578"/>
    </row>
    <row r="1030" spans="1:257" s="582" customFormat="1">
      <c r="A1030" s="809" t="s">
        <v>91</v>
      </c>
      <c r="B1030" s="696" t="s">
        <v>1196</v>
      </c>
      <c r="C1030" s="699"/>
      <c r="D1030" s="699"/>
      <c r="E1030" s="700"/>
      <c r="F1030" s="700"/>
      <c r="G1030" s="700"/>
      <c r="H1030" s="700"/>
      <c r="I1030" s="700"/>
      <c r="J1030" s="700"/>
      <c r="K1030" s="725">
        <v>25000000</v>
      </c>
      <c r="L1030" s="1311"/>
      <c r="M1030" s="651"/>
      <c r="N1030" s="820"/>
      <c r="O1030" s="820"/>
      <c r="P1030" s="820"/>
      <c r="Q1030" s="820"/>
      <c r="R1030" s="866"/>
      <c r="S1030" s="866"/>
      <c r="T1030" s="839"/>
      <c r="U1030" s="580"/>
      <c r="V1030" s="639"/>
      <c r="W1030" s="581"/>
      <c r="X1030" s="578"/>
    </row>
    <row r="1031" spans="1:257" s="582" customFormat="1" ht="31.5">
      <c r="A1031" s="699" t="s">
        <v>258</v>
      </c>
      <c r="B1031" s="696" t="s">
        <v>525</v>
      </c>
      <c r="C1031" s="699"/>
      <c r="D1031" s="699"/>
      <c r="E1031" s="700"/>
      <c r="F1031" s="700">
        <v>5000000</v>
      </c>
      <c r="G1031" s="700"/>
      <c r="H1031" s="700"/>
      <c r="I1031" s="700"/>
      <c r="J1031" s="700">
        <v>5000000</v>
      </c>
      <c r="K1031" s="725">
        <v>15000000</v>
      </c>
      <c r="L1031" s="1311">
        <v>15000000</v>
      </c>
      <c r="M1031" s="651"/>
      <c r="N1031" s="820"/>
      <c r="O1031" s="820"/>
      <c r="P1031" s="820"/>
      <c r="Q1031" s="820"/>
      <c r="R1031" s="866"/>
      <c r="S1031" s="866"/>
      <c r="T1031" s="839"/>
      <c r="U1031" s="580"/>
      <c r="V1031" s="639"/>
      <c r="W1031" s="581"/>
      <c r="X1031" s="578"/>
    </row>
    <row r="1032" spans="1:257" s="582" customFormat="1">
      <c r="A1032" s="699" t="s">
        <v>91</v>
      </c>
      <c r="B1032" s="696" t="s">
        <v>1394</v>
      </c>
      <c r="C1032" s="699"/>
      <c r="D1032" s="699"/>
      <c r="E1032" s="700"/>
      <c r="F1032" s="700"/>
      <c r="G1032" s="700"/>
      <c r="H1032" s="700"/>
      <c r="I1032" s="700"/>
      <c r="J1032" s="700">
        <v>50000000</v>
      </c>
      <c r="K1032" s="725"/>
      <c r="L1032" s="1311">
        <v>11900000</v>
      </c>
      <c r="M1032" s="651"/>
      <c r="N1032" s="820"/>
      <c r="O1032" s="820"/>
      <c r="P1032" s="820"/>
      <c r="Q1032" s="820"/>
      <c r="R1032" s="866"/>
      <c r="S1032" s="866"/>
      <c r="T1032" s="839"/>
      <c r="U1032" s="580"/>
      <c r="V1032" s="639"/>
      <c r="W1032" s="581"/>
      <c r="X1032" s="578"/>
    </row>
    <row r="1033" spans="1:257" s="582" customFormat="1">
      <c r="A1033" s="809" t="s">
        <v>91</v>
      </c>
      <c r="B1033" s="696" t="s">
        <v>1197</v>
      </c>
      <c r="C1033" s="699"/>
      <c r="D1033" s="699"/>
      <c r="E1033" s="700"/>
      <c r="F1033" s="700"/>
      <c r="G1033" s="700"/>
      <c r="H1033" s="700"/>
      <c r="I1033" s="700"/>
      <c r="J1033" s="700"/>
      <c r="K1033" s="725">
        <v>30000000</v>
      </c>
      <c r="L1033" s="1311">
        <v>30000000</v>
      </c>
      <c r="M1033" s="651"/>
      <c r="N1033" s="820"/>
      <c r="O1033" s="820"/>
      <c r="P1033" s="820"/>
      <c r="Q1033" s="820"/>
      <c r="R1033" s="866"/>
      <c r="S1033" s="866"/>
      <c r="T1033" s="839"/>
      <c r="U1033" s="580"/>
      <c r="V1033" s="639"/>
      <c r="W1033" s="581"/>
      <c r="X1033" s="578"/>
    </row>
    <row r="1034" spans="1:257" s="582" customFormat="1">
      <c r="A1034" s="809" t="s">
        <v>91</v>
      </c>
      <c r="B1034" s="711" t="s">
        <v>1388</v>
      </c>
      <c r="C1034" s="699"/>
      <c r="D1034" s="699"/>
      <c r="E1034" s="700"/>
      <c r="F1034" s="700"/>
      <c r="G1034" s="700"/>
      <c r="H1034" s="700"/>
      <c r="I1034" s="700"/>
      <c r="J1034" s="700"/>
      <c r="K1034" s="725"/>
      <c r="L1034" s="1311">
        <v>30000000</v>
      </c>
      <c r="M1034" s="651" t="s">
        <v>1396</v>
      </c>
      <c r="N1034" s="820"/>
      <c r="O1034" s="820"/>
      <c r="P1034" s="820"/>
      <c r="Q1034" s="820"/>
      <c r="R1034" s="866"/>
      <c r="S1034" s="866"/>
      <c r="T1034" s="839"/>
      <c r="U1034" s="580"/>
      <c r="V1034" s="639"/>
      <c r="W1034" s="581"/>
      <c r="X1034" s="578"/>
    </row>
    <row r="1035" spans="1:257" s="582" customFormat="1">
      <c r="A1035" s="699" t="s">
        <v>258</v>
      </c>
      <c r="B1035" s="696" t="s">
        <v>563</v>
      </c>
      <c r="C1035" s="635"/>
      <c r="D1035" s="635"/>
      <c r="E1035" s="651"/>
      <c r="F1035" s="651">
        <v>15000000</v>
      </c>
      <c r="G1035" s="700"/>
      <c r="H1035" s="700"/>
      <c r="I1035" s="700"/>
      <c r="J1035" s="651">
        <v>15000000</v>
      </c>
      <c r="K1035" s="725">
        <v>15000000</v>
      </c>
      <c r="L1035" s="1311">
        <v>22800000</v>
      </c>
      <c r="M1035" s="651"/>
      <c r="N1035" s="826"/>
      <c r="O1035" s="826"/>
      <c r="P1035" s="820"/>
      <c r="Q1035" s="820"/>
      <c r="R1035" s="866"/>
      <c r="S1035" s="866"/>
      <c r="T1035" s="839"/>
      <c r="U1035" s="580"/>
      <c r="V1035" s="581"/>
      <c r="W1035" s="581"/>
      <c r="X1035" s="578"/>
    </row>
    <row r="1036" spans="1:257" s="582" customFormat="1">
      <c r="A1036" s="699" t="s">
        <v>261</v>
      </c>
      <c r="B1036" s="808" t="s">
        <v>262</v>
      </c>
      <c r="C1036" s="699"/>
      <c r="D1036" s="699"/>
      <c r="E1036" s="700"/>
      <c r="F1036" s="810">
        <f>F1037+F1038</f>
        <v>40500000</v>
      </c>
      <c r="G1036" s="725"/>
      <c r="H1036" s="725"/>
      <c r="I1036" s="725"/>
      <c r="J1036" s="810">
        <f>J1037+J1038</f>
        <v>49000000</v>
      </c>
      <c r="K1036" s="810">
        <f>K1037+K1038</f>
        <v>54700000</v>
      </c>
      <c r="L1036" s="1313">
        <f>L1037+L1038</f>
        <v>56300000</v>
      </c>
      <c r="M1036" s="707"/>
      <c r="N1036" s="934"/>
      <c r="O1036" s="934"/>
      <c r="P1036" s="868"/>
      <c r="Q1036" s="868"/>
      <c r="R1036" s="866"/>
      <c r="S1036" s="871"/>
      <c r="T1036" s="824"/>
      <c r="U1036" s="726"/>
      <c r="V1036" s="727"/>
      <c r="W1036" s="727"/>
      <c r="X1036" s="728"/>
      <c r="Y1036" s="682"/>
      <c r="Z1036" s="682"/>
      <c r="AA1036" s="682"/>
      <c r="AB1036" s="682"/>
      <c r="AC1036" s="682"/>
      <c r="AD1036" s="682"/>
      <c r="AE1036" s="682"/>
      <c r="AF1036" s="682"/>
      <c r="AG1036" s="682"/>
      <c r="AH1036" s="682"/>
      <c r="AI1036" s="682"/>
      <c r="AJ1036" s="682"/>
      <c r="AK1036" s="682"/>
      <c r="AL1036" s="682"/>
      <c r="AM1036" s="682"/>
      <c r="AN1036" s="682"/>
      <c r="AO1036" s="682"/>
      <c r="AP1036" s="682"/>
      <c r="AQ1036" s="682"/>
      <c r="AR1036" s="682"/>
      <c r="AS1036" s="682"/>
      <c r="AT1036" s="682"/>
      <c r="AU1036" s="682"/>
      <c r="AV1036" s="682"/>
      <c r="AW1036" s="682"/>
      <c r="AX1036" s="682"/>
      <c r="AY1036" s="682"/>
      <c r="AZ1036" s="682"/>
      <c r="BA1036" s="682"/>
      <c r="BB1036" s="682"/>
      <c r="BC1036" s="682"/>
      <c r="BD1036" s="682"/>
      <c r="BE1036" s="682"/>
      <c r="BF1036" s="682"/>
      <c r="BG1036" s="682"/>
      <c r="BH1036" s="682"/>
      <c r="BI1036" s="682"/>
      <c r="BJ1036" s="682"/>
      <c r="BK1036" s="682"/>
      <c r="BL1036" s="682"/>
      <c r="BM1036" s="682"/>
      <c r="BN1036" s="682"/>
      <c r="BO1036" s="682"/>
      <c r="BP1036" s="682"/>
      <c r="BQ1036" s="682"/>
      <c r="BR1036" s="682"/>
      <c r="BS1036" s="682"/>
      <c r="BT1036" s="682"/>
      <c r="BU1036" s="682"/>
      <c r="BV1036" s="682"/>
      <c r="BW1036" s="682"/>
      <c r="BX1036" s="682"/>
      <c r="BY1036" s="682"/>
      <c r="BZ1036" s="682"/>
      <c r="CA1036" s="682"/>
      <c r="CB1036" s="682"/>
      <c r="CC1036" s="682"/>
      <c r="CD1036" s="682"/>
      <c r="CE1036" s="682"/>
      <c r="CF1036" s="682"/>
      <c r="CG1036" s="682"/>
      <c r="CH1036" s="682"/>
      <c r="CI1036" s="682"/>
      <c r="CJ1036" s="682"/>
      <c r="CK1036" s="682"/>
      <c r="CL1036" s="682"/>
      <c r="CM1036" s="682"/>
      <c r="CN1036" s="682"/>
      <c r="CO1036" s="682"/>
      <c r="CP1036" s="682"/>
      <c r="CQ1036" s="682"/>
      <c r="CR1036" s="682"/>
      <c r="CS1036" s="682"/>
      <c r="CT1036" s="682"/>
      <c r="CU1036" s="682"/>
      <c r="CV1036" s="682"/>
      <c r="CW1036" s="682"/>
      <c r="CX1036" s="682"/>
      <c r="CY1036" s="682"/>
      <c r="CZ1036" s="682"/>
      <c r="DA1036" s="682"/>
      <c r="DB1036" s="682"/>
      <c r="DC1036" s="682"/>
      <c r="DD1036" s="682"/>
      <c r="DE1036" s="682"/>
      <c r="DF1036" s="682"/>
      <c r="DG1036" s="682"/>
      <c r="DH1036" s="682"/>
      <c r="DI1036" s="682"/>
      <c r="DJ1036" s="682"/>
      <c r="DK1036" s="682"/>
      <c r="DL1036" s="682"/>
      <c r="DM1036" s="682"/>
      <c r="DN1036" s="682"/>
      <c r="DO1036" s="682"/>
      <c r="DP1036" s="682"/>
      <c r="DQ1036" s="682"/>
      <c r="DR1036" s="682"/>
      <c r="DS1036" s="682"/>
      <c r="DT1036" s="682"/>
      <c r="DU1036" s="682"/>
      <c r="DV1036" s="682"/>
      <c r="DW1036" s="682"/>
      <c r="DX1036" s="682"/>
      <c r="DY1036" s="682"/>
      <c r="DZ1036" s="682"/>
      <c r="EA1036" s="682"/>
      <c r="EB1036" s="682"/>
      <c r="EC1036" s="682"/>
      <c r="ED1036" s="682"/>
      <c r="EE1036" s="682"/>
      <c r="EF1036" s="682"/>
      <c r="EG1036" s="682"/>
      <c r="EH1036" s="682"/>
      <c r="EI1036" s="682"/>
      <c r="EJ1036" s="682"/>
      <c r="EK1036" s="682"/>
      <c r="EL1036" s="682"/>
      <c r="EM1036" s="682"/>
      <c r="EN1036" s="682"/>
      <c r="EO1036" s="682"/>
      <c r="EP1036" s="682"/>
      <c r="EQ1036" s="682"/>
      <c r="ER1036" s="682"/>
      <c r="ES1036" s="682"/>
      <c r="ET1036" s="682"/>
      <c r="EU1036" s="682"/>
      <c r="EV1036" s="682"/>
      <c r="EW1036" s="682"/>
      <c r="EX1036" s="682"/>
      <c r="EY1036" s="682"/>
      <c r="EZ1036" s="682"/>
      <c r="FA1036" s="682"/>
      <c r="FB1036" s="682"/>
      <c r="FC1036" s="682"/>
      <c r="FD1036" s="682"/>
      <c r="FE1036" s="682"/>
      <c r="FF1036" s="682"/>
      <c r="FG1036" s="682"/>
      <c r="FH1036" s="682"/>
      <c r="FI1036" s="682"/>
      <c r="FJ1036" s="682"/>
      <c r="FK1036" s="682"/>
      <c r="FL1036" s="682"/>
      <c r="FM1036" s="682"/>
      <c r="FN1036" s="682"/>
      <c r="FO1036" s="682"/>
      <c r="FP1036" s="682"/>
      <c r="FQ1036" s="682"/>
      <c r="FR1036" s="682"/>
      <c r="FS1036" s="682"/>
      <c r="FT1036" s="682"/>
      <c r="FU1036" s="682"/>
      <c r="FV1036" s="682"/>
      <c r="FW1036" s="682"/>
      <c r="FX1036" s="682"/>
      <c r="FY1036" s="682"/>
      <c r="FZ1036" s="682"/>
      <c r="GA1036" s="682"/>
      <c r="GB1036" s="682"/>
      <c r="GC1036" s="682"/>
      <c r="GD1036" s="682"/>
      <c r="GE1036" s="682"/>
      <c r="GF1036" s="682"/>
      <c r="GG1036" s="682"/>
      <c r="GH1036" s="682"/>
      <c r="GI1036" s="682"/>
      <c r="GJ1036" s="682"/>
      <c r="GK1036" s="682"/>
      <c r="GL1036" s="682"/>
      <c r="GM1036" s="682"/>
      <c r="GN1036" s="682"/>
      <c r="GO1036" s="682"/>
      <c r="GP1036" s="682"/>
      <c r="GQ1036" s="682"/>
      <c r="GR1036" s="682"/>
      <c r="GS1036" s="682"/>
      <c r="GT1036" s="682"/>
      <c r="GU1036" s="682"/>
      <c r="GV1036" s="682"/>
      <c r="GW1036" s="682"/>
      <c r="GX1036" s="682"/>
      <c r="GY1036" s="682"/>
      <c r="GZ1036" s="682"/>
      <c r="HA1036" s="682"/>
      <c r="HB1036" s="682"/>
      <c r="HC1036" s="682"/>
      <c r="HD1036" s="682"/>
      <c r="HE1036" s="682"/>
      <c r="HF1036" s="682"/>
      <c r="HG1036" s="682"/>
      <c r="HH1036" s="682"/>
      <c r="HI1036" s="682"/>
      <c r="HJ1036" s="682"/>
      <c r="HK1036" s="682"/>
      <c r="HL1036" s="682"/>
      <c r="HM1036" s="682"/>
      <c r="HN1036" s="682"/>
      <c r="HO1036" s="682"/>
      <c r="HP1036" s="682"/>
      <c r="HQ1036" s="682"/>
      <c r="HR1036" s="682"/>
      <c r="HS1036" s="682"/>
      <c r="HT1036" s="682"/>
      <c r="HU1036" s="682"/>
      <c r="HV1036" s="682"/>
      <c r="HW1036" s="682"/>
      <c r="HX1036" s="682"/>
      <c r="HY1036" s="682"/>
      <c r="HZ1036" s="682"/>
      <c r="IA1036" s="682"/>
      <c r="IB1036" s="682"/>
      <c r="IC1036" s="682"/>
      <c r="ID1036" s="682"/>
      <c r="IE1036" s="682"/>
      <c r="IF1036" s="682"/>
      <c r="IG1036" s="682"/>
      <c r="IH1036" s="682"/>
      <c r="II1036" s="682"/>
      <c r="IJ1036" s="682"/>
      <c r="IK1036" s="682"/>
      <c r="IL1036" s="682"/>
      <c r="IM1036" s="682"/>
      <c r="IN1036" s="682"/>
      <c r="IO1036" s="682"/>
      <c r="IP1036" s="682"/>
      <c r="IQ1036" s="682"/>
      <c r="IR1036" s="682"/>
      <c r="IS1036" s="682"/>
      <c r="IT1036" s="682"/>
      <c r="IU1036" s="682"/>
      <c r="IV1036" s="682"/>
      <c r="IW1036" s="682"/>
    </row>
    <row r="1037" spans="1:257" s="582" customFormat="1">
      <c r="A1037" s="713"/>
      <c r="B1037" s="668" t="s">
        <v>263</v>
      </c>
      <c r="C1037" s="699"/>
      <c r="D1037" s="699"/>
      <c r="E1037" s="700"/>
      <c r="F1037" s="725">
        <f>(F1020+F1022+F1029)*10%</f>
        <v>40500000</v>
      </c>
      <c r="G1037" s="700"/>
      <c r="H1037" s="700"/>
      <c r="I1037" s="700"/>
      <c r="J1037" s="725">
        <f>(J1020+J1022+J1029+J1031+J1032+J1035)*10%</f>
        <v>49000000</v>
      </c>
      <c r="K1037" s="725">
        <f>(K1020+K1022+K1030+K1031+K1033)*10%</f>
        <v>54700000</v>
      </c>
      <c r="L1037" s="1311">
        <f>(L1020+L1021-L1032-L1035)*10%</f>
        <v>56300000</v>
      </c>
      <c r="M1037" s="669"/>
      <c r="N1037" s="868"/>
      <c r="O1037" s="868"/>
      <c r="P1037" s="820"/>
      <c r="Q1037" s="820"/>
      <c r="R1037" s="871"/>
      <c r="S1037" s="871"/>
      <c r="T1037" s="824"/>
      <c r="U1037" s="726"/>
      <c r="V1037" s="727"/>
      <c r="W1037" s="727"/>
      <c r="X1037" s="728"/>
      <c r="Y1037" s="682"/>
      <c r="Z1037" s="682"/>
      <c r="AA1037" s="682"/>
      <c r="AB1037" s="682"/>
      <c r="AC1037" s="682"/>
      <c r="AD1037" s="682"/>
      <c r="AE1037" s="682"/>
      <c r="AF1037" s="682"/>
      <c r="AG1037" s="682"/>
      <c r="AH1037" s="682"/>
      <c r="AI1037" s="682"/>
      <c r="AJ1037" s="682"/>
      <c r="AK1037" s="682"/>
      <c r="AL1037" s="682"/>
      <c r="AM1037" s="682"/>
      <c r="AN1037" s="682"/>
      <c r="AO1037" s="682"/>
      <c r="AP1037" s="682"/>
      <c r="AQ1037" s="682"/>
      <c r="AR1037" s="682"/>
      <c r="AS1037" s="682"/>
      <c r="AT1037" s="682"/>
      <c r="AU1037" s="682"/>
      <c r="AV1037" s="682"/>
      <c r="AW1037" s="682"/>
      <c r="AX1037" s="682"/>
      <c r="AY1037" s="682"/>
      <c r="AZ1037" s="682"/>
      <c r="BA1037" s="682"/>
      <c r="BB1037" s="682"/>
      <c r="BC1037" s="682"/>
      <c r="BD1037" s="682"/>
      <c r="BE1037" s="682"/>
      <c r="BF1037" s="682"/>
      <c r="BG1037" s="682"/>
      <c r="BH1037" s="682"/>
      <c r="BI1037" s="682"/>
      <c r="BJ1037" s="682"/>
      <c r="BK1037" s="682"/>
      <c r="BL1037" s="682"/>
      <c r="BM1037" s="682"/>
      <c r="BN1037" s="682"/>
      <c r="BO1037" s="682"/>
      <c r="BP1037" s="682"/>
      <c r="BQ1037" s="682"/>
      <c r="BR1037" s="682"/>
      <c r="BS1037" s="682"/>
      <c r="BT1037" s="682"/>
      <c r="BU1037" s="682"/>
      <c r="BV1037" s="682"/>
      <c r="BW1037" s="682"/>
      <c r="BX1037" s="682"/>
      <c r="BY1037" s="682"/>
      <c r="BZ1037" s="682"/>
      <c r="CA1037" s="682"/>
      <c r="CB1037" s="682"/>
      <c r="CC1037" s="682"/>
      <c r="CD1037" s="682"/>
      <c r="CE1037" s="682"/>
      <c r="CF1037" s="682"/>
      <c r="CG1037" s="682"/>
      <c r="CH1037" s="682"/>
      <c r="CI1037" s="682"/>
      <c r="CJ1037" s="682"/>
      <c r="CK1037" s="682"/>
      <c r="CL1037" s="682"/>
      <c r="CM1037" s="682"/>
      <c r="CN1037" s="682"/>
      <c r="CO1037" s="682"/>
      <c r="CP1037" s="682"/>
      <c r="CQ1037" s="682"/>
      <c r="CR1037" s="682"/>
      <c r="CS1037" s="682"/>
      <c r="CT1037" s="682"/>
      <c r="CU1037" s="682"/>
      <c r="CV1037" s="682"/>
      <c r="CW1037" s="682"/>
      <c r="CX1037" s="682"/>
      <c r="CY1037" s="682"/>
      <c r="CZ1037" s="682"/>
      <c r="DA1037" s="682"/>
      <c r="DB1037" s="682"/>
      <c r="DC1037" s="682"/>
      <c r="DD1037" s="682"/>
      <c r="DE1037" s="682"/>
      <c r="DF1037" s="682"/>
      <c r="DG1037" s="682"/>
      <c r="DH1037" s="682"/>
      <c r="DI1037" s="682"/>
      <c r="DJ1037" s="682"/>
      <c r="DK1037" s="682"/>
      <c r="DL1037" s="682"/>
      <c r="DM1037" s="682"/>
      <c r="DN1037" s="682"/>
      <c r="DO1037" s="682"/>
      <c r="DP1037" s="682"/>
      <c r="DQ1037" s="682"/>
      <c r="DR1037" s="682"/>
      <c r="DS1037" s="682"/>
      <c r="DT1037" s="682"/>
      <c r="DU1037" s="682"/>
      <c r="DV1037" s="682"/>
      <c r="DW1037" s="682"/>
      <c r="DX1037" s="682"/>
      <c r="DY1037" s="682"/>
      <c r="DZ1037" s="682"/>
      <c r="EA1037" s="682"/>
      <c r="EB1037" s="682"/>
      <c r="EC1037" s="682"/>
      <c r="ED1037" s="682"/>
      <c r="EE1037" s="682"/>
      <c r="EF1037" s="682"/>
      <c r="EG1037" s="682"/>
      <c r="EH1037" s="682"/>
      <c r="EI1037" s="682"/>
      <c r="EJ1037" s="682"/>
      <c r="EK1037" s="682"/>
      <c r="EL1037" s="682"/>
      <c r="EM1037" s="682"/>
      <c r="EN1037" s="682"/>
      <c r="EO1037" s="682"/>
      <c r="EP1037" s="682"/>
      <c r="EQ1037" s="682"/>
      <c r="ER1037" s="682"/>
      <c r="ES1037" s="682"/>
      <c r="ET1037" s="682"/>
      <c r="EU1037" s="682"/>
      <c r="EV1037" s="682"/>
      <c r="EW1037" s="682"/>
      <c r="EX1037" s="682"/>
      <c r="EY1037" s="682"/>
      <c r="EZ1037" s="682"/>
      <c r="FA1037" s="682"/>
      <c r="FB1037" s="682"/>
      <c r="FC1037" s="682"/>
      <c r="FD1037" s="682"/>
      <c r="FE1037" s="682"/>
      <c r="FF1037" s="682"/>
      <c r="FG1037" s="682"/>
      <c r="FH1037" s="682"/>
      <c r="FI1037" s="682"/>
      <c r="FJ1037" s="682"/>
      <c r="FK1037" s="682"/>
      <c r="FL1037" s="682"/>
      <c r="FM1037" s="682"/>
      <c r="FN1037" s="682"/>
      <c r="FO1037" s="682"/>
      <c r="FP1037" s="682"/>
      <c r="FQ1037" s="682"/>
      <c r="FR1037" s="682"/>
      <c r="FS1037" s="682"/>
      <c r="FT1037" s="682"/>
      <c r="FU1037" s="682"/>
      <c r="FV1037" s="682"/>
      <c r="FW1037" s="682"/>
      <c r="FX1037" s="682"/>
      <c r="FY1037" s="682"/>
      <c r="FZ1037" s="682"/>
      <c r="GA1037" s="682"/>
      <c r="GB1037" s="682"/>
      <c r="GC1037" s="682"/>
      <c r="GD1037" s="682"/>
      <c r="GE1037" s="682"/>
      <c r="GF1037" s="682"/>
      <c r="GG1037" s="682"/>
      <c r="GH1037" s="682"/>
      <c r="GI1037" s="682"/>
      <c r="GJ1037" s="682"/>
      <c r="GK1037" s="682"/>
      <c r="GL1037" s="682"/>
      <c r="GM1037" s="682"/>
      <c r="GN1037" s="682"/>
      <c r="GO1037" s="682"/>
      <c r="GP1037" s="682"/>
      <c r="GQ1037" s="682"/>
      <c r="GR1037" s="682"/>
      <c r="GS1037" s="682"/>
      <c r="GT1037" s="682"/>
      <c r="GU1037" s="682"/>
      <c r="GV1037" s="682"/>
      <c r="GW1037" s="682"/>
      <c r="GX1037" s="682"/>
      <c r="GY1037" s="682"/>
      <c r="GZ1037" s="682"/>
      <c r="HA1037" s="682"/>
      <c r="HB1037" s="682"/>
      <c r="HC1037" s="682"/>
      <c r="HD1037" s="682"/>
      <c r="HE1037" s="682"/>
      <c r="HF1037" s="682"/>
      <c r="HG1037" s="682"/>
      <c r="HH1037" s="682"/>
      <c r="HI1037" s="682"/>
      <c r="HJ1037" s="682"/>
      <c r="HK1037" s="682"/>
      <c r="HL1037" s="682"/>
      <c r="HM1037" s="682"/>
      <c r="HN1037" s="682"/>
      <c r="HO1037" s="682"/>
      <c r="HP1037" s="682"/>
      <c r="HQ1037" s="682"/>
      <c r="HR1037" s="682"/>
      <c r="HS1037" s="682"/>
      <c r="HT1037" s="682"/>
      <c r="HU1037" s="682"/>
      <c r="HV1037" s="682"/>
      <c r="HW1037" s="682"/>
      <c r="HX1037" s="682"/>
      <c r="HY1037" s="682"/>
      <c r="HZ1037" s="682"/>
      <c r="IA1037" s="682"/>
      <c r="IB1037" s="682"/>
      <c r="IC1037" s="682"/>
      <c r="ID1037" s="682"/>
      <c r="IE1037" s="682"/>
      <c r="IF1037" s="682"/>
      <c r="IG1037" s="682"/>
      <c r="IH1037" s="682"/>
      <c r="II1037" s="682"/>
      <c r="IJ1037" s="682"/>
      <c r="IK1037" s="682"/>
      <c r="IL1037" s="682"/>
      <c r="IM1037" s="682"/>
      <c r="IN1037" s="682"/>
      <c r="IO1037" s="682"/>
      <c r="IP1037" s="682"/>
      <c r="IQ1037" s="682"/>
      <c r="IR1037" s="682"/>
      <c r="IS1037" s="682"/>
      <c r="IT1037" s="682"/>
      <c r="IU1037" s="682"/>
      <c r="IV1037" s="682"/>
      <c r="IW1037" s="682"/>
    </row>
    <row r="1038" spans="1:257" s="582" customFormat="1" ht="15.75" hidden="1" customHeight="1">
      <c r="A1038" s="713"/>
      <c r="B1038" s="669"/>
      <c r="C1038" s="699"/>
      <c r="D1038" s="699"/>
      <c r="E1038" s="700"/>
      <c r="F1038" s="725"/>
      <c r="G1038" s="700"/>
      <c r="H1038" s="700"/>
      <c r="I1038" s="700"/>
      <c r="J1038" s="725"/>
      <c r="K1038" s="725"/>
      <c r="L1038" s="1311"/>
      <c r="M1038" s="669"/>
      <c r="N1038" s="868"/>
      <c r="O1038" s="868"/>
      <c r="P1038" s="820"/>
      <c r="Q1038" s="820"/>
      <c r="R1038" s="908"/>
      <c r="S1038" s="871"/>
      <c r="T1038" s="824"/>
      <c r="U1038" s="596"/>
      <c r="V1038" s="727"/>
      <c r="W1038" s="581"/>
      <c r="X1038" s="578"/>
    </row>
    <row r="1039" spans="1:257" s="1094" customFormat="1">
      <c r="A1039" s="791">
        <v>4</v>
      </c>
      <c r="B1039" s="840" t="s">
        <v>218</v>
      </c>
      <c r="C1039" s="791"/>
      <c r="D1039" s="791"/>
      <c r="E1039" s="792"/>
      <c r="F1039" s="793">
        <f t="shared" ref="F1039:J1039" si="89">F1040+F1046</f>
        <v>1084000000</v>
      </c>
      <c r="G1039" s="793">
        <f t="shared" si="89"/>
        <v>15000000</v>
      </c>
      <c r="H1039" s="793">
        <f t="shared" si="89"/>
        <v>0</v>
      </c>
      <c r="I1039" s="793">
        <f t="shared" si="89"/>
        <v>0</v>
      </c>
      <c r="J1039" s="793">
        <f t="shared" si="89"/>
        <v>1361012000</v>
      </c>
      <c r="K1039" s="793">
        <f>K1040+K1046</f>
        <v>1328000000</v>
      </c>
      <c r="L1039" s="1302">
        <f>L1040+L1046</f>
        <v>1267000000</v>
      </c>
      <c r="M1039" s="793"/>
      <c r="N1039" s="946"/>
      <c r="O1039" s="946"/>
      <c r="P1039" s="892"/>
      <c r="Q1039" s="892"/>
      <c r="R1039" s="947"/>
      <c r="S1039" s="894"/>
      <c r="T1039" s="845"/>
      <c r="U1039" s="799"/>
      <c r="V1039" s="895"/>
      <c r="W1039" s="800"/>
      <c r="X1039" s="975"/>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976"/>
      <c r="AR1039" s="976"/>
      <c r="AS1039" s="976"/>
      <c r="AT1039" s="976"/>
      <c r="AU1039" s="976"/>
      <c r="AV1039" s="976"/>
      <c r="AW1039" s="976"/>
      <c r="AX1039" s="976"/>
      <c r="AY1039" s="976"/>
      <c r="AZ1039" s="976"/>
      <c r="BA1039" s="976"/>
      <c r="BB1039" s="976"/>
      <c r="BC1039" s="976"/>
      <c r="BD1039" s="976"/>
      <c r="BE1039" s="976"/>
      <c r="BF1039" s="976"/>
      <c r="BG1039" s="976"/>
      <c r="BH1039" s="976"/>
      <c r="BI1039" s="976"/>
      <c r="BJ1039" s="976"/>
      <c r="BK1039" s="976"/>
      <c r="BL1039" s="976"/>
      <c r="BM1039" s="976"/>
      <c r="BN1039" s="976"/>
      <c r="BO1039" s="976"/>
      <c r="BP1039" s="976"/>
      <c r="BQ1039" s="976"/>
      <c r="BR1039" s="976"/>
      <c r="BS1039" s="976"/>
      <c r="BT1039" s="976"/>
      <c r="BU1039" s="976"/>
      <c r="BV1039" s="976"/>
      <c r="BW1039" s="976"/>
      <c r="BX1039" s="976"/>
      <c r="BY1039" s="976"/>
      <c r="BZ1039" s="976"/>
      <c r="CA1039" s="976"/>
      <c r="CB1039" s="976"/>
      <c r="CC1039" s="976"/>
      <c r="CD1039" s="976"/>
      <c r="CE1039" s="976"/>
      <c r="CF1039" s="976"/>
      <c r="CG1039" s="976"/>
      <c r="CH1039" s="976"/>
      <c r="CI1039" s="976"/>
      <c r="CJ1039" s="976"/>
      <c r="CK1039" s="976"/>
      <c r="CL1039" s="976"/>
      <c r="CM1039" s="976"/>
      <c r="CN1039" s="976"/>
      <c r="CO1039" s="976"/>
      <c r="CP1039" s="976"/>
      <c r="CQ1039" s="976"/>
      <c r="CR1039" s="976"/>
      <c r="CS1039" s="976"/>
      <c r="CT1039" s="976"/>
      <c r="CU1039" s="976"/>
      <c r="CV1039" s="976"/>
      <c r="CW1039" s="976"/>
      <c r="CX1039" s="976"/>
      <c r="CY1039" s="976"/>
      <c r="CZ1039" s="976"/>
      <c r="DA1039" s="976"/>
      <c r="DB1039" s="976"/>
      <c r="DC1039" s="976"/>
      <c r="DD1039" s="976"/>
      <c r="DE1039" s="976"/>
      <c r="DF1039" s="976"/>
      <c r="DG1039" s="976"/>
      <c r="DH1039" s="976"/>
      <c r="DI1039" s="976"/>
      <c r="DJ1039" s="976"/>
      <c r="DK1039" s="976"/>
      <c r="DL1039" s="976"/>
      <c r="DM1039" s="976"/>
      <c r="DN1039" s="976"/>
      <c r="DO1039" s="976"/>
      <c r="DP1039" s="976"/>
      <c r="DQ1039" s="976"/>
      <c r="DR1039" s="976"/>
      <c r="DS1039" s="976"/>
      <c r="DT1039" s="976"/>
      <c r="DU1039" s="976"/>
      <c r="DV1039" s="976"/>
      <c r="DW1039" s="976"/>
      <c r="DX1039" s="976"/>
      <c r="DY1039" s="976"/>
      <c r="DZ1039" s="976"/>
      <c r="EA1039" s="976"/>
      <c r="EB1039" s="976"/>
      <c r="EC1039" s="976"/>
      <c r="ED1039" s="976"/>
      <c r="EE1039" s="976"/>
      <c r="EF1039" s="976"/>
      <c r="EG1039" s="976"/>
      <c r="EH1039" s="976"/>
      <c r="EI1039" s="976"/>
      <c r="EJ1039" s="976"/>
      <c r="EK1039" s="976"/>
      <c r="EL1039" s="976"/>
      <c r="EM1039" s="976"/>
      <c r="EN1039" s="976"/>
      <c r="EO1039" s="976"/>
      <c r="EP1039" s="976"/>
      <c r="EQ1039" s="976"/>
      <c r="ER1039" s="976"/>
      <c r="ES1039" s="976"/>
      <c r="ET1039" s="976"/>
      <c r="EU1039" s="976"/>
      <c r="EV1039" s="976"/>
      <c r="EW1039" s="976"/>
      <c r="EX1039" s="976"/>
      <c r="EY1039" s="976"/>
      <c r="EZ1039" s="976"/>
      <c r="FA1039" s="976"/>
      <c r="FB1039" s="976"/>
      <c r="FC1039" s="976"/>
      <c r="FD1039" s="976"/>
      <c r="FE1039" s="976"/>
      <c r="FF1039" s="976"/>
      <c r="FG1039" s="976"/>
      <c r="FH1039" s="976"/>
      <c r="FI1039" s="976"/>
      <c r="FJ1039" s="976"/>
      <c r="FK1039" s="976"/>
      <c r="FL1039" s="976"/>
      <c r="FM1039" s="976"/>
      <c r="FN1039" s="976"/>
      <c r="FO1039" s="976"/>
      <c r="FP1039" s="976"/>
      <c r="FQ1039" s="976"/>
      <c r="FR1039" s="976"/>
      <c r="FS1039" s="976"/>
      <c r="FT1039" s="976"/>
      <c r="FU1039" s="976"/>
      <c r="FV1039" s="976"/>
      <c r="FW1039" s="976"/>
      <c r="FX1039" s="976"/>
      <c r="FY1039" s="976"/>
      <c r="FZ1039" s="976"/>
      <c r="GA1039" s="976"/>
      <c r="GB1039" s="976"/>
      <c r="GC1039" s="976"/>
      <c r="GD1039" s="976"/>
      <c r="GE1039" s="976"/>
      <c r="GF1039" s="976"/>
      <c r="GG1039" s="976"/>
      <c r="GH1039" s="976"/>
      <c r="GI1039" s="976"/>
      <c r="GJ1039" s="976"/>
      <c r="GK1039" s="976"/>
      <c r="GL1039" s="976"/>
      <c r="GM1039" s="976"/>
      <c r="GN1039" s="976"/>
      <c r="GO1039" s="976"/>
      <c r="GP1039" s="976"/>
      <c r="GQ1039" s="976"/>
      <c r="GR1039" s="976"/>
      <c r="GS1039" s="976"/>
      <c r="GT1039" s="976"/>
      <c r="GU1039" s="976"/>
      <c r="GV1039" s="976"/>
      <c r="GW1039" s="976"/>
      <c r="GX1039" s="976"/>
      <c r="GY1039" s="976"/>
      <c r="GZ1039" s="976"/>
      <c r="HA1039" s="976"/>
      <c r="HB1039" s="976"/>
      <c r="HC1039" s="976"/>
      <c r="HD1039" s="976"/>
      <c r="HE1039" s="976"/>
      <c r="HF1039" s="976"/>
      <c r="HG1039" s="976"/>
      <c r="HH1039" s="976"/>
      <c r="HI1039" s="976"/>
      <c r="HJ1039" s="976"/>
      <c r="HK1039" s="976"/>
      <c r="HL1039" s="976"/>
      <c r="HM1039" s="976"/>
      <c r="HN1039" s="976"/>
      <c r="HO1039" s="976"/>
      <c r="HP1039" s="976"/>
      <c r="HQ1039" s="976"/>
      <c r="HR1039" s="976"/>
      <c r="HS1039" s="976"/>
      <c r="HT1039" s="976"/>
      <c r="HU1039" s="976"/>
      <c r="HV1039" s="976"/>
      <c r="HW1039" s="976"/>
      <c r="HX1039" s="976"/>
      <c r="HY1039" s="976"/>
      <c r="HZ1039" s="976"/>
      <c r="IA1039" s="976"/>
      <c r="IB1039" s="976"/>
      <c r="IC1039" s="976"/>
      <c r="ID1039" s="976"/>
      <c r="IE1039" s="976"/>
      <c r="IF1039" s="976"/>
      <c r="IG1039" s="976"/>
      <c r="IH1039" s="976"/>
      <c r="II1039" s="976"/>
      <c r="IJ1039" s="976"/>
      <c r="IK1039" s="976"/>
      <c r="IL1039" s="976"/>
      <c r="IM1039" s="976"/>
      <c r="IN1039" s="976"/>
      <c r="IO1039" s="976"/>
      <c r="IP1039" s="976"/>
      <c r="IQ1039" s="976"/>
      <c r="IR1039" s="976"/>
      <c r="IS1039" s="976"/>
      <c r="IT1039" s="976"/>
      <c r="IU1039" s="976"/>
      <c r="IV1039" s="976"/>
      <c r="IW1039" s="976"/>
    </row>
    <row r="1040" spans="1:257" s="621" customFormat="1">
      <c r="A1040" s="589" t="s">
        <v>222</v>
      </c>
      <c r="B1040" s="804" t="s">
        <v>252</v>
      </c>
      <c r="C1040" s="589"/>
      <c r="D1040" s="589"/>
      <c r="E1040" s="704"/>
      <c r="F1040" s="716">
        <f t="shared" ref="F1040:J1040" si="90">F1041+F1045</f>
        <v>629000000</v>
      </c>
      <c r="G1040" s="716">
        <f t="shared" si="90"/>
        <v>0</v>
      </c>
      <c r="H1040" s="716">
        <f t="shared" si="90"/>
        <v>0</v>
      </c>
      <c r="I1040" s="716">
        <f t="shared" si="90"/>
        <v>0</v>
      </c>
      <c r="J1040" s="716">
        <f t="shared" si="90"/>
        <v>656012000</v>
      </c>
      <c r="K1040" s="716">
        <f>K1042+K1044+K1045</f>
        <v>744000000</v>
      </c>
      <c r="L1040" s="1316">
        <f>L1042+L1044+L1045</f>
        <v>727000000</v>
      </c>
      <c r="M1040" s="618"/>
      <c r="N1040" s="890"/>
      <c r="O1040" s="890"/>
      <c r="P1040" s="829"/>
      <c r="Q1040" s="829"/>
      <c r="R1040" s="900"/>
      <c r="S1040" s="891"/>
      <c r="T1040" s="832"/>
      <c r="U1040" s="721"/>
      <c r="V1040" s="701"/>
      <c r="W1040" s="701"/>
      <c r="X1040" s="702"/>
      <c r="Y1040" s="703"/>
      <c r="Z1040" s="703"/>
      <c r="AA1040" s="703"/>
      <c r="AB1040" s="703"/>
      <c r="AC1040" s="703"/>
      <c r="AD1040" s="703"/>
      <c r="AE1040" s="703"/>
      <c r="AF1040" s="703"/>
      <c r="AG1040" s="703"/>
      <c r="AH1040" s="703"/>
      <c r="AI1040" s="703"/>
      <c r="AJ1040" s="703"/>
      <c r="AK1040" s="703"/>
      <c r="AL1040" s="703"/>
      <c r="AM1040" s="703"/>
      <c r="AN1040" s="703"/>
      <c r="AO1040" s="703"/>
      <c r="AP1040" s="703"/>
      <c r="AQ1040" s="703"/>
      <c r="AR1040" s="703"/>
      <c r="AS1040" s="703"/>
      <c r="AT1040" s="703"/>
      <c r="AU1040" s="703"/>
      <c r="AV1040" s="703"/>
      <c r="AW1040" s="703"/>
      <c r="AX1040" s="703"/>
      <c r="AY1040" s="703"/>
      <c r="AZ1040" s="703"/>
      <c r="BA1040" s="703"/>
      <c r="BB1040" s="703"/>
      <c r="BC1040" s="703"/>
      <c r="BD1040" s="703"/>
      <c r="BE1040" s="703"/>
      <c r="BF1040" s="703"/>
      <c r="BG1040" s="703"/>
      <c r="BH1040" s="703"/>
      <c r="BI1040" s="703"/>
      <c r="BJ1040" s="703"/>
      <c r="BK1040" s="703"/>
      <c r="BL1040" s="703"/>
      <c r="BM1040" s="703"/>
      <c r="BN1040" s="703"/>
      <c r="BO1040" s="703"/>
      <c r="BP1040" s="703"/>
      <c r="BQ1040" s="703"/>
      <c r="BR1040" s="703"/>
      <c r="BS1040" s="703"/>
      <c r="BT1040" s="703"/>
      <c r="BU1040" s="703"/>
      <c r="BV1040" s="703"/>
      <c r="BW1040" s="703"/>
      <c r="BX1040" s="703"/>
      <c r="BY1040" s="703"/>
      <c r="BZ1040" s="703"/>
      <c r="CA1040" s="703"/>
      <c r="CB1040" s="703"/>
      <c r="CC1040" s="703"/>
      <c r="CD1040" s="703"/>
      <c r="CE1040" s="703"/>
      <c r="CF1040" s="703"/>
      <c r="CG1040" s="703"/>
      <c r="CH1040" s="703"/>
      <c r="CI1040" s="703"/>
      <c r="CJ1040" s="703"/>
      <c r="CK1040" s="703"/>
      <c r="CL1040" s="703"/>
      <c r="CM1040" s="703"/>
      <c r="CN1040" s="703"/>
      <c r="CO1040" s="703"/>
      <c r="CP1040" s="703"/>
      <c r="CQ1040" s="703"/>
      <c r="CR1040" s="703"/>
      <c r="CS1040" s="703"/>
      <c r="CT1040" s="703"/>
      <c r="CU1040" s="703"/>
      <c r="CV1040" s="703"/>
      <c r="CW1040" s="703"/>
      <c r="CX1040" s="703"/>
      <c r="CY1040" s="703"/>
      <c r="CZ1040" s="703"/>
      <c r="DA1040" s="703"/>
      <c r="DB1040" s="703"/>
      <c r="DC1040" s="703"/>
      <c r="DD1040" s="703"/>
      <c r="DE1040" s="703"/>
      <c r="DF1040" s="703"/>
      <c r="DG1040" s="703"/>
      <c r="DH1040" s="703"/>
      <c r="DI1040" s="703"/>
      <c r="DJ1040" s="703"/>
      <c r="DK1040" s="703"/>
      <c r="DL1040" s="703"/>
      <c r="DM1040" s="703"/>
      <c r="DN1040" s="703"/>
      <c r="DO1040" s="703"/>
      <c r="DP1040" s="703"/>
      <c r="DQ1040" s="703"/>
      <c r="DR1040" s="703"/>
      <c r="DS1040" s="703"/>
      <c r="DT1040" s="703"/>
      <c r="DU1040" s="703"/>
      <c r="DV1040" s="703"/>
      <c r="DW1040" s="703"/>
      <c r="DX1040" s="703"/>
      <c r="DY1040" s="703"/>
      <c r="DZ1040" s="703"/>
      <c r="EA1040" s="703"/>
      <c r="EB1040" s="703"/>
      <c r="EC1040" s="703"/>
      <c r="ED1040" s="703"/>
      <c r="EE1040" s="703"/>
      <c r="EF1040" s="703"/>
      <c r="EG1040" s="703"/>
      <c r="EH1040" s="703"/>
      <c r="EI1040" s="703"/>
      <c r="EJ1040" s="703"/>
      <c r="EK1040" s="703"/>
      <c r="EL1040" s="703"/>
      <c r="EM1040" s="703"/>
      <c r="EN1040" s="703"/>
      <c r="EO1040" s="703"/>
      <c r="EP1040" s="703"/>
      <c r="EQ1040" s="703"/>
      <c r="ER1040" s="703"/>
      <c r="ES1040" s="703"/>
      <c r="ET1040" s="703"/>
      <c r="EU1040" s="703"/>
      <c r="EV1040" s="703"/>
      <c r="EW1040" s="703"/>
      <c r="EX1040" s="703"/>
      <c r="EY1040" s="703"/>
      <c r="EZ1040" s="703"/>
      <c r="FA1040" s="703"/>
      <c r="FB1040" s="703"/>
      <c r="FC1040" s="703"/>
      <c r="FD1040" s="703"/>
      <c r="FE1040" s="703"/>
      <c r="FF1040" s="703"/>
      <c r="FG1040" s="703"/>
      <c r="FH1040" s="703"/>
      <c r="FI1040" s="703"/>
      <c r="FJ1040" s="703"/>
      <c r="FK1040" s="703"/>
      <c r="FL1040" s="703"/>
      <c r="FM1040" s="703"/>
      <c r="FN1040" s="703"/>
      <c r="FO1040" s="703"/>
      <c r="FP1040" s="703"/>
      <c r="FQ1040" s="703"/>
      <c r="FR1040" s="703"/>
      <c r="FS1040" s="703"/>
      <c r="FT1040" s="703"/>
      <c r="FU1040" s="703"/>
      <c r="FV1040" s="703"/>
      <c r="FW1040" s="703"/>
      <c r="FX1040" s="703"/>
      <c r="FY1040" s="703"/>
      <c r="FZ1040" s="703"/>
      <c r="GA1040" s="703"/>
      <c r="GB1040" s="703"/>
      <c r="GC1040" s="703"/>
      <c r="GD1040" s="703"/>
      <c r="GE1040" s="703"/>
      <c r="GF1040" s="703"/>
      <c r="GG1040" s="703"/>
      <c r="GH1040" s="703"/>
      <c r="GI1040" s="703"/>
      <c r="GJ1040" s="703"/>
      <c r="GK1040" s="703"/>
      <c r="GL1040" s="703"/>
      <c r="GM1040" s="703"/>
      <c r="GN1040" s="703"/>
      <c r="GO1040" s="703"/>
      <c r="GP1040" s="703"/>
      <c r="GQ1040" s="703"/>
      <c r="GR1040" s="703"/>
      <c r="GS1040" s="703"/>
      <c r="GT1040" s="703"/>
      <c r="GU1040" s="703"/>
      <c r="GV1040" s="703"/>
      <c r="GW1040" s="703"/>
      <c r="GX1040" s="703"/>
      <c r="GY1040" s="703"/>
      <c r="GZ1040" s="703"/>
      <c r="HA1040" s="703"/>
      <c r="HB1040" s="703"/>
      <c r="HC1040" s="703"/>
      <c r="HD1040" s="703"/>
      <c r="HE1040" s="703"/>
      <c r="HF1040" s="703"/>
      <c r="HG1040" s="703"/>
      <c r="HH1040" s="703"/>
      <c r="HI1040" s="703"/>
      <c r="HJ1040" s="703"/>
      <c r="HK1040" s="703"/>
      <c r="HL1040" s="703"/>
      <c r="HM1040" s="703"/>
      <c r="HN1040" s="703"/>
      <c r="HO1040" s="703"/>
      <c r="HP1040" s="703"/>
      <c r="HQ1040" s="703"/>
      <c r="HR1040" s="703"/>
      <c r="HS1040" s="703"/>
      <c r="HT1040" s="703"/>
      <c r="HU1040" s="703"/>
      <c r="HV1040" s="703"/>
      <c r="HW1040" s="703"/>
      <c r="HX1040" s="703"/>
      <c r="HY1040" s="703"/>
      <c r="HZ1040" s="703"/>
      <c r="IA1040" s="703"/>
      <c r="IB1040" s="703"/>
      <c r="IC1040" s="703"/>
      <c r="ID1040" s="703"/>
      <c r="IE1040" s="703"/>
      <c r="IF1040" s="703"/>
      <c r="IG1040" s="703"/>
      <c r="IH1040" s="703"/>
      <c r="II1040" s="703"/>
      <c r="IJ1040" s="703"/>
      <c r="IK1040" s="703"/>
      <c r="IL1040" s="703"/>
      <c r="IM1040" s="703"/>
      <c r="IN1040" s="703"/>
      <c r="IO1040" s="703"/>
      <c r="IP1040" s="703"/>
      <c r="IQ1040" s="703"/>
      <c r="IR1040" s="703"/>
      <c r="IS1040" s="703"/>
      <c r="IT1040" s="703"/>
      <c r="IU1040" s="703"/>
      <c r="IV1040" s="703"/>
      <c r="IW1040" s="703"/>
    </row>
    <row r="1041" spans="1:257" s="614" customFormat="1">
      <c r="A1041" s="713" t="s">
        <v>258</v>
      </c>
      <c r="B1041" s="813" t="s">
        <v>1168</v>
      </c>
      <c r="C1041" s="713">
        <v>4</v>
      </c>
      <c r="D1041" s="713"/>
      <c r="E1041" s="725"/>
      <c r="F1041" s="725">
        <v>521000000</v>
      </c>
      <c r="G1041" s="700"/>
      <c r="H1041" s="700"/>
      <c r="I1041" s="700"/>
      <c r="J1041" s="725">
        <v>548012000</v>
      </c>
      <c r="K1041" s="725">
        <f>K1042+K1043</f>
        <v>705000000</v>
      </c>
      <c r="L1041" s="1311">
        <f>L1042+L1043</f>
        <v>708000000</v>
      </c>
      <c r="M1041" s="669"/>
      <c r="N1041" s="868"/>
      <c r="O1041" s="868"/>
      <c r="P1041" s="820"/>
      <c r="Q1041" s="820"/>
      <c r="R1041" s="871"/>
      <c r="S1041" s="871"/>
      <c r="T1041" s="824"/>
      <c r="U1041" s="726"/>
      <c r="V1041" s="581"/>
      <c r="W1041" s="619"/>
      <c r="X1041" s="620"/>
      <c r="Y1041" s="621"/>
      <c r="Z1041" s="621"/>
      <c r="AA1041" s="621"/>
      <c r="AB1041" s="621"/>
      <c r="AC1041" s="621"/>
      <c r="AD1041" s="621"/>
      <c r="AE1041" s="621"/>
      <c r="AF1041" s="621"/>
      <c r="AG1041" s="621"/>
      <c r="AH1041" s="621"/>
      <c r="AI1041" s="621"/>
      <c r="AJ1041" s="621"/>
      <c r="AK1041" s="621"/>
      <c r="AL1041" s="621"/>
      <c r="AM1041" s="621"/>
      <c r="AN1041" s="621"/>
      <c r="AO1041" s="621"/>
      <c r="AP1041" s="621"/>
      <c r="AQ1041" s="621"/>
      <c r="AR1041" s="621"/>
      <c r="AS1041" s="621"/>
      <c r="AT1041" s="621"/>
      <c r="AU1041" s="621"/>
      <c r="AV1041" s="621"/>
      <c r="AW1041" s="621"/>
      <c r="AX1041" s="621"/>
      <c r="AY1041" s="621"/>
      <c r="AZ1041" s="621"/>
      <c r="BA1041" s="621"/>
      <c r="BB1041" s="621"/>
      <c r="BC1041" s="621"/>
      <c r="BD1041" s="621"/>
      <c r="BE1041" s="621"/>
      <c r="BF1041" s="621"/>
      <c r="BG1041" s="621"/>
      <c r="BH1041" s="621"/>
      <c r="BI1041" s="621"/>
      <c r="BJ1041" s="621"/>
      <c r="BK1041" s="621"/>
      <c r="BL1041" s="621"/>
      <c r="BM1041" s="621"/>
      <c r="BN1041" s="621"/>
      <c r="BO1041" s="621"/>
      <c r="BP1041" s="621"/>
      <c r="BQ1041" s="621"/>
      <c r="BR1041" s="621"/>
      <c r="BS1041" s="621"/>
      <c r="BT1041" s="621"/>
      <c r="BU1041" s="621"/>
      <c r="BV1041" s="621"/>
      <c r="BW1041" s="621"/>
      <c r="BX1041" s="621"/>
      <c r="BY1041" s="621"/>
      <c r="BZ1041" s="621"/>
      <c r="CA1041" s="621"/>
      <c r="CB1041" s="621"/>
      <c r="CC1041" s="621"/>
      <c r="CD1041" s="621"/>
      <c r="CE1041" s="621"/>
      <c r="CF1041" s="621"/>
      <c r="CG1041" s="621"/>
      <c r="CH1041" s="621"/>
      <c r="CI1041" s="621"/>
      <c r="CJ1041" s="621"/>
      <c r="CK1041" s="621"/>
      <c r="CL1041" s="621"/>
      <c r="CM1041" s="621"/>
      <c r="CN1041" s="621"/>
      <c r="CO1041" s="621"/>
      <c r="CP1041" s="621"/>
      <c r="CQ1041" s="621"/>
      <c r="CR1041" s="621"/>
      <c r="CS1041" s="621"/>
      <c r="CT1041" s="621"/>
      <c r="CU1041" s="621"/>
      <c r="CV1041" s="621"/>
      <c r="CW1041" s="621"/>
      <c r="CX1041" s="621"/>
      <c r="CY1041" s="621"/>
      <c r="CZ1041" s="621"/>
      <c r="DA1041" s="621"/>
      <c r="DB1041" s="621"/>
      <c r="DC1041" s="621"/>
      <c r="DD1041" s="621"/>
      <c r="DE1041" s="621"/>
      <c r="DF1041" s="621"/>
      <c r="DG1041" s="621"/>
      <c r="DH1041" s="621"/>
      <c r="DI1041" s="621"/>
      <c r="DJ1041" s="621"/>
      <c r="DK1041" s="621"/>
      <c r="DL1041" s="621"/>
      <c r="DM1041" s="621"/>
      <c r="DN1041" s="621"/>
      <c r="DO1041" s="621"/>
      <c r="DP1041" s="621"/>
      <c r="DQ1041" s="621"/>
      <c r="DR1041" s="621"/>
      <c r="DS1041" s="621"/>
      <c r="DT1041" s="621"/>
      <c r="DU1041" s="621"/>
      <c r="DV1041" s="621"/>
      <c r="DW1041" s="621"/>
      <c r="DX1041" s="621"/>
      <c r="DY1041" s="621"/>
      <c r="DZ1041" s="621"/>
      <c r="EA1041" s="621"/>
      <c r="EB1041" s="621"/>
      <c r="EC1041" s="621"/>
      <c r="ED1041" s="621"/>
      <c r="EE1041" s="621"/>
      <c r="EF1041" s="621"/>
      <c r="EG1041" s="621"/>
      <c r="EH1041" s="621"/>
      <c r="EI1041" s="621"/>
      <c r="EJ1041" s="621"/>
      <c r="EK1041" s="621"/>
      <c r="EL1041" s="621"/>
      <c r="EM1041" s="621"/>
      <c r="EN1041" s="621"/>
      <c r="EO1041" s="621"/>
      <c r="EP1041" s="621"/>
      <c r="EQ1041" s="621"/>
      <c r="ER1041" s="621"/>
      <c r="ES1041" s="621"/>
      <c r="ET1041" s="621"/>
      <c r="EU1041" s="621"/>
      <c r="EV1041" s="621"/>
      <c r="EW1041" s="621"/>
      <c r="EX1041" s="621"/>
      <c r="EY1041" s="621"/>
      <c r="EZ1041" s="621"/>
      <c r="FA1041" s="621"/>
      <c r="FB1041" s="621"/>
      <c r="FC1041" s="621"/>
      <c r="FD1041" s="621"/>
      <c r="FE1041" s="621"/>
      <c r="FF1041" s="621"/>
      <c r="FG1041" s="621"/>
      <c r="FH1041" s="621"/>
      <c r="FI1041" s="621"/>
      <c r="FJ1041" s="621"/>
      <c r="FK1041" s="621"/>
      <c r="FL1041" s="621"/>
      <c r="FM1041" s="621"/>
      <c r="FN1041" s="621"/>
      <c r="FO1041" s="621"/>
      <c r="FP1041" s="621"/>
      <c r="FQ1041" s="621"/>
      <c r="FR1041" s="621"/>
      <c r="FS1041" s="621"/>
      <c r="FT1041" s="621"/>
      <c r="FU1041" s="621"/>
      <c r="FV1041" s="621"/>
      <c r="FW1041" s="621"/>
      <c r="FX1041" s="621"/>
      <c r="FY1041" s="621"/>
      <c r="FZ1041" s="621"/>
      <c r="GA1041" s="621"/>
      <c r="GB1041" s="621"/>
      <c r="GC1041" s="621"/>
      <c r="GD1041" s="621"/>
      <c r="GE1041" s="621"/>
      <c r="GF1041" s="621"/>
      <c r="GG1041" s="621"/>
      <c r="GH1041" s="621"/>
      <c r="GI1041" s="621"/>
      <c r="GJ1041" s="621"/>
      <c r="GK1041" s="621"/>
      <c r="GL1041" s="621"/>
      <c r="GM1041" s="621"/>
      <c r="GN1041" s="621"/>
      <c r="GO1041" s="621"/>
      <c r="GP1041" s="621"/>
      <c r="GQ1041" s="621"/>
      <c r="GR1041" s="621"/>
      <c r="GS1041" s="621"/>
      <c r="GT1041" s="621"/>
      <c r="GU1041" s="621"/>
      <c r="GV1041" s="621"/>
      <c r="GW1041" s="621"/>
      <c r="GX1041" s="621"/>
      <c r="GY1041" s="621"/>
      <c r="GZ1041" s="621"/>
      <c r="HA1041" s="621"/>
      <c r="HB1041" s="621"/>
      <c r="HC1041" s="621"/>
      <c r="HD1041" s="621"/>
      <c r="HE1041" s="621"/>
      <c r="HF1041" s="621"/>
      <c r="HG1041" s="621"/>
      <c r="HH1041" s="621"/>
      <c r="HI1041" s="621"/>
      <c r="HJ1041" s="621"/>
      <c r="HK1041" s="621"/>
      <c r="HL1041" s="621"/>
      <c r="HM1041" s="621"/>
      <c r="HN1041" s="621"/>
      <c r="HO1041" s="621"/>
      <c r="HP1041" s="621"/>
      <c r="HQ1041" s="621"/>
      <c r="HR1041" s="621"/>
      <c r="HS1041" s="621"/>
      <c r="HT1041" s="621"/>
      <c r="HU1041" s="621"/>
      <c r="HV1041" s="621"/>
      <c r="HW1041" s="621"/>
      <c r="HX1041" s="621"/>
      <c r="HY1041" s="621"/>
      <c r="HZ1041" s="621"/>
      <c r="IA1041" s="621"/>
      <c r="IB1041" s="621"/>
      <c r="IC1041" s="621"/>
      <c r="ID1041" s="621"/>
      <c r="IE1041" s="621"/>
      <c r="IF1041" s="621"/>
      <c r="IG1041" s="621"/>
      <c r="IH1041" s="621"/>
      <c r="II1041" s="621"/>
      <c r="IJ1041" s="621"/>
      <c r="IK1041" s="621"/>
      <c r="IL1041" s="621"/>
      <c r="IM1041" s="621"/>
      <c r="IN1041" s="621"/>
      <c r="IO1041" s="621"/>
      <c r="IP1041" s="621"/>
      <c r="IQ1041" s="621"/>
      <c r="IR1041" s="621"/>
      <c r="IS1041" s="621"/>
      <c r="IT1041" s="621"/>
      <c r="IU1041" s="621"/>
      <c r="IV1041" s="621"/>
      <c r="IW1041" s="621"/>
    </row>
    <row r="1042" spans="1:257" s="614" customFormat="1">
      <c r="A1042" s="713"/>
      <c r="B1042" s="684" t="s">
        <v>1193</v>
      </c>
      <c r="C1042" s="713"/>
      <c r="D1042" s="713"/>
      <c r="E1042" s="725"/>
      <c r="F1042" s="725"/>
      <c r="G1042" s="700"/>
      <c r="H1042" s="700"/>
      <c r="I1042" s="700"/>
      <c r="J1042" s="725"/>
      <c r="K1042" s="725">
        <v>584000000</v>
      </c>
      <c r="L1042" s="1311">
        <f>38000000*12</f>
        <v>456000000</v>
      </c>
      <c r="M1042" s="669"/>
      <c r="N1042" s="868"/>
      <c r="O1042" s="868"/>
      <c r="P1042" s="820"/>
      <c r="Q1042" s="820"/>
      <c r="R1042" s="871"/>
      <c r="S1042" s="871"/>
      <c r="T1042" s="824"/>
      <c r="U1042" s="726"/>
      <c r="V1042" s="581"/>
      <c r="W1042" s="619"/>
      <c r="X1042" s="620"/>
      <c r="Y1042" s="621"/>
      <c r="Z1042" s="621"/>
      <c r="AA1042" s="621"/>
      <c r="AB1042" s="621"/>
      <c r="AC1042" s="621"/>
      <c r="AD1042" s="621"/>
      <c r="AE1042" s="621"/>
      <c r="AF1042" s="621"/>
      <c r="AG1042" s="621"/>
      <c r="AH1042" s="621"/>
      <c r="AI1042" s="621"/>
      <c r="AJ1042" s="621"/>
      <c r="AK1042" s="621"/>
      <c r="AL1042" s="621"/>
      <c r="AM1042" s="621"/>
      <c r="AN1042" s="621"/>
      <c r="AO1042" s="621"/>
      <c r="AP1042" s="621"/>
      <c r="AQ1042" s="621"/>
      <c r="AR1042" s="621"/>
      <c r="AS1042" s="621"/>
      <c r="AT1042" s="621"/>
      <c r="AU1042" s="621"/>
      <c r="AV1042" s="621"/>
      <c r="AW1042" s="621"/>
      <c r="AX1042" s="621"/>
      <c r="AY1042" s="621"/>
      <c r="AZ1042" s="621"/>
      <c r="BA1042" s="621"/>
      <c r="BB1042" s="621"/>
      <c r="BC1042" s="621"/>
      <c r="BD1042" s="621"/>
      <c r="BE1042" s="621"/>
      <c r="BF1042" s="621"/>
      <c r="BG1042" s="621"/>
      <c r="BH1042" s="621"/>
      <c r="BI1042" s="621"/>
      <c r="BJ1042" s="621"/>
      <c r="BK1042" s="621"/>
      <c r="BL1042" s="621"/>
      <c r="BM1042" s="621"/>
      <c r="BN1042" s="621"/>
      <c r="BO1042" s="621"/>
      <c r="BP1042" s="621"/>
      <c r="BQ1042" s="621"/>
      <c r="BR1042" s="621"/>
      <c r="BS1042" s="621"/>
      <c r="BT1042" s="621"/>
      <c r="BU1042" s="621"/>
      <c r="BV1042" s="621"/>
      <c r="BW1042" s="621"/>
      <c r="BX1042" s="621"/>
      <c r="BY1042" s="621"/>
      <c r="BZ1042" s="621"/>
      <c r="CA1042" s="621"/>
      <c r="CB1042" s="621"/>
      <c r="CC1042" s="621"/>
      <c r="CD1042" s="621"/>
      <c r="CE1042" s="621"/>
      <c r="CF1042" s="621"/>
      <c r="CG1042" s="621"/>
      <c r="CH1042" s="621"/>
      <c r="CI1042" s="621"/>
      <c r="CJ1042" s="621"/>
      <c r="CK1042" s="621"/>
      <c r="CL1042" s="621"/>
      <c r="CM1042" s="621"/>
      <c r="CN1042" s="621"/>
      <c r="CO1042" s="621"/>
      <c r="CP1042" s="621"/>
      <c r="CQ1042" s="621"/>
      <c r="CR1042" s="621"/>
      <c r="CS1042" s="621"/>
      <c r="CT1042" s="621"/>
      <c r="CU1042" s="621"/>
      <c r="CV1042" s="621"/>
      <c r="CW1042" s="621"/>
      <c r="CX1042" s="621"/>
      <c r="CY1042" s="621"/>
      <c r="CZ1042" s="621"/>
      <c r="DA1042" s="621"/>
      <c r="DB1042" s="621"/>
      <c r="DC1042" s="621"/>
      <c r="DD1042" s="621"/>
      <c r="DE1042" s="621"/>
      <c r="DF1042" s="621"/>
      <c r="DG1042" s="621"/>
      <c r="DH1042" s="621"/>
      <c r="DI1042" s="621"/>
      <c r="DJ1042" s="621"/>
      <c r="DK1042" s="621"/>
      <c r="DL1042" s="621"/>
      <c r="DM1042" s="621"/>
      <c r="DN1042" s="621"/>
      <c r="DO1042" s="621"/>
      <c r="DP1042" s="621"/>
      <c r="DQ1042" s="621"/>
      <c r="DR1042" s="621"/>
      <c r="DS1042" s="621"/>
      <c r="DT1042" s="621"/>
      <c r="DU1042" s="621"/>
      <c r="DV1042" s="621"/>
      <c r="DW1042" s="621"/>
      <c r="DX1042" s="621"/>
      <c r="DY1042" s="621"/>
      <c r="DZ1042" s="621"/>
      <c r="EA1042" s="621"/>
      <c r="EB1042" s="621"/>
      <c r="EC1042" s="621"/>
      <c r="ED1042" s="621"/>
      <c r="EE1042" s="621"/>
      <c r="EF1042" s="621"/>
      <c r="EG1042" s="621"/>
      <c r="EH1042" s="621"/>
      <c r="EI1042" s="621"/>
      <c r="EJ1042" s="621"/>
      <c r="EK1042" s="621"/>
      <c r="EL1042" s="621"/>
      <c r="EM1042" s="621"/>
      <c r="EN1042" s="621"/>
      <c r="EO1042" s="621"/>
      <c r="EP1042" s="621"/>
      <c r="EQ1042" s="621"/>
      <c r="ER1042" s="621"/>
      <c r="ES1042" s="621"/>
      <c r="ET1042" s="621"/>
      <c r="EU1042" s="621"/>
      <c r="EV1042" s="621"/>
      <c r="EW1042" s="621"/>
      <c r="EX1042" s="621"/>
      <c r="EY1042" s="621"/>
      <c r="EZ1042" s="621"/>
      <c r="FA1042" s="621"/>
      <c r="FB1042" s="621"/>
      <c r="FC1042" s="621"/>
      <c r="FD1042" s="621"/>
      <c r="FE1042" s="621"/>
      <c r="FF1042" s="621"/>
      <c r="FG1042" s="621"/>
      <c r="FH1042" s="621"/>
      <c r="FI1042" s="621"/>
      <c r="FJ1042" s="621"/>
      <c r="FK1042" s="621"/>
      <c r="FL1042" s="621"/>
      <c r="FM1042" s="621"/>
      <c r="FN1042" s="621"/>
      <c r="FO1042" s="621"/>
      <c r="FP1042" s="621"/>
      <c r="FQ1042" s="621"/>
      <c r="FR1042" s="621"/>
      <c r="FS1042" s="621"/>
      <c r="FT1042" s="621"/>
      <c r="FU1042" s="621"/>
      <c r="FV1042" s="621"/>
      <c r="FW1042" s="621"/>
      <c r="FX1042" s="621"/>
      <c r="FY1042" s="621"/>
      <c r="FZ1042" s="621"/>
      <c r="GA1042" s="621"/>
      <c r="GB1042" s="621"/>
      <c r="GC1042" s="621"/>
      <c r="GD1042" s="621"/>
      <c r="GE1042" s="621"/>
      <c r="GF1042" s="621"/>
      <c r="GG1042" s="621"/>
      <c r="GH1042" s="621"/>
      <c r="GI1042" s="621"/>
      <c r="GJ1042" s="621"/>
      <c r="GK1042" s="621"/>
      <c r="GL1042" s="621"/>
      <c r="GM1042" s="621"/>
      <c r="GN1042" s="621"/>
      <c r="GO1042" s="621"/>
      <c r="GP1042" s="621"/>
      <c r="GQ1042" s="621"/>
      <c r="GR1042" s="621"/>
      <c r="GS1042" s="621"/>
      <c r="GT1042" s="621"/>
      <c r="GU1042" s="621"/>
      <c r="GV1042" s="621"/>
      <c r="GW1042" s="621"/>
      <c r="GX1042" s="621"/>
      <c r="GY1042" s="621"/>
      <c r="GZ1042" s="621"/>
      <c r="HA1042" s="621"/>
      <c r="HB1042" s="621"/>
      <c r="HC1042" s="621"/>
      <c r="HD1042" s="621"/>
      <c r="HE1042" s="621"/>
      <c r="HF1042" s="621"/>
      <c r="HG1042" s="621"/>
      <c r="HH1042" s="621"/>
      <c r="HI1042" s="621"/>
      <c r="HJ1042" s="621"/>
      <c r="HK1042" s="621"/>
      <c r="HL1042" s="621"/>
      <c r="HM1042" s="621"/>
      <c r="HN1042" s="621"/>
      <c r="HO1042" s="621"/>
      <c r="HP1042" s="621"/>
      <c r="HQ1042" s="621"/>
      <c r="HR1042" s="621"/>
      <c r="HS1042" s="621"/>
      <c r="HT1042" s="621"/>
      <c r="HU1042" s="621"/>
      <c r="HV1042" s="621"/>
      <c r="HW1042" s="621"/>
      <c r="HX1042" s="621"/>
      <c r="HY1042" s="621"/>
      <c r="HZ1042" s="621"/>
      <c r="IA1042" s="621"/>
      <c r="IB1042" s="621"/>
      <c r="IC1042" s="621"/>
      <c r="ID1042" s="621"/>
      <c r="IE1042" s="621"/>
      <c r="IF1042" s="621"/>
      <c r="IG1042" s="621"/>
      <c r="IH1042" s="621"/>
      <c r="II1042" s="621"/>
      <c r="IJ1042" s="621"/>
      <c r="IK1042" s="621"/>
      <c r="IL1042" s="621"/>
      <c r="IM1042" s="621"/>
      <c r="IN1042" s="621"/>
      <c r="IO1042" s="621"/>
      <c r="IP1042" s="621"/>
      <c r="IQ1042" s="621"/>
      <c r="IR1042" s="621"/>
      <c r="IS1042" s="621"/>
      <c r="IT1042" s="621"/>
      <c r="IU1042" s="621"/>
      <c r="IV1042" s="621"/>
      <c r="IW1042" s="621"/>
    </row>
    <row r="1043" spans="1:257" s="614" customFormat="1">
      <c r="A1043" s="713"/>
      <c r="B1043" s="684" t="s">
        <v>1380</v>
      </c>
      <c r="C1043" s="713"/>
      <c r="D1043" s="713"/>
      <c r="E1043" s="725"/>
      <c r="F1043" s="725"/>
      <c r="G1043" s="700"/>
      <c r="H1043" s="700"/>
      <c r="I1043" s="700"/>
      <c r="J1043" s="725"/>
      <c r="K1043" s="725">
        <v>121000000</v>
      </c>
      <c r="L1043" s="1311">
        <f>(59000000-38000000)*12</f>
        <v>252000000</v>
      </c>
      <c r="M1043" s="669"/>
      <c r="N1043" s="868"/>
      <c r="O1043" s="868"/>
      <c r="P1043" s="820"/>
      <c r="Q1043" s="820"/>
      <c r="R1043" s="871"/>
      <c r="S1043" s="871"/>
      <c r="T1043" s="824"/>
      <c r="U1043" s="726"/>
      <c r="V1043" s="581"/>
      <c r="W1043" s="619"/>
      <c r="X1043" s="620"/>
      <c r="Y1043" s="621"/>
      <c r="Z1043" s="621"/>
      <c r="AA1043" s="621"/>
      <c r="AB1043" s="621"/>
      <c r="AC1043" s="621"/>
      <c r="AD1043" s="621"/>
      <c r="AE1043" s="621"/>
      <c r="AF1043" s="621"/>
      <c r="AG1043" s="621"/>
      <c r="AH1043" s="621"/>
      <c r="AI1043" s="621"/>
      <c r="AJ1043" s="621"/>
      <c r="AK1043" s="621"/>
      <c r="AL1043" s="621"/>
      <c r="AM1043" s="621"/>
      <c r="AN1043" s="621"/>
      <c r="AO1043" s="621"/>
      <c r="AP1043" s="621"/>
      <c r="AQ1043" s="621"/>
      <c r="AR1043" s="621"/>
      <c r="AS1043" s="621"/>
      <c r="AT1043" s="621"/>
      <c r="AU1043" s="621"/>
      <c r="AV1043" s="621"/>
      <c r="AW1043" s="621"/>
      <c r="AX1043" s="621"/>
      <c r="AY1043" s="621"/>
      <c r="AZ1043" s="621"/>
      <c r="BA1043" s="621"/>
      <c r="BB1043" s="621"/>
      <c r="BC1043" s="621"/>
      <c r="BD1043" s="621"/>
      <c r="BE1043" s="621"/>
      <c r="BF1043" s="621"/>
      <c r="BG1043" s="621"/>
      <c r="BH1043" s="621"/>
      <c r="BI1043" s="621"/>
      <c r="BJ1043" s="621"/>
      <c r="BK1043" s="621"/>
      <c r="BL1043" s="621"/>
      <c r="BM1043" s="621"/>
      <c r="BN1043" s="621"/>
      <c r="BO1043" s="621"/>
      <c r="BP1043" s="621"/>
      <c r="BQ1043" s="621"/>
      <c r="BR1043" s="621"/>
      <c r="BS1043" s="621"/>
      <c r="BT1043" s="621"/>
      <c r="BU1043" s="621"/>
      <c r="BV1043" s="621"/>
      <c r="BW1043" s="621"/>
      <c r="BX1043" s="621"/>
      <c r="BY1043" s="621"/>
      <c r="BZ1043" s="621"/>
      <c r="CA1043" s="621"/>
      <c r="CB1043" s="621"/>
      <c r="CC1043" s="621"/>
      <c r="CD1043" s="621"/>
      <c r="CE1043" s="621"/>
      <c r="CF1043" s="621"/>
      <c r="CG1043" s="621"/>
      <c r="CH1043" s="621"/>
      <c r="CI1043" s="621"/>
      <c r="CJ1043" s="621"/>
      <c r="CK1043" s="621"/>
      <c r="CL1043" s="621"/>
      <c r="CM1043" s="621"/>
      <c r="CN1043" s="621"/>
      <c r="CO1043" s="621"/>
      <c r="CP1043" s="621"/>
      <c r="CQ1043" s="621"/>
      <c r="CR1043" s="621"/>
      <c r="CS1043" s="621"/>
      <c r="CT1043" s="621"/>
      <c r="CU1043" s="621"/>
      <c r="CV1043" s="621"/>
      <c r="CW1043" s="621"/>
      <c r="CX1043" s="621"/>
      <c r="CY1043" s="621"/>
      <c r="CZ1043" s="621"/>
      <c r="DA1043" s="621"/>
      <c r="DB1043" s="621"/>
      <c r="DC1043" s="621"/>
      <c r="DD1043" s="621"/>
      <c r="DE1043" s="621"/>
      <c r="DF1043" s="621"/>
      <c r="DG1043" s="621"/>
      <c r="DH1043" s="621"/>
      <c r="DI1043" s="621"/>
      <c r="DJ1043" s="621"/>
      <c r="DK1043" s="621"/>
      <c r="DL1043" s="621"/>
      <c r="DM1043" s="621"/>
      <c r="DN1043" s="621"/>
      <c r="DO1043" s="621"/>
      <c r="DP1043" s="621"/>
      <c r="DQ1043" s="621"/>
      <c r="DR1043" s="621"/>
      <c r="DS1043" s="621"/>
      <c r="DT1043" s="621"/>
      <c r="DU1043" s="621"/>
      <c r="DV1043" s="621"/>
      <c r="DW1043" s="621"/>
      <c r="DX1043" s="621"/>
      <c r="DY1043" s="621"/>
      <c r="DZ1043" s="621"/>
      <c r="EA1043" s="621"/>
      <c r="EB1043" s="621"/>
      <c r="EC1043" s="621"/>
      <c r="ED1043" s="621"/>
      <c r="EE1043" s="621"/>
      <c r="EF1043" s="621"/>
      <c r="EG1043" s="621"/>
      <c r="EH1043" s="621"/>
      <c r="EI1043" s="621"/>
      <c r="EJ1043" s="621"/>
      <c r="EK1043" s="621"/>
      <c r="EL1043" s="621"/>
      <c r="EM1043" s="621"/>
      <c r="EN1043" s="621"/>
      <c r="EO1043" s="621"/>
      <c r="EP1043" s="621"/>
      <c r="EQ1043" s="621"/>
      <c r="ER1043" s="621"/>
      <c r="ES1043" s="621"/>
      <c r="ET1043" s="621"/>
      <c r="EU1043" s="621"/>
      <c r="EV1043" s="621"/>
      <c r="EW1043" s="621"/>
      <c r="EX1043" s="621"/>
      <c r="EY1043" s="621"/>
      <c r="EZ1043" s="621"/>
      <c r="FA1043" s="621"/>
      <c r="FB1043" s="621"/>
      <c r="FC1043" s="621"/>
      <c r="FD1043" s="621"/>
      <c r="FE1043" s="621"/>
      <c r="FF1043" s="621"/>
      <c r="FG1043" s="621"/>
      <c r="FH1043" s="621"/>
      <c r="FI1043" s="621"/>
      <c r="FJ1043" s="621"/>
      <c r="FK1043" s="621"/>
      <c r="FL1043" s="621"/>
      <c r="FM1043" s="621"/>
      <c r="FN1043" s="621"/>
      <c r="FO1043" s="621"/>
      <c r="FP1043" s="621"/>
      <c r="FQ1043" s="621"/>
      <c r="FR1043" s="621"/>
      <c r="FS1043" s="621"/>
      <c r="FT1043" s="621"/>
      <c r="FU1043" s="621"/>
      <c r="FV1043" s="621"/>
      <c r="FW1043" s="621"/>
      <c r="FX1043" s="621"/>
      <c r="FY1043" s="621"/>
      <c r="FZ1043" s="621"/>
      <c r="GA1043" s="621"/>
      <c r="GB1043" s="621"/>
      <c r="GC1043" s="621"/>
      <c r="GD1043" s="621"/>
      <c r="GE1043" s="621"/>
      <c r="GF1043" s="621"/>
      <c r="GG1043" s="621"/>
      <c r="GH1043" s="621"/>
      <c r="GI1043" s="621"/>
      <c r="GJ1043" s="621"/>
      <c r="GK1043" s="621"/>
      <c r="GL1043" s="621"/>
      <c r="GM1043" s="621"/>
      <c r="GN1043" s="621"/>
      <c r="GO1043" s="621"/>
      <c r="GP1043" s="621"/>
      <c r="GQ1043" s="621"/>
      <c r="GR1043" s="621"/>
      <c r="GS1043" s="621"/>
      <c r="GT1043" s="621"/>
      <c r="GU1043" s="621"/>
      <c r="GV1043" s="621"/>
      <c r="GW1043" s="621"/>
      <c r="GX1043" s="621"/>
      <c r="GY1043" s="621"/>
      <c r="GZ1043" s="621"/>
      <c r="HA1043" s="621"/>
      <c r="HB1043" s="621"/>
      <c r="HC1043" s="621"/>
      <c r="HD1043" s="621"/>
      <c r="HE1043" s="621"/>
      <c r="HF1043" s="621"/>
      <c r="HG1043" s="621"/>
      <c r="HH1043" s="621"/>
      <c r="HI1043" s="621"/>
      <c r="HJ1043" s="621"/>
      <c r="HK1043" s="621"/>
      <c r="HL1043" s="621"/>
      <c r="HM1043" s="621"/>
      <c r="HN1043" s="621"/>
      <c r="HO1043" s="621"/>
      <c r="HP1043" s="621"/>
      <c r="HQ1043" s="621"/>
      <c r="HR1043" s="621"/>
      <c r="HS1043" s="621"/>
      <c r="HT1043" s="621"/>
      <c r="HU1043" s="621"/>
      <c r="HV1043" s="621"/>
      <c r="HW1043" s="621"/>
      <c r="HX1043" s="621"/>
      <c r="HY1043" s="621"/>
      <c r="HZ1043" s="621"/>
      <c r="IA1043" s="621"/>
      <c r="IB1043" s="621"/>
      <c r="IC1043" s="621"/>
      <c r="ID1043" s="621"/>
      <c r="IE1043" s="621"/>
      <c r="IF1043" s="621"/>
      <c r="IG1043" s="621"/>
      <c r="IH1043" s="621"/>
      <c r="II1043" s="621"/>
      <c r="IJ1043" s="621"/>
      <c r="IK1043" s="621"/>
      <c r="IL1043" s="621"/>
      <c r="IM1043" s="621"/>
      <c r="IN1043" s="621"/>
      <c r="IO1043" s="621"/>
      <c r="IP1043" s="621"/>
      <c r="IQ1043" s="621"/>
      <c r="IR1043" s="621"/>
      <c r="IS1043" s="621"/>
      <c r="IT1043" s="621"/>
      <c r="IU1043" s="621"/>
      <c r="IV1043" s="621"/>
      <c r="IW1043" s="621"/>
    </row>
    <row r="1044" spans="1:257" s="614" customFormat="1">
      <c r="A1044" s="713"/>
      <c r="B1044" s="684" t="s">
        <v>1357</v>
      </c>
      <c r="C1044" s="713"/>
      <c r="D1044" s="713"/>
      <c r="E1044" s="725"/>
      <c r="F1044" s="725"/>
      <c r="G1044" s="700"/>
      <c r="H1044" s="700"/>
      <c r="I1044" s="700"/>
      <c r="J1044" s="725"/>
      <c r="K1044" s="725">
        <f>ROUND(K1043-K1065,-6)</f>
        <v>52000000</v>
      </c>
      <c r="L1044" s="1311">
        <f>ROUND(L1043-L1065,-6)</f>
        <v>190000000</v>
      </c>
      <c r="M1044" s="669"/>
      <c r="N1044" s="868"/>
      <c r="O1044" s="868"/>
      <c r="P1044" s="820"/>
      <c r="Q1044" s="820"/>
      <c r="R1044" s="871"/>
      <c r="S1044" s="871"/>
      <c r="T1044" s="824"/>
      <c r="U1044" s="726"/>
      <c r="V1044" s="581"/>
      <c r="W1044" s="619"/>
      <c r="X1044" s="620"/>
      <c r="Y1044" s="621"/>
      <c r="Z1044" s="621"/>
      <c r="AA1044" s="621"/>
      <c r="AB1044" s="621"/>
      <c r="AC1044" s="621"/>
      <c r="AD1044" s="621"/>
      <c r="AE1044" s="621"/>
      <c r="AF1044" s="621"/>
      <c r="AG1044" s="621"/>
      <c r="AH1044" s="621"/>
      <c r="AI1044" s="621"/>
      <c r="AJ1044" s="621"/>
      <c r="AK1044" s="621"/>
      <c r="AL1044" s="621"/>
      <c r="AM1044" s="621"/>
      <c r="AN1044" s="621"/>
      <c r="AO1044" s="621"/>
      <c r="AP1044" s="621"/>
      <c r="AQ1044" s="621"/>
      <c r="AR1044" s="621"/>
      <c r="AS1044" s="621"/>
      <c r="AT1044" s="621"/>
      <c r="AU1044" s="621"/>
      <c r="AV1044" s="621"/>
      <c r="AW1044" s="621"/>
      <c r="AX1044" s="621"/>
      <c r="AY1044" s="621"/>
      <c r="AZ1044" s="621"/>
      <c r="BA1044" s="621"/>
      <c r="BB1044" s="621"/>
      <c r="BC1044" s="621"/>
      <c r="BD1044" s="621"/>
      <c r="BE1044" s="621"/>
      <c r="BF1044" s="621"/>
      <c r="BG1044" s="621"/>
      <c r="BH1044" s="621"/>
      <c r="BI1044" s="621"/>
      <c r="BJ1044" s="621"/>
      <c r="BK1044" s="621"/>
      <c r="BL1044" s="621"/>
      <c r="BM1044" s="621"/>
      <c r="BN1044" s="621"/>
      <c r="BO1044" s="621"/>
      <c r="BP1044" s="621"/>
      <c r="BQ1044" s="621"/>
      <c r="BR1044" s="621"/>
      <c r="BS1044" s="621"/>
      <c r="BT1044" s="621"/>
      <c r="BU1044" s="621"/>
      <c r="BV1044" s="621"/>
      <c r="BW1044" s="621"/>
      <c r="BX1044" s="621"/>
      <c r="BY1044" s="621"/>
      <c r="BZ1044" s="621"/>
      <c r="CA1044" s="621"/>
      <c r="CB1044" s="621"/>
      <c r="CC1044" s="621"/>
      <c r="CD1044" s="621"/>
      <c r="CE1044" s="621"/>
      <c r="CF1044" s="621"/>
      <c r="CG1044" s="621"/>
      <c r="CH1044" s="621"/>
      <c r="CI1044" s="621"/>
      <c r="CJ1044" s="621"/>
      <c r="CK1044" s="621"/>
      <c r="CL1044" s="621"/>
      <c r="CM1044" s="621"/>
      <c r="CN1044" s="621"/>
      <c r="CO1044" s="621"/>
      <c r="CP1044" s="621"/>
      <c r="CQ1044" s="621"/>
      <c r="CR1044" s="621"/>
      <c r="CS1044" s="621"/>
      <c r="CT1044" s="621"/>
      <c r="CU1044" s="621"/>
      <c r="CV1044" s="621"/>
      <c r="CW1044" s="621"/>
      <c r="CX1044" s="621"/>
      <c r="CY1044" s="621"/>
      <c r="CZ1044" s="621"/>
      <c r="DA1044" s="621"/>
      <c r="DB1044" s="621"/>
      <c r="DC1044" s="621"/>
      <c r="DD1044" s="621"/>
      <c r="DE1044" s="621"/>
      <c r="DF1044" s="621"/>
      <c r="DG1044" s="621"/>
      <c r="DH1044" s="621"/>
      <c r="DI1044" s="621"/>
      <c r="DJ1044" s="621"/>
      <c r="DK1044" s="621"/>
      <c r="DL1044" s="621"/>
      <c r="DM1044" s="621"/>
      <c r="DN1044" s="621"/>
      <c r="DO1044" s="621"/>
      <c r="DP1044" s="621"/>
      <c r="DQ1044" s="621"/>
      <c r="DR1044" s="621"/>
      <c r="DS1044" s="621"/>
      <c r="DT1044" s="621"/>
      <c r="DU1044" s="621"/>
      <c r="DV1044" s="621"/>
      <c r="DW1044" s="621"/>
      <c r="DX1044" s="621"/>
      <c r="DY1044" s="621"/>
      <c r="DZ1044" s="621"/>
      <c r="EA1044" s="621"/>
      <c r="EB1044" s="621"/>
      <c r="EC1044" s="621"/>
      <c r="ED1044" s="621"/>
      <c r="EE1044" s="621"/>
      <c r="EF1044" s="621"/>
      <c r="EG1044" s="621"/>
      <c r="EH1044" s="621"/>
      <c r="EI1044" s="621"/>
      <c r="EJ1044" s="621"/>
      <c r="EK1044" s="621"/>
      <c r="EL1044" s="621"/>
      <c r="EM1044" s="621"/>
      <c r="EN1044" s="621"/>
      <c r="EO1044" s="621"/>
      <c r="EP1044" s="621"/>
      <c r="EQ1044" s="621"/>
      <c r="ER1044" s="621"/>
      <c r="ES1044" s="621"/>
      <c r="ET1044" s="621"/>
      <c r="EU1044" s="621"/>
      <c r="EV1044" s="621"/>
      <c r="EW1044" s="621"/>
      <c r="EX1044" s="621"/>
      <c r="EY1044" s="621"/>
      <c r="EZ1044" s="621"/>
      <c r="FA1044" s="621"/>
      <c r="FB1044" s="621"/>
      <c r="FC1044" s="621"/>
      <c r="FD1044" s="621"/>
      <c r="FE1044" s="621"/>
      <c r="FF1044" s="621"/>
      <c r="FG1044" s="621"/>
      <c r="FH1044" s="621"/>
      <c r="FI1044" s="621"/>
      <c r="FJ1044" s="621"/>
      <c r="FK1044" s="621"/>
      <c r="FL1044" s="621"/>
      <c r="FM1044" s="621"/>
      <c r="FN1044" s="621"/>
      <c r="FO1044" s="621"/>
      <c r="FP1044" s="621"/>
      <c r="FQ1044" s="621"/>
      <c r="FR1044" s="621"/>
      <c r="FS1044" s="621"/>
      <c r="FT1044" s="621"/>
      <c r="FU1044" s="621"/>
      <c r="FV1044" s="621"/>
      <c r="FW1044" s="621"/>
      <c r="FX1044" s="621"/>
      <c r="FY1044" s="621"/>
      <c r="FZ1044" s="621"/>
      <c r="GA1044" s="621"/>
      <c r="GB1044" s="621"/>
      <c r="GC1044" s="621"/>
      <c r="GD1044" s="621"/>
      <c r="GE1044" s="621"/>
      <c r="GF1044" s="621"/>
      <c r="GG1044" s="621"/>
      <c r="GH1044" s="621"/>
      <c r="GI1044" s="621"/>
      <c r="GJ1044" s="621"/>
      <c r="GK1044" s="621"/>
      <c r="GL1044" s="621"/>
      <c r="GM1044" s="621"/>
      <c r="GN1044" s="621"/>
      <c r="GO1044" s="621"/>
      <c r="GP1044" s="621"/>
      <c r="GQ1044" s="621"/>
      <c r="GR1044" s="621"/>
      <c r="GS1044" s="621"/>
      <c r="GT1044" s="621"/>
      <c r="GU1044" s="621"/>
      <c r="GV1044" s="621"/>
      <c r="GW1044" s="621"/>
      <c r="GX1044" s="621"/>
      <c r="GY1044" s="621"/>
      <c r="GZ1044" s="621"/>
      <c r="HA1044" s="621"/>
      <c r="HB1044" s="621"/>
      <c r="HC1044" s="621"/>
      <c r="HD1044" s="621"/>
      <c r="HE1044" s="621"/>
      <c r="HF1044" s="621"/>
      <c r="HG1044" s="621"/>
      <c r="HH1044" s="621"/>
      <c r="HI1044" s="621"/>
      <c r="HJ1044" s="621"/>
      <c r="HK1044" s="621"/>
      <c r="HL1044" s="621"/>
      <c r="HM1044" s="621"/>
      <c r="HN1044" s="621"/>
      <c r="HO1044" s="621"/>
      <c r="HP1044" s="621"/>
      <c r="HQ1044" s="621"/>
      <c r="HR1044" s="621"/>
      <c r="HS1044" s="621"/>
      <c r="HT1044" s="621"/>
      <c r="HU1044" s="621"/>
      <c r="HV1044" s="621"/>
      <c r="HW1044" s="621"/>
      <c r="HX1044" s="621"/>
      <c r="HY1044" s="621"/>
      <c r="HZ1044" s="621"/>
      <c r="IA1044" s="621"/>
      <c r="IB1044" s="621"/>
      <c r="IC1044" s="621"/>
      <c r="ID1044" s="621"/>
      <c r="IE1044" s="621"/>
      <c r="IF1044" s="621"/>
      <c r="IG1044" s="621"/>
      <c r="IH1044" s="621"/>
      <c r="II1044" s="621"/>
      <c r="IJ1044" s="621"/>
      <c r="IK1044" s="621"/>
      <c r="IL1044" s="621"/>
      <c r="IM1044" s="621"/>
      <c r="IN1044" s="621"/>
      <c r="IO1044" s="621"/>
      <c r="IP1044" s="621"/>
      <c r="IQ1044" s="621"/>
      <c r="IR1044" s="621"/>
      <c r="IS1044" s="621"/>
      <c r="IT1044" s="621"/>
      <c r="IU1044" s="621"/>
      <c r="IV1044" s="621"/>
      <c r="IW1044" s="621"/>
    </row>
    <row r="1045" spans="1:257" s="681" customFormat="1">
      <c r="A1045" s="812" t="s">
        <v>91</v>
      </c>
      <c r="B1045" s="813" t="s">
        <v>256</v>
      </c>
      <c r="C1045" s="713"/>
      <c r="D1045" s="713"/>
      <c r="E1045" s="725">
        <v>27000000</v>
      </c>
      <c r="F1045" s="725">
        <f>C1041*E1045</f>
        <v>108000000</v>
      </c>
      <c r="G1045" s="725"/>
      <c r="H1045" s="725"/>
      <c r="I1045" s="725"/>
      <c r="J1045" s="725">
        <f>4*27000000</f>
        <v>108000000</v>
      </c>
      <c r="K1045" s="725">
        <f>4*27000000</f>
        <v>108000000</v>
      </c>
      <c r="L1045" s="1311">
        <f>3*27000000</f>
        <v>81000000</v>
      </c>
      <c r="M1045" s="669" t="s">
        <v>1381</v>
      </c>
      <c r="N1045" s="868"/>
      <c r="O1045" s="868"/>
      <c r="P1045" s="868"/>
      <c r="Q1045" s="868"/>
      <c r="R1045" s="871"/>
      <c r="S1045" s="871"/>
      <c r="T1045" s="824"/>
      <c r="U1045" s="726"/>
      <c r="V1045" s="581"/>
      <c r="W1045" s="639"/>
      <c r="X1045" s="640"/>
      <c r="Y1045" s="641"/>
      <c r="Z1045" s="641"/>
      <c r="AA1045" s="641"/>
      <c r="AB1045" s="641"/>
      <c r="AC1045" s="641"/>
      <c r="AD1045" s="641"/>
      <c r="AE1045" s="641"/>
      <c r="AF1045" s="641"/>
      <c r="AG1045" s="641"/>
      <c r="AH1045" s="641"/>
      <c r="AI1045" s="641"/>
      <c r="AJ1045" s="641"/>
      <c r="AK1045" s="641"/>
      <c r="AL1045" s="641"/>
      <c r="AM1045" s="641"/>
      <c r="AN1045" s="641"/>
      <c r="AO1045" s="641"/>
      <c r="AP1045" s="641"/>
      <c r="AQ1045" s="641"/>
      <c r="AR1045" s="641"/>
      <c r="AS1045" s="641"/>
      <c r="AT1045" s="641"/>
      <c r="AU1045" s="641"/>
      <c r="AV1045" s="641"/>
      <c r="AW1045" s="641"/>
      <c r="AX1045" s="641"/>
      <c r="AY1045" s="641"/>
      <c r="AZ1045" s="641"/>
      <c r="BA1045" s="641"/>
      <c r="BB1045" s="641"/>
      <c r="BC1045" s="641"/>
      <c r="BD1045" s="641"/>
      <c r="BE1045" s="641"/>
      <c r="BF1045" s="641"/>
      <c r="BG1045" s="641"/>
      <c r="BH1045" s="641"/>
      <c r="BI1045" s="641"/>
      <c r="BJ1045" s="641"/>
      <c r="BK1045" s="641"/>
      <c r="BL1045" s="641"/>
      <c r="BM1045" s="641"/>
      <c r="BN1045" s="641"/>
      <c r="BO1045" s="641"/>
      <c r="BP1045" s="641"/>
      <c r="BQ1045" s="641"/>
      <c r="BR1045" s="641"/>
      <c r="BS1045" s="641"/>
      <c r="BT1045" s="641"/>
      <c r="BU1045" s="641"/>
      <c r="BV1045" s="641"/>
      <c r="BW1045" s="641"/>
      <c r="BX1045" s="641"/>
      <c r="BY1045" s="641"/>
      <c r="BZ1045" s="641"/>
      <c r="CA1045" s="641"/>
      <c r="CB1045" s="641"/>
      <c r="CC1045" s="641"/>
      <c r="CD1045" s="641"/>
      <c r="CE1045" s="641"/>
      <c r="CF1045" s="641"/>
      <c r="CG1045" s="641"/>
      <c r="CH1045" s="641"/>
      <c r="CI1045" s="641"/>
      <c r="CJ1045" s="641"/>
      <c r="CK1045" s="641"/>
      <c r="CL1045" s="641"/>
      <c r="CM1045" s="641"/>
      <c r="CN1045" s="641"/>
      <c r="CO1045" s="641"/>
      <c r="CP1045" s="641"/>
      <c r="CQ1045" s="641"/>
      <c r="CR1045" s="641"/>
      <c r="CS1045" s="641"/>
      <c r="CT1045" s="641"/>
      <c r="CU1045" s="641"/>
      <c r="CV1045" s="641"/>
      <c r="CW1045" s="641"/>
      <c r="CX1045" s="641"/>
      <c r="CY1045" s="641"/>
      <c r="CZ1045" s="641"/>
      <c r="DA1045" s="641"/>
      <c r="DB1045" s="641"/>
      <c r="DC1045" s="641"/>
      <c r="DD1045" s="641"/>
      <c r="DE1045" s="641"/>
      <c r="DF1045" s="641"/>
      <c r="DG1045" s="641"/>
      <c r="DH1045" s="641"/>
      <c r="DI1045" s="641"/>
      <c r="DJ1045" s="641"/>
      <c r="DK1045" s="641"/>
      <c r="DL1045" s="641"/>
      <c r="DM1045" s="641"/>
      <c r="DN1045" s="641"/>
      <c r="DO1045" s="641"/>
      <c r="DP1045" s="641"/>
      <c r="DQ1045" s="641"/>
      <c r="DR1045" s="641"/>
      <c r="DS1045" s="641"/>
      <c r="DT1045" s="641"/>
      <c r="DU1045" s="641"/>
      <c r="DV1045" s="641"/>
      <c r="DW1045" s="641"/>
      <c r="DX1045" s="641"/>
      <c r="DY1045" s="641"/>
      <c r="DZ1045" s="641"/>
      <c r="EA1045" s="641"/>
      <c r="EB1045" s="641"/>
      <c r="EC1045" s="641"/>
      <c r="ED1045" s="641"/>
      <c r="EE1045" s="641"/>
      <c r="EF1045" s="641"/>
      <c r="EG1045" s="641"/>
      <c r="EH1045" s="641"/>
      <c r="EI1045" s="641"/>
      <c r="EJ1045" s="641"/>
      <c r="EK1045" s="641"/>
      <c r="EL1045" s="641"/>
      <c r="EM1045" s="641"/>
      <c r="EN1045" s="641"/>
      <c r="EO1045" s="641"/>
      <c r="EP1045" s="641"/>
      <c r="EQ1045" s="641"/>
      <c r="ER1045" s="641"/>
      <c r="ES1045" s="641"/>
      <c r="ET1045" s="641"/>
      <c r="EU1045" s="641"/>
      <c r="EV1045" s="641"/>
      <c r="EW1045" s="641"/>
      <c r="EX1045" s="641"/>
      <c r="EY1045" s="641"/>
      <c r="EZ1045" s="641"/>
      <c r="FA1045" s="641"/>
      <c r="FB1045" s="641"/>
      <c r="FC1045" s="641"/>
      <c r="FD1045" s="641"/>
      <c r="FE1045" s="641"/>
      <c r="FF1045" s="641"/>
      <c r="FG1045" s="641"/>
      <c r="FH1045" s="641"/>
      <c r="FI1045" s="641"/>
      <c r="FJ1045" s="641"/>
      <c r="FK1045" s="641"/>
      <c r="FL1045" s="641"/>
      <c r="FM1045" s="641"/>
      <c r="FN1045" s="641"/>
      <c r="FO1045" s="641"/>
      <c r="FP1045" s="641"/>
      <c r="FQ1045" s="641"/>
      <c r="FR1045" s="641"/>
      <c r="FS1045" s="641"/>
      <c r="FT1045" s="641"/>
      <c r="FU1045" s="641"/>
      <c r="FV1045" s="641"/>
      <c r="FW1045" s="641"/>
      <c r="FX1045" s="641"/>
      <c r="FY1045" s="641"/>
      <c r="FZ1045" s="641"/>
      <c r="GA1045" s="641"/>
      <c r="GB1045" s="641"/>
      <c r="GC1045" s="641"/>
      <c r="GD1045" s="641"/>
      <c r="GE1045" s="641"/>
      <c r="GF1045" s="641"/>
      <c r="GG1045" s="641"/>
      <c r="GH1045" s="641"/>
      <c r="GI1045" s="641"/>
      <c r="GJ1045" s="641"/>
      <c r="GK1045" s="641"/>
      <c r="GL1045" s="641"/>
      <c r="GM1045" s="641"/>
      <c r="GN1045" s="641"/>
      <c r="GO1045" s="641"/>
      <c r="GP1045" s="641"/>
      <c r="GQ1045" s="641"/>
      <c r="GR1045" s="641"/>
      <c r="GS1045" s="641"/>
      <c r="GT1045" s="641"/>
      <c r="GU1045" s="641"/>
      <c r="GV1045" s="641"/>
      <c r="GW1045" s="641"/>
      <c r="GX1045" s="641"/>
      <c r="GY1045" s="641"/>
      <c r="GZ1045" s="641"/>
      <c r="HA1045" s="641"/>
      <c r="HB1045" s="641"/>
      <c r="HC1045" s="641"/>
      <c r="HD1045" s="641"/>
      <c r="HE1045" s="641"/>
      <c r="HF1045" s="641"/>
      <c r="HG1045" s="641"/>
      <c r="HH1045" s="641"/>
      <c r="HI1045" s="641"/>
      <c r="HJ1045" s="641"/>
      <c r="HK1045" s="641"/>
      <c r="HL1045" s="641"/>
      <c r="HM1045" s="641"/>
      <c r="HN1045" s="641"/>
      <c r="HO1045" s="641"/>
      <c r="HP1045" s="641"/>
      <c r="HQ1045" s="641"/>
      <c r="HR1045" s="641"/>
      <c r="HS1045" s="641"/>
      <c r="HT1045" s="641"/>
      <c r="HU1045" s="641"/>
      <c r="HV1045" s="641"/>
      <c r="HW1045" s="641"/>
      <c r="HX1045" s="641"/>
      <c r="HY1045" s="641"/>
      <c r="HZ1045" s="641"/>
      <c r="IA1045" s="641"/>
      <c r="IB1045" s="641"/>
      <c r="IC1045" s="641"/>
      <c r="ID1045" s="641"/>
      <c r="IE1045" s="641"/>
      <c r="IF1045" s="641"/>
      <c r="IG1045" s="641"/>
      <c r="IH1045" s="641"/>
      <c r="II1045" s="641"/>
      <c r="IJ1045" s="641"/>
      <c r="IK1045" s="641"/>
      <c r="IL1045" s="641"/>
      <c r="IM1045" s="641"/>
      <c r="IN1045" s="641"/>
      <c r="IO1045" s="641"/>
      <c r="IP1045" s="641"/>
      <c r="IQ1045" s="641"/>
      <c r="IR1045" s="641"/>
      <c r="IS1045" s="641"/>
      <c r="IT1045" s="641"/>
      <c r="IU1045" s="641"/>
      <c r="IV1045" s="641"/>
      <c r="IW1045" s="641"/>
    </row>
    <row r="1046" spans="1:257" s="682" customFormat="1">
      <c r="A1046" s="589" t="s">
        <v>225</v>
      </c>
      <c r="B1046" s="804" t="s">
        <v>257</v>
      </c>
      <c r="C1046" s="589"/>
      <c r="D1046" s="589"/>
      <c r="E1046" s="704"/>
      <c r="F1046" s="805">
        <f t="shared" ref="F1046:J1046" si="91">SUM(F1047:F1064)</f>
        <v>455000000</v>
      </c>
      <c r="G1046" s="805">
        <f t="shared" si="91"/>
        <v>15000000</v>
      </c>
      <c r="H1046" s="805">
        <f t="shared" si="91"/>
        <v>0</v>
      </c>
      <c r="I1046" s="805">
        <f t="shared" si="91"/>
        <v>0</v>
      </c>
      <c r="J1046" s="805">
        <f t="shared" si="91"/>
        <v>705000000</v>
      </c>
      <c r="K1046" s="805">
        <f>SUM(K1047:K1064)</f>
        <v>584000000</v>
      </c>
      <c r="L1046" s="1312">
        <f>SUM(L1047:L1064)</f>
        <v>540000000</v>
      </c>
      <c r="M1046" s="603"/>
      <c r="N1046" s="835"/>
      <c r="O1046" s="835"/>
      <c r="P1046" s="890"/>
      <c r="Q1046" s="890"/>
      <c r="R1046" s="908"/>
      <c r="S1046" s="900"/>
      <c r="T1046" s="822"/>
      <c r="U1046" s="580"/>
      <c r="V1046" s="680"/>
      <c r="W1046" s="727"/>
      <c r="X1046" s="728"/>
    </row>
    <row r="1047" spans="1:257" s="582" customFormat="1" ht="31.5">
      <c r="A1047" s="683" t="s">
        <v>258</v>
      </c>
      <c r="B1047" s="813" t="s">
        <v>1387</v>
      </c>
      <c r="C1047" s="635"/>
      <c r="D1047" s="635"/>
      <c r="E1047" s="669"/>
      <c r="F1047" s="669">
        <v>190000000</v>
      </c>
      <c r="G1047" s="813" t="s">
        <v>1198</v>
      </c>
      <c r="H1047" s="813"/>
      <c r="I1047" s="813"/>
      <c r="J1047" s="669">
        <v>200000000</v>
      </c>
      <c r="K1047" s="669">
        <v>210000000</v>
      </c>
      <c r="L1047" s="1306">
        <v>210000000</v>
      </c>
      <c r="M1047" s="669"/>
      <c r="N1047" s="837"/>
      <c r="O1047" s="837"/>
      <c r="P1047" s="1017"/>
      <c r="Q1047" s="1017"/>
      <c r="R1047" s="869"/>
      <c r="S1047" s="908"/>
      <c r="T1047" s="1017"/>
      <c r="U1047" s="580"/>
      <c r="V1047" s="680"/>
      <c r="W1047" s="727"/>
      <c r="X1047" s="728"/>
      <c r="Y1047" s="682"/>
      <c r="Z1047" s="682"/>
      <c r="AA1047" s="682"/>
      <c r="AB1047" s="682"/>
      <c r="AC1047" s="682"/>
      <c r="AD1047" s="682"/>
      <c r="AE1047" s="682"/>
      <c r="AF1047" s="682"/>
      <c r="AG1047" s="682"/>
      <c r="AH1047" s="682"/>
      <c r="AI1047" s="682"/>
      <c r="AJ1047" s="682"/>
      <c r="AK1047" s="682"/>
      <c r="AL1047" s="682"/>
      <c r="AM1047" s="682"/>
      <c r="AN1047" s="682"/>
      <c r="AO1047" s="682"/>
      <c r="AP1047" s="682"/>
      <c r="AQ1047" s="682"/>
      <c r="AR1047" s="682"/>
      <c r="AS1047" s="682"/>
      <c r="AT1047" s="682"/>
      <c r="AU1047" s="682"/>
      <c r="AV1047" s="682"/>
      <c r="AW1047" s="682"/>
      <c r="AX1047" s="682"/>
      <c r="AY1047" s="682"/>
      <c r="AZ1047" s="682"/>
      <c r="BA1047" s="682"/>
      <c r="BB1047" s="682"/>
      <c r="BC1047" s="682"/>
      <c r="BD1047" s="682"/>
      <c r="BE1047" s="682"/>
      <c r="BF1047" s="682"/>
      <c r="BG1047" s="682"/>
      <c r="BH1047" s="682"/>
      <c r="BI1047" s="682"/>
      <c r="BJ1047" s="682"/>
      <c r="BK1047" s="682"/>
      <c r="BL1047" s="682"/>
      <c r="BM1047" s="682"/>
      <c r="BN1047" s="682"/>
      <c r="BO1047" s="682"/>
      <c r="BP1047" s="682"/>
      <c r="BQ1047" s="682"/>
      <c r="BR1047" s="682"/>
      <c r="BS1047" s="682"/>
      <c r="BT1047" s="682"/>
      <c r="BU1047" s="682"/>
      <c r="BV1047" s="682"/>
      <c r="BW1047" s="682"/>
      <c r="BX1047" s="682"/>
      <c r="BY1047" s="682"/>
      <c r="BZ1047" s="682"/>
      <c r="CA1047" s="682"/>
      <c r="CB1047" s="682"/>
      <c r="CC1047" s="682"/>
      <c r="CD1047" s="682"/>
      <c r="CE1047" s="682"/>
      <c r="CF1047" s="682"/>
      <c r="CG1047" s="682"/>
      <c r="CH1047" s="682"/>
      <c r="CI1047" s="682"/>
      <c r="CJ1047" s="682"/>
      <c r="CK1047" s="682"/>
      <c r="CL1047" s="682"/>
      <c r="CM1047" s="682"/>
      <c r="CN1047" s="682"/>
      <c r="CO1047" s="682"/>
      <c r="CP1047" s="682"/>
      <c r="CQ1047" s="682"/>
      <c r="CR1047" s="682"/>
      <c r="CS1047" s="682"/>
      <c r="CT1047" s="682"/>
      <c r="CU1047" s="682"/>
      <c r="CV1047" s="682"/>
      <c r="CW1047" s="682"/>
      <c r="CX1047" s="682"/>
      <c r="CY1047" s="682"/>
      <c r="CZ1047" s="682"/>
      <c r="DA1047" s="682"/>
      <c r="DB1047" s="682"/>
      <c r="DC1047" s="682"/>
      <c r="DD1047" s="682"/>
      <c r="DE1047" s="682"/>
      <c r="DF1047" s="682"/>
      <c r="DG1047" s="682"/>
      <c r="DH1047" s="682"/>
      <c r="DI1047" s="682"/>
      <c r="DJ1047" s="682"/>
      <c r="DK1047" s="682"/>
      <c r="DL1047" s="682"/>
      <c r="DM1047" s="682"/>
      <c r="DN1047" s="682"/>
      <c r="DO1047" s="682"/>
      <c r="DP1047" s="682"/>
      <c r="DQ1047" s="682"/>
      <c r="DR1047" s="682"/>
      <c r="DS1047" s="682"/>
      <c r="DT1047" s="682"/>
      <c r="DU1047" s="682"/>
      <c r="DV1047" s="682"/>
      <c r="DW1047" s="682"/>
      <c r="DX1047" s="682"/>
      <c r="DY1047" s="682"/>
      <c r="DZ1047" s="682"/>
      <c r="EA1047" s="682"/>
      <c r="EB1047" s="682"/>
      <c r="EC1047" s="682"/>
      <c r="ED1047" s="682"/>
      <c r="EE1047" s="682"/>
      <c r="EF1047" s="682"/>
      <c r="EG1047" s="682"/>
      <c r="EH1047" s="682"/>
      <c r="EI1047" s="682"/>
      <c r="EJ1047" s="682"/>
      <c r="EK1047" s="682"/>
      <c r="EL1047" s="682"/>
      <c r="EM1047" s="682"/>
      <c r="EN1047" s="682"/>
      <c r="EO1047" s="682"/>
      <c r="EP1047" s="682"/>
      <c r="EQ1047" s="682"/>
      <c r="ER1047" s="682"/>
      <c r="ES1047" s="682"/>
      <c r="ET1047" s="682"/>
      <c r="EU1047" s="682"/>
      <c r="EV1047" s="682"/>
      <c r="EW1047" s="682"/>
      <c r="EX1047" s="682"/>
      <c r="EY1047" s="682"/>
      <c r="EZ1047" s="682"/>
      <c r="FA1047" s="682"/>
      <c r="FB1047" s="682"/>
      <c r="FC1047" s="682"/>
      <c r="FD1047" s="682"/>
      <c r="FE1047" s="682"/>
      <c r="FF1047" s="682"/>
      <c r="FG1047" s="682"/>
      <c r="FH1047" s="682"/>
      <c r="FI1047" s="682"/>
      <c r="FJ1047" s="682"/>
      <c r="FK1047" s="682"/>
      <c r="FL1047" s="682"/>
      <c r="FM1047" s="682"/>
      <c r="FN1047" s="682"/>
      <c r="FO1047" s="682"/>
      <c r="FP1047" s="682"/>
      <c r="FQ1047" s="682"/>
      <c r="FR1047" s="682"/>
      <c r="FS1047" s="682"/>
      <c r="FT1047" s="682"/>
      <c r="FU1047" s="682"/>
      <c r="FV1047" s="682"/>
      <c r="FW1047" s="682"/>
      <c r="FX1047" s="682"/>
      <c r="FY1047" s="682"/>
      <c r="FZ1047" s="682"/>
      <c r="GA1047" s="682"/>
      <c r="GB1047" s="682"/>
      <c r="GC1047" s="682"/>
      <c r="GD1047" s="682"/>
      <c r="GE1047" s="682"/>
      <c r="GF1047" s="682"/>
      <c r="GG1047" s="682"/>
      <c r="GH1047" s="682"/>
      <c r="GI1047" s="682"/>
      <c r="GJ1047" s="682"/>
      <c r="GK1047" s="682"/>
      <c r="GL1047" s="682"/>
      <c r="GM1047" s="682"/>
      <c r="GN1047" s="682"/>
      <c r="GO1047" s="682"/>
      <c r="GP1047" s="682"/>
      <c r="GQ1047" s="682"/>
      <c r="GR1047" s="682"/>
      <c r="GS1047" s="682"/>
      <c r="GT1047" s="682"/>
      <c r="GU1047" s="682"/>
      <c r="GV1047" s="682"/>
      <c r="GW1047" s="682"/>
      <c r="GX1047" s="682"/>
      <c r="GY1047" s="682"/>
      <c r="GZ1047" s="682"/>
      <c r="HA1047" s="682"/>
      <c r="HB1047" s="682"/>
      <c r="HC1047" s="682"/>
      <c r="HD1047" s="682"/>
      <c r="HE1047" s="682"/>
      <c r="HF1047" s="682"/>
      <c r="HG1047" s="682"/>
      <c r="HH1047" s="682"/>
      <c r="HI1047" s="682"/>
      <c r="HJ1047" s="682"/>
      <c r="HK1047" s="682"/>
      <c r="HL1047" s="682"/>
      <c r="HM1047" s="682"/>
      <c r="HN1047" s="682"/>
      <c r="HO1047" s="682"/>
      <c r="HP1047" s="682"/>
      <c r="HQ1047" s="682"/>
      <c r="HR1047" s="682"/>
      <c r="HS1047" s="682"/>
      <c r="HT1047" s="682"/>
      <c r="HU1047" s="682"/>
      <c r="HV1047" s="682"/>
      <c r="HW1047" s="682"/>
      <c r="HX1047" s="682"/>
      <c r="HY1047" s="682"/>
      <c r="HZ1047" s="682"/>
      <c r="IA1047" s="682"/>
      <c r="IB1047" s="682"/>
      <c r="IC1047" s="682"/>
      <c r="ID1047" s="682"/>
      <c r="IE1047" s="682"/>
      <c r="IF1047" s="682"/>
      <c r="IG1047" s="682"/>
      <c r="IH1047" s="682"/>
      <c r="II1047" s="682"/>
      <c r="IJ1047" s="682"/>
      <c r="IK1047" s="682"/>
      <c r="IL1047" s="682"/>
      <c r="IM1047" s="682"/>
      <c r="IN1047" s="682"/>
      <c r="IO1047" s="682"/>
      <c r="IP1047" s="682"/>
      <c r="IQ1047" s="682"/>
      <c r="IR1047" s="682"/>
      <c r="IS1047" s="682"/>
      <c r="IT1047" s="682"/>
      <c r="IU1047" s="682"/>
      <c r="IV1047" s="682"/>
      <c r="IW1047" s="682"/>
    </row>
    <row r="1048" spans="1:257" s="582" customFormat="1" ht="31.5">
      <c r="A1048" s="683"/>
      <c r="B1048" s="813" t="s">
        <v>1199</v>
      </c>
      <c r="C1048" s="635"/>
      <c r="D1048" s="635"/>
      <c r="E1048" s="669"/>
      <c r="F1048" s="669"/>
      <c r="G1048" s="813"/>
      <c r="H1048" s="813"/>
      <c r="I1048" s="813"/>
      <c r="J1048" s="669"/>
      <c r="K1048" s="669">
        <f>17000000+8500000+83000000+15500000</f>
        <v>124000000</v>
      </c>
      <c r="L1048" s="1306">
        <v>0</v>
      </c>
      <c r="M1048" s="669" t="s">
        <v>1382</v>
      </c>
      <c r="N1048" s="837"/>
      <c r="O1048" s="837"/>
      <c r="P1048" s="1017"/>
      <c r="Q1048" s="1017"/>
      <c r="R1048" s="869"/>
      <c r="S1048" s="908"/>
      <c r="T1048" s="1017"/>
      <c r="U1048" s="580"/>
      <c r="V1048" s="680"/>
      <c r="W1048" s="727"/>
      <c r="X1048" s="728"/>
      <c r="Y1048" s="682"/>
      <c r="Z1048" s="682"/>
      <c r="AA1048" s="682"/>
      <c r="AB1048" s="682"/>
      <c r="AC1048" s="682"/>
      <c r="AD1048" s="682"/>
      <c r="AE1048" s="682"/>
      <c r="AF1048" s="682"/>
      <c r="AG1048" s="682"/>
      <c r="AH1048" s="682"/>
      <c r="AI1048" s="682"/>
      <c r="AJ1048" s="682"/>
      <c r="AK1048" s="682"/>
      <c r="AL1048" s="682"/>
      <c r="AM1048" s="682"/>
      <c r="AN1048" s="682"/>
      <c r="AO1048" s="682"/>
      <c r="AP1048" s="682"/>
      <c r="AQ1048" s="682"/>
      <c r="AR1048" s="682"/>
      <c r="AS1048" s="682"/>
      <c r="AT1048" s="682"/>
      <c r="AU1048" s="682"/>
      <c r="AV1048" s="682"/>
      <c r="AW1048" s="682"/>
      <c r="AX1048" s="682"/>
      <c r="AY1048" s="682"/>
      <c r="AZ1048" s="682"/>
      <c r="BA1048" s="682"/>
      <c r="BB1048" s="682"/>
      <c r="BC1048" s="682"/>
      <c r="BD1048" s="682"/>
      <c r="BE1048" s="682"/>
      <c r="BF1048" s="682"/>
      <c r="BG1048" s="682"/>
      <c r="BH1048" s="682"/>
      <c r="BI1048" s="682"/>
      <c r="BJ1048" s="682"/>
      <c r="BK1048" s="682"/>
      <c r="BL1048" s="682"/>
      <c r="BM1048" s="682"/>
      <c r="BN1048" s="682"/>
      <c r="BO1048" s="682"/>
      <c r="BP1048" s="682"/>
      <c r="BQ1048" s="682"/>
      <c r="BR1048" s="682"/>
      <c r="BS1048" s="682"/>
      <c r="BT1048" s="682"/>
      <c r="BU1048" s="682"/>
      <c r="BV1048" s="682"/>
      <c r="BW1048" s="682"/>
      <c r="BX1048" s="682"/>
      <c r="BY1048" s="682"/>
      <c r="BZ1048" s="682"/>
      <c r="CA1048" s="682"/>
      <c r="CB1048" s="682"/>
      <c r="CC1048" s="682"/>
      <c r="CD1048" s="682"/>
      <c r="CE1048" s="682"/>
      <c r="CF1048" s="682"/>
      <c r="CG1048" s="682"/>
      <c r="CH1048" s="682"/>
      <c r="CI1048" s="682"/>
      <c r="CJ1048" s="682"/>
      <c r="CK1048" s="682"/>
      <c r="CL1048" s="682"/>
      <c r="CM1048" s="682"/>
      <c r="CN1048" s="682"/>
      <c r="CO1048" s="682"/>
      <c r="CP1048" s="682"/>
      <c r="CQ1048" s="682"/>
      <c r="CR1048" s="682"/>
      <c r="CS1048" s="682"/>
      <c r="CT1048" s="682"/>
      <c r="CU1048" s="682"/>
      <c r="CV1048" s="682"/>
      <c r="CW1048" s="682"/>
      <c r="CX1048" s="682"/>
      <c r="CY1048" s="682"/>
      <c r="CZ1048" s="682"/>
      <c r="DA1048" s="682"/>
      <c r="DB1048" s="682"/>
      <c r="DC1048" s="682"/>
      <c r="DD1048" s="682"/>
      <c r="DE1048" s="682"/>
      <c r="DF1048" s="682"/>
      <c r="DG1048" s="682"/>
      <c r="DH1048" s="682"/>
      <c r="DI1048" s="682"/>
      <c r="DJ1048" s="682"/>
      <c r="DK1048" s="682"/>
      <c r="DL1048" s="682"/>
      <c r="DM1048" s="682"/>
      <c r="DN1048" s="682"/>
      <c r="DO1048" s="682"/>
      <c r="DP1048" s="682"/>
      <c r="DQ1048" s="682"/>
      <c r="DR1048" s="682"/>
      <c r="DS1048" s="682"/>
      <c r="DT1048" s="682"/>
      <c r="DU1048" s="682"/>
      <c r="DV1048" s="682"/>
      <c r="DW1048" s="682"/>
      <c r="DX1048" s="682"/>
      <c r="DY1048" s="682"/>
      <c r="DZ1048" s="682"/>
      <c r="EA1048" s="682"/>
      <c r="EB1048" s="682"/>
      <c r="EC1048" s="682"/>
      <c r="ED1048" s="682"/>
      <c r="EE1048" s="682"/>
      <c r="EF1048" s="682"/>
      <c r="EG1048" s="682"/>
      <c r="EH1048" s="682"/>
      <c r="EI1048" s="682"/>
      <c r="EJ1048" s="682"/>
      <c r="EK1048" s="682"/>
      <c r="EL1048" s="682"/>
      <c r="EM1048" s="682"/>
      <c r="EN1048" s="682"/>
      <c r="EO1048" s="682"/>
      <c r="EP1048" s="682"/>
      <c r="EQ1048" s="682"/>
      <c r="ER1048" s="682"/>
      <c r="ES1048" s="682"/>
      <c r="ET1048" s="682"/>
      <c r="EU1048" s="682"/>
      <c r="EV1048" s="682"/>
      <c r="EW1048" s="682"/>
      <c r="EX1048" s="682"/>
      <c r="EY1048" s="682"/>
      <c r="EZ1048" s="682"/>
      <c r="FA1048" s="682"/>
      <c r="FB1048" s="682"/>
      <c r="FC1048" s="682"/>
      <c r="FD1048" s="682"/>
      <c r="FE1048" s="682"/>
      <c r="FF1048" s="682"/>
      <c r="FG1048" s="682"/>
      <c r="FH1048" s="682"/>
      <c r="FI1048" s="682"/>
      <c r="FJ1048" s="682"/>
      <c r="FK1048" s="682"/>
      <c r="FL1048" s="682"/>
      <c r="FM1048" s="682"/>
      <c r="FN1048" s="682"/>
      <c r="FO1048" s="682"/>
      <c r="FP1048" s="682"/>
      <c r="FQ1048" s="682"/>
      <c r="FR1048" s="682"/>
      <c r="FS1048" s="682"/>
      <c r="FT1048" s="682"/>
      <c r="FU1048" s="682"/>
      <c r="FV1048" s="682"/>
      <c r="FW1048" s="682"/>
      <c r="FX1048" s="682"/>
      <c r="FY1048" s="682"/>
      <c r="FZ1048" s="682"/>
      <c r="GA1048" s="682"/>
      <c r="GB1048" s="682"/>
      <c r="GC1048" s="682"/>
      <c r="GD1048" s="682"/>
      <c r="GE1048" s="682"/>
      <c r="GF1048" s="682"/>
      <c r="GG1048" s="682"/>
      <c r="GH1048" s="682"/>
      <c r="GI1048" s="682"/>
      <c r="GJ1048" s="682"/>
      <c r="GK1048" s="682"/>
      <c r="GL1048" s="682"/>
      <c r="GM1048" s="682"/>
      <c r="GN1048" s="682"/>
      <c r="GO1048" s="682"/>
      <c r="GP1048" s="682"/>
      <c r="GQ1048" s="682"/>
      <c r="GR1048" s="682"/>
      <c r="GS1048" s="682"/>
      <c r="GT1048" s="682"/>
      <c r="GU1048" s="682"/>
      <c r="GV1048" s="682"/>
      <c r="GW1048" s="682"/>
      <c r="GX1048" s="682"/>
      <c r="GY1048" s="682"/>
      <c r="GZ1048" s="682"/>
      <c r="HA1048" s="682"/>
      <c r="HB1048" s="682"/>
      <c r="HC1048" s="682"/>
      <c r="HD1048" s="682"/>
      <c r="HE1048" s="682"/>
      <c r="HF1048" s="682"/>
      <c r="HG1048" s="682"/>
      <c r="HH1048" s="682"/>
      <c r="HI1048" s="682"/>
      <c r="HJ1048" s="682"/>
      <c r="HK1048" s="682"/>
      <c r="HL1048" s="682"/>
      <c r="HM1048" s="682"/>
      <c r="HN1048" s="682"/>
      <c r="HO1048" s="682"/>
      <c r="HP1048" s="682"/>
      <c r="HQ1048" s="682"/>
      <c r="HR1048" s="682"/>
      <c r="HS1048" s="682"/>
      <c r="HT1048" s="682"/>
      <c r="HU1048" s="682"/>
      <c r="HV1048" s="682"/>
      <c r="HW1048" s="682"/>
      <c r="HX1048" s="682"/>
      <c r="HY1048" s="682"/>
      <c r="HZ1048" s="682"/>
      <c r="IA1048" s="682"/>
      <c r="IB1048" s="682"/>
      <c r="IC1048" s="682"/>
      <c r="ID1048" s="682"/>
      <c r="IE1048" s="682"/>
      <c r="IF1048" s="682"/>
      <c r="IG1048" s="682"/>
      <c r="IH1048" s="682"/>
      <c r="II1048" s="682"/>
      <c r="IJ1048" s="682"/>
      <c r="IK1048" s="682"/>
      <c r="IL1048" s="682"/>
      <c r="IM1048" s="682"/>
      <c r="IN1048" s="682"/>
      <c r="IO1048" s="682"/>
      <c r="IP1048" s="682"/>
      <c r="IQ1048" s="682"/>
      <c r="IR1048" s="682"/>
      <c r="IS1048" s="682"/>
      <c r="IT1048" s="682"/>
      <c r="IU1048" s="682"/>
      <c r="IV1048" s="682"/>
      <c r="IW1048" s="682"/>
    </row>
    <row r="1049" spans="1:257" s="682" customFormat="1">
      <c r="A1049" s="683" t="s">
        <v>258</v>
      </c>
      <c r="B1049" s="1079" t="s">
        <v>409</v>
      </c>
      <c r="C1049" s="635"/>
      <c r="D1049" s="635"/>
      <c r="E1049" s="669"/>
      <c r="F1049" s="669">
        <v>15000000</v>
      </c>
      <c r="G1049" s="669"/>
      <c r="H1049" s="669"/>
      <c r="I1049" s="669"/>
      <c r="J1049" s="669">
        <v>15000000</v>
      </c>
      <c r="K1049" s="669"/>
      <c r="L1049" s="1306"/>
      <c r="M1049" s="669"/>
      <c r="N1049" s="837"/>
      <c r="O1049" s="837"/>
      <c r="P1049" s="837"/>
      <c r="Q1049" s="837"/>
      <c r="R1049" s="908"/>
      <c r="S1049" s="908"/>
      <c r="T1049" s="1017"/>
      <c r="U1049" s="580"/>
      <c r="V1049" s="727"/>
      <c r="W1049" s="680"/>
      <c r="X1049" s="677"/>
      <c r="Y1049" s="681"/>
      <c r="Z1049" s="681"/>
      <c r="AA1049" s="681"/>
      <c r="AB1049" s="681"/>
      <c r="AC1049" s="681"/>
      <c r="AD1049" s="681"/>
      <c r="AE1049" s="681"/>
      <c r="AF1049" s="681"/>
      <c r="AG1049" s="681"/>
      <c r="AH1049" s="681"/>
      <c r="AI1049" s="681"/>
      <c r="AJ1049" s="681"/>
      <c r="AK1049" s="681"/>
      <c r="AL1049" s="681"/>
      <c r="AM1049" s="681"/>
      <c r="AN1049" s="681"/>
      <c r="AO1049" s="681"/>
      <c r="AP1049" s="681"/>
      <c r="AQ1049" s="681"/>
      <c r="AR1049" s="681"/>
      <c r="AS1049" s="681"/>
      <c r="AT1049" s="681"/>
      <c r="AU1049" s="681"/>
      <c r="AV1049" s="681"/>
      <c r="AW1049" s="681"/>
      <c r="AX1049" s="681"/>
      <c r="AY1049" s="681"/>
      <c r="AZ1049" s="681"/>
      <c r="BA1049" s="681"/>
      <c r="BB1049" s="681"/>
      <c r="BC1049" s="681"/>
      <c r="BD1049" s="681"/>
      <c r="BE1049" s="681"/>
      <c r="BF1049" s="681"/>
      <c r="BG1049" s="681"/>
      <c r="BH1049" s="681"/>
      <c r="BI1049" s="681"/>
      <c r="BJ1049" s="681"/>
      <c r="BK1049" s="681"/>
      <c r="BL1049" s="681"/>
      <c r="BM1049" s="681"/>
      <c r="BN1049" s="681"/>
      <c r="BO1049" s="681"/>
      <c r="BP1049" s="681"/>
      <c r="BQ1049" s="681"/>
      <c r="BR1049" s="681"/>
      <c r="BS1049" s="681"/>
      <c r="BT1049" s="681"/>
      <c r="BU1049" s="681"/>
      <c r="BV1049" s="681"/>
      <c r="BW1049" s="681"/>
      <c r="BX1049" s="681"/>
      <c r="BY1049" s="681"/>
      <c r="BZ1049" s="681"/>
      <c r="CA1049" s="681"/>
      <c r="CB1049" s="681"/>
      <c r="CC1049" s="681"/>
      <c r="CD1049" s="681"/>
      <c r="CE1049" s="681"/>
      <c r="CF1049" s="681"/>
      <c r="CG1049" s="681"/>
      <c r="CH1049" s="681"/>
      <c r="CI1049" s="681"/>
      <c r="CJ1049" s="681"/>
      <c r="CK1049" s="681"/>
      <c r="CL1049" s="681"/>
      <c r="CM1049" s="681"/>
      <c r="CN1049" s="681"/>
      <c r="CO1049" s="681"/>
      <c r="CP1049" s="681"/>
      <c r="CQ1049" s="681"/>
      <c r="CR1049" s="681"/>
      <c r="CS1049" s="681"/>
      <c r="CT1049" s="681"/>
      <c r="CU1049" s="681"/>
      <c r="CV1049" s="681"/>
      <c r="CW1049" s="681"/>
      <c r="CX1049" s="681"/>
      <c r="CY1049" s="681"/>
      <c r="CZ1049" s="681"/>
      <c r="DA1049" s="681"/>
      <c r="DB1049" s="681"/>
      <c r="DC1049" s="681"/>
      <c r="DD1049" s="681"/>
      <c r="DE1049" s="681"/>
      <c r="DF1049" s="681"/>
      <c r="DG1049" s="681"/>
      <c r="DH1049" s="681"/>
      <c r="DI1049" s="681"/>
      <c r="DJ1049" s="681"/>
      <c r="DK1049" s="681"/>
      <c r="DL1049" s="681"/>
      <c r="DM1049" s="681"/>
      <c r="DN1049" s="681"/>
      <c r="DO1049" s="681"/>
      <c r="DP1049" s="681"/>
      <c r="DQ1049" s="681"/>
      <c r="DR1049" s="681"/>
      <c r="DS1049" s="681"/>
      <c r="DT1049" s="681"/>
      <c r="DU1049" s="681"/>
      <c r="DV1049" s="681"/>
      <c r="DW1049" s="681"/>
      <c r="DX1049" s="681"/>
      <c r="DY1049" s="681"/>
      <c r="DZ1049" s="681"/>
      <c r="EA1049" s="681"/>
      <c r="EB1049" s="681"/>
      <c r="EC1049" s="681"/>
      <c r="ED1049" s="681"/>
      <c r="EE1049" s="681"/>
      <c r="EF1049" s="681"/>
      <c r="EG1049" s="681"/>
      <c r="EH1049" s="681"/>
      <c r="EI1049" s="681"/>
      <c r="EJ1049" s="681"/>
      <c r="EK1049" s="681"/>
      <c r="EL1049" s="681"/>
      <c r="EM1049" s="681"/>
      <c r="EN1049" s="681"/>
      <c r="EO1049" s="681"/>
      <c r="EP1049" s="681"/>
      <c r="EQ1049" s="681"/>
      <c r="ER1049" s="681"/>
      <c r="ES1049" s="681"/>
      <c r="ET1049" s="681"/>
      <c r="EU1049" s="681"/>
      <c r="EV1049" s="681"/>
      <c r="EW1049" s="681"/>
      <c r="EX1049" s="681"/>
      <c r="EY1049" s="681"/>
      <c r="EZ1049" s="681"/>
      <c r="FA1049" s="681"/>
      <c r="FB1049" s="681"/>
      <c r="FC1049" s="681"/>
      <c r="FD1049" s="681"/>
      <c r="FE1049" s="681"/>
      <c r="FF1049" s="681"/>
      <c r="FG1049" s="681"/>
      <c r="FH1049" s="681"/>
      <c r="FI1049" s="681"/>
      <c r="FJ1049" s="681"/>
      <c r="FK1049" s="681"/>
      <c r="FL1049" s="681"/>
      <c r="FM1049" s="681"/>
      <c r="FN1049" s="681"/>
      <c r="FO1049" s="681"/>
      <c r="FP1049" s="681"/>
      <c r="FQ1049" s="681"/>
      <c r="FR1049" s="681"/>
      <c r="FS1049" s="681"/>
      <c r="FT1049" s="681"/>
      <c r="FU1049" s="681"/>
      <c r="FV1049" s="681"/>
      <c r="FW1049" s="681"/>
      <c r="FX1049" s="681"/>
      <c r="FY1049" s="681"/>
      <c r="FZ1049" s="681"/>
      <c r="GA1049" s="681"/>
      <c r="GB1049" s="681"/>
      <c r="GC1049" s="681"/>
      <c r="GD1049" s="681"/>
      <c r="GE1049" s="681"/>
      <c r="GF1049" s="681"/>
      <c r="GG1049" s="681"/>
      <c r="GH1049" s="681"/>
      <c r="GI1049" s="681"/>
      <c r="GJ1049" s="681"/>
      <c r="GK1049" s="681"/>
      <c r="GL1049" s="681"/>
      <c r="GM1049" s="681"/>
      <c r="GN1049" s="681"/>
      <c r="GO1049" s="681"/>
      <c r="GP1049" s="681"/>
      <c r="GQ1049" s="681"/>
      <c r="GR1049" s="681"/>
      <c r="GS1049" s="681"/>
      <c r="GT1049" s="681"/>
      <c r="GU1049" s="681"/>
      <c r="GV1049" s="681"/>
      <c r="GW1049" s="681"/>
      <c r="GX1049" s="681"/>
      <c r="GY1049" s="681"/>
      <c r="GZ1049" s="681"/>
      <c r="HA1049" s="681"/>
      <c r="HB1049" s="681"/>
      <c r="HC1049" s="681"/>
      <c r="HD1049" s="681"/>
      <c r="HE1049" s="681"/>
      <c r="HF1049" s="681"/>
      <c r="HG1049" s="681"/>
      <c r="HH1049" s="681"/>
      <c r="HI1049" s="681"/>
      <c r="HJ1049" s="681"/>
      <c r="HK1049" s="681"/>
      <c r="HL1049" s="681"/>
      <c r="HM1049" s="681"/>
      <c r="HN1049" s="681"/>
      <c r="HO1049" s="681"/>
      <c r="HP1049" s="681"/>
      <c r="HQ1049" s="681"/>
      <c r="HR1049" s="681"/>
      <c r="HS1049" s="681"/>
      <c r="HT1049" s="681"/>
      <c r="HU1049" s="681"/>
      <c r="HV1049" s="681"/>
      <c r="HW1049" s="681"/>
      <c r="HX1049" s="681"/>
      <c r="HY1049" s="681"/>
      <c r="HZ1049" s="681"/>
      <c r="IA1049" s="681"/>
      <c r="IB1049" s="681"/>
      <c r="IC1049" s="681"/>
      <c r="ID1049" s="681"/>
      <c r="IE1049" s="681"/>
      <c r="IF1049" s="681"/>
      <c r="IG1049" s="681"/>
      <c r="IH1049" s="681"/>
      <c r="II1049" s="681"/>
      <c r="IJ1049" s="681"/>
      <c r="IK1049" s="681"/>
      <c r="IL1049" s="681"/>
      <c r="IM1049" s="681"/>
      <c r="IN1049" s="681"/>
      <c r="IO1049" s="681"/>
      <c r="IP1049" s="681"/>
      <c r="IQ1049" s="681"/>
      <c r="IR1049" s="681"/>
      <c r="IS1049" s="681"/>
      <c r="IT1049" s="681"/>
      <c r="IU1049" s="681"/>
      <c r="IV1049" s="681"/>
      <c r="IW1049" s="681"/>
    </row>
    <row r="1050" spans="1:257" s="682" customFormat="1">
      <c r="A1050" s="683" t="s">
        <v>258</v>
      </c>
      <c r="B1050" s="1079" t="s">
        <v>1200</v>
      </c>
      <c r="C1050" s="635"/>
      <c r="D1050" s="635"/>
      <c r="E1050" s="669"/>
      <c r="F1050" s="669">
        <f>2*5000000</f>
        <v>10000000</v>
      </c>
      <c r="G1050" s="669"/>
      <c r="H1050" s="669"/>
      <c r="I1050" s="669"/>
      <c r="J1050" s="669"/>
      <c r="K1050" s="669"/>
      <c r="L1050" s="1306"/>
      <c r="M1050" s="669"/>
      <c r="N1050" s="837"/>
      <c r="O1050" s="837"/>
      <c r="P1050" s="837"/>
      <c r="Q1050" s="837"/>
      <c r="R1050" s="908"/>
      <c r="S1050" s="908"/>
      <c r="T1050" s="1017"/>
      <c r="U1050" s="580"/>
      <c r="V1050" s="727"/>
      <c r="W1050" s="680"/>
      <c r="X1050" s="677"/>
      <c r="Y1050" s="681"/>
      <c r="Z1050" s="681"/>
      <c r="AA1050" s="681"/>
      <c r="AB1050" s="681"/>
      <c r="AC1050" s="681"/>
      <c r="AD1050" s="681"/>
      <c r="AE1050" s="681"/>
      <c r="AF1050" s="681"/>
      <c r="AG1050" s="681"/>
      <c r="AH1050" s="681"/>
      <c r="AI1050" s="681"/>
      <c r="AJ1050" s="681"/>
      <c r="AK1050" s="681"/>
      <c r="AL1050" s="681"/>
      <c r="AM1050" s="681"/>
      <c r="AN1050" s="681"/>
      <c r="AO1050" s="681"/>
      <c r="AP1050" s="681"/>
      <c r="AQ1050" s="681"/>
      <c r="AR1050" s="681"/>
      <c r="AS1050" s="681"/>
      <c r="AT1050" s="681"/>
      <c r="AU1050" s="681"/>
      <c r="AV1050" s="681"/>
      <c r="AW1050" s="681"/>
      <c r="AX1050" s="681"/>
      <c r="AY1050" s="681"/>
      <c r="AZ1050" s="681"/>
      <c r="BA1050" s="681"/>
      <c r="BB1050" s="681"/>
      <c r="BC1050" s="681"/>
      <c r="BD1050" s="681"/>
      <c r="BE1050" s="681"/>
      <c r="BF1050" s="681"/>
      <c r="BG1050" s="681"/>
      <c r="BH1050" s="681"/>
      <c r="BI1050" s="681"/>
      <c r="BJ1050" s="681"/>
      <c r="BK1050" s="681"/>
      <c r="BL1050" s="681"/>
      <c r="BM1050" s="681"/>
      <c r="BN1050" s="681"/>
      <c r="BO1050" s="681"/>
      <c r="BP1050" s="681"/>
      <c r="BQ1050" s="681"/>
      <c r="BR1050" s="681"/>
      <c r="BS1050" s="681"/>
      <c r="BT1050" s="681"/>
      <c r="BU1050" s="681"/>
      <c r="BV1050" s="681"/>
      <c r="BW1050" s="681"/>
      <c r="BX1050" s="681"/>
      <c r="BY1050" s="681"/>
      <c r="BZ1050" s="681"/>
      <c r="CA1050" s="681"/>
      <c r="CB1050" s="681"/>
      <c r="CC1050" s="681"/>
      <c r="CD1050" s="681"/>
      <c r="CE1050" s="681"/>
      <c r="CF1050" s="681"/>
      <c r="CG1050" s="681"/>
      <c r="CH1050" s="681"/>
      <c r="CI1050" s="681"/>
      <c r="CJ1050" s="681"/>
      <c r="CK1050" s="681"/>
      <c r="CL1050" s="681"/>
      <c r="CM1050" s="681"/>
      <c r="CN1050" s="681"/>
      <c r="CO1050" s="681"/>
      <c r="CP1050" s="681"/>
      <c r="CQ1050" s="681"/>
      <c r="CR1050" s="681"/>
      <c r="CS1050" s="681"/>
      <c r="CT1050" s="681"/>
      <c r="CU1050" s="681"/>
      <c r="CV1050" s="681"/>
      <c r="CW1050" s="681"/>
      <c r="CX1050" s="681"/>
      <c r="CY1050" s="681"/>
      <c r="CZ1050" s="681"/>
      <c r="DA1050" s="681"/>
      <c r="DB1050" s="681"/>
      <c r="DC1050" s="681"/>
      <c r="DD1050" s="681"/>
      <c r="DE1050" s="681"/>
      <c r="DF1050" s="681"/>
      <c r="DG1050" s="681"/>
      <c r="DH1050" s="681"/>
      <c r="DI1050" s="681"/>
      <c r="DJ1050" s="681"/>
      <c r="DK1050" s="681"/>
      <c r="DL1050" s="681"/>
      <c r="DM1050" s="681"/>
      <c r="DN1050" s="681"/>
      <c r="DO1050" s="681"/>
      <c r="DP1050" s="681"/>
      <c r="DQ1050" s="681"/>
      <c r="DR1050" s="681"/>
      <c r="DS1050" s="681"/>
      <c r="DT1050" s="681"/>
      <c r="DU1050" s="681"/>
      <c r="DV1050" s="681"/>
      <c r="DW1050" s="681"/>
      <c r="DX1050" s="681"/>
      <c r="DY1050" s="681"/>
      <c r="DZ1050" s="681"/>
      <c r="EA1050" s="681"/>
      <c r="EB1050" s="681"/>
      <c r="EC1050" s="681"/>
      <c r="ED1050" s="681"/>
      <c r="EE1050" s="681"/>
      <c r="EF1050" s="681"/>
      <c r="EG1050" s="681"/>
      <c r="EH1050" s="681"/>
      <c r="EI1050" s="681"/>
      <c r="EJ1050" s="681"/>
      <c r="EK1050" s="681"/>
      <c r="EL1050" s="681"/>
      <c r="EM1050" s="681"/>
      <c r="EN1050" s="681"/>
      <c r="EO1050" s="681"/>
      <c r="EP1050" s="681"/>
      <c r="EQ1050" s="681"/>
      <c r="ER1050" s="681"/>
      <c r="ES1050" s="681"/>
      <c r="ET1050" s="681"/>
      <c r="EU1050" s="681"/>
      <c r="EV1050" s="681"/>
      <c r="EW1050" s="681"/>
      <c r="EX1050" s="681"/>
      <c r="EY1050" s="681"/>
      <c r="EZ1050" s="681"/>
      <c r="FA1050" s="681"/>
      <c r="FB1050" s="681"/>
      <c r="FC1050" s="681"/>
      <c r="FD1050" s="681"/>
      <c r="FE1050" s="681"/>
      <c r="FF1050" s="681"/>
      <c r="FG1050" s="681"/>
      <c r="FH1050" s="681"/>
      <c r="FI1050" s="681"/>
      <c r="FJ1050" s="681"/>
      <c r="FK1050" s="681"/>
      <c r="FL1050" s="681"/>
      <c r="FM1050" s="681"/>
      <c r="FN1050" s="681"/>
      <c r="FO1050" s="681"/>
      <c r="FP1050" s="681"/>
      <c r="FQ1050" s="681"/>
      <c r="FR1050" s="681"/>
      <c r="FS1050" s="681"/>
      <c r="FT1050" s="681"/>
      <c r="FU1050" s="681"/>
      <c r="FV1050" s="681"/>
      <c r="FW1050" s="681"/>
      <c r="FX1050" s="681"/>
      <c r="FY1050" s="681"/>
      <c r="FZ1050" s="681"/>
      <c r="GA1050" s="681"/>
      <c r="GB1050" s="681"/>
      <c r="GC1050" s="681"/>
      <c r="GD1050" s="681"/>
      <c r="GE1050" s="681"/>
      <c r="GF1050" s="681"/>
      <c r="GG1050" s="681"/>
      <c r="GH1050" s="681"/>
      <c r="GI1050" s="681"/>
      <c r="GJ1050" s="681"/>
      <c r="GK1050" s="681"/>
      <c r="GL1050" s="681"/>
      <c r="GM1050" s="681"/>
      <c r="GN1050" s="681"/>
      <c r="GO1050" s="681"/>
      <c r="GP1050" s="681"/>
      <c r="GQ1050" s="681"/>
      <c r="GR1050" s="681"/>
      <c r="GS1050" s="681"/>
      <c r="GT1050" s="681"/>
      <c r="GU1050" s="681"/>
      <c r="GV1050" s="681"/>
      <c r="GW1050" s="681"/>
      <c r="GX1050" s="681"/>
      <c r="GY1050" s="681"/>
      <c r="GZ1050" s="681"/>
      <c r="HA1050" s="681"/>
      <c r="HB1050" s="681"/>
      <c r="HC1050" s="681"/>
      <c r="HD1050" s="681"/>
      <c r="HE1050" s="681"/>
      <c r="HF1050" s="681"/>
      <c r="HG1050" s="681"/>
      <c r="HH1050" s="681"/>
      <c r="HI1050" s="681"/>
      <c r="HJ1050" s="681"/>
      <c r="HK1050" s="681"/>
      <c r="HL1050" s="681"/>
      <c r="HM1050" s="681"/>
      <c r="HN1050" s="681"/>
      <c r="HO1050" s="681"/>
      <c r="HP1050" s="681"/>
      <c r="HQ1050" s="681"/>
      <c r="HR1050" s="681"/>
      <c r="HS1050" s="681"/>
      <c r="HT1050" s="681"/>
      <c r="HU1050" s="681"/>
      <c r="HV1050" s="681"/>
      <c r="HW1050" s="681"/>
      <c r="HX1050" s="681"/>
      <c r="HY1050" s="681"/>
      <c r="HZ1050" s="681"/>
      <c r="IA1050" s="681"/>
      <c r="IB1050" s="681"/>
      <c r="IC1050" s="681"/>
      <c r="ID1050" s="681"/>
      <c r="IE1050" s="681"/>
      <c r="IF1050" s="681"/>
      <c r="IG1050" s="681"/>
      <c r="IH1050" s="681"/>
      <c r="II1050" s="681"/>
      <c r="IJ1050" s="681"/>
      <c r="IK1050" s="681"/>
      <c r="IL1050" s="681"/>
      <c r="IM1050" s="681"/>
      <c r="IN1050" s="681"/>
      <c r="IO1050" s="681"/>
      <c r="IP1050" s="681"/>
      <c r="IQ1050" s="681"/>
      <c r="IR1050" s="681"/>
      <c r="IS1050" s="681"/>
      <c r="IT1050" s="681"/>
      <c r="IU1050" s="681"/>
      <c r="IV1050" s="681"/>
      <c r="IW1050" s="681"/>
    </row>
    <row r="1051" spans="1:257" s="682" customFormat="1">
      <c r="A1051" s="683" t="s">
        <v>258</v>
      </c>
      <c r="B1051" s="1079" t="s">
        <v>1195</v>
      </c>
      <c r="C1051" s="635"/>
      <c r="D1051" s="635"/>
      <c r="E1051" s="669"/>
      <c r="F1051" s="669"/>
      <c r="G1051" s="669">
        <v>15000000</v>
      </c>
      <c r="H1051" s="669"/>
      <c r="I1051" s="669"/>
      <c r="J1051" s="669"/>
      <c r="K1051" s="669"/>
      <c r="L1051" s="1306"/>
      <c r="M1051" s="669"/>
      <c r="N1051" s="837"/>
      <c r="O1051" s="837"/>
      <c r="P1051" s="837"/>
      <c r="Q1051" s="837"/>
      <c r="R1051" s="908"/>
      <c r="S1051" s="908"/>
      <c r="T1051" s="1017"/>
      <c r="U1051" s="580"/>
      <c r="V1051" s="727"/>
      <c r="W1051" s="680"/>
      <c r="X1051" s="677"/>
      <c r="Y1051" s="681"/>
      <c r="Z1051" s="681"/>
      <c r="AA1051" s="681"/>
      <c r="AB1051" s="681"/>
      <c r="AC1051" s="681"/>
      <c r="AD1051" s="681"/>
      <c r="AE1051" s="681"/>
      <c r="AF1051" s="681"/>
      <c r="AG1051" s="681"/>
      <c r="AH1051" s="681"/>
      <c r="AI1051" s="681"/>
      <c r="AJ1051" s="681"/>
      <c r="AK1051" s="681"/>
      <c r="AL1051" s="681"/>
      <c r="AM1051" s="681"/>
      <c r="AN1051" s="681"/>
      <c r="AO1051" s="681"/>
      <c r="AP1051" s="681"/>
      <c r="AQ1051" s="681"/>
      <c r="AR1051" s="681"/>
      <c r="AS1051" s="681"/>
      <c r="AT1051" s="681"/>
      <c r="AU1051" s="681"/>
      <c r="AV1051" s="681"/>
      <c r="AW1051" s="681"/>
      <c r="AX1051" s="681"/>
      <c r="AY1051" s="681"/>
      <c r="AZ1051" s="681"/>
      <c r="BA1051" s="681"/>
      <c r="BB1051" s="681"/>
      <c r="BC1051" s="681"/>
      <c r="BD1051" s="681"/>
      <c r="BE1051" s="681"/>
      <c r="BF1051" s="681"/>
      <c r="BG1051" s="681"/>
      <c r="BH1051" s="681"/>
      <c r="BI1051" s="681"/>
      <c r="BJ1051" s="681"/>
      <c r="BK1051" s="681"/>
      <c r="BL1051" s="681"/>
      <c r="BM1051" s="681"/>
      <c r="BN1051" s="681"/>
      <c r="BO1051" s="681"/>
      <c r="BP1051" s="681"/>
      <c r="BQ1051" s="681"/>
      <c r="BR1051" s="681"/>
      <c r="BS1051" s="681"/>
      <c r="BT1051" s="681"/>
      <c r="BU1051" s="681"/>
      <c r="BV1051" s="681"/>
      <c r="BW1051" s="681"/>
      <c r="BX1051" s="681"/>
      <c r="BY1051" s="681"/>
      <c r="BZ1051" s="681"/>
      <c r="CA1051" s="681"/>
      <c r="CB1051" s="681"/>
      <c r="CC1051" s="681"/>
      <c r="CD1051" s="681"/>
      <c r="CE1051" s="681"/>
      <c r="CF1051" s="681"/>
      <c r="CG1051" s="681"/>
      <c r="CH1051" s="681"/>
      <c r="CI1051" s="681"/>
      <c r="CJ1051" s="681"/>
      <c r="CK1051" s="681"/>
      <c r="CL1051" s="681"/>
      <c r="CM1051" s="681"/>
      <c r="CN1051" s="681"/>
      <c r="CO1051" s="681"/>
      <c r="CP1051" s="681"/>
      <c r="CQ1051" s="681"/>
      <c r="CR1051" s="681"/>
      <c r="CS1051" s="681"/>
      <c r="CT1051" s="681"/>
      <c r="CU1051" s="681"/>
      <c r="CV1051" s="681"/>
      <c r="CW1051" s="681"/>
      <c r="CX1051" s="681"/>
      <c r="CY1051" s="681"/>
      <c r="CZ1051" s="681"/>
      <c r="DA1051" s="681"/>
      <c r="DB1051" s="681"/>
      <c r="DC1051" s="681"/>
      <c r="DD1051" s="681"/>
      <c r="DE1051" s="681"/>
      <c r="DF1051" s="681"/>
      <c r="DG1051" s="681"/>
      <c r="DH1051" s="681"/>
      <c r="DI1051" s="681"/>
      <c r="DJ1051" s="681"/>
      <c r="DK1051" s="681"/>
      <c r="DL1051" s="681"/>
      <c r="DM1051" s="681"/>
      <c r="DN1051" s="681"/>
      <c r="DO1051" s="681"/>
      <c r="DP1051" s="681"/>
      <c r="DQ1051" s="681"/>
      <c r="DR1051" s="681"/>
      <c r="DS1051" s="681"/>
      <c r="DT1051" s="681"/>
      <c r="DU1051" s="681"/>
      <c r="DV1051" s="681"/>
      <c r="DW1051" s="681"/>
      <c r="DX1051" s="681"/>
      <c r="DY1051" s="681"/>
      <c r="DZ1051" s="681"/>
      <c r="EA1051" s="681"/>
      <c r="EB1051" s="681"/>
      <c r="EC1051" s="681"/>
      <c r="ED1051" s="681"/>
      <c r="EE1051" s="681"/>
      <c r="EF1051" s="681"/>
      <c r="EG1051" s="681"/>
      <c r="EH1051" s="681"/>
      <c r="EI1051" s="681"/>
      <c r="EJ1051" s="681"/>
      <c r="EK1051" s="681"/>
      <c r="EL1051" s="681"/>
      <c r="EM1051" s="681"/>
      <c r="EN1051" s="681"/>
      <c r="EO1051" s="681"/>
      <c r="EP1051" s="681"/>
      <c r="EQ1051" s="681"/>
      <c r="ER1051" s="681"/>
      <c r="ES1051" s="681"/>
      <c r="ET1051" s="681"/>
      <c r="EU1051" s="681"/>
      <c r="EV1051" s="681"/>
      <c r="EW1051" s="681"/>
      <c r="EX1051" s="681"/>
      <c r="EY1051" s="681"/>
      <c r="EZ1051" s="681"/>
      <c r="FA1051" s="681"/>
      <c r="FB1051" s="681"/>
      <c r="FC1051" s="681"/>
      <c r="FD1051" s="681"/>
      <c r="FE1051" s="681"/>
      <c r="FF1051" s="681"/>
      <c r="FG1051" s="681"/>
      <c r="FH1051" s="681"/>
      <c r="FI1051" s="681"/>
      <c r="FJ1051" s="681"/>
      <c r="FK1051" s="681"/>
      <c r="FL1051" s="681"/>
      <c r="FM1051" s="681"/>
      <c r="FN1051" s="681"/>
      <c r="FO1051" s="681"/>
      <c r="FP1051" s="681"/>
      <c r="FQ1051" s="681"/>
      <c r="FR1051" s="681"/>
      <c r="FS1051" s="681"/>
      <c r="FT1051" s="681"/>
      <c r="FU1051" s="681"/>
      <c r="FV1051" s="681"/>
      <c r="FW1051" s="681"/>
      <c r="FX1051" s="681"/>
      <c r="FY1051" s="681"/>
      <c r="FZ1051" s="681"/>
      <c r="GA1051" s="681"/>
      <c r="GB1051" s="681"/>
      <c r="GC1051" s="681"/>
      <c r="GD1051" s="681"/>
      <c r="GE1051" s="681"/>
      <c r="GF1051" s="681"/>
      <c r="GG1051" s="681"/>
      <c r="GH1051" s="681"/>
      <c r="GI1051" s="681"/>
      <c r="GJ1051" s="681"/>
      <c r="GK1051" s="681"/>
      <c r="GL1051" s="681"/>
      <c r="GM1051" s="681"/>
      <c r="GN1051" s="681"/>
      <c r="GO1051" s="681"/>
      <c r="GP1051" s="681"/>
      <c r="GQ1051" s="681"/>
      <c r="GR1051" s="681"/>
      <c r="GS1051" s="681"/>
      <c r="GT1051" s="681"/>
      <c r="GU1051" s="681"/>
      <c r="GV1051" s="681"/>
      <c r="GW1051" s="681"/>
      <c r="GX1051" s="681"/>
      <c r="GY1051" s="681"/>
      <c r="GZ1051" s="681"/>
      <c r="HA1051" s="681"/>
      <c r="HB1051" s="681"/>
      <c r="HC1051" s="681"/>
      <c r="HD1051" s="681"/>
      <c r="HE1051" s="681"/>
      <c r="HF1051" s="681"/>
      <c r="HG1051" s="681"/>
      <c r="HH1051" s="681"/>
      <c r="HI1051" s="681"/>
      <c r="HJ1051" s="681"/>
      <c r="HK1051" s="681"/>
      <c r="HL1051" s="681"/>
      <c r="HM1051" s="681"/>
      <c r="HN1051" s="681"/>
      <c r="HO1051" s="681"/>
      <c r="HP1051" s="681"/>
      <c r="HQ1051" s="681"/>
      <c r="HR1051" s="681"/>
      <c r="HS1051" s="681"/>
      <c r="HT1051" s="681"/>
      <c r="HU1051" s="681"/>
      <c r="HV1051" s="681"/>
      <c r="HW1051" s="681"/>
      <c r="HX1051" s="681"/>
      <c r="HY1051" s="681"/>
      <c r="HZ1051" s="681"/>
      <c r="IA1051" s="681"/>
      <c r="IB1051" s="681"/>
      <c r="IC1051" s="681"/>
      <c r="ID1051" s="681"/>
      <c r="IE1051" s="681"/>
      <c r="IF1051" s="681"/>
      <c r="IG1051" s="681"/>
      <c r="IH1051" s="681"/>
      <c r="II1051" s="681"/>
      <c r="IJ1051" s="681"/>
      <c r="IK1051" s="681"/>
      <c r="IL1051" s="681"/>
      <c r="IM1051" s="681"/>
      <c r="IN1051" s="681"/>
      <c r="IO1051" s="681"/>
      <c r="IP1051" s="681"/>
      <c r="IQ1051" s="681"/>
      <c r="IR1051" s="681"/>
      <c r="IS1051" s="681"/>
      <c r="IT1051" s="681"/>
      <c r="IU1051" s="681"/>
      <c r="IV1051" s="681"/>
      <c r="IW1051" s="681"/>
    </row>
    <row r="1052" spans="1:257" s="682" customFormat="1">
      <c r="A1052" s="683" t="s">
        <v>258</v>
      </c>
      <c r="B1052" s="813" t="s">
        <v>565</v>
      </c>
      <c r="C1052" s="635"/>
      <c r="D1052" s="635"/>
      <c r="E1052" s="669"/>
      <c r="F1052" s="669"/>
      <c r="G1052" s="669"/>
      <c r="H1052" s="669"/>
      <c r="I1052" s="669"/>
      <c r="J1052" s="669">
        <v>45000000</v>
      </c>
      <c r="K1052" s="669"/>
      <c r="L1052" s="1306"/>
      <c r="M1052" s="669"/>
      <c r="N1052" s="837"/>
      <c r="O1052" s="837"/>
      <c r="P1052" s="837"/>
      <c r="Q1052" s="837"/>
      <c r="R1052" s="908"/>
      <c r="S1052" s="908"/>
      <c r="T1052" s="1017"/>
      <c r="U1052" s="580"/>
      <c r="V1052" s="727"/>
      <c r="W1052" s="680"/>
      <c r="X1052" s="677"/>
      <c r="Y1052" s="681"/>
      <c r="Z1052" s="681"/>
      <c r="AA1052" s="681"/>
      <c r="AB1052" s="681"/>
      <c r="AC1052" s="681"/>
      <c r="AD1052" s="681"/>
      <c r="AE1052" s="681"/>
      <c r="AF1052" s="681"/>
      <c r="AG1052" s="681"/>
      <c r="AH1052" s="681"/>
      <c r="AI1052" s="681"/>
      <c r="AJ1052" s="681"/>
      <c r="AK1052" s="681"/>
      <c r="AL1052" s="681"/>
      <c r="AM1052" s="681"/>
      <c r="AN1052" s="681"/>
      <c r="AO1052" s="681"/>
      <c r="AP1052" s="681"/>
      <c r="AQ1052" s="681"/>
      <c r="AR1052" s="681"/>
      <c r="AS1052" s="681"/>
      <c r="AT1052" s="681"/>
      <c r="AU1052" s="681"/>
      <c r="AV1052" s="681"/>
      <c r="AW1052" s="681"/>
      <c r="AX1052" s="681"/>
      <c r="AY1052" s="681"/>
      <c r="AZ1052" s="681"/>
      <c r="BA1052" s="681"/>
      <c r="BB1052" s="681"/>
      <c r="BC1052" s="681"/>
      <c r="BD1052" s="681"/>
      <c r="BE1052" s="681"/>
      <c r="BF1052" s="681"/>
      <c r="BG1052" s="681"/>
      <c r="BH1052" s="681"/>
      <c r="BI1052" s="681"/>
      <c r="BJ1052" s="681"/>
      <c r="BK1052" s="681"/>
      <c r="BL1052" s="681"/>
      <c r="BM1052" s="681"/>
      <c r="BN1052" s="681"/>
      <c r="BO1052" s="681"/>
      <c r="BP1052" s="681"/>
      <c r="BQ1052" s="681"/>
      <c r="BR1052" s="681"/>
      <c r="BS1052" s="681"/>
      <c r="BT1052" s="681"/>
      <c r="BU1052" s="681"/>
      <c r="BV1052" s="681"/>
      <c r="BW1052" s="681"/>
      <c r="BX1052" s="681"/>
      <c r="BY1052" s="681"/>
      <c r="BZ1052" s="681"/>
      <c r="CA1052" s="681"/>
      <c r="CB1052" s="681"/>
      <c r="CC1052" s="681"/>
      <c r="CD1052" s="681"/>
      <c r="CE1052" s="681"/>
      <c r="CF1052" s="681"/>
      <c r="CG1052" s="681"/>
      <c r="CH1052" s="681"/>
      <c r="CI1052" s="681"/>
      <c r="CJ1052" s="681"/>
      <c r="CK1052" s="681"/>
      <c r="CL1052" s="681"/>
      <c r="CM1052" s="681"/>
      <c r="CN1052" s="681"/>
      <c r="CO1052" s="681"/>
      <c r="CP1052" s="681"/>
      <c r="CQ1052" s="681"/>
      <c r="CR1052" s="681"/>
      <c r="CS1052" s="681"/>
      <c r="CT1052" s="681"/>
      <c r="CU1052" s="681"/>
      <c r="CV1052" s="681"/>
      <c r="CW1052" s="681"/>
      <c r="CX1052" s="681"/>
      <c r="CY1052" s="681"/>
      <c r="CZ1052" s="681"/>
      <c r="DA1052" s="681"/>
      <c r="DB1052" s="681"/>
      <c r="DC1052" s="681"/>
      <c r="DD1052" s="681"/>
      <c r="DE1052" s="681"/>
      <c r="DF1052" s="681"/>
      <c r="DG1052" s="681"/>
      <c r="DH1052" s="681"/>
      <c r="DI1052" s="681"/>
      <c r="DJ1052" s="681"/>
      <c r="DK1052" s="681"/>
      <c r="DL1052" s="681"/>
      <c r="DM1052" s="681"/>
      <c r="DN1052" s="681"/>
      <c r="DO1052" s="681"/>
      <c r="DP1052" s="681"/>
      <c r="DQ1052" s="681"/>
      <c r="DR1052" s="681"/>
      <c r="DS1052" s="681"/>
      <c r="DT1052" s="681"/>
      <c r="DU1052" s="681"/>
      <c r="DV1052" s="681"/>
      <c r="DW1052" s="681"/>
      <c r="DX1052" s="681"/>
      <c r="DY1052" s="681"/>
      <c r="DZ1052" s="681"/>
      <c r="EA1052" s="681"/>
      <c r="EB1052" s="681"/>
      <c r="EC1052" s="681"/>
      <c r="ED1052" s="681"/>
      <c r="EE1052" s="681"/>
      <c r="EF1052" s="681"/>
      <c r="EG1052" s="681"/>
      <c r="EH1052" s="681"/>
      <c r="EI1052" s="681"/>
      <c r="EJ1052" s="681"/>
      <c r="EK1052" s="681"/>
      <c r="EL1052" s="681"/>
      <c r="EM1052" s="681"/>
      <c r="EN1052" s="681"/>
      <c r="EO1052" s="681"/>
      <c r="EP1052" s="681"/>
      <c r="EQ1052" s="681"/>
      <c r="ER1052" s="681"/>
      <c r="ES1052" s="681"/>
      <c r="ET1052" s="681"/>
      <c r="EU1052" s="681"/>
      <c r="EV1052" s="681"/>
      <c r="EW1052" s="681"/>
      <c r="EX1052" s="681"/>
      <c r="EY1052" s="681"/>
      <c r="EZ1052" s="681"/>
      <c r="FA1052" s="681"/>
      <c r="FB1052" s="681"/>
      <c r="FC1052" s="681"/>
      <c r="FD1052" s="681"/>
      <c r="FE1052" s="681"/>
      <c r="FF1052" s="681"/>
      <c r="FG1052" s="681"/>
      <c r="FH1052" s="681"/>
      <c r="FI1052" s="681"/>
      <c r="FJ1052" s="681"/>
      <c r="FK1052" s="681"/>
      <c r="FL1052" s="681"/>
      <c r="FM1052" s="681"/>
      <c r="FN1052" s="681"/>
      <c r="FO1052" s="681"/>
      <c r="FP1052" s="681"/>
      <c r="FQ1052" s="681"/>
      <c r="FR1052" s="681"/>
      <c r="FS1052" s="681"/>
      <c r="FT1052" s="681"/>
      <c r="FU1052" s="681"/>
      <c r="FV1052" s="681"/>
      <c r="FW1052" s="681"/>
      <c r="FX1052" s="681"/>
      <c r="FY1052" s="681"/>
      <c r="FZ1052" s="681"/>
      <c r="GA1052" s="681"/>
      <c r="GB1052" s="681"/>
      <c r="GC1052" s="681"/>
      <c r="GD1052" s="681"/>
      <c r="GE1052" s="681"/>
      <c r="GF1052" s="681"/>
      <c r="GG1052" s="681"/>
      <c r="GH1052" s="681"/>
      <c r="GI1052" s="681"/>
      <c r="GJ1052" s="681"/>
      <c r="GK1052" s="681"/>
      <c r="GL1052" s="681"/>
      <c r="GM1052" s="681"/>
      <c r="GN1052" s="681"/>
      <c r="GO1052" s="681"/>
      <c r="GP1052" s="681"/>
      <c r="GQ1052" s="681"/>
      <c r="GR1052" s="681"/>
      <c r="GS1052" s="681"/>
      <c r="GT1052" s="681"/>
      <c r="GU1052" s="681"/>
      <c r="GV1052" s="681"/>
      <c r="GW1052" s="681"/>
      <c r="GX1052" s="681"/>
      <c r="GY1052" s="681"/>
      <c r="GZ1052" s="681"/>
      <c r="HA1052" s="681"/>
      <c r="HB1052" s="681"/>
      <c r="HC1052" s="681"/>
      <c r="HD1052" s="681"/>
      <c r="HE1052" s="681"/>
      <c r="HF1052" s="681"/>
      <c r="HG1052" s="681"/>
      <c r="HH1052" s="681"/>
      <c r="HI1052" s="681"/>
      <c r="HJ1052" s="681"/>
      <c r="HK1052" s="681"/>
      <c r="HL1052" s="681"/>
      <c r="HM1052" s="681"/>
      <c r="HN1052" s="681"/>
      <c r="HO1052" s="681"/>
      <c r="HP1052" s="681"/>
      <c r="HQ1052" s="681"/>
      <c r="HR1052" s="681"/>
      <c r="HS1052" s="681"/>
      <c r="HT1052" s="681"/>
      <c r="HU1052" s="681"/>
      <c r="HV1052" s="681"/>
      <c r="HW1052" s="681"/>
      <c r="HX1052" s="681"/>
      <c r="HY1052" s="681"/>
      <c r="HZ1052" s="681"/>
      <c r="IA1052" s="681"/>
      <c r="IB1052" s="681"/>
      <c r="IC1052" s="681"/>
      <c r="ID1052" s="681"/>
      <c r="IE1052" s="681"/>
      <c r="IF1052" s="681"/>
      <c r="IG1052" s="681"/>
      <c r="IH1052" s="681"/>
      <c r="II1052" s="681"/>
      <c r="IJ1052" s="681"/>
      <c r="IK1052" s="681"/>
      <c r="IL1052" s="681"/>
      <c r="IM1052" s="681"/>
      <c r="IN1052" s="681"/>
      <c r="IO1052" s="681"/>
      <c r="IP1052" s="681"/>
      <c r="IQ1052" s="681"/>
      <c r="IR1052" s="681"/>
      <c r="IS1052" s="681"/>
      <c r="IT1052" s="681"/>
      <c r="IU1052" s="681"/>
      <c r="IV1052" s="681"/>
      <c r="IW1052" s="681"/>
    </row>
    <row r="1053" spans="1:257" s="682" customFormat="1">
      <c r="A1053" s="683" t="s">
        <v>258</v>
      </c>
      <c r="B1053" s="1079" t="s">
        <v>145</v>
      </c>
      <c r="C1053" s="635"/>
      <c r="D1053" s="635"/>
      <c r="E1053" s="669"/>
      <c r="F1053" s="669"/>
      <c r="G1053" s="669"/>
      <c r="H1053" s="669"/>
      <c r="I1053" s="669"/>
      <c r="J1053" s="669">
        <v>15000000</v>
      </c>
      <c r="K1053" s="669"/>
      <c r="L1053" s="1306"/>
      <c r="M1053" s="669"/>
      <c r="N1053" s="837"/>
      <c r="O1053" s="837"/>
      <c r="P1053" s="837"/>
      <c r="Q1053" s="837"/>
      <c r="R1053" s="908"/>
      <c r="S1053" s="908"/>
      <c r="T1053" s="1017"/>
      <c r="U1053" s="580"/>
      <c r="V1053" s="727"/>
      <c r="W1053" s="680"/>
      <c r="X1053" s="677"/>
      <c r="Y1053" s="681"/>
      <c r="Z1053" s="681"/>
      <c r="AA1053" s="681"/>
      <c r="AB1053" s="681"/>
      <c r="AC1053" s="681"/>
      <c r="AD1053" s="681"/>
      <c r="AE1053" s="681"/>
      <c r="AF1053" s="681"/>
      <c r="AG1053" s="681"/>
      <c r="AH1053" s="681"/>
      <c r="AI1053" s="681"/>
      <c r="AJ1053" s="681"/>
      <c r="AK1053" s="681"/>
      <c r="AL1053" s="681"/>
      <c r="AM1053" s="681"/>
      <c r="AN1053" s="681"/>
      <c r="AO1053" s="681"/>
      <c r="AP1053" s="681"/>
      <c r="AQ1053" s="681"/>
      <c r="AR1053" s="681"/>
      <c r="AS1053" s="681"/>
      <c r="AT1053" s="681"/>
      <c r="AU1053" s="681"/>
      <c r="AV1053" s="681"/>
      <c r="AW1053" s="681"/>
      <c r="AX1053" s="681"/>
      <c r="AY1053" s="681"/>
      <c r="AZ1053" s="681"/>
      <c r="BA1053" s="681"/>
      <c r="BB1053" s="681"/>
      <c r="BC1053" s="681"/>
      <c r="BD1053" s="681"/>
      <c r="BE1053" s="681"/>
      <c r="BF1053" s="681"/>
      <c r="BG1053" s="681"/>
      <c r="BH1053" s="681"/>
      <c r="BI1053" s="681"/>
      <c r="BJ1053" s="681"/>
      <c r="BK1053" s="681"/>
      <c r="BL1053" s="681"/>
      <c r="BM1053" s="681"/>
      <c r="BN1053" s="681"/>
      <c r="BO1053" s="681"/>
      <c r="BP1053" s="681"/>
      <c r="BQ1053" s="681"/>
      <c r="BR1053" s="681"/>
      <c r="BS1053" s="681"/>
      <c r="BT1053" s="681"/>
      <c r="BU1053" s="681"/>
      <c r="BV1053" s="681"/>
      <c r="BW1053" s="681"/>
      <c r="BX1053" s="681"/>
      <c r="BY1053" s="681"/>
      <c r="BZ1053" s="681"/>
      <c r="CA1053" s="681"/>
      <c r="CB1053" s="681"/>
      <c r="CC1053" s="681"/>
      <c r="CD1053" s="681"/>
      <c r="CE1053" s="681"/>
      <c r="CF1053" s="681"/>
      <c r="CG1053" s="681"/>
      <c r="CH1053" s="681"/>
      <c r="CI1053" s="681"/>
      <c r="CJ1053" s="681"/>
      <c r="CK1053" s="681"/>
      <c r="CL1053" s="681"/>
      <c r="CM1053" s="681"/>
      <c r="CN1053" s="681"/>
      <c r="CO1053" s="681"/>
      <c r="CP1053" s="681"/>
      <c r="CQ1053" s="681"/>
      <c r="CR1053" s="681"/>
      <c r="CS1053" s="681"/>
      <c r="CT1053" s="681"/>
      <c r="CU1053" s="681"/>
      <c r="CV1053" s="681"/>
      <c r="CW1053" s="681"/>
      <c r="CX1053" s="681"/>
      <c r="CY1053" s="681"/>
      <c r="CZ1053" s="681"/>
      <c r="DA1053" s="681"/>
      <c r="DB1053" s="681"/>
      <c r="DC1053" s="681"/>
      <c r="DD1053" s="681"/>
      <c r="DE1053" s="681"/>
      <c r="DF1053" s="681"/>
      <c r="DG1053" s="681"/>
      <c r="DH1053" s="681"/>
      <c r="DI1053" s="681"/>
      <c r="DJ1053" s="681"/>
      <c r="DK1053" s="681"/>
      <c r="DL1053" s="681"/>
      <c r="DM1053" s="681"/>
      <c r="DN1053" s="681"/>
      <c r="DO1053" s="681"/>
      <c r="DP1053" s="681"/>
      <c r="DQ1053" s="681"/>
      <c r="DR1053" s="681"/>
      <c r="DS1053" s="681"/>
      <c r="DT1053" s="681"/>
      <c r="DU1053" s="681"/>
      <c r="DV1053" s="681"/>
      <c r="DW1053" s="681"/>
      <c r="DX1053" s="681"/>
      <c r="DY1053" s="681"/>
      <c r="DZ1053" s="681"/>
      <c r="EA1053" s="681"/>
      <c r="EB1053" s="681"/>
      <c r="EC1053" s="681"/>
      <c r="ED1053" s="681"/>
      <c r="EE1053" s="681"/>
      <c r="EF1053" s="681"/>
      <c r="EG1053" s="681"/>
      <c r="EH1053" s="681"/>
      <c r="EI1053" s="681"/>
      <c r="EJ1053" s="681"/>
      <c r="EK1053" s="681"/>
      <c r="EL1053" s="681"/>
      <c r="EM1053" s="681"/>
      <c r="EN1053" s="681"/>
      <c r="EO1053" s="681"/>
      <c r="EP1053" s="681"/>
      <c r="EQ1053" s="681"/>
      <c r="ER1053" s="681"/>
      <c r="ES1053" s="681"/>
      <c r="ET1053" s="681"/>
      <c r="EU1053" s="681"/>
      <c r="EV1053" s="681"/>
      <c r="EW1053" s="681"/>
      <c r="EX1053" s="681"/>
      <c r="EY1053" s="681"/>
      <c r="EZ1053" s="681"/>
      <c r="FA1053" s="681"/>
      <c r="FB1053" s="681"/>
      <c r="FC1053" s="681"/>
      <c r="FD1053" s="681"/>
      <c r="FE1053" s="681"/>
      <c r="FF1053" s="681"/>
      <c r="FG1053" s="681"/>
      <c r="FH1053" s="681"/>
      <c r="FI1053" s="681"/>
      <c r="FJ1053" s="681"/>
      <c r="FK1053" s="681"/>
      <c r="FL1053" s="681"/>
      <c r="FM1053" s="681"/>
      <c r="FN1053" s="681"/>
      <c r="FO1053" s="681"/>
      <c r="FP1053" s="681"/>
      <c r="FQ1053" s="681"/>
      <c r="FR1053" s="681"/>
      <c r="FS1053" s="681"/>
      <c r="FT1053" s="681"/>
      <c r="FU1053" s="681"/>
      <c r="FV1053" s="681"/>
      <c r="FW1053" s="681"/>
      <c r="FX1053" s="681"/>
      <c r="FY1053" s="681"/>
      <c r="FZ1053" s="681"/>
      <c r="GA1053" s="681"/>
      <c r="GB1053" s="681"/>
      <c r="GC1053" s="681"/>
      <c r="GD1053" s="681"/>
      <c r="GE1053" s="681"/>
      <c r="GF1053" s="681"/>
      <c r="GG1053" s="681"/>
      <c r="GH1053" s="681"/>
      <c r="GI1053" s="681"/>
      <c r="GJ1053" s="681"/>
      <c r="GK1053" s="681"/>
      <c r="GL1053" s="681"/>
      <c r="GM1053" s="681"/>
      <c r="GN1053" s="681"/>
      <c r="GO1053" s="681"/>
      <c r="GP1053" s="681"/>
      <c r="GQ1053" s="681"/>
      <c r="GR1053" s="681"/>
      <c r="GS1053" s="681"/>
      <c r="GT1053" s="681"/>
      <c r="GU1053" s="681"/>
      <c r="GV1053" s="681"/>
      <c r="GW1053" s="681"/>
      <c r="GX1053" s="681"/>
      <c r="GY1053" s="681"/>
      <c r="GZ1053" s="681"/>
      <c r="HA1053" s="681"/>
      <c r="HB1053" s="681"/>
      <c r="HC1053" s="681"/>
      <c r="HD1053" s="681"/>
      <c r="HE1053" s="681"/>
      <c r="HF1053" s="681"/>
      <c r="HG1053" s="681"/>
      <c r="HH1053" s="681"/>
      <c r="HI1053" s="681"/>
      <c r="HJ1053" s="681"/>
      <c r="HK1053" s="681"/>
      <c r="HL1053" s="681"/>
      <c r="HM1053" s="681"/>
      <c r="HN1053" s="681"/>
      <c r="HO1053" s="681"/>
      <c r="HP1053" s="681"/>
      <c r="HQ1053" s="681"/>
      <c r="HR1053" s="681"/>
      <c r="HS1053" s="681"/>
      <c r="HT1053" s="681"/>
      <c r="HU1053" s="681"/>
      <c r="HV1053" s="681"/>
      <c r="HW1053" s="681"/>
      <c r="HX1053" s="681"/>
      <c r="HY1053" s="681"/>
      <c r="HZ1053" s="681"/>
      <c r="IA1053" s="681"/>
      <c r="IB1053" s="681"/>
      <c r="IC1053" s="681"/>
      <c r="ID1053" s="681"/>
      <c r="IE1053" s="681"/>
      <c r="IF1053" s="681"/>
      <c r="IG1053" s="681"/>
      <c r="IH1053" s="681"/>
      <c r="II1053" s="681"/>
      <c r="IJ1053" s="681"/>
      <c r="IK1053" s="681"/>
      <c r="IL1053" s="681"/>
      <c r="IM1053" s="681"/>
      <c r="IN1053" s="681"/>
      <c r="IO1053" s="681"/>
      <c r="IP1053" s="681"/>
      <c r="IQ1053" s="681"/>
      <c r="IR1053" s="681"/>
      <c r="IS1053" s="681"/>
      <c r="IT1053" s="681"/>
      <c r="IU1053" s="681"/>
      <c r="IV1053" s="681"/>
      <c r="IW1053" s="681"/>
    </row>
    <row r="1054" spans="1:257" s="682" customFormat="1">
      <c r="A1054" s="683" t="s">
        <v>258</v>
      </c>
      <c r="B1054" s="1079" t="s">
        <v>1201</v>
      </c>
      <c r="C1054" s="635"/>
      <c r="D1054" s="635"/>
      <c r="E1054" s="669"/>
      <c r="F1054" s="669"/>
      <c r="G1054" s="669"/>
      <c r="H1054" s="669"/>
      <c r="I1054" s="669"/>
      <c r="J1054" s="669">
        <v>20000000</v>
      </c>
      <c r="K1054" s="669"/>
      <c r="L1054" s="1306"/>
      <c r="M1054" s="669"/>
      <c r="N1054" s="837"/>
      <c r="O1054" s="837"/>
      <c r="P1054" s="837"/>
      <c r="Q1054" s="837"/>
      <c r="R1054" s="908"/>
      <c r="S1054" s="908"/>
      <c r="T1054" s="1017"/>
      <c r="U1054" s="580"/>
      <c r="V1054" s="727"/>
      <c r="W1054" s="680"/>
      <c r="X1054" s="677"/>
      <c r="Y1054" s="681"/>
      <c r="Z1054" s="681"/>
      <c r="AA1054" s="681"/>
      <c r="AB1054" s="681"/>
      <c r="AC1054" s="681"/>
      <c r="AD1054" s="681"/>
      <c r="AE1054" s="681"/>
      <c r="AF1054" s="681"/>
      <c r="AG1054" s="681"/>
      <c r="AH1054" s="681"/>
      <c r="AI1054" s="681"/>
      <c r="AJ1054" s="681"/>
      <c r="AK1054" s="681"/>
      <c r="AL1054" s="681"/>
      <c r="AM1054" s="681"/>
      <c r="AN1054" s="681"/>
      <c r="AO1054" s="681"/>
      <c r="AP1054" s="681"/>
      <c r="AQ1054" s="681"/>
      <c r="AR1054" s="681"/>
      <c r="AS1054" s="681"/>
      <c r="AT1054" s="681"/>
      <c r="AU1054" s="681"/>
      <c r="AV1054" s="681"/>
      <c r="AW1054" s="681"/>
      <c r="AX1054" s="681"/>
      <c r="AY1054" s="681"/>
      <c r="AZ1054" s="681"/>
      <c r="BA1054" s="681"/>
      <c r="BB1054" s="681"/>
      <c r="BC1054" s="681"/>
      <c r="BD1054" s="681"/>
      <c r="BE1054" s="681"/>
      <c r="BF1054" s="681"/>
      <c r="BG1054" s="681"/>
      <c r="BH1054" s="681"/>
      <c r="BI1054" s="681"/>
      <c r="BJ1054" s="681"/>
      <c r="BK1054" s="681"/>
      <c r="BL1054" s="681"/>
      <c r="BM1054" s="681"/>
      <c r="BN1054" s="681"/>
      <c r="BO1054" s="681"/>
      <c r="BP1054" s="681"/>
      <c r="BQ1054" s="681"/>
      <c r="BR1054" s="681"/>
      <c r="BS1054" s="681"/>
      <c r="BT1054" s="681"/>
      <c r="BU1054" s="681"/>
      <c r="BV1054" s="681"/>
      <c r="BW1054" s="681"/>
      <c r="BX1054" s="681"/>
      <c r="BY1054" s="681"/>
      <c r="BZ1054" s="681"/>
      <c r="CA1054" s="681"/>
      <c r="CB1054" s="681"/>
      <c r="CC1054" s="681"/>
      <c r="CD1054" s="681"/>
      <c r="CE1054" s="681"/>
      <c r="CF1054" s="681"/>
      <c r="CG1054" s="681"/>
      <c r="CH1054" s="681"/>
      <c r="CI1054" s="681"/>
      <c r="CJ1054" s="681"/>
      <c r="CK1054" s="681"/>
      <c r="CL1054" s="681"/>
      <c r="CM1054" s="681"/>
      <c r="CN1054" s="681"/>
      <c r="CO1054" s="681"/>
      <c r="CP1054" s="681"/>
      <c r="CQ1054" s="681"/>
      <c r="CR1054" s="681"/>
      <c r="CS1054" s="681"/>
      <c r="CT1054" s="681"/>
      <c r="CU1054" s="681"/>
      <c r="CV1054" s="681"/>
      <c r="CW1054" s="681"/>
      <c r="CX1054" s="681"/>
      <c r="CY1054" s="681"/>
      <c r="CZ1054" s="681"/>
      <c r="DA1054" s="681"/>
      <c r="DB1054" s="681"/>
      <c r="DC1054" s="681"/>
      <c r="DD1054" s="681"/>
      <c r="DE1054" s="681"/>
      <c r="DF1054" s="681"/>
      <c r="DG1054" s="681"/>
      <c r="DH1054" s="681"/>
      <c r="DI1054" s="681"/>
      <c r="DJ1054" s="681"/>
      <c r="DK1054" s="681"/>
      <c r="DL1054" s="681"/>
      <c r="DM1054" s="681"/>
      <c r="DN1054" s="681"/>
      <c r="DO1054" s="681"/>
      <c r="DP1054" s="681"/>
      <c r="DQ1054" s="681"/>
      <c r="DR1054" s="681"/>
      <c r="DS1054" s="681"/>
      <c r="DT1054" s="681"/>
      <c r="DU1054" s="681"/>
      <c r="DV1054" s="681"/>
      <c r="DW1054" s="681"/>
      <c r="DX1054" s="681"/>
      <c r="DY1054" s="681"/>
      <c r="DZ1054" s="681"/>
      <c r="EA1054" s="681"/>
      <c r="EB1054" s="681"/>
      <c r="EC1054" s="681"/>
      <c r="ED1054" s="681"/>
      <c r="EE1054" s="681"/>
      <c r="EF1054" s="681"/>
      <c r="EG1054" s="681"/>
      <c r="EH1054" s="681"/>
      <c r="EI1054" s="681"/>
      <c r="EJ1054" s="681"/>
      <c r="EK1054" s="681"/>
      <c r="EL1054" s="681"/>
      <c r="EM1054" s="681"/>
      <c r="EN1054" s="681"/>
      <c r="EO1054" s="681"/>
      <c r="EP1054" s="681"/>
      <c r="EQ1054" s="681"/>
      <c r="ER1054" s="681"/>
      <c r="ES1054" s="681"/>
      <c r="ET1054" s="681"/>
      <c r="EU1054" s="681"/>
      <c r="EV1054" s="681"/>
      <c r="EW1054" s="681"/>
      <c r="EX1054" s="681"/>
      <c r="EY1054" s="681"/>
      <c r="EZ1054" s="681"/>
      <c r="FA1054" s="681"/>
      <c r="FB1054" s="681"/>
      <c r="FC1054" s="681"/>
      <c r="FD1054" s="681"/>
      <c r="FE1054" s="681"/>
      <c r="FF1054" s="681"/>
      <c r="FG1054" s="681"/>
      <c r="FH1054" s="681"/>
      <c r="FI1054" s="681"/>
      <c r="FJ1054" s="681"/>
      <c r="FK1054" s="681"/>
      <c r="FL1054" s="681"/>
      <c r="FM1054" s="681"/>
      <c r="FN1054" s="681"/>
      <c r="FO1054" s="681"/>
      <c r="FP1054" s="681"/>
      <c r="FQ1054" s="681"/>
      <c r="FR1054" s="681"/>
      <c r="FS1054" s="681"/>
      <c r="FT1054" s="681"/>
      <c r="FU1054" s="681"/>
      <c r="FV1054" s="681"/>
      <c r="FW1054" s="681"/>
      <c r="FX1054" s="681"/>
      <c r="FY1054" s="681"/>
      <c r="FZ1054" s="681"/>
      <c r="GA1054" s="681"/>
      <c r="GB1054" s="681"/>
      <c r="GC1054" s="681"/>
      <c r="GD1054" s="681"/>
      <c r="GE1054" s="681"/>
      <c r="GF1054" s="681"/>
      <c r="GG1054" s="681"/>
      <c r="GH1054" s="681"/>
      <c r="GI1054" s="681"/>
      <c r="GJ1054" s="681"/>
      <c r="GK1054" s="681"/>
      <c r="GL1054" s="681"/>
      <c r="GM1054" s="681"/>
      <c r="GN1054" s="681"/>
      <c r="GO1054" s="681"/>
      <c r="GP1054" s="681"/>
      <c r="GQ1054" s="681"/>
      <c r="GR1054" s="681"/>
      <c r="GS1054" s="681"/>
      <c r="GT1054" s="681"/>
      <c r="GU1054" s="681"/>
      <c r="GV1054" s="681"/>
      <c r="GW1054" s="681"/>
      <c r="GX1054" s="681"/>
      <c r="GY1054" s="681"/>
      <c r="GZ1054" s="681"/>
      <c r="HA1054" s="681"/>
      <c r="HB1054" s="681"/>
      <c r="HC1054" s="681"/>
      <c r="HD1054" s="681"/>
      <c r="HE1054" s="681"/>
      <c r="HF1054" s="681"/>
      <c r="HG1054" s="681"/>
      <c r="HH1054" s="681"/>
      <c r="HI1054" s="681"/>
      <c r="HJ1054" s="681"/>
      <c r="HK1054" s="681"/>
      <c r="HL1054" s="681"/>
      <c r="HM1054" s="681"/>
      <c r="HN1054" s="681"/>
      <c r="HO1054" s="681"/>
      <c r="HP1054" s="681"/>
      <c r="HQ1054" s="681"/>
      <c r="HR1054" s="681"/>
      <c r="HS1054" s="681"/>
      <c r="HT1054" s="681"/>
      <c r="HU1054" s="681"/>
      <c r="HV1054" s="681"/>
      <c r="HW1054" s="681"/>
      <c r="HX1054" s="681"/>
      <c r="HY1054" s="681"/>
      <c r="HZ1054" s="681"/>
      <c r="IA1054" s="681"/>
      <c r="IB1054" s="681"/>
      <c r="IC1054" s="681"/>
      <c r="ID1054" s="681"/>
      <c r="IE1054" s="681"/>
      <c r="IF1054" s="681"/>
      <c r="IG1054" s="681"/>
      <c r="IH1054" s="681"/>
      <c r="II1054" s="681"/>
      <c r="IJ1054" s="681"/>
      <c r="IK1054" s="681"/>
      <c r="IL1054" s="681"/>
      <c r="IM1054" s="681"/>
      <c r="IN1054" s="681"/>
      <c r="IO1054" s="681"/>
      <c r="IP1054" s="681"/>
      <c r="IQ1054" s="681"/>
      <c r="IR1054" s="681"/>
      <c r="IS1054" s="681"/>
      <c r="IT1054" s="681"/>
      <c r="IU1054" s="681"/>
      <c r="IV1054" s="681"/>
      <c r="IW1054" s="681"/>
    </row>
    <row r="1055" spans="1:257" s="682" customFormat="1">
      <c r="A1055" s="683" t="s">
        <v>258</v>
      </c>
      <c r="B1055" s="1079" t="s">
        <v>1388</v>
      </c>
      <c r="C1055" s="635"/>
      <c r="D1055" s="635"/>
      <c r="E1055" s="669"/>
      <c r="F1055" s="669"/>
      <c r="G1055" s="669"/>
      <c r="H1055" s="669"/>
      <c r="I1055" s="669"/>
      <c r="J1055" s="669">
        <v>30000000</v>
      </c>
      <c r="K1055" s="669"/>
      <c r="L1055" s="1306">
        <v>30000000</v>
      </c>
      <c r="M1055" s="669" t="s">
        <v>1712</v>
      </c>
      <c r="N1055" s="837"/>
      <c r="O1055" s="837"/>
      <c r="P1055" s="837"/>
      <c r="Q1055" s="837"/>
      <c r="R1055" s="908"/>
      <c r="S1055" s="908"/>
      <c r="T1055" s="1017"/>
      <c r="U1055" s="580"/>
      <c r="V1055" s="727"/>
      <c r="W1055" s="680"/>
      <c r="X1055" s="677"/>
      <c r="Y1055" s="681"/>
      <c r="Z1055" s="681"/>
      <c r="AA1055" s="681"/>
      <c r="AB1055" s="681"/>
      <c r="AC1055" s="681"/>
      <c r="AD1055" s="681"/>
      <c r="AE1055" s="681"/>
      <c r="AF1055" s="681"/>
      <c r="AG1055" s="681"/>
      <c r="AH1055" s="681"/>
      <c r="AI1055" s="681"/>
      <c r="AJ1055" s="681"/>
      <c r="AK1055" s="681"/>
      <c r="AL1055" s="681"/>
      <c r="AM1055" s="681"/>
      <c r="AN1055" s="681"/>
      <c r="AO1055" s="681"/>
      <c r="AP1055" s="681"/>
      <c r="AQ1055" s="681"/>
      <c r="AR1055" s="681"/>
      <c r="AS1055" s="681"/>
      <c r="AT1055" s="681"/>
      <c r="AU1055" s="681"/>
      <c r="AV1055" s="681"/>
      <c r="AW1055" s="681"/>
      <c r="AX1055" s="681"/>
      <c r="AY1055" s="681"/>
      <c r="AZ1055" s="681"/>
      <c r="BA1055" s="681"/>
      <c r="BB1055" s="681"/>
      <c r="BC1055" s="681"/>
      <c r="BD1055" s="681"/>
      <c r="BE1055" s="681"/>
      <c r="BF1055" s="681"/>
      <c r="BG1055" s="681"/>
      <c r="BH1055" s="681"/>
      <c r="BI1055" s="681"/>
      <c r="BJ1055" s="681"/>
      <c r="BK1055" s="681"/>
      <c r="BL1055" s="681"/>
      <c r="BM1055" s="681"/>
      <c r="BN1055" s="681"/>
      <c r="BO1055" s="681"/>
      <c r="BP1055" s="681"/>
      <c r="BQ1055" s="681"/>
      <c r="BR1055" s="681"/>
      <c r="BS1055" s="681"/>
      <c r="BT1055" s="681"/>
      <c r="BU1055" s="681"/>
      <c r="BV1055" s="681"/>
      <c r="BW1055" s="681"/>
      <c r="BX1055" s="681"/>
      <c r="BY1055" s="681"/>
      <c r="BZ1055" s="681"/>
      <c r="CA1055" s="681"/>
      <c r="CB1055" s="681"/>
      <c r="CC1055" s="681"/>
      <c r="CD1055" s="681"/>
      <c r="CE1055" s="681"/>
      <c r="CF1055" s="681"/>
      <c r="CG1055" s="681"/>
      <c r="CH1055" s="681"/>
      <c r="CI1055" s="681"/>
      <c r="CJ1055" s="681"/>
      <c r="CK1055" s="681"/>
      <c r="CL1055" s="681"/>
      <c r="CM1055" s="681"/>
      <c r="CN1055" s="681"/>
      <c r="CO1055" s="681"/>
      <c r="CP1055" s="681"/>
      <c r="CQ1055" s="681"/>
      <c r="CR1055" s="681"/>
      <c r="CS1055" s="681"/>
      <c r="CT1055" s="681"/>
      <c r="CU1055" s="681"/>
      <c r="CV1055" s="681"/>
      <c r="CW1055" s="681"/>
      <c r="CX1055" s="681"/>
      <c r="CY1055" s="681"/>
      <c r="CZ1055" s="681"/>
      <c r="DA1055" s="681"/>
      <c r="DB1055" s="681"/>
      <c r="DC1055" s="681"/>
      <c r="DD1055" s="681"/>
      <c r="DE1055" s="681"/>
      <c r="DF1055" s="681"/>
      <c r="DG1055" s="681"/>
      <c r="DH1055" s="681"/>
      <c r="DI1055" s="681"/>
      <c r="DJ1055" s="681"/>
      <c r="DK1055" s="681"/>
      <c r="DL1055" s="681"/>
      <c r="DM1055" s="681"/>
      <c r="DN1055" s="681"/>
      <c r="DO1055" s="681"/>
      <c r="DP1055" s="681"/>
      <c r="DQ1055" s="681"/>
      <c r="DR1055" s="681"/>
      <c r="DS1055" s="681"/>
      <c r="DT1055" s="681"/>
      <c r="DU1055" s="681"/>
      <c r="DV1055" s="681"/>
      <c r="DW1055" s="681"/>
      <c r="DX1055" s="681"/>
      <c r="DY1055" s="681"/>
      <c r="DZ1055" s="681"/>
      <c r="EA1055" s="681"/>
      <c r="EB1055" s="681"/>
      <c r="EC1055" s="681"/>
      <c r="ED1055" s="681"/>
      <c r="EE1055" s="681"/>
      <c r="EF1055" s="681"/>
      <c r="EG1055" s="681"/>
      <c r="EH1055" s="681"/>
      <c r="EI1055" s="681"/>
      <c r="EJ1055" s="681"/>
      <c r="EK1055" s="681"/>
      <c r="EL1055" s="681"/>
      <c r="EM1055" s="681"/>
      <c r="EN1055" s="681"/>
      <c r="EO1055" s="681"/>
      <c r="EP1055" s="681"/>
      <c r="EQ1055" s="681"/>
      <c r="ER1055" s="681"/>
      <c r="ES1055" s="681"/>
      <c r="ET1055" s="681"/>
      <c r="EU1055" s="681"/>
      <c r="EV1055" s="681"/>
      <c r="EW1055" s="681"/>
      <c r="EX1055" s="681"/>
      <c r="EY1055" s="681"/>
      <c r="EZ1055" s="681"/>
      <c r="FA1055" s="681"/>
      <c r="FB1055" s="681"/>
      <c r="FC1055" s="681"/>
      <c r="FD1055" s="681"/>
      <c r="FE1055" s="681"/>
      <c r="FF1055" s="681"/>
      <c r="FG1055" s="681"/>
      <c r="FH1055" s="681"/>
      <c r="FI1055" s="681"/>
      <c r="FJ1055" s="681"/>
      <c r="FK1055" s="681"/>
      <c r="FL1055" s="681"/>
      <c r="FM1055" s="681"/>
      <c r="FN1055" s="681"/>
      <c r="FO1055" s="681"/>
      <c r="FP1055" s="681"/>
      <c r="FQ1055" s="681"/>
      <c r="FR1055" s="681"/>
      <c r="FS1055" s="681"/>
      <c r="FT1055" s="681"/>
      <c r="FU1055" s="681"/>
      <c r="FV1055" s="681"/>
      <c r="FW1055" s="681"/>
      <c r="FX1055" s="681"/>
      <c r="FY1055" s="681"/>
      <c r="FZ1055" s="681"/>
      <c r="GA1055" s="681"/>
      <c r="GB1055" s="681"/>
      <c r="GC1055" s="681"/>
      <c r="GD1055" s="681"/>
      <c r="GE1055" s="681"/>
      <c r="GF1055" s="681"/>
      <c r="GG1055" s="681"/>
      <c r="GH1055" s="681"/>
      <c r="GI1055" s="681"/>
      <c r="GJ1055" s="681"/>
      <c r="GK1055" s="681"/>
      <c r="GL1055" s="681"/>
      <c r="GM1055" s="681"/>
      <c r="GN1055" s="681"/>
      <c r="GO1055" s="681"/>
      <c r="GP1055" s="681"/>
      <c r="GQ1055" s="681"/>
      <c r="GR1055" s="681"/>
      <c r="GS1055" s="681"/>
      <c r="GT1055" s="681"/>
      <c r="GU1055" s="681"/>
      <c r="GV1055" s="681"/>
      <c r="GW1055" s="681"/>
      <c r="GX1055" s="681"/>
      <c r="GY1055" s="681"/>
      <c r="GZ1055" s="681"/>
      <c r="HA1055" s="681"/>
      <c r="HB1055" s="681"/>
      <c r="HC1055" s="681"/>
      <c r="HD1055" s="681"/>
      <c r="HE1055" s="681"/>
      <c r="HF1055" s="681"/>
      <c r="HG1055" s="681"/>
      <c r="HH1055" s="681"/>
      <c r="HI1055" s="681"/>
      <c r="HJ1055" s="681"/>
      <c r="HK1055" s="681"/>
      <c r="HL1055" s="681"/>
      <c r="HM1055" s="681"/>
      <c r="HN1055" s="681"/>
      <c r="HO1055" s="681"/>
      <c r="HP1055" s="681"/>
      <c r="HQ1055" s="681"/>
      <c r="HR1055" s="681"/>
      <c r="HS1055" s="681"/>
      <c r="HT1055" s="681"/>
      <c r="HU1055" s="681"/>
      <c r="HV1055" s="681"/>
      <c r="HW1055" s="681"/>
      <c r="HX1055" s="681"/>
      <c r="HY1055" s="681"/>
      <c r="HZ1055" s="681"/>
      <c r="IA1055" s="681"/>
      <c r="IB1055" s="681"/>
      <c r="IC1055" s="681"/>
      <c r="ID1055" s="681"/>
      <c r="IE1055" s="681"/>
      <c r="IF1055" s="681"/>
      <c r="IG1055" s="681"/>
      <c r="IH1055" s="681"/>
      <c r="II1055" s="681"/>
      <c r="IJ1055" s="681"/>
      <c r="IK1055" s="681"/>
      <c r="IL1055" s="681"/>
      <c r="IM1055" s="681"/>
      <c r="IN1055" s="681"/>
      <c r="IO1055" s="681"/>
      <c r="IP1055" s="681"/>
      <c r="IQ1055" s="681"/>
      <c r="IR1055" s="681"/>
      <c r="IS1055" s="681"/>
      <c r="IT1055" s="681"/>
      <c r="IU1055" s="681"/>
      <c r="IV1055" s="681"/>
      <c r="IW1055" s="681"/>
    </row>
    <row r="1056" spans="1:257" s="682" customFormat="1">
      <c r="A1056" s="683" t="s">
        <v>258</v>
      </c>
      <c r="B1056" s="1079" t="s">
        <v>1389</v>
      </c>
      <c r="C1056" s="635"/>
      <c r="D1056" s="635"/>
      <c r="E1056" s="669"/>
      <c r="F1056" s="669">
        <v>190000000</v>
      </c>
      <c r="G1056" s="669" t="s">
        <v>1202</v>
      </c>
      <c r="H1056" s="669"/>
      <c r="I1056" s="669"/>
      <c r="J1056" s="669"/>
      <c r="K1056" s="669"/>
      <c r="L1056" s="1306">
        <v>20000000</v>
      </c>
      <c r="M1056" s="669"/>
      <c r="N1056" s="837"/>
      <c r="O1056" s="837"/>
      <c r="P1056" s="837"/>
      <c r="Q1056" s="837"/>
      <c r="R1056" s="908"/>
      <c r="S1056" s="908"/>
      <c r="T1056" s="1017"/>
      <c r="U1056" s="580"/>
      <c r="V1056" s="727"/>
      <c r="W1056" s="680"/>
      <c r="X1056" s="677"/>
      <c r="Y1056" s="681"/>
      <c r="Z1056" s="681"/>
      <c r="AA1056" s="681"/>
      <c r="AB1056" s="681"/>
      <c r="AC1056" s="681"/>
      <c r="AD1056" s="681"/>
      <c r="AE1056" s="681"/>
      <c r="AF1056" s="681"/>
      <c r="AG1056" s="681"/>
      <c r="AH1056" s="681"/>
      <c r="AI1056" s="681"/>
      <c r="AJ1056" s="681"/>
      <c r="AK1056" s="681"/>
      <c r="AL1056" s="681"/>
      <c r="AM1056" s="681"/>
      <c r="AN1056" s="681"/>
      <c r="AO1056" s="681"/>
      <c r="AP1056" s="681"/>
      <c r="AQ1056" s="681"/>
      <c r="AR1056" s="681"/>
      <c r="AS1056" s="681"/>
      <c r="AT1056" s="681"/>
      <c r="AU1056" s="681"/>
      <c r="AV1056" s="681"/>
      <c r="AW1056" s="681"/>
      <c r="AX1056" s="681"/>
      <c r="AY1056" s="681"/>
      <c r="AZ1056" s="681"/>
      <c r="BA1056" s="681"/>
      <c r="BB1056" s="681"/>
      <c r="BC1056" s="681"/>
      <c r="BD1056" s="681"/>
      <c r="BE1056" s="681"/>
      <c r="BF1056" s="681"/>
      <c r="BG1056" s="681"/>
      <c r="BH1056" s="681"/>
      <c r="BI1056" s="681"/>
      <c r="BJ1056" s="681"/>
      <c r="BK1056" s="681"/>
      <c r="BL1056" s="681"/>
      <c r="BM1056" s="681"/>
      <c r="BN1056" s="681"/>
      <c r="BO1056" s="681"/>
      <c r="BP1056" s="681"/>
      <c r="BQ1056" s="681"/>
      <c r="BR1056" s="681"/>
      <c r="BS1056" s="681"/>
      <c r="BT1056" s="681"/>
      <c r="BU1056" s="681"/>
      <c r="BV1056" s="681"/>
      <c r="BW1056" s="681"/>
      <c r="BX1056" s="681"/>
      <c r="BY1056" s="681"/>
      <c r="BZ1056" s="681"/>
      <c r="CA1056" s="681"/>
      <c r="CB1056" s="681"/>
      <c r="CC1056" s="681"/>
      <c r="CD1056" s="681"/>
      <c r="CE1056" s="681"/>
      <c r="CF1056" s="681"/>
      <c r="CG1056" s="681"/>
      <c r="CH1056" s="681"/>
      <c r="CI1056" s="681"/>
      <c r="CJ1056" s="681"/>
      <c r="CK1056" s="681"/>
      <c r="CL1056" s="681"/>
      <c r="CM1056" s="681"/>
      <c r="CN1056" s="681"/>
      <c r="CO1056" s="681"/>
      <c r="CP1056" s="681"/>
      <c r="CQ1056" s="681"/>
      <c r="CR1056" s="681"/>
      <c r="CS1056" s="681"/>
      <c r="CT1056" s="681"/>
      <c r="CU1056" s="681"/>
      <c r="CV1056" s="681"/>
      <c r="CW1056" s="681"/>
      <c r="CX1056" s="681"/>
      <c r="CY1056" s="681"/>
      <c r="CZ1056" s="681"/>
      <c r="DA1056" s="681"/>
      <c r="DB1056" s="681"/>
      <c r="DC1056" s="681"/>
      <c r="DD1056" s="681"/>
      <c r="DE1056" s="681"/>
      <c r="DF1056" s="681"/>
      <c r="DG1056" s="681"/>
      <c r="DH1056" s="681"/>
      <c r="DI1056" s="681"/>
      <c r="DJ1056" s="681"/>
      <c r="DK1056" s="681"/>
      <c r="DL1056" s="681"/>
      <c r="DM1056" s="681"/>
      <c r="DN1056" s="681"/>
      <c r="DO1056" s="681"/>
      <c r="DP1056" s="681"/>
      <c r="DQ1056" s="681"/>
      <c r="DR1056" s="681"/>
      <c r="DS1056" s="681"/>
      <c r="DT1056" s="681"/>
      <c r="DU1056" s="681"/>
      <c r="DV1056" s="681"/>
      <c r="DW1056" s="681"/>
      <c r="DX1056" s="681"/>
      <c r="DY1056" s="681"/>
      <c r="DZ1056" s="681"/>
      <c r="EA1056" s="681"/>
      <c r="EB1056" s="681"/>
      <c r="EC1056" s="681"/>
      <c r="ED1056" s="681"/>
      <c r="EE1056" s="681"/>
      <c r="EF1056" s="681"/>
      <c r="EG1056" s="681"/>
      <c r="EH1056" s="681"/>
      <c r="EI1056" s="681"/>
      <c r="EJ1056" s="681"/>
      <c r="EK1056" s="681"/>
      <c r="EL1056" s="681"/>
      <c r="EM1056" s="681"/>
      <c r="EN1056" s="681"/>
      <c r="EO1056" s="681"/>
      <c r="EP1056" s="681"/>
      <c r="EQ1056" s="681"/>
      <c r="ER1056" s="681"/>
      <c r="ES1056" s="681"/>
      <c r="ET1056" s="681"/>
      <c r="EU1056" s="681"/>
      <c r="EV1056" s="681"/>
      <c r="EW1056" s="681"/>
      <c r="EX1056" s="681"/>
      <c r="EY1056" s="681"/>
      <c r="EZ1056" s="681"/>
      <c r="FA1056" s="681"/>
      <c r="FB1056" s="681"/>
      <c r="FC1056" s="681"/>
      <c r="FD1056" s="681"/>
      <c r="FE1056" s="681"/>
      <c r="FF1056" s="681"/>
      <c r="FG1056" s="681"/>
      <c r="FH1056" s="681"/>
      <c r="FI1056" s="681"/>
      <c r="FJ1056" s="681"/>
      <c r="FK1056" s="681"/>
      <c r="FL1056" s="681"/>
      <c r="FM1056" s="681"/>
      <c r="FN1056" s="681"/>
      <c r="FO1056" s="681"/>
      <c r="FP1056" s="681"/>
      <c r="FQ1056" s="681"/>
      <c r="FR1056" s="681"/>
      <c r="FS1056" s="681"/>
      <c r="FT1056" s="681"/>
      <c r="FU1056" s="681"/>
      <c r="FV1056" s="681"/>
      <c r="FW1056" s="681"/>
      <c r="FX1056" s="681"/>
      <c r="FY1056" s="681"/>
      <c r="FZ1056" s="681"/>
      <c r="GA1056" s="681"/>
      <c r="GB1056" s="681"/>
      <c r="GC1056" s="681"/>
      <c r="GD1056" s="681"/>
      <c r="GE1056" s="681"/>
      <c r="GF1056" s="681"/>
      <c r="GG1056" s="681"/>
      <c r="GH1056" s="681"/>
      <c r="GI1056" s="681"/>
      <c r="GJ1056" s="681"/>
      <c r="GK1056" s="681"/>
      <c r="GL1056" s="681"/>
      <c r="GM1056" s="681"/>
      <c r="GN1056" s="681"/>
      <c r="GO1056" s="681"/>
      <c r="GP1056" s="681"/>
      <c r="GQ1056" s="681"/>
      <c r="GR1056" s="681"/>
      <c r="GS1056" s="681"/>
      <c r="GT1056" s="681"/>
      <c r="GU1056" s="681"/>
      <c r="GV1056" s="681"/>
      <c r="GW1056" s="681"/>
      <c r="GX1056" s="681"/>
      <c r="GY1056" s="681"/>
      <c r="GZ1056" s="681"/>
      <c r="HA1056" s="681"/>
      <c r="HB1056" s="681"/>
      <c r="HC1056" s="681"/>
      <c r="HD1056" s="681"/>
      <c r="HE1056" s="681"/>
      <c r="HF1056" s="681"/>
      <c r="HG1056" s="681"/>
      <c r="HH1056" s="681"/>
      <c r="HI1056" s="681"/>
      <c r="HJ1056" s="681"/>
      <c r="HK1056" s="681"/>
      <c r="HL1056" s="681"/>
      <c r="HM1056" s="681"/>
      <c r="HN1056" s="681"/>
      <c r="HO1056" s="681"/>
      <c r="HP1056" s="681"/>
      <c r="HQ1056" s="681"/>
      <c r="HR1056" s="681"/>
      <c r="HS1056" s="681"/>
      <c r="HT1056" s="681"/>
      <c r="HU1056" s="681"/>
      <c r="HV1056" s="681"/>
      <c r="HW1056" s="681"/>
      <c r="HX1056" s="681"/>
      <c r="HY1056" s="681"/>
      <c r="HZ1056" s="681"/>
      <c r="IA1056" s="681"/>
      <c r="IB1056" s="681"/>
      <c r="IC1056" s="681"/>
      <c r="ID1056" s="681"/>
      <c r="IE1056" s="681"/>
      <c r="IF1056" s="681"/>
      <c r="IG1056" s="681"/>
      <c r="IH1056" s="681"/>
      <c r="II1056" s="681"/>
      <c r="IJ1056" s="681"/>
      <c r="IK1056" s="681"/>
      <c r="IL1056" s="681"/>
      <c r="IM1056" s="681"/>
      <c r="IN1056" s="681"/>
      <c r="IO1056" s="681"/>
      <c r="IP1056" s="681"/>
      <c r="IQ1056" s="681"/>
      <c r="IR1056" s="681"/>
      <c r="IS1056" s="681"/>
      <c r="IT1056" s="681"/>
      <c r="IU1056" s="681"/>
      <c r="IV1056" s="681"/>
      <c r="IW1056" s="681"/>
    </row>
    <row r="1057" spans="1:257" s="682" customFormat="1" ht="31.5">
      <c r="A1057" s="683" t="s">
        <v>258</v>
      </c>
      <c r="B1057" s="813" t="s">
        <v>1386</v>
      </c>
      <c r="C1057" s="635"/>
      <c r="D1057" s="635"/>
      <c r="E1057" s="669"/>
      <c r="F1057" s="669"/>
      <c r="G1057" s="669"/>
      <c r="H1057" s="669"/>
      <c r="I1057" s="669"/>
      <c r="J1057" s="669">
        <v>200000000</v>
      </c>
      <c r="K1057" s="669"/>
      <c r="L1057" s="1306">
        <v>30000000</v>
      </c>
      <c r="M1057" s="669"/>
      <c r="N1057" s="837"/>
      <c r="O1057" s="837"/>
      <c r="P1057" s="837"/>
      <c r="Q1057" s="837"/>
      <c r="R1057" s="908"/>
      <c r="S1057" s="908"/>
      <c r="T1057" s="1017"/>
      <c r="U1057" s="580"/>
      <c r="V1057" s="727"/>
      <c r="W1057" s="680"/>
      <c r="X1057" s="677"/>
      <c r="Y1057" s="681"/>
      <c r="Z1057" s="681"/>
      <c r="AA1057" s="681"/>
      <c r="AB1057" s="681"/>
      <c r="AC1057" s="681"/>
      <c r="AD1057" s="681"/>
      <c r="AE1057" s="681"/>
      <c r="AF1057" s="681"/>
      <c r="AG1057" s="681"/>
      <c r="AH1057" s="681"/>
      <c r="AI1057" s="681"/>
      <c r="AJ1057" s="681"/>
      <c r="AK1057" s="681"/>
      <c r="AL1057" s="681"/>
      <c r="AM1057" s="681"/>
      <c r="AN1057" s="681"/>
      <c r="AO1057" s="681"/>
      <c r="AP1057" s="681"/>
      <c r="AQ1057" s="681"/>
      <c r="AR1057" s="681"/>
      <c r="AS1057" s="681"/>
      <c r="AT1057" s="681"/>
      <c r="AU1057" s="681"/>
      <c r="AV1057" s="681"/>
      <c r="AW1057" s="681"/>
      <c r="AX1057" s="681"/>
      <c r="AY1057" s="681"/>
      <c r="AZ1057" s="681"/>
      <c r="BA1057" s="681"/>
      <c r="BB1057" s="681"/>
      <c r="BC1057" s="681"/>
      <c r="BD1057" s="681"/>
      <c r="BE1057" s="681"/>
      <c r="BF1057" s="681"/>
      <c r="BG1057" s="681"/>
      <c r="BH1057" s="681"/>
      <c r="BI1057" s="681"/>
      <c r="BJ1057" s="681"/>
      <c r="BK1057" s="681"/>
      <c r="BL1057" s="681"/>
      <c r="BM1057" s="681"/>
      <c r="BN1057" s="681"/>
      <c r="BO1057" s="681"/>
      <c r="BP1057" s="681"/>
      <c r="BQ1057" s="681"/>
      <c r="BR1057" s="681"/>
      <c r="BS1057" s="681"/>
      <c r="BT1057" s="681"/>
      <c r="BU1057" s="681"/>
      <c r="BV1057" s="681"/>
      <c r="BW1057" s="681"/>
      <c r="BX1057" s="681"/>
      <c r="BY1057" s="681"/>
      <c r="BZ1057" s="681"/>
      <c r="CA1057" s="681"/>
      <c r="CB1057" s="681"/>
      <c r="CC1057" s="681"/>
      <c r="CD1057" s="681"/>
      <c r="CE1057" s="681"/>
      <c r="CF1057" s="681"/>
      <c r="CG1057" s="681"/>
      <c r="CH1057" s="681"/>
      <c r="CI1057" s="681"/>
      <c r="CJ1057" s="681"/>
      <c r="CK1057" s="681"/>
      <c r="CL1057" s="681"/>
      <c r="CM1057" s="681"/>
      <c r="CN1057" s="681"/>
      <c r="CO1057" s="681"/>
      <c r="CP1057" s="681"/>
      <c r="CQ1057" s="681"/>
      <c r="CR1057" s="681"/>
      <c r="CS1057" s="681"/>
      <c r="CT1057" s="681"/>
      <c r="CU1057" s="681"/>
      <c r="CV1057" s="681"/>
      <c r="CW1057" s="681"/>
      <c r="CX1057" s="681"/>
      <c r="CY1057" s="681"/>
      <c r="CZ1057" s="681"/>
      <c r="DA1057" s="681"/>
      <c r="DB1057" s="681"/>
      <c r="DC1057" s="681"/>
      <c r="DD1057" s="681"/>
      <c r="DE1057" s="681"/>
      <c r="DF1057" s="681"/>
      <c r="DG1057" s="681"/>
      <c r="DH1057" s="681"/>
      <c r="DI1057" s="681"/>
      <c r="DJ1057" s="681"/>
      <c r="DK1057" s="681"/>
      <c r="DL1057" s="681"/>
      <c r="DM1057" s="681"/>
      <c r="DN1057" s="681"/>
      <c r="DO1057" s="681"/>
      <c r="DP1057" s="681"/>
      <c r="DQ1057" s="681"/>
      <c r="DR1057" s="681"/>
      <c r="DS1057" s="681"/>
      <c r="DT1057" s="681"/>
      <c r="DU1057" s="681"/>
      <c r="DV1057" s="681"/>
      <c r="DW1057" s="681"/>
      <c r="DX1057" s="681"/>
      <c r="DY1057" s="681"/>
      <c r="DZ1057" s="681"/>
      <c r="EA1057" s="681"/>
      <c r="EB1057" s="681"/>
      <c r="EC1057" s="681"/>
      <c r="ED1057" s="681"/>
      <c r="EE1057" s="681"/>
      <c r="EF1057" s="681"/>
      <c r="EG1057" s="681"/>
      <c r="EH1057" s="681"/>
      <c r="EI1057" s="681"/>
      <c r="EJ1057" s="681"/>
      <c r="EK1057" s="681"/>
      <c r="EL1057" s="681"/>
      <c r="EM1057" s="681"/>
      <c r="EN1057" s="681"/>
      <c r="EO1057" s="681"/>
      <c r="EP1057" s="681"/>
      <c r="EQ1057" s="681"/>
      <c r="ER1057" s="681"/>
      <c r="ES1057" s="681"/>
      <c r="ET1057" s="681"/>
      <c r="EU1057" s="681"/>
      <c r="EV1057" s="681"/>
      <c r="EW1057" s="681"/>
      <c r="EX1057" s="681"/>
      <c r="EY1057" s="681"/>
      <c r="EZ1057" s="681"/>
      <c r="FA1057" s="681"/>
      <c r="FB1057" s="681"/>
      <c r="FC1057" s="681"/>
      <c r="FD1057" s="681"/>
      <c r="FE1057" s="681"/>
      <c r="FF1057" s="681"/>
      <c r="FG1057" s="681"/>
      <c r="FH1057" s="681"/>
      <c r="FI1057" s="681"/>
      <c r="FJ1057" s="681"/>
      <c r="FK1057" s="681"/>
      <c r="FL1057" s="681"/>
      <c r="FM1057" s="681"/>
      <c r="FN1057" s="681"/>
      <c r="FO1057" s="681"/>
      <c r="FP1057" s="681"/>
      <c r="FQ1057" s="681"/>
      <c r="FR1057" s="681"/>
      <c r="FS1057" s="681"/>
      <c r="FT1057" s="681"/>
      <c r="FU1057" s="681"/>
      <c r="FV1057" s="681"/>
      <c r="FW1057" s="681"/>
      <c r="FX1057" s="681"/>
      <c r="FY1057" s="681"/>
      <c r="FZ1057" s="681"/>
      <c r="GA1057" s="681"/>
      <c r="GB1057" s="681"/>
      <c r="GC1057" s="681"/>
      <c r="GD1057" s="681"/>
      <c r="GE1057" s="681"/>
      <c r="GF1057" s="681"/>
      <c r="GG1057" s="681"/>
      <c r="GH1057" s="681"/>
      <c r="GI1057" s="681"/>
      <c r="GJ1057" s="681"/>
      <c r="GK1057" s="681"/>
      <c r="GL1057" s="681"/>
      <c r="GM1057" s="681"/>
      <c r="GN1057" s="681"/>
      <c r="GO1057" s="681"/>
      <c r="GP1057" s="681"/>
      <c r="GQ1057" s="681"/>
      <c r="GR1057" s="681"/>
      <c r="GS1057" s="681"/>
      <c r="GT1057" s="681"/>
      <c r="GU1057" s="681"/>
      <c r="GV1057" s="681"/>
      <c r="GW1057" s="681"/>
      <c r="GX1057" s="681"/>
      <c r="GY1057" s="681"/>
      <c r="GZ1057" s="681"/>
      <c r="HA1057" s="681"/>
      <c r="HB1057" s="681"/>
      <c r="HC1057" s="681"/>
      <c r="HD1057" s="681"/>
      <c r="HE1057" s="681"/>
      <c r="HF1057" s="681"/>
      <c r="HG1057" s="681"/>
      <c r="HH1057" s="681"/>
      <c r="HI1057" s="681"/>
      <c r="HJ1057" s="681"/>
      <c r="HK1057" s="681"/>
      <c r="HL1057" s="681"/>
      <c r="HM1057" s="681"/>
      <c r="HN1057" s="681"/>
      <c r="HO1057" s="681"/>
      <c r="HP1057" s="681"/>
      <c r="HQ1057" s="681"/>
      <c r="HR1057" s="681"/>
      <c r="HS1057" s="681"/>
      <c r="HT1057" s="681"/>
      <c r="HU1057" s="681"/>
      <c r="HV1057" s="681"/>
      <c r="HW1057" s="681"/>
      <c r="HX1057" s="681"/>
      <c r="HY1057" s="681"/>
      <c r="HZ1057" s="681"/>
      <c r="IA1057" s="681"/>
      <c r="IB1057" s="681"/>
      <c r="IC1057" s="681"/>
      <c r="ID1057" s="681"/>
      <c r="IE1057" s="681"/>
      <c r="IF1057" s="681"/>
      <c r="IG1057" s="681"/>
      <c r="IH1057" s="681"/>
      <c r="II1057" s="681"/>
      <c r="IJ1057" s="681"/>
      <c r="IK1057" s="681"/>
      <c r="IL1057" s="681"/>
      <c r="IM1057" s="681"/>
      <c r="IN1057" s="681"/>
      <c r="IO1057" s="681"/>
      <c r="IP1057" s="681"/>
      <c r="IQ1057" s="681"/>
      <c r="IR1057" s="681"/>
      <c r="IS1057" s="681"/>
      <c r="IT1057" s="681"/>
      <c r="IU1057" s="681"/>
      <c r="IV1057" s="681"/>
      <c r="IW1057" s="681"/>
    </row>
    <row r="1058" spans="1:257" s="682" customFormat="1" ht="36" customHeight="1">
      <c r="A1058" s="683" t="s">
        <v>258</v>
      </c>
      <c r="B1058" s="813" t="s">
        <v>1384</v>
      </c>
      <c r="C1058" s="635"/>
      <c r="D1058" s="635"/>
      <c r="E1058" s="669"/>
      <c r="F1058" s="669"/>
      <c r="G1058" s="669"/>
      <c r="H1058" s="669"/>
      <c r="I1058" s="669"/>
      <c r="J1058" s="669">
        <v>70000000</v>
      </c>
      <c r="K1058" s="669"/>
      <c r="L1058" s="1306"/>
      <c r="M1058" s="669" t="s">
        <v>1385</v>
      </c>
      <c r="N1058" s="837"/>
      <c r="O1058" s="837"/>
      <c r="P1058" s="837"/>
      <c r="Q1058" s="837"/>
      <c r="R1058" s="908"/>
      <c r="S1058" s="908"/>
      <c r="T1058" s="1017"/>
      <c r="U1058" s="580"/>
      <c r="V1058" s="727"/>
      <c r="W1058" s="680"/>
      <c r="X1058" s="677"/>
      <c r="Y1058" s="681"/>
      <c r="Z1058" s="681"/>
      <c r="AA1058" s="681"/>
      <c r="AB1058" s="681"/>
      <c r="AC1058" s="681"/>
      <c r="AD1058" s="681"/>
      <c r="AE1058" s="681"/>
      <c r="AF1058" s="681"/>
      <c r="AG1058" s="681"/>
      <c r="AH1058" s="681"/>
      <c r="AI1058" s="681"/>
      <c r="AJ1058" s="681"/>
      <c r="AK1058" s="681"/>
      <c r="AL1058" s="681"/>
      <c r="AM1058" s="681"/>
      <c r="AN1058" s="681"/>
      <c r="AO1058" s="681"/>
      <c r="AP1058" s="681"/>
      <c r="AQ1058" s="681"/>
      <c r="AR1058" s="681"/>
      <c r="AS1058" s="681"/>
      <c r="AT1058" s="681"/>
      <c r="AU1058" s="681"/>
      <c r="AV1058" s="681"/>
      <c r="AW1058" s="681"/>
      <c r="AX1058" s="681"/>
      <c r="AY1058" s="681"/>
      <c r="AZ1058" s="681"/>
      <c r="BA1058" s="681"/>
      <c r="BB1058" s="681"/>
      <c r="BC1058" s="681"/>
      <c r="BD1058" s="681"/>
      <c r="BE1058" s="681"/>
      <c r="BF1058" s="681"/>
      <c r="BG1058" s="681"/>
      <c r="BH1058" s="681"/>
      <c r="BI1058" s="681"/>
      <c r="BJ1058" s="681"/>
      <c r="BK1058" s="681"/>
      <c r="BL1058" s="681"/>
      <c r="BM1058" s="681"/>
      <c r="BN1058" s="681"/>
      <c r="BO1058" s="681"/>
      <c r="BP1058" s="681"/>
      <c r="BQ1058" s="681"/>
      <c r="BR1058" s="681"/>
      <c r="BS1058" s="681"/>
      <c r="BT1058" s="681"/>
      <c r="BU1058" s="681"/>
      <c r="BV1058" s="681"/>
      <c r="BW1058" s="681"/>
      <c r="BX1058" s="681"/>
      <c r="BY1058" s="681"/>
      <c r="BZ1058" s="681"/>
      <c r="CA1058" s="681"/>
      <c r="CB1058" s="681"/>
      <c r="CC1058" s="681"/>
      <c r="CD1058" s="681"/>
      <c r="CE1058" s="681"/>
      <c r="CF1058" s="681"/>
      <c r="CG1058" s="681"/>
      <c r="CH1058" s="681"/>
      <c r="CI1058" s="681"/>
      <c r="CJ1058" s="681"/>
      <c r="CK1058" s="681"/>
      <c r="CL1058" s="681"/>
      <c r="CM1058" s="681"/>
      <c r="CN1058" s="681"/>
      <c r="CO1058" s="681"/>
      <c r="CP1058" s="681"/>
      <c r="CQ1058" s="681"/>
      <c r="CR1058" s="681"/>
      <c r="CS1058" s="681"/>
      <c r="CT1058" s="681"/>
      <c r="CU1058" s="681"/>
      <c r="CV1058" s="681"/>
      <c r="CW1058" s="681"/>
      <c r="CX1058" s="681"/>
      <c r="CY1058" s="681"/>
      <c r="CZ1058" s="681"/>
      <c r="DA1058" s="681"/>
      <c r="DB1058" s="681"/>
      <c r="DC1058" s="681"/>
      <c r="DD1058" s="681"/>
      <c r="DE1058" s="681"/>
      <c r="DF1058" s="681"/>
      <c r="DG1058" s="681"/>
      <c r="DH1058" s="681"/>
      <c r="DI1058" s="681"/>
      <c r="DJ1058" s="681"/>
      <c r="DK1058" s="681"/>
      <c r="DL1058" s="681"/>
      <c r="DM1058" s="681"/>
      <c r="DN1058" s="681"/>
      <c r="DO1058" s="681"/>
      <c r="DP1058" s="681"/>
      <c r="DQ1058" s="681"/>
      <c r="DR1058" s="681"/>
      <c r="DS1058" s="681"/>
      <c r="DT1058" s="681"/>
      <c r="DU1058" s="681"/>
      <c r="DV1058" s="681"/>
      <c r="DW1058" s="681"/>
      <c r="DX1058" s="681"/>
      <c r="DY1058" s="681"/>
      <c r="DZ1058" s="681"/>
      <c r="EA1058" s="681"/>
      <c r="EB1058" s="681"/>
      <c r="EC1058" s="681"/>
      <c r="ED1058" s="681"/>
      <c r="EE1058" s="681"/>
      <c r="EF1058" s="681"/>
      <c r="EG1058" s="681"/>
      <c r="EH1058" s="681"/>
      <c r="EI1058" s="681"/>
      <c r="EJ1058" s="681"/>
      <c r="EK1058" s="681"/>
      <c r="EL1058" s="681"/>
      <c r="EM1058" s="681"/>
      <c r="EN1058" s="681"/>
      <c r="EO1058" s="681"/>
      <c r="EP1058" s="681"/>
      <c r="EQ1058" s="681"/>
      <c r="ER1058" s="681"/>
      <c r="ES1058" s="681"/>
      <c r="ET1058" s="681"/>
      <c r="EU1058" s="681"/>
      <c r="EV1058" s="681"/>
      <c r="EW1058" s="681"/>
      <c r="EX1058" s="681"/>
      <c r="EY1058" s="681"/>
      <c r="EZ1058" s="681"/>
      <c r="FA1058" s="681"/>
      <c r="FB1058" s="681"/>
      <c r="FC1058" s="681"/>
      <c r="FD1058" s="681"/>
      <c r="FE1058" s="681"/>
      <c r="FF1058" s="681"/>
      <c r="FG1058" s="681"/>
      <c r="FH1058" s="681"/>
      <c r="FI1058" s="681"/>
      <c r="FJ1058" s="681"/>
      <c r="FK1058" s="681"/>
      <c r="FL1058" s="681"/>
      <c r="FM1058" s="681"/>
      <c r="FN1058" s="681"/>
      <c r="FO1058" s="681"/>
      <c r="FP1058" s="681"/>
      <c r="FQ1058" s="681"/>
      <c r="FR1058" s="681"/>
      <c r="FS1058" s="681"/>
      <c r="FT1058" s="681"/>
      <c r="FU1058" s="681"/>
      <c r="FV1058" s="681"/>
      <c r="FW1058" s="681"/>
      <c r="FX1058" s="681"/>
      <c r="FY1058" s="681"/>
      <c r="FZ1058" s="681"/>
      <c r="GA1058" s="681"/>
      <c r="GB1058" s="681"/>
      <c r="GC1058" s="681"/>
      <c r="GD1058" s="681"/>
      <c r="GE1058" s="681"/>
      <c r="GF1058" s="681"/>
      <c r="GG1058" s="681"/>
      <c r="GH1058" s="681"/>
      <c r="GI1058" s="681"/>
      <c r="GJ1058" s="681"/>
      <c r="GK1058" s="681"/>
      <c r="GL1058" s="681"/>
      <c r="GM1058" s="681"/>
      <c r="GN1058" s="681"/>
      <c r="GO1058" s="681"/>
      <c r="GP1058" s="681"/>
      <c r="GQ1058" s="681"/>
      <c r="GR1058" s="681"/>
      <c r="GS1058" s="681"/>
      <c r="GT1058" s="681"/>
      <c r="GU1058" s="681"/>
      <c r="GV1058" s="681"/>
      <c r="GW1058" s="681"/>
      <c r="GX1058" s="681"/>
      <c r="GY1058" s="681"/>
      <c r="GZ1058" s="681"/>
      <c r="HA1058" s="681"/>
      <c r="HB1058" s="681"/>
      <c r="HC1058" s="681"/>
      <c r="HD1058" s="681"/>
      <c r="HE1058" s="681"/>
      <c r="HF1058" s="681"/>
      <c r="HG1058" s="681"/>
      <c r="HH1058" s="681"/>
      <c r="HI1058" s="681"/>
      <c r="HJ1058" s="681"/>
      <c r="HK1058" s="681"/>
      <c r="HL1058" s="681"/>
      <c r="HM1058" s="681"/>
      <c r="HN1058" s="681"/>
      <c r="HO1058" s="681"/>
      <c r="HP1058" s="681"/>
      <c r="HQ1058" s="681"/>
      <c r="HR1058" s="681"/>
      <c r="HS1058" s="681"/>
      <c r="HT1058" s="681"/>
      <c r="HU1058" s="681"/>
      <c r="HV1058" s="681"/>
      <c r="HW1058" s="681"/>
      <c r="HX1058" s="681"/>
      <c r="HY1058" s="681"/>
      <c r="HZ1058" s="681"/>
      <c r="IA1058" s="681"/>
      <c r="IB1058" s="681"/>
      <c r="IC1058" s="681"/>
      <c r="ID1058" s="681"/>
      <c r="IE1058" s="681"/>
      <c r="IF1058" s="681"/>
      <c r="IG1058" s="681"/>
      <c r="IH1058" s="681"/>
      <c r="II1058" s="681"/>
      <c r="IJ1058" s="681"/>
      <c r="IK1058" s="681"/>
      <c r="IL1058" s="681"/>
      <c r="IM1058" s="681"/>
      <c r="IN1058" s="681"/>
      <c r="IO1058" s="681"/>
      <c r="IP1058" s="681"/>
      <c r="IQ1058" s="681"/>
      <c r="IR1058" s="681"/>
      <c r="IS1058" s="681"/>
      <c r="IT1058" s="681"/>
      <c r="IU1058" s="681"/>
      <c r="IV1058" s="681"/>
      <c r="IW1058" s="681"/>
    </row>
    <row r="1059" spans="1:257" s="682" customFormat="1">
      <c r="A1059" s="683"/>
      <c r="B1059" s="813" t="s">
        <v>1383</v>
      </c>
      <c r="C1059" s="635"/>
      <c r="D1059" s="635"/>
      <c r="E1059" s="669"/>
      <c r="F1059" s="669"/>
      <c r="G1059" s="669"/>
      <c r="H1059" s="669"/>
      <c r="I1059" s="669"/>
      <c r="J1059" s="669"/>
      <c r="K1059" s="669">
        <v>20000000</v>
      </c>
      <c r="L1059" s="1306">
        <v>20000000</v>
      </c>
      <c r="M1059" s="669"/>
      <c r="N1059" s="837"/>
      <c r="O1059" s="837"/>
      <c r="P1059" s="837"/>
      <c r="Q1059" s="837"/>
      <c r="R1059" s="908"/>
      <c r="S1059" s="908"/>
      <c r="T1059" s="1017"/>
      <c r="U1059" s="580"/>
      <c r="V1059" s="727"/>
      <c r="W1059" s="680"/>
      <c r="X1059" s="677"/>
      <c r="Y1059" s="681"/>
      <c r="Z1059" s="681"/>
      <c r="AA1059" s="681"/>
      <c r="AB1059" s="681"/>
      <c r="AC1059" s="681"/>
      <c r="AD1059" s="681"/>
      <c r="AE1059" s="681"/>
      <c r="AF1059" s="681"/>
      <c r="AG1059" s="681"/>
      <c r="AH1059" s="681"/>
      <c r="AI1059" s="681"/>
      <c r="AJ1059" s="681"/>
      <c r="AK1059" s="681"/>
      <c r="AL1059" s="681"/>
      <c r="AM1059" s="681"/>
      <c r="AN1059" s="681"/>
      <c r="AO1059" s="681"/>
      <c r="AP1059" s="681"/>
      <c r="AQ1059" s="681"/>
      <c r="AR1059" s="681"/>
      <c r="AS1059" s="681"/>
      <c r="AT1059" s="681"/>
      <c r="AU1059" s="681"/>
      <c r="AV1059" s="681"/>
      <c r="AW1059" s="681"/>
      <c r="AX1059" s="681"/>
      <c r="AY1059" s="681"/>
      <c r="AZ1059" s="681"/>
      <c r="BA1059" s="681"/>
      <c r="BB1059" s="681"/>
      <c r="BC1059" s="681"/>
      <c r="BD1059" s="681"/>
      <c r="BE1059" s="681"/>
      <c r="BF1059" s="681"/>
      <c r="BG1059" s="681"/>
      <c r="BH1059" s="681"/>
      <c r="BI1059" s="681"/>
      <c r="BJ1059" s="681"/>
      <c r="BK1059" s="681"/>
      <c r="BL1059" s="681"/>
      <c r="BM1059" s="681"/>
      <c r="BN1059" s="681"/>
      <c r="BO1059" s="681"/>
      <c r="BP1059" s="681"/>
      <c r="BQ1059" s="681"/>
      <c r="BR1059" s="681"/>
      <c r="BS1059" s="681"/>
      <c r="BT1059" s="681"/>
      <c r="BU1059" s="681"/>
      <c r="BV1059" s="681"/>
      <c r="BW1059" s="681"/>
      <c r="BX1059" s="681"/>
      <c r="BY1059" s="681"/>
      <c r="BZ1059" s="681"/>
      <c r="CA1059" s="681"/>
      <c r="CB1059" s="681"/>
      <c r="CC1059" s="681"/>
      <c r="CD1059" s="681"/>
      <c r="CE1059" s="681"/>
      <c r="CF1059" s="681"/>
      <c r="CG1059" s="681"/>
      <c r="CH1059" s="681"/>
      <c r="CI1059" s="681"/>
      <c r="CJ1059" s="681"/>
      <c r="CK1059" s="681"/>
      <c r="CL1059" s="681"/>
      <c r="CM1059" s="681"/>
      <c r="CN1059" s="681"/>
      <c r="CO1059" s="681"/>
      <c r="CP1059" s="681"/>
      <c r="CQ1059" s="681"/>
      <c r="CR1059" s="681"/>
      <c r="CS1059" s="681"/>
      <c r="CT1059" s="681"/>
      <c r="CU1059" s="681"/>
      <c r="CV1059" s="681"/>
      <c r="CW1059" s="681"/>
      <c r="CX1059" s="681"/>
      <c r="CY1059" s="681"/>
      <c r="CZ1059" s="681"/>
      <c r="DA1059" s="681"/>
      <c r="DB1059" s="681"/>
      <c r="DC1059" s="681"/>
      <c r="DD1059" s="681"/>
      <c r="DE1059" s="681"/>
      <c r="DF1059" s="681"/>
      <c r="DG1059" s="681"/>
      <c r="DH1059" s="681"/>
      <c r="DI1059" s="681"/>
      <c r="DJ1059" s="681"/>
      <c r="DK1059" s="681"/>
      <c r="DL1059" s="681"/>
      <c r="DM1059" s="681"/>
      <c r="DN1059" s="681"/>
      <c r="DO1059" s="681"/>
      <c r="DP1059" s="681"/>
      <c r="DQ1059" s="681"/>
      <c r="DR1059" s="681"/>
      <c r="DS1059" s="681"/>
      <c r="DT1059" s="681"/>
      <c r="DU1059" s="681"/>
      <c r="DV1059" s="681"/>
      <c r="DW1059" s="681"/>
      <c r="DX1059" s="681"/>
      <c r="DY1059" s="681"/>
      <c r="DZ1059" s="681"/>
      <c r="EA1059" s="681"/>
      <c r="EB1059" s="681"/>
      <c r="EC1059" s="681"/>
      <c r="ED1059" s="681"/>
      <c r="EE1059" s="681"/>
      <c r="EF1059" s="681"/>
      <c r="EG1059" s="681"/>
      <c r="EH1059" s="681"/>
      <c r="EI1059" s="681"/>
      <c r="EJ1059" s="681"/>
      <c r="EK1059" s="681"/>
      <c r="EL1059" s="681"/>
      <c r="EM1059" s="681"/>
      <c r="EN1059" s="681"/>
      <c r="EO1059" s="681"/>
      <c r="EP1059" s="681"/>
      <c r="EQ1059" s="681"/>
      <c r="ER1059" s="681"/>
      <c r="ES1059" s="681"/>
      <c r="ET1059" s="681"/>
      <c r="EU1059" s="681"/>
      <c r="EV1059" s="681"/>
      <c r="EW1059" s="681"/>
      <c r="EX1059" s="681"/>
      <c r="EY1059" s="681"/>
      <c r="EZ1059" s="681"/>
      <c r="FA1059" s="681"/>
      <c r="FB1059" s="681"/>
      <c r="FC1059" s="681"/>
      <c r="FD1059" s="681"/>
      <c r="FE1059" s="681"/>
      <c r="FF1059" s="681"/>
      <c r="FG1059" s="681"/>
      <c r="FH1059" s="681"/>
      <c r="FI1059" s="681"/>
      <c r="FJ1059" s="681"/>
      <c r="FK1059" s="681"/>
      <c r="FL1059" s="681"/>
      <c r="FM1059" s="681"/>
      <c r="FN1059" s="681"/>
      <c r="FO1059" s="681"/>
      <c r="FP1059" s="681"/>
      <c r="FQ1059" s="681"/>
      <c r="FR1059" s="681"/>
      <c r="FS1059" s="681"/>
      <c r="FT1059" s="681"/>
      <c r="FU1059" s="681"/>
      <c r="FV1059" s="681"/>
      <c r="FW1059" s="681"/>
      <c r="FX1059" s="681"/>
      <c r="FY1059" s="681"/>
      <c r="FZ1059" s="681"/>
      <c r="GA1059" s="681"/>
      <c r="GB1059" s="681"/>
      <c r="GC1059" s="681"/>
      <c r="GD1059" s="681"/>
      <c r="GE1059" s="681"/>
      <c r="GF1059" s="681"/>
      <c r="GG1059" s="681"/>
      <c r="GH1059" s="681"/>
      <c r="GI1059" s="681"/>
      <c r="GJ1059" s="681"/>
      <c r="GK1059" s="681"/>
      <c r="GL1059" s="681"/>
      <c r="GM1059" s="681"/>
      <c r="GN1059" s="681"/>
      <c r="GO1059" s="681"/>
      <c r="GP1059" s="681"/>
      <c r="GQ1059" s="681"/>
      <c r="GR1059" s="681"/>
      <c r="GS1059" s="681"/>
      <c r="GT1059" s="681"/>
      <c r="GU1059" s="681"/>
      <c r="GV1059" s="681"/>
      <c r="GW1059" s="681"/>
      <c r="GX1059" s="681"/>
      <c r="GY1059" s="681"/>
      <c r="GZ1059" s="681"/>
      <c r="HA1059" s="681"/>
      <c r="HB1059" s="681"/>
      <c r="HC1059" s="681"/>
      <c r="HD1059" s="681"/>
      <c r="HE1059" s="681"/>
      <c r="HF1059" s="681"/>
      <c r="HG1059" s="681"/>
      <c r="HH1059" s="681"/>
      <c r="HI1059" s="681"/>
      <c r="HJ1059" s="681"/>
      <c r="HK1059" s="681"/>
      <c r="HL1059" s="681"/>
      <c r="HM1059" s="681"/>
      <c r="HN1059" s="681"/>
      <c r="HO1059" s="681"/>
      <c r="HP1059" s="681"/>
      <c r="HQ1059" s="681"/>
      <c r="HR1059" s="681"/>
      <c r="HS1059" s="681"/>
      <c r="HT1059" s="681"/>
      <c r="HU1059" s="681"/>
      <c r="HV1059" s="681"/>
      <c r="HW1059" s="681"/>
      <c r="HX1059" s="681"/>
      <c r="HY1059" s="681"/>
      <c r="HZ1059" s="681"/>
      <c r="IA1059" s="681"/>
      <c r="IB1059" s="681"/>
      <c r="IC1059" s="681"/>
      <c r="ID1059" s="681"/>
      <c r="IE1059" s="681"/>
      <c r="IF1059" s="681"/>
      <c r="IG1059" s="681"/>
      <c r="IH1059" s="681"/>
      <c r="II1059" s="681"/>
      <c r="IJ1059" s="681"/>
      <c r="IK1059" s="681"/>
      <c r="IL1059" s="681"/>
      <c r="IM1059" s="681"/>
      <c r="IN1059" s="681"/>
      <c r="IO1059" s="681"/>
      <c r="IP1059" s="681"/>
      <c r="IQ1059" s="681"/>
      <c r="IR1059" s="681"/>
      <c r="IS1059" s="681"/>
      <c r="IT1059" s="681"/>
      <c r="IU1059" s="681"/>
      <c r="IV1059" s="681"/>
      <c r="IW1059" s="681"/>
    </row>
    <row r="1060" spans="1:257" s="682" customFormat="1">
      <c r="A1060" s="683"/>
      <c r="B1060" s="813" t="s">
        <v>1203</v>
      </c>
      <c r="C1060" s="635"/>
      <c r="D1060" s="635"/>
      <c r="E1060" s="669"/>
      <c r="F1060" s="669"/>
      <c r="G1060" s="669"/>
      <c r="H1060" s="669"/>
      <c r="I1060" s="669"/>
      <c r="J1060" s="669"/>
      <c r="K1060" s="669">
        <v>20000000</v>
      </c>
      <c r="L1060" s="1306">
        <v>20000000</v>
      </c>
      <c r="M1060" s="669"/>
      <c r="N1060" s="837"/>
      <c r="O1060" s="837"/>
      <c r="P1060" s="837"/>
      <c r="Q1060" s="837"/>
      <c r="R1060" s="908"/>
      <c r="S1060" s="908"/>
      <c r="T1060" s="1017"/>
      <c r="U1060" s="580"/>
      <c r="V1060" s="727"/>
      <c r="W1060" s="680"/>
      <c r="X1060" s="677"/>
      <c r="Y1060" s="681"/>
      <c r="Z1060" s="681"/>
      <c r="AA1060" s="681"/>
      <c r="AB1060" s="681"/>
      <c r="AC1060" s="681"/>
      <c r="AD1060" s="681"/>
      <c r="AE1060" s="681"/>
      <c r="AF1060" s="681"/>
      <c r="AG1060" s="681"/>
      <c r="AH1060" s="681"/>
      <c r="AI1060" s="681"/>
      <c r="AJ1060" s="681"/>
      <c r="AK1060" s="681"/>
      <c r="AL1060" s="681"/>
      <c r="AM1060" s="681"/>
      <c r="AN1060" s="681"/>
      <c r="AO1060" s="681"/>
      <c r="AP1060" s="681"/>
      <c r="AQ1060" s="681"/>
      <c r="AR1060" s="681"/>
      <c r="AS1060" s="681"/>
      <c r="AT1060" s="681"/>
      <c r="AU1060" s="681"/>
      <c r="AV1060" s="681"/>
      <c r="AW1060" s="681"/>
      <c r="AX1060" s="681"/>
      <c r="AY1060" s="681"/>
      <c r="AZ1060" s="681"/>
      <c r="BA1060" s="681"/>
      <c r="BB1060" s="681"/>
      <c r="BC1060" s="681"/>
      <c r="BD1060" s="681"/>
      <c r="BE1060" s="681"/>
      <c r="BF1060" s="681"/>
      <c r="BG1060" s="681"/>
      <c r="BH1060" s="681"/>
      <c r="BI1060" s="681"/>
      <c r="BJ1060" s="681"/>
      <c r="BK1060" s="681"/>
      <c r="BL1060" s="681"/>
      <c r="BM1060" s="681"/>
      <c r="BN1060" s="681"/>
      <c r="BO1060" s="681"/>
      <c r="BP1060" s="681"/>
      <c r="BQ1060" s="681"/>
      <c r="BR1060" s="681"/>
      <c r="BS1060" s="681"/>
      <c r="BT1060" s="681"/>
      <c r="BU1060" s="681"/>
      <c r="BV1060" s="681"/>
      <c r="BW1060" s="681"/>
      <c r="BX1060" s="681"/>
      <c r="BY1060" s="681"/>
      <c r="BZ1060" s="681"/>
      <c r="CA1060" s="681"/>
      <c r="CB1060" s="681"/>
      <c r="CC1060" s="681"/>
      <c r="CD1060" s="681"/>
      <c r="CE1060" s="681"/>
      <c r="CF1060" s="681"/>
      <c r="CG1060" s="681"/>
      <c r="CH1060" s="681"/>
      <c r="CI1060" s="681"/>
      <c r="CJ1060" s="681"/>
      <c r="CK1060" s="681"/>
      <c r="CL1060" s="681"/>
      <c r="CM1060" s="681"/>
      <c r="CN1060" s="681"/>
      <c r="CO1060" s="681"/>
      <c r="CP1060" s="681"/>
      <c r="CQ1060" s="681"/>
      <c r="CR1060" s="681"/>
      <c r="CS1060" s="681"/>
      <c r="CT1060" s="681"/>
      <c r="CU1060" s="681"/>
      <c r="CV1060" s="681"/>
      <c r="CW1060" s="681"/>
      <c r="CX1060" s="681"/>
      <c r="CY1060" s="681"/>
      <c r="CZ1060" s="681"/>
      <c r="DA1060" s="681"/>
      <c r="DB1060" s="681"/>
      <c r="DC1060" s="681"/>
      <c r="DD1060" s="681"/>
      <c r="DE1060" s="681"/>
      <c r="DF1060" s="681"/>
      <c r="DG1060" s="681"/>
      <c r="DH1060" s="681"/>
      <c r="DI1060" s="681"/>
      <c r="DJ1060" s="681"/>
      <c r="DK1060" s="681"/>
      <c r="DL1060" s="681"/>
      <c r="DM1060" s="681"/>
      <c r="DN1060" s="681"/>
      <c r="DO1060" s="681"/>
      <c r="DP1060" s="681"/>
      <c r="DQ1060" s="681"/>
      <c r="DR1060" s="681"/>
      <c r="DS1060" s="681"/>
      <c r="DT1060" s="681"/>
      <c r="DU1060" s="681"/>
      <c r="DV1060" s="681"/>
      <c r="DW1060" s="681"/>
      <c r="DX1060" s="681"/>
      <c r="DY1060" s="681"/>
      <c r="DZ1060" s="681"/>
      <c r="EA1060" s="681"/>
      <c r="EB1060" s="681"/>
      <c r="EC1060" s="681"/>
      <c r="ED1060" s="681"/>
      <c r="EE1060" s="681"/>
      <c r="EF1060" s="681"/>
      <c r="EG1060" s="681"/>
      <c r="EH1060" s="681"/>
      <c r="EI1060" s="681"/>
      <c r="EJ1060" s="681"/>
      <c r="EK1060" s="681"/>
      <c r="EL1060" s="681"/>
      <c r="EM1060" s="681"/>
      <c r="EN1060" s="681"/>
      <c r="EO1060" s="681"/>
      <c r="EP1060" s="681"/>
      <c r="EQ1060" s="681"/>
      <c r="ER1060" s="681"/>
      <c r="ES1060" s="681"/>
      <c r="ET1060" s="681"/>
      <c r="EU1060" s="681"/>
      <c r="EV1060" s="681"/>
      <c r="EW1060" s="681"/>
      <c r="EX1060" s="681"/>
      <c r="EY1060" s="681"/>
      <c r="EZ1060" s="681"/>
      <c r="FA1060" s="681"/>
      <c r="FB1060" s="681"/>
      <c r="FC1060" s="681"/>
      <c r="FD1060" s="681"/>
      <c r="FE1060" s="681"/>
      <c r="FF1060" s="681"/>
      <c r="FG1060" s="681"/>
      <c r="FH1060" s="681"/>
      <c r="FI1060" s="681"/>
      <c r="FJ1060" s="681"/>
      <c r="FK1060" s="681"/>
      <c r="FL1060" s="681"/>
      <c r="FM1060" s="681"/>
      <c r="FN1060" s="681"/>
      <c r="FO1060" s="681"/>
      <c r="FP1060" s="681"/>
      <c r="FQ1060" s="681"/>
      <c r="FR1060" s="681"/>
      <c r="FS1060" s="681"/>
      <c r="FT1060" s="681"/>
      <c r="FU1060" s="681"/>
      <c r="FV1060" s="681"/>
      <c r="FW1060" s="681"/>
      <c r="FX1060" s="681"/>
      <c r="FY1060" s="681"/>
      <c r="FZ1060" s="681"/>
      <c r="GA1060" s="681"/>
      <c r="GB1060" s="681"/>
      <c r="GC1060" s="681"/>
      <c r="GD1060" s="681"/>
      <c r="GE1060" s="681"/>
      <c r="GF1060" s="681"/>
      <c r="GG1060" s="681"/>
      <c r="GH1060" s="681"/>
      <c r="GI1060" s="681"/>
      <c r="GJ1060" s="681"/>
      <c r="GK1060" s="681"/>
      <c r="GL1060" s="681"/>
      <c r="GM1060" s="681"/>
      <c r="GN1060" s="681"/>
      <c r="GO1060" s="681"/>
      <c r="GP1060" s="681"/>
      <c r="GQ1060" s="681"/>
      <c r="GR1060" s="681"/>
      <c r="GS1060" s="681"/>
      <c r="GT1060" s="681"/>
      <c r="GU1060" s="681"/>
      <c r="GV1060" s="681"/>
      <c r="GW1060" s="681"/>
      <c r="GX1060" s="681"/>
      <c r="GY1060" s="681"/>
      <c r="GZ1060" s="681"/>
      <c r="HA1060" s="681"/>
      <c r="HB1060" s="681"/>
      <c r="HC1060" s="681"/>
      <c r="HD1060" s="681"/>
      <c r="HE1060" s="681"/>
      <c r="HF1060" s="681"/>
      <c r="HG1060" s="681"/>
      <c r="HH1060" s="681"/>
      <c r="HI1060" s="681"/>
      <c r="HJ1060" s="681"/>
      <c r="HK1060" s="681"/>
      <c r="HL1060" s="681"/>
      <c r="HM1060" s="681"/>
      <c r="HN1060" s="681"/>
      <c r="HO1060" s="681"/>
      <c r="HP1060" s="681"/>
      <c r="HQ1060" s="681"/>
      <c r="HR1060" s="681"/>
      <c r="HS1060" s="681"/>
      <c r="HT1060" s="681"/>
      <c r="HU1060" s="681"/>
      <c r="HV1060" s="681"/>
      <c r="HW1060" s="681"/>
      <c r="HX1060" s="681"/>
      <c r="HY1060" s="681"/>
      <c r="HZ1060" s="681"/>
      <c r="IA1060" s="681"/>
      <c r="IB1060" s="681"/>
      <c r="IC1060" s="681"/>
      <c r="ID1060" s="681"/>
      <c r="IE1060" s="681"/>
      <c r="IF1060" s="681"/>
      <c r="IG1060" s="681"/>
      <c r="IH1060" s="681"/>
      <c r="II1060" s="681"/>
      <c r="IJ1060" s="681"/>
      <c r="IK1060" s="681"/>
      <c r="IL1060" s="681"/>
      <c r="IM1060" s="681"/>
      <c r="IN1060" s="681"/>
      <c r="IO1060" s="681"/>
      <c r="IP1060" s="681"/>
      <c r="IQ1060" s="681"/>
      <c r="IR1060" s="681"/>
      <c r="IS1060" s="681"/>
      <c r="IT1060" s="681"/>
      <c r="IU1060" s="681"/>
      <c r="IV1060" s="681"/>
      <c r="IW1060" s="681"/>
    </row>
    <row r="1061" spans="1:257" s="682" customFormat="1" ht="31.5">
      <c r="A1061" s="683"/>
      <c r="B1061" s="813" t="s">
        <v>1204</v>
      </c>
      <c r="C1061" s="635"/>
      <c r="D1061" s="635"/>
      <c r="E1061" s="669"/>
      <c r="F1061" s="669"/>
      <c r="G1061" s="669"/>
      <c r="H1061" s="669"/>
      <c r="I1061" s="669"/>
      <c r="J1061" s="669"/>
      <c r="K1061" s="669">
        <v>30000000</v>
      </c>
      <c r="L1061" s="1306">
        <v>30000000</v>
      </c>
      <c r="M1061" s="669"/>
      <c r="N1061" s="837"/>
      <c r="O1061" s="837"/>
      <c r="P1061" s="837"/>
      <c r="Q1061" s="837"/>
      <c r="R1061" s="908"/>
      <c r="S1061" s="908"/>
      <c r="T1061" s="1017"/>
      <c r="U1061" s="580"/>
      <c r="V1061" s="727"/>
      <c r="W1061" s="680"/>
      <c r="X1061" s="677"/>
      <c r="Y1061" s="681"/>
      <c r="Z1061" s="681"/>
      <c r="AA1061" s="681"/>
      <c r="AB1061" s="681"/>
      <c r="AC1061" s="681"/>
      <c r="AD1061" s="681"/>
      <c r="AE1061" s="681"/>
      <c r="AF1061" s="681"/>
      <c r="AG1061" s="681"/>
      <c r="AH1061" s="681"/>
      <c r="AI1061" s="681"/>
      <c r="AJ1061" s="681"/>
      <c r="AK1061" s="681"/>
      <c r="AL1061" s="681"/>
      <c r="AM1061" s="681"/>
      <c r="AN1061" s="681"/>
      <c r="AO1061" s="681"/>
      <c r="AP1061" s="681"/>
      <c r="AQ1061" s="681"/>
      <c r="AR1061" s="681"/>
      <c r="AS1061" s="681"/>
      <c r="AT1061" s="681"/>
      <c r="AU1061" s="681"/>
      <c r="AV1061" s="681"/>
      <c r="AW1061" s="681"/>
      <c r="AX1061" s="681"/>
      <c r="AY1061" s="681"/>
      <c r="AZ1061" s="681"/>
      <c r="BA1061" s="681"/>
      <c r="BB1061" s="681"/>
      <c r="BC1061" s="681"/>
      <c r="BD1061" s="681"/>
      <c r="BE1061" s="681"/>
      <c r="BF1061" s="681"/>
      <c r="BG1061" s="681"/>
      <c r="BH1061" s="681"/>
      <c r="BI1061" s="681"/>
      <c r="BJ1061" s="681"/>
      <c r="BK1061" s="681"/>
      <c r="BL1061" s="681"/>
      <c r="BM1061" s="681"/>
      <c r="BN1061" s="681"/>
      <c r="BO1061" s="681"/>
      <c r="BP1061" s="681"/>
      <c r="BQ1061" s="681"/>
      <c r="BR1061" s="681"/>
      <c r="BS1061" s="681"/>
      <c r="BT1061" s="681"/>
      <c r="BU1061" s="681"/>
      <c r="BV1061" s="681"/>
      <c r="BW1061" s="681"/>
      <c r="BX1061" s="681"/>
      <c r="BY1061" s="681"/>
      <c r="BZ1061" s="681"/>
      <c r="CA1061" s="681"/>
      <c r="CB1061" s="681"/>
      <c r="CC1061" s="681"/>
      <c r="CD1061" s="681"/>
      <c r="CE1061" s="681"/>
      <c r="CF1061" s="681"/>
      <c r="CG1061" s="681"/>
      <c r="CH1061" s="681"/>
      <c r="CI1061" s="681"/>
      <c r="CJ1061" s="681"/>
      <c r="CK1061" s="681"/>
      <c r="CL1061" s="681"/>
      <c r="CM1061" s="681"/>
      <c r="CN1061" s="681"/>
      <c r="CO1061" s="681"/>
      <c r="CP1061" s="681"/>
      <c r="CQ1061" s="681"/>
      <c r="CR1061" s="681"/>
      <c r="CS1061" s="681"/>
      <c r="CT1061" s="681"/>
      <c r="CU1061" s="681"/>
      <c r="CV1061" s="681"/>
      <c r="CW1061" s="681"/>
      <c r="CX1061" s="681"/>
      <c r="CY1061" s="681"/>
      <c r="CZ1061" s="681"/>
      <c r="DA1061" s="681"/>
      <c r="DB1061" s="681"/>
      <c r="DC1061" s="681"/>
      <c r="DD1061" s="681"/>
      <c r="DE1061" s="681"/>
      <c r="DF1061" s="681"/>
      <c r="DG1061" s="681"/>
      <c r="DH1061" s="681"/>
      <c r="DI1061" s="681"/>
      <c r="DJ1061" s="681"/>
      <c r="DK1061" s="681"/>
      <c r="DL1061" s="681"/>
      <c r="DM1061" s="681"/>
      <c r="DN1061" s="681"/>
      <c r="DO1061" s="681"/>
      <c r="DP1061" s="681"/>
      <c r="DQ1061" s="681"/>
      <c r="DR1061" s="681"/>
      <c r="DS1061" s="681"/>
      <c r="DT1061" s="681"/>
      <c r="DU1061" s="681"/>
      <c r="DV1061" s="681"/>
      <c r="DW1061" s="681"/>
      <c r="DX1061" s="681"/>
      <c r="DY1061" s="681"/>
      <c r="DZ1061" s="681"/>
      <c r="EA1061" s="681"/>
      <c r="EB1061" s="681"/>
      <c r="EC1061" s="681"/>
      <c r="ED1061" s="681"/>
      <c r="EE1061" s="681"/>
      <c r="EF1061" s="681"/>
      <c r="EG1061" s="681"/>
      <c r="EH1061" s="681"/>
      <c r="EI1061" s="681"/>
      <c r="EJ1061" s="681"/>
      <c r="EK1061" s="681"/>
      <c r="EL1061" s="681"/>
      <c r="EM1061" s="681"/>
      <c r="EN1061" s="681"/>
      <c r="EO1061" s="681"/>
      <c r="EP1061" s="681"/>
      <c r="EQ1061" s="681"/>
      <c r="ER1061" s="681"/>
      <c r="ES1061" s="681"/>
      <c r="ET1061" s="681"/>
      <c r="EU1061" s="681"/>
      <c r="EV1061" s="681"/>
      <c r="EW1061" s="681"/>
      <c r="EX1061" s="681"/>
      <c r="EY1061" s="681"/>
      <c r="EZ1061" s="681"/>
      <c r="FA1061" s="681"/>
      <c r="FB1061" s="681"/>
      <c r="FC1061" s="681"/>
      <c r="FD1061" s="681"/>
      <c r="FE1061" s="681"/>
      <c r="FF1061" s="681"/>
      <c r="FG1061" s="681"/>
      <c r="FH1061" s="681"/>
      <c r="FI1061" s="681"/>
      <c r="FJ1061" s="681"/>
      <c r="FK1061" s="681"/>
      <c r="FL1061" s="681"/>
      <c r="FM1061" s="681"/>
      <c r="FN1061" s="681"/>
      <c r="FO1061" s="681"/>
      <c r="FP1061" s="681"/>
      <c r="FQ1061" s="681"/>
      <c r="FR1061" s="681"/>
      <c r="FS1061" s="681"/>
      <c r="FT1061" s="681"/>
      <c r="FU1061" s="681"/>
      <c r="FV1061" s="681"/>
      <c r="FW1061" s="681"/>
      <c r="FX1061" s="681"/>
      <c r="FY1061" s="681"/>
      <c r="FZ1061" s="681"/>
      <c r="GA1061" s="681"/>
      <c r="GB1061" s="681"/>
      <c r="GC1061" s="681"/>
      <c r="GD1061" s="681"/>
      <c r="GE1061" s="681"/>
      <c r="GF1061" s="681"/>
      <c r="GG1061" s="681"/>
      <c r="GH1061" s="681"/>
      <c r="GI1061" s="681"/>
      <c r="GJ1061" s="681"/>
      <c r="GK1061" s="681"/>
      <c r="GL1061" s="681"/>
      <c r="GM1061" s="681"/>
      <c r="GN1061" s="681"/>
      <c r="GO1061" s="681"/>
      <c r="GP1061" s="681"/>
      <c r="GQ1061" s="681"/>
      <c r="GR1061" s="681"/>
      <c r="GS1061" s="681"/>
      <c r="GT1061" s="681"/>
      <c r="GU1061" s="681"/>
      <c r="GV1061" s="681"/>
      <c r="GW1061" s="681"/>
      <c r="GX1061" s="681"/>
      <c r="GY1061" s="681"/>
      <c r="GZ1061" s="681"/>
      <c r="HA1061" s="681"/>
      <c r="HB1061" s="681"/>
      <c r="HC1061" s="681"/>
      <c r="HD1061" s="681"/>
      <c r="HE1061" s="681"/>
      <c r="HF1061" s="681"/>
      <c r="HG1061" s="681"/>
      <c r="HH1061" s="681"/>
      <c r="HI1061" s="681"/>
      <c r="HJ1061" s="681"/>
      <c r="HK1061" s="681"/>
      <c r="HL1061" s="681"/>
      <c r="HM1061" s="681"/>
      <c r="HN1061" s="681"/>
      <c r="HO1061" s="681"/>
      <c r="HP1061" s="681"/>
      <c r="HQ1061" s="681"/>
      <c r="HR1061" s="681"/>
      <c r="HS1061" s="681"/>
      <c r="HT1061" s="681"/>
      <c r="HU1061" s="681"/>
      <c r="HV1061" s="681"/>
      <c r="HW1061" s="681"/>
      <c r="HX1061" s="681"/>
      <c r="HY1061" s="681"/>
      <c r="HZ1061" s="681"/>
      <c r="IA1061" s="681"/>
      <c r="IB1061" s="681"/>
      <c r="IC1061" s="681"/>
      <c r="ID1061" s="681"/>
      <c r="IE1061" s="681"/>
      <c r="IF1061" s="681"/>
      <c r="IG1061" s="681"/>
      <c r="IH1061" s="681"/>
      <c r="II1061" s="681"/>
      <c r="IJ1061" s="681"/>
      <c r="IK1061" s="681"/>
      <c r="IL1061" s="681"/>
      <c r="IM1061" s="681"/>
      <c r="IN1061" s="681"/>
      <c r="IO1061" s="681"/>
      <c r="IP1061" s="681"/>
      <c r="IQ1061" s="681"/>
      <c r="IR1061" s="681"/>
      <c r="IS1061" s="681"/>
      <c r="IT1061" s="681"/>
      <c r="IU1061" s="681"/>
      <c r="IV1061" s="681"/>
      <c r="IW1061" s="681"/>
    </row>
    <row r="1062" spans="1:257" s="682" customFormat="1">
      <c r="A1062" s="683"/>
      <c r="B1062" s="813" t="s">
        <v>1205</v>
      </c>
      <c r="C1062" s="635"/>
      <c r="D1062" s="635"/>
      <c r="E1062" s="669"/>
      <c r="F1062" s="669"/>
      <c r="G1062" s="669"/>
      <c r="H1062" s="669"/>
      <c r="I1062" s="669"/>
      <c r="J1062" s="669"/>
      <c r="K1062" s="669">
        <v>30000000</v>
      </c>
      <c r="L1062" s="1306">
        <v>30000000</v>
      </c>
      <c r="M1062" s="669"/>
      <c r="N1062" s="837"/>
      <c r="O1062" s="837"/>
      <c r="P1062" s="837"/>
      <c r="Q1062" s="837"/>
      <c r="R1062" s="908"/>
      <c r="S1062" s="908"/>
      <c r="T1062" s="1017"/>
      <c r="U1062" s="580"/>
      <c r="V1062" s="727"/>
      <c r="W1062" s="680"/>
      <c r="X1062" s="677"/>
      <c r="Y1062" s="681"/>
      <c r="Z1062" s="681"/>
      <c r="AA1062" s="681"/>
      <c r="AB1062" s="681"/>
      <c r="AC1062" s="681"/>
      <c r="AD1062" s="681"/>
      <c r="AE1062" s="681"/>
      <c r="AF1062" s="681"/>
      <c r="AG1062" s="681"/>
      <c r="AH1062" s="681"/>
      <c r="AI1062" s="681"/>
      <c r="AJ1062" s="681"/>
      <c r="AK1062" s="681"/>
      <c r="AL1062" s="681"/>
      <c r="AM1062" s="681"/>
      <c r="AN1062" s="681"/>
      <c r="AO1062" s="681"/>
      <c r="AP1062" s="681"/>
      <c r="AQ1062" s="681"/>
      <c r="AR1062" s="681"/>
      <c r="AS1062" s="681"/>
      <c r="AT1062" s="681"/>
      <c r="AU1062" s="681"/>
      <c r="AV1062" s="681"/>
      <c r="AW1062" s="681"/>
      <c r="AX1062" s="681"/>
      <c r="AY1062" s="681"/>
      <c r="AZ1062" s="681"/>
      <c r="BA1062" s="681"/>
      <c r="BB1062" s="681"/>
      <c r="BC1062" s="681"/>
      <c r="BD1062" s="681"/>
      <c r="BE1062" s="681"/>
      <c r="BF1062" s="681"/>
      <c r="BG1062" s="681"/>
      <c r="BH1062" s="681"/>
      <c r="BI1062" s="681"/>
      <c r="BJ1062" s="681"/>
      <c r="BK1062" s="681"/>
      <c r="BL1062" s="681"/>
      <c r="BM1062" s="681"/>
      <c r="BN1062" s="681"/>
      <c r="BO1062" s="681"/>
      <c r="BP1062" s="681"/>
      <c r="BQ1062" s="681"/>
      <c r="BR1062" s="681"/>
      <c r="BS1062" s="681"/>
      <c r="BT1062" s="681"/>
      <c r="BU1062" s="681"/>
      <c r="BV1062" s="681"/>
      <c r="BW1062" s="681"/>
      <c r="BX1062" s="681"/>
      <c r="BY1062" s="681"/>
      <c r="BZ1062" s="681"/>
      <c r="CA1062" s="681"/>
      <c r="CB1062" s="681"/>
      <c r="CC1062" s="681"/>
      <c r="CD1062" s="681"/>
      <c r="CE1062" s="681"/>
      <c r="CF1062" s="681"/>
      <c r="CG1062" s="681"/>
      <c r="CH1062" s="681"/>
      <c r="CI1062" s="681"/>
      <c r="CJ1062" s="681"/>
      <c r="CK1062" s="681"/>
      <c r="CL1062" s="681"/>
      <c r="CM1062" s="681"/>
      <c r="CN1062" s="681"/>
      <c r="CO1062" s="681"/>
      <c r="CP1062" s="681"/>
      <c r="CQ1062" s="681"/>
      <c r="CR1062" s="681"/>
      <c r="CS1062" s="681"/>
      <c r="CT1062" s="681"/>
      <c r="CU1062" s="681"/>
      <c r="CV1062" s="681"/>
      <c r="CW1062" s="681"/>
      <c r="CX1062" s="681"/>
      <c r="CY1062" s="681"/>
      <c r="CZ1062" s="681"/>
      <c r="DA1062" s="681"/>
      <c r="DB1062" s="681"/>
      <c r="DC1062" s="681"/>
      <c r="DD1062" s="681"/>
      <c r="DE1062" s="681"/>
      <c r="DF1062" s="681"/>
      <c r="DG1062" s="681"/>
      <c r="DH1062" s="681"/>
      <c r="DI1062" s="681"/>
      <c r="DJ1062" s="681"/>
      <c r="DK1062" s="681"/>
      <c r="DL1062" s="681"/>
      <c r="DM1062" s="681"/>
      <c r="DN1062" s="681"/>
      <c r="DO1062" s="681"/>
      <c r="DP1062" s="681"/>
      <c r="DQ1062" s="681"/>
      <c r="DR1062" s="681"/>
      <c r="DS1062" s="681"/>
      <c r="DT1062" s="681"/>
      <c r="DU1062" s="681"/>
      <c r="DV1062" s="681"/>
      <c r="DW1062" s="681"/>
      <c r="DX1062" s="681"/>
      <c r="DY1062" s="681"/>
      <c r="DZ1062" s="681"/>
      <c r="EA1062" s="681"/>
      <c r="EB1062" s="681"/>
      <c r="EC1062" s="681"/>
      <c r="ED1062" s="681"/>
      <c r="EE1062" s="681"/>
      <c r="EF1062" s="681"/>
      <c r="EG1062" s="681"/>
      <c r="EH1062" s="681"/>
      <c r="EI1062" s="681"/>
      <c r="EJ1062" s="681"/>
      <c r="EK1062" s="681"/>
      <c r="EL1062" s="681"/>
      <c r="EM1062" s="681"/>
      <c r="EN1062" s="681"/>
      <c r="EO1062" s="681"/>
      <c r="EP1062" s="681"/>
      <c r="EQ1062" s="681"/>
      <c r="ER1062" s="681"/>
      <c r="ES1062" s="681"/>
      <c r="ET1062" s="681"/>
      <c r="EU1062" s="681"/>
      <c r="EV1062" s="681"/>
      <c r="EW1062" s="681"/>
      <c r="EX1062" s="681"/>
      <c r="EY1062" s="681"/>
      <c r="EZ1062" s="681"/>
      <c r="FA1062" s="681"/>
      <c r="FB1062" s="681"/>
      <c r="FC1062" s="681"/>
      <c r="FD1062" s="681"/>
      <c r="FE1062" s="681"/>
      <c r="FF1062" s="681"/>
      <c r="FG1062" s="681"/>
      <c r="FH1062" s="681"/>
      <c r="FI1062" s="681"/>
      <c r="FJ1062" s="681"/>
      <c r="FK1062" s="681"/>
      <c r="FL1062" s="681"/>
      <c r="FM1062" s="681"/>
      <c r="FN1062" s="681"/>
      <c r="FO1062" s="681"/>
      <c r="FP1062" s="681"/>
      <c r="FQ1062" s="681"/>
      <c r="FR1062" s="681"/>
      <c r="FS1062" s="681"/>
      <c r="FT1062" s="681"/>
      <c r="FU1062" s="681"/>
      <c r="FV1062" s="681"/>
      <c r="FW1062" s="681"/>
      <c r="FX1062" s="681"/>
      <c r="FY1062" s="681"/>
      <c r="FZ1062" s="681"/>
      <c r="GA1062" s="681"/>
      <c r="GB1062" s="681"/>
      <c r="GC1062" s="681"/>
      <c r="GD1062" s="681"/>
      <c r="GE1062" s="681"/>
      <c r="GF1062" s="681"/>
      <c r="GG1062" s="681"/>
      <c r="GH1062" s="681"/>
      <c r="GI1062" s="681"/>
      <c r="GJ1062" s="681"/>
      <c r="GK1062" s="681"/>
      <c r="GL1062" s="681"/>
      <c r="GM1062" s="681"/>
      <c r="GN1062" s="681"/>
      <c r="GO1062" s="681"/>
      <c r="GP1062" s="681"/>
      <c r="GQ1062" s="681"/>
      <c r="GR1062" s="681"/>
      <c r="GS1062" s="681"/>
      <c r="GT1062" s="681"/>
      <c r="GU1062" s="681"/>
      <c r="GV1062" s="681"/>
      <c r="GW1062" s="681"/>
      <c r="GX1062" s="681"/>
      <c r="GY1062" s="681"/>
      <c r="GZ1062" s="681"/>
      <c r="HA1062" s="681"/>
      <c r="HB1062" s="681"/>
      <c r="HC1062" s="681"/>
      <c r="HD1062" s="681"/>
      <c r="HE1062" s="681"/>
      <c r="HF1062" s="681"/>
      <c r="HG1062" s="681"/>
      <c r="HH1062" s="681"/>
      <c r="HI1062" s="681"/>
      <c r="HJ1062" s="681"/>
      <c r="HK1062" s="681"/>
      <c r="HL1062" s="681"/>
      <c r="HM1062" s="681"/>
      <c r="HN1062" s="681"/>
      <c r="HO1062" s="681"/>
      <c r="HP1062" s="681"/>
      <c r="HQ1062" s="681"/>
      <c r="HR1062" s="681"/>
      <c r="HS1062" s="681"/>
      <c r="HT1062" s="681"/>
      <c r="HU1062" s="681"/>
      <c r="HV1062" s="681"/>
      <c r="HW1062" s="681"/>
      <c r="HX1062" s="681"/>
      <c r="HY1062" s="681"/>
      <c r="HZ1062" s="681"/>
      <c r="IA1062" s="681"/>
      <c r="IB1062" s="681"/>
      <c r="IC1062" s="681"/>
      <c r="ID1062" s="681"/>
      <c r="IE1062" s="681"/>
      <c r="IF1062" s="681"/>
      <c r="IG1062" s="681"/>
      <c r="IH1062" s="681"/>
      <c r="II1062" s="681"/>
      <c r="IJ1062" s="681"/>
      <c r="IK1062" s="681"/>
      <c r="IL1062" s="681"/>
      <c r="IM1062" s="681"/>
      <c r="IN1062" s="681"/>
      <c r="IO1062" s="681"/>
      <c r="IP1062" s="681"/>
      <c r="IQ1062" s="681"/>
      <c r="IR1062" s="681"/>
      <c r="IS1062" s="681"/>
      <c r="IT1062" s="681"/>
      <c r="IU1062" s="681"/>
      <c r="IV1062" s="681"/>
      <c r="IW1062" s="681"/>
    </row>
    <row r="1063" spans="1:257" s="682" customFormat="1">
      <c r="A1063" s="683" t="s">
        <v>258</v>
      </c>
      <c r="B1063" s="813" t="s">
        <v>1206</v>
      </c>
      <c r="C1063" s="635"/>
      <c r="D1063" s="635"/>
      <c r="E1063" s="669"/>
      <c r="F1063" s="669"/>
      <c r="G1063" s="669"/>
      <c r="H1063" s="669"/>
      <c r="I1063" s="669"/>
      <c r="J1063" s="669">
        <v>50000000</v>
      </c>
      <c r="K1063" s="669">
        <v>100000000</v>
      </c>
      <c r="L1063" s="1306">
        <v>100000000</v>
      </c>
      <c r="M1063" s="669"/>
      <c r="N1063" s="837"/>
      <c r="O1063" s="837"/>
      <c r="P1063" s="837"/>
      <c r="Q1063" s="837"/>
      <c r="R1063" s="908"/>
      <c r="S1063" s="908"/>
      <c r="T1063" s="1017"/>
      <c r="U1063" s="580"/>
      <c r="V1063" s="727"/>
      <c r="W1063" s="680"/>
      <c r="X1063" s="677"/>
      <c r="Y1063" s="681"/>
      <c r="Z1063" s="681"/>
      <c r="AA1063" s="681"/>
      <c r="AB1063" s="681"/>
      <c r="AC1063" s="681"/>
      <c r="AD1063" s="681"/>
      <c r="AE1063" s="681"/>
      <c r="AF1063" s="681"/>
      <c r="AG1063" s="681"/>
      <c r="AH1063" s="681"/>
      <c r="AI1063" s="681"/>
      <c r="AJ1063" s="681"/>
      <c r="AK1063" s="681"/>
      <c r="AL1063" s="681"/>
      <c r="AM1063" s="681"/>
      <c r="AN1063" s="681"/>
      <c r="AO1063" s="681"/>
      <c r="AP1063" s="681"/>
      <c r="AQ1063" s="681"/>
      <c r="AR1063" s="681"/>
      <c r="AS1063" s="681"/>
      <c r="AT1063" s="681"/>
      <c r="AU1063" s="681"/>
      <c r="AV1063" s="681"/>
      <c r="AW1063" s="681"/>
      <c r="AX1063" s="681"/>
      <c r="AY1063" s="681"/>
      <c r="AZ1063" s="681"/>
      <c r="BA1063" s="681"/>
      <c r="BB1063" s="681"/>
      <c r="BC1063" s="681"/>
      <c r="BD1063" s="681"/>
      <c r="BE1063" s="681"/>
      <c r="BF1063" s="681"/>
      <c r="BG1063" s="681"/>
      <c r="BH1063" s="681"/>
      <c r="BI1063" s="681"/>
      <c r="BJ1063" s="681"/>
      <c r="BK1063" s="681"/>
      <c r="BL1063" s="681"/>
      <c r="BM1063" s="681"/>
      <c r="BN1063" s="681"/>
      <c r="BO1063" s="681"/>
      <c r="BP1063" s="681"/>
      <c r="BQ1063" s="681"/>
      <c r="BR1063" s="681"/>
      <c r="BS1063" s="681"/>
      <c r="BT1063" s="681"/>
      <c r="BU1063" s="681"/>
      <c r="BV1063" s="681"/>
      <c r="BW1063" s="681"/>
      <c r="BX1063" s="681"/>
      <c r="BY1063" s="681"/>
      <c r="BZ1063" s="681"/>
      <c r="CA1063" s="681"/>
      <c r="CB1063" s="681"/>
      <c r="CC1063" s="681"/>
      <c r="CD1063" s="681"/>
      <c r="CE1063" s="681"/>
      <c r="CF1063" s="681"/>
      <c r="CG1063" s="681"/>
      <c r="CH1063" s="681"/>
      <c r="CI1063" s="681"/>
      <c r="CJ1063" s="681"/>
      <c r="CK1063" s="681"/>
      <c r="CL1063" s="681"/>
      <c r="CM1063" s="681"/>
      <c r="CN1063" s="681"/>
      <c r="CO1063" s="681"/>
      <c r="CP1063" s="681"/>
      <c r="CQ1063" s="681"/>
      <c r="CR1063" s="681"/>
      <c r="CS1063" s="681"/>
      <c r="CT1063" s="681"/>
      <c r="CU1063" s="681"/>
      <c r="CV1063" s="681"/>
      <c r="CW1063" s="681"/>
      <c r="CX1063" s="681"/>
      <c r="CY1063" s="681"/>
      <c r="CZ1063" s="681"/>
      <c r="DA1063" s="681"/>
      <c r="DB1063" s="681"/>
      <c r="DC1063" s="681"/>
      <c r="DD1063" s="681"/>
      <c r="DE1063" s="681"/>
      <c r="DF1063" s="681"/>
      <c r="DG1063" s="681"/>
      <c r="DH1063" s="681"/>
      <c r="DI1063" s="681"/>
      <c r="DJ1063" s="681"/>
      <c r="DK1063" s="681"/>
      <c r="DL1063" s="681"/>
      <c r="DM1063" s="681"/>
      <c r="DN1063" s="681"/>
      <c r="DO1063" s="681"/>
      <c r="DP1063" s="681"/>
      <c r="DQ1063" s="681"/>
      <c r="DR1063" s="681"/>
      <c r="DS1063" s="681"/>
      <c r="DT1063" s="681"/>
      <c r="DU1063" s="681"/>
      <c r="DV1063" s="681"/>
      <c r="DW1063" s="681"/>
      <c r="DX1063" s="681"/>
      <c r="DY1063" s="681"/>
      <c r="DZ1063" s="681"/>
      <c r="EA1063" s="681"/>
      <c r="EB1063" s="681"/>
      <c r="EC1063" s="681"/>
      <c r="ED1063" s="681"/>
      <c r="EE1063" s="681"/>
      <c r="EF1063" s="681"/>
      <c r="EG1063" s="681"/>
      <c r="EH1063" s="681"/>
      <c r="EI1063" s="681"/>
      <c r="EJ1063" s="681"/>
      <c r="EK1063" s="681"/>
      <c r="EL1063" s="681"/>
      <c r="EM1063" s="681"/>
      <c r="EN1063" s="681"/>
      <c r="EO1063" s="681"/>
      <c r="EP1063" s="681"/>
      <c r="EQ1063" s="681"/>
      <c r="ER1063" s="681"/>
      <c r="ES1063" s="681"/>
      <c r="ET1063" s="681"/>
      <c r="EU1063" s="681"/>
      <c r="EV1063" s="681"/>
      <c r="EW1063" s="681"/>
      <c r="EX1063" s="681"/>
      <c r="EY1063" s="681"/>
      <c r="EZ1063" s="681"/>
      <c r="FA1063" s="681"/>
      <c r="FB1063" s="681"/>
      <c r="FC1063" s="681"/>
      <c r="FD1063" s="681"/>
      <c r="FE1063" s="681"/>
      <c r="FF1063" s="681"/>
      <c r="FG1063" s="681"/>
      <c r="FH1063" s="681"/>
      <c r="FI1063" s="681"/>
      <c r="FJ1063" s="681"/>
      <c r="FK1063" s="681"/>
      <c r="FL1063" s="681"/>
      <c r="FM1063" s="681"/>
      <c r="FN1063" s="681"/>
      <c r="FO1063" s="681"/>
      <c r="FP1063" s="681"/>
      <c r="FQ1063" s="681"/>
      <c r="FR1063" s="681"/>
      <c r="FS1063" s="681"/>
      <c r="FT1063" s="681"/>
      <c r="FU1063" s="681"/>
      <c r="FV1063" s="681"/>
      <c r="FW1063" s="681"/>
      <c r="FX1063" s="681"/>
      <c r="FY1063" s="681"/>
      <c r="FZ1063" s="681"/>
      <c r="GA1063" s="681"/>
      <c r="GB1063" s="681"/>
      <c r="GC1063" s="681"/>
      <c r="GD1063" s="681"/>
      <c r="GE1063" s="681"/>
      <c r="GF1063" s="681"/>
      <c r="GG1063" s="681"/>
      <c r="GH1063" s="681"/>
      <c r="GI1063" s="681"/>
      <c r="GJ1063" s="681"/>
      <c r="GK1063" s="681"/>
      <c r="GL1063" s="681"/>
      <c r="GM1063" s="681"/>
      <c r="GN1063" s="681"/>
      <c r="GO1063" s="681"/>
      <c r="GP1063" s="681"/>
      <c r="GQ1063" s="681"/>
      <c r="GR1063" s="681"/>
      <c r="GS1063" s="681"/>
      <c r="GT1063" s="681"/>
      <c r="GU1063" s="681"/>
      <c r="GV1063" s="681"/>
      <c r="GW1063" s="681"/>
      <c r="GX1063" s="681"/>
      <c r="GY1063" s="681"/>
      <c r="GZ1063" s="681"/>
      <c r="HA1063" s="681"/>
      <c r="HB1063" s="681"/>
      <c r="HC1063" s="681"/>
      <c r="HD1063" s="681"/>
      <c r="HE1063" s="681"/>
      <c r="HF1063" s="681"/>
      <c r="HG1063" s="681"/>
      <c r="HH1063" s="681"/>
      <c r="HI1063" s="681"/>
      <c r="HJ1063" s="681"/>
      <c r="HK1063" s="681"/>
      <c r="HL1063" s="681"/>
      <c r="HM1063" s="681"/>
      <c r="HN1063" s="681"/>
      <c r="HO1063" s="681"/>
      <c r="HP1063" s="681"/>
      <c r="HQ1063" s="681"/>
      <c r="HR1063" s="681"/>
      <c r="HS1063" s="681"/>
      <c r="HT1063" s="681"/>
      <c r="HU1063" s="681"/>
      <c r="HV1063" s="681"/>
      <c r="HW1063" s="681"/>
      <c r="HX1063" s="681"/>
      <c r="HY1063" s="681"/>
      <c r="HZ1063" s="681"/>
      <c r="IA1063" s="681"/>
      <c r="IB1063" s="681"/>
      <c r="IC1063" s="681"/>
      <c r="ID1063" s="681"/>
      <c r="IE1063" s="681"/>
      <c r="IF1063" s="681"/>
      <c r="IG1063" s="681"/>
      <c r="IH1063" s="681"/>
      <c r="II1063" s="681"/>
      <c r="IJ1063" s="681"/>
      <c r="IK1063" s="681"/>
      <c r="IL1063" s="681"/>
      <c r="IM1063" s="681"/>
      <c r="IN1063" s="681"/>
      <c r="IO1063" s="681"/>
      <c r="IP1063" s="681"/>
      <c r="IQ1063" s="681"/>
      <c r="IR1063" s="681"/>
      <c r="IS1063" s="681"/>
      <c r="IT1063" s="681"/>
      <c r="IU1063" s="681"/>
      <c r="IV1063" s="681"/>
      <c r="IW1063" s="681"/>
    </row>
    <row r="1064" spans="1:257" s="682" customFormat="1" ht="63">
      <c r="A1064" s="683" t="s">
        <v>258</v>
      </c>
      <c r="B1064" s="813" t="s">
        <v>569</v>
      </c>
      <c r="C1064" s="635"/>
      <c r="D1064" s="635"/>
      <c r="E1064" s="669"/>
      <c r="F1064" s="669">
        <v>50000000</v>
      </c>
      <c r="G1064" s="669"/>
      <c r="H1064" s="669"/>
      <c r="I1064" s="669"/>
      <c r="J1064" s="669">
        <v>60000000</v>
      </c>
      <c r="K1064" s="669">
        <v>50000000</v>
      </c>
      <c r="L1064" s="1306">
        <v>50000000</v>
      </c>
      <c r="M1064" s="669"/>
      <c r="N1064" s="837"/>
      <c r="O1064" s="837"/>
      <c r="P1064" s="837"/>
      <c r="Q1064" s="837"/>
      <c r="R1064" s="871"/>
      <c r="S1064" s="908"/>
      <c r="T1064" s="1017"/>
      <c r="U1064" s="670"/>
      <c r="V1064" s="727"/>
      <c r="W1064" s="680"/>
      <c r="X1064" s="677"/>
      <c r="Y1064" s="681"/>
      <c r="Z1064" s="681"/>
      <c r="AA1064" s="681"/>
      <c r="AB1064" s="681"/>
      <c r="AC1064" s="681"/>
      <c r="AD1064" s="681"/>
      <c r="AE1064" s="681"/>
      <c r="AF1064" s="681"/>
      <c r="AG1064" s="681"/>
      <c r="AH1064" s="681"/>
      <c r="AI1064" s="681"/>
      <c r="AJ1064" s="681"/>
      <c r="AK1064" s="681"/>
      <c r="AL1064" s="681"/>
      <c r="AM1064" s="681"/>
      <c r="AN1064" s="681"/>
      <c r="AO1064" s="681"/>
      <c r="AP1064" s="681"/>
      <c r="AQ1064" s="681"/>
      <c r="AR1064" s="681"/>
      <c r="AS1064" s="681"/>
      <c r="AT1064" s="681"/>
      <c r="AU1064" s="681"/>
      <c r="AV1064" s="681"/>
      <c r="AW1064" s="681"/>
      <c r="AX1064" s="681"/>
      <c r="AY1064" s="681"/>
      <c r="AZ1064" s="681"/>
      <c r="BA1064" s="681"/>
      <c r="BB1064" s="681"/>
      <c r="BC1064" s="681"/>
      <c r="BD1064" s="681"/>
      <c r="BE1064" s="681"/>
      <c r="BF1064" s="681"/>
      <c r="BG1064" s="681"/>
      <c r="BH1064" s="681"/>
      <c r="BI1064" s="681"/>
      <c r="BJ1064" s="681"/>
      <c r="BK1064" s="681"/>
      <c r="BL1064" s="681"/>
      <c r="BM1064" s="681"/>
      <c r="BN1064" s="681"/>
      <c r="BO1064" s="681"/>
      <c r="BP1064" s="681"/>
      <c r="BQ1064" s="681"/>
      <c r="BR1064" s="681"/>
      <c r="BS1064" s="681"/>
      <c r="BT1064" s="681"/>
      <c r="BU1064" s="681"/>
      <c r="BV1064" s="681"/>
      <c r="BW1064" s="681"/>
      <c r="BX1064" s="681"/>
      <c r="BY1064" s="681"/>
      <c r="BZ1064" s="681"/>
      <c r="CA1064" s="681"/>
      <c r="CB1064" s="681"/>
      <c r="CC1064" s="681"/>
      <c r="CD1064" s="681"/>
      <c r="CE1064" s="681"/>
      <c r="CF1064" s="681"/>
      <c r="CG1064" s="681"/>
      <c r="CH1064" s="681"/>
      <c r="CI1064" s="681"/>
      <c r="CJ1064" s="681"/>
      <c r="CK1064" s="681"/>
      <c r="CL1064" s="681"/>
      <c r="CM1064" s="681"/>
      <c r="CN1064" s="681"/>
      <c r="CO1064" s="681"/>
      <c r="CP1064" s="681"/>
      <c r="CQ1064" s="681"/>
      <c r="CR1064" s="681"/>
      <c r="CS1064" s="681"/>
      <c r="CT1064" s="681"/>
      <c r="CU1064" s="681"/>
      <c r="CV1064" s="681"/>
      <c r="CW1064" s="681"/>
      <c r="CX1064" s="681"/>
      <c r="CY1064" s="681"/>
      <c r="CZ1064" s="681"/>
      <c r="DA1064" s="681"/>
      <c r="DB1064" s="681"/>
      <c r="DC1064" s="681"/>
      <c r="DD1064" s="681"/>
      <c r="DE1064" s="681"/>
      <c r="DF1064" s="681"/>
      <c r="DG1064" s="681"/>
      <c r="DH1064" s="681"/>
      <c r="DI1064" s="681"/>
      <c r="DJ1064" s="681"/>
      <c r="DK1064" s="681"/>
      <c r="DL1064" s="681"/>
      <c r="DM1064" s="681"/>
      <c r="DN1064" s="681"/>
      <c r="DO1064" s="681"/>
      <c r="DP1064" s="681"/>
      <c r="DQ1064" s="681"/>
      <c r="DR1064" s="681"/>
      <c r="DS1064" s="681"/>
      <c r="DT1064" s="681"/>
      <c r="DU1064" s="681"/>
      <c r="DV1064" s="681"/>
      <c r="DW1064" s="681"/>
      <c r="DX1064" s="681"/>
      <c r="DY1064" s="681"/>
      <c r="DZ1064" s="681"/>
      <c r="EA1064" s="681"/>
      <c r="EB1064" s="681"/>
      <c r="EC1064" s="681"/>
      <c r="ED1064" s="681"/>
      <c r="EE1064" s="681"/>
      <c r="EF1064" s="681"/>
      <c r="EG1064" s="681"/>
      <c r="EH1064" s="681"/>
      <c r="EI1064" s="681"/>
      <c r="EJ1064" s="681"/>
      <c r="EK1064" s="681"/>
      <c r="EL1064" s="681"/>
      <c r="EM1064" s="681"/>
      <c r="EN1064" s="681"/>
      <c r="EO1064" s="681"/>
      <c r="EP1064" s="681"/>
      <c r="EQ1064" s="681"/>
      <c r="ER1064" s="681"/>
      <c r="ES1064" s="681"/>
      <c r="ET1064" s="681"/>
      <c r="EU1064" s="681"/>
      <c r="EV1064" s="681"/>
      <c r="EW1064" s="681"/>
      <c r="EX1064" s="681"/>
      <c r="EY1064" s="681"/>
      <c r="EZ1064" s="681"/>
      <c r="FA1064" s="681"/>
      <c r="FB1064" s="681"/>
      <c r="FC1064" s="681"/>
      <c r="FD1064" s="681"/>
      <c r="FE1064" s="681"/>
      <c r="FF1064" s="681"/>
      <c r="FG1064" s="681"/>
      <c r="FH1064" s="681"/>
      <c r="FI1064" s="681"/>
      <c r="FJ1064" s="681"/>
      <c r="FK1064" s="681"/>
      <c r="FL1064" s="681"/>
      <c r="FM1064" s="681"/>
      <c r="FN1064" s="681"/>
      <c r="FO1064" s="681"/>
      <c r="FP1064" s="681"/>
      <c r="FQ1064" s="681"/>
      <c r="FR1064" s="681"/>
      <c r="FS1064" s="681"/>
      <c r="FT1064" s="681"/>
      <c r="FU1064" s="681"/>
      <c r="FV1064" s="681"/>
      <c r="FW1064" s="681"/>
      <c r="FX1064" s="681"/>
      <c r="FY1064" s="681"/>
      <c r="FZ1064" s="681"/>
      <c r="GA1064" s="681"/>
      <c r="GB1064" s="681"/>
      <c r="GC1064" s="681"/>
      <c r="GD1064" s="681"/>
      <c r="GE1064" s="681"/>
      <c r="GF1064" s="681"/>
      <c r="GG1064" s="681"/>
      <c r="GH1064" s="681"/>
      <c r="GI1064" s="681"/>
      <c r="GJ1064" s="681"/>
      <c r="GK1064" s="681"/>
      <c r="GL1064" s="681"/>
      <c r="GM1064" s="681"/>
      <c r="GN1064" s="681"/>
      <c r="GO1064" s="681"/>
      <c r="GP1064" s="681"/>
      <c r="GQ1064" s="681"/>
      <c r="GR1064" s="681"/>
      <c r="GS1064" s="681"/>
      <c r="GT1064" s="681"/>
      <c r="GU1064" s="681"/>
      <c r="GV1064" s="681"/>
      <c r="GW1064" s="681"/>
      <c r="GX1064" s="681"/>
      <c r="GY1064" s="681"/>
      <c r="GZ1064" s="681"/>
      <c r="HA1064" s="681"/>
      <c r="HB1064" s="681"/>
      <c r="HC1064" s="681"/>
      <c r="HD1064" s="681"/>
      <c r="HE1064" s="681"/>
      <c r="HF1064" s="681"/>
      <c r="HG1064" s="681"/>
      <c r="HH1064" s="681"/>
      <c r="HI1064" s="681"/>
      <c r="HJ1064" s="681"/>
      <c r="HK1064" s="681"/>
      <c r="HL1064" s="681"/>
      <c r="HM1064" s="681"/>
      <c r="HN1064" s="681"/>
      <c r="HO1064" s="681"/>
      <c r="HP1064" s="681"/>
      <c r="HQ1064" s="681"/>
      <c r="HR1064" s="681"/>
      <c r="HS1064" s="681"/>
      <c r="HT1064" s="681"/>
      <c r="HU1064" s="681"/>
      <c r="HV1064" s="681"/>
      <c r="HW1064" s="681"/>
      <c r="HX1064" s="681"/>
      <c r="HY1064" s="681"/>
      <c r="HZ1064" s="681"/>
      <c r="IA1064" s="681"/>
      <c r="IB1064" s="681"/>
      <c r="IC1064" s="681"/>
      <c r="ID1064" s="681"/>
      <c r="IE1064" s="681"/>
      <c r="IF1064" s="681"/>
      <c r="IG1064" s="681"/>
      <c r="IH1064" s="681"/>
      <c r="II1064" s="681"/>
      <c r="IJ1064" s="681"/>
      <c r="IK1064" s="681"/>
      <c r="IL1064" s="681"/>
      <c r="IM1064" s="681"/>
      <c r="IN1064" s="681"/>
      <c r="IO1064" s="681"/>
      <c r="IP1064" s="681"/>
      <c r="IQ1064" s="681"/>
      <c r="IR1064" s="681"/>
      <c r="IS1064" s="681"/>
      <c r="IT1064" s="681"/>
      <c r="IU1064" s="681"/>
      <c r="IV1064" s="681"/>
      <c r="IW1064" s="681"/>
    </row>
    <row r="1065" spans="1:257" s="582" customFormat="1">
      <c r="A1065" s="699" t="s">
        <v>261</v>
      </c>
      <c r="B1065" s="808" t="s">
        <v>262</v>
      </c>
      <c r="C1065" s="699"/>
      <c r="D1065" s="699"/>
      <c r="E1065" s="700"/>
      <c r="F1065" s="810">
        <f t="shared" ref="F1065:L1065" si="92">F1066+F1067</f>
        <v>30800000</v>
      </c>
      <c r="G1065" s="810">
        <f t="shared" si="92"/>
        <v>0</v>
      </c>
      <c r="H1065" s="810">
        <f t="shared" si="92"/>
        <v>0</v>
      </c>
      <c r="I1065" s="810">
        <f t="shared" si="92"/>
        <v>0</v>
      </c>
      <c r="J1065" s="810">
        <f t="shared" si="92"/>
        <v>0</v>
      </c>
      <c r="K1065" s="810">
        <f>K1066+K1067</f>
        <v>69200000</v>
      </c>
      <c r="L1065" s="1313">
        <f t="shared" si="92"/>
        <v>62100000</v>
      </c>
      <c r="M1065" s="707"/>
      <c r="N1065" s="934"/>
      <c r="O1065" s="934"/>
      <c r="P1065" s="868"/>
      <c r="Q1065" s="868"/>
      <c r="R1065" s="871"/>
      <c r="S1065" s="908"/>
      <c r="T1065" s="1017"/>
      <c r="U1065" s="670"/>
      <c r="V1065" s="680"/>
      <c r="W1065" s="727"/>
      <c r="X1065" s="728"/>
      <c r="Y1065" s="682"/>
      <c r="Z1065" s="682"/>
      <c r="AA1065" s="682"/>
      <c r="AB1065" s="682"/>
      <c r="AC1065" s="682"/>
      <c r="AD1065" s="682"/>
      <c r="AE1065" s="682"/>
      <c r="AF1065" s="682"/>
      <c r="AG1065" s="682"/>
      <c r="AH1065" s="682"/>
      <c r="AI1065" s="682"/>
      <c r="AJ1065" s="682"/>
      <c r="AK1065" s="682"/>
      <c r="AL1065" s="682"/>
      <c r="AM1065" s="682"/>
      <c r="AN1065" s="682"/>
      <c r="AO1065" s="682"/>
      <c r="AP1065" s="682"/>
      <c r="AQ1065" s="682"/>
      <c r="AR1065" s="682"/>
      <c r="AS1065" s="682"/>
      <c r="AT1065" s="682"/>
      <c r="AU1065" s="682"/>
      <c r="AV1065" s="682"/>
      <c r="AW1065" s="682"/>
      <c r="AX1065" s="682"/>
      <c r="AY1065" s="682"/>
      <c r="AZ1065" s="682"/>
      <c r="BA1065" s="682"/>
      <c r="BB1065" s="682"/>
      <c r="BC1065" s="682"/>
      <c r="BD1065" s="682"/>
      <c r="BE1065" s="682"/>
      <c r="BF1065" s="682"/>
      <c r="BG1065" s="682"/>
      <c r="BH1065" s="682"/>
      <c r="BI1065" s="682"/>
      <c r="BJ1065" s="682"/>
      <c r="BK1065" s="682"/>
      <c r="BL1065" s="682"/>
      <c r="BM1065" s="682"/>
      <c r="BN1065" s="682"/>
      <c r="BO1065" s="682"/>
      <c r="BP1065" s="682"/>
      <c r="BQ1065" s="682"/>
      <c r="BR1065" s="682"/>
      <c r="BS1065" s="682"/>
      <c r="BT1065" s="682"/>
      <c r="BU1065" s="682"/>
      <c r="BV1065" s="682"/>
      <c r="BW1065" s="682"/>
      <c r="BX1065" s="682"/>
      <c r="BY1065" s="682"/>
      <c r="BZ1065" s="682"/>
      <c r="CA1065" s="682"/>
      <c r="CB1065" s="682"/>
      <c r="CC1065" s="682"/>
      <c r="CD1065" s="682"/>
      <c r="CE1065" s="682"/>
      <c r="CF1065" s="682"/>
      <c r="CG1065" s="682"/>
      <c r="CH1065" s="682"/>
      <c r="CI1065" s="682"/>
      <c r="CJ1065" s="682"/>
      <c r="CK1065" s="682"/>
      <c r="CL1065" s="682"/>
      <c r="CM1065" s="682"/>
      <c r="CN1065" s="682"/>
      <c r="CO1065" s="682"/>
      <c r="CP1065" s="682"/>
      <c r="CQ1065" s="682"/>
      <c r="CR1065" s="682"/>
      <c r="CS1065" s="682"/>
      <c r="CT1065" s="682"/>
      <c r="CU1065" s="682"/>
      <c r="CV1065" s="682"/>
      <c r="CW1065" s="682"/>
      <c r="CX1065" s="682"/>
      <c r="CY1065" s="682"/>
      <c r="CZ1065" s="682"/>
      <c r="DA1065" s="682"/>
      <c r="DB1065" s="682"/>
      <c r="DC1065" s="682"/>
      <c r="DD1065" s="682"/>
      <c r="DE1065" s="682"/>
      <c r="DF1065" s="682"/>
      <c r="DG1065" s="682"/>
      <c r="DH1065" s="682"/>
      <c r="DI1065" s="682"/>
      <c r="DJ1065" s="682"/>
      <c r="DK1065" s="682"/>
      <c r="DL1065" s="682"/>
      <c r="DM1065" s="682"/>
      <c r="DN1065" s="682"/>
      <c r="DO1065" s="682"/>
      <c r="DP1065" s="682"/>
      <c r="DQ1065" s="682"/>
      <c r="DR1065" s="682"/>
      <c r="DS1065" s="682"/>
      <c r="DT1065" s="682"/>
      <c r="DU1065" s="682"/>
      <c r="DV1065" s="682"/>
      <c r="DW1065" s="682"/>
      <c r="DX1065" s="682"/>
      <c r="DY1065" s="682"/>
      <c r="DZ1065" s="682"/>
      <c r="EA1065" s="682"/>
      <c r="EB1065" s="682"/>
      <c r="EC1065" s="682"/>
      <c r="ED1065" s="682"/>
      <c r="EE1065" s="682"/>
      <c r="EF1065" s="682"/>
      <c r="EG1065" s="682"/>
      <c r="EH1065" s="682"/>
      <c r="EI1065" s="682"/>
      <c r="EJ1065" s="682"/>
      <c r="EK1065" s="682"/>
      <c r="EL1065" s="682"/>
      <c r="EM1065" s="682"/>
      <c r="EN1065" s="682"/>
      <c r="EO1065" s="682"/>
      <c r="EP1065" s="682"/>
      <c r="EQ1065" s="682"/>
      <c r="ER1065" s="682"/>
      <c r="ES1065" s="682"/>
      <c r="ET1065" s="682"/>
      <c r="EU1065" s="682"/>
      <c r="EV1065" s="682"/>
      <c r="EW1065" s="682"/>
      <c r="EX1065" s="682"/>
      <c r="EY1065" s="682"/>
      <c r="EZ1065" s="682"/>
      <c r="FA1065" s="682"/>
      <c r="FB1065" s="682"/>
      <c r="FC1065" s="682"/>
      <c r="FD1065" s="682"/>
      <c r="FE1065" s="682"/>
      <c r="FF1065" s="682"/>
      <c r="FG1065" s="682"/>
      <c r="FH1065" s="682"/>
      <c r="FI1065" s="682"/>
      <c r="FJ1065" s="682"/>
      <c r="FK1065" s="682"/>
      <c r="FL1065" s="682"/>
      <c r="FM1065" s="682"/>
      <c r="FN1065" s="682"/>
      <c r="FO1065" s="682"/>
      <c r="FP1065" s="682"/>
      <c r="FQ1065" s="682"/>
      <c r="FR1065" s="682"/>
      <c r="FS1065" s="682"/>
      <c r="FT1065" s="682"/>
      <c r="FU1065" s="682"/>
      <c r="FV1065" s="682"/>
      <c r="FW1065" s="682"/>
      <c r="FX1065" s="682"/>
      <c r="FY1065" s="682"/>
      <c r="FZ1065" s="682"/>
      <c r="GA1065" s="682"/>
      <c r="GB1065" s="682"/>
      <c r="GC1065" s="682"/>
      <c r="GD1065" s="682"/>
      <c r="GE1065" s="682"/>
      <c r="GF1065" s="682"/>
      <c r="GG1065" s="682"/>
      <c r="GH1065" s="682"/>
      <c r="GI1065" s="682"/>
      <c r="GJ1065" s="682"/>
      <c r="GK1065" s="682"/>
      <c r="GL1065" s="682"/>
      <c r="GM1065" s="682"/>
      <c r="GN1065" s="682"/>
      <c r="GO1065" s="682"/>
      <c r="GP1065" s="682"/>
      <c r="GQ1065" s="682"/>
      <c r="GR1065" s="682"/>
      <c r="GS1065" s="682"/>
      <c r="GT1065" s="682"/>
      <c r="GU1065" s="682"/>
      <c r="GV1065" s="682"/>
      <c r="GW1065" s="682"/>
      <c r="GX1065" s="682"/>
      <c r="GY1065" s="682"/>
      <c r="GZ1065" s="682"/>
      <c r="HA1065" s="682"/>
      <c r="HB1065" s="682"/>
      <c r="HC1065" s="682"/>
      <c r="HD1065" s="682"/>
      <c r="HE1065" s="682"/>
      <c r="HF1065" s="682"/>
      <c r="HG1065" s="682"/>
      <c r="HH1065" s="682"/>
      <c r="HI1065" s="682"/>
      <c r="HJ1065" s="682"/>
      <c r="HK1065" s="682"/>
      <c r="HL1065" s="682"/>
      <c r="HM1065" s="682"/>
      <c r="HN1065" s="682"/>
      <c r="HO1065" s="682"/>
      <c r="HP1065" s="682"/>
      <c r="HQ1065" s="682"/>
      <c r="HR1065" s="682"/>
      <c r="HS1065" s="682"/>
      <c r="HT1065" s="682"/>
      <c r="HU1065" s="682"/>
      <c r="HV1065" s="682"/>
      <c r="HW1065" s="682"/>
      <c r="HX1065" s="682"/>
      <c r="HY1065" s="682"/>
      <c r="HZ1065" s="682"/>
      <c r="IA1065" s="682"/>
      <c r="IB1065" s="682"/>
      <c r="IC1065" s="682"/>
      <c r="ID1065" s="682"/>
      <c r="IE1065" s="682"/>
      <c r="IF1065" s="682"/>
      <c r="IG1065" s="682"/>
      <c r="IH1065" s="682"/>
      <c r="II1065" s="682"/>
      <c r="IJ1065" s="682"/>
      <c r="IK1065" s="682"/>
      <c r="IL1065" s="682"/>
      <c r="IM1065" s="682"/>
      <c r="IN1065" s="682"/>
      <c r="IO1065" s="682"/>
      <c r="IP1065" s="682"/>
      <c r="IQ1065" s="682"/>
      <c r="IR1065" s="682"/>
      <c r="IS1065" s="682"/>
      <c r="IT1065" s="682"/>
      <c r="IU1065" s="682"/>
      <c r="IV1065" s="682"/>
      <c r="IW1065" s="682"/>
    </row>
    <row r="1066" spans="1:257" s="582" customFormat="1">
      <c r="A1066" s="713"/>
      <c r="B1066" s="668" t="s">
        <v>263</v>
      </c>
      <c r="C1066" s="699"/>
      <c r="D1066" s="699"/>
      <c r="E1066" s="700"/>
      <c r="F1066" s="725">
        <f>(F1045+F1047+F1050+F1051)*10%</f>
        <v>30800000</v>
      </c>
      <c r="G1066" s="700"/>
      <c r="H1066" s="700"/>
      <c r="I1066" s="700"/>
      <c r="J1066" s="725"/>
      <c r="K1066" s="725">
        <f>(K1045+K1047+K1048+K1059+K1060+K1061+K1062+K1063+K1064)*10%</f>
        <v>69200000</v>
      </c>
      <c r="L1066" s="1311">
        <f>(L1045+L1046)*10%</f>
        <v>62100000</v>
      </c>
      <c r="M1066" s="669"/>
      <c r="N1066" s="868"/>
      <c r="O1066" s="868"/>
      <c r="P1066" s="820"/>
      <c r="Q1066" s="820"/>
      <c r="R1066" s="871"/>
      <c r="S1066" s="908"/>
      <c r="T1066" s="1017"/>
      <c r="U1066" s="670"/>
      <c r="V1066" s="727"/>
      <c r="W1066" s="727"/>
      <c r="X1066" s="728"/>
      <c r="Y1066" s="682"/>
      <c r="Z1066" s="682"/>
      <c r="AA1066" s="682"/>
      <c r="AB1066" s="682"/>
      <c r="AC1066" s="682"/>
      <c r="AD1066" s="682"/>
      <c r="AE1066" s="682"/>
      <c r="AF1066" s="682"/>
      <c r="AG1066" s="682"/>
      <c r="AH1066" s="682"/>
      <c r="AI1066" s="682"/>
      <c r="AJ1066" s="682"/>
      <c r="AK1066" s="682"/>
      <c r="AL1066" s="682"/>
      <c r="AM1066" s="682"/>
      <c r="AN1066" s="682"/>
      <c r="AO1066" s="682"/>
      <c r="AP1066" s="682"/>
      <c r="AQ1066" s="682"/>
      <c r="AR1066" s="682"/>
      <c r="AS1066" s="682"/>
      <c r="AT1066" s="682"/>
      <c r="AU1066" s="682"/>
      <c r="AV1066" s="682"/>
      <c r="AW1066" s="682"/>
      <c r="AX1066" s="682"/>
      <c r="AY1066" s="682"/>
      <c r="AZ1066" s="682"/>
      <c r="BA1066" s="682"/>
      <c r="BB1066" s="682"/>
      <c r="BC1066" s="682"/>
      <c r="BD1066" s="682"/>
      <c r="BE1066" s="682"/>
      <c r="BF1066" s="682"/>
      <c r="BG1066" s="682"/>
      <c r="BH1066" s="682"/>
      <c r="BI1066" s="682"/>
      <c r="BJ1066" s="682"/>
      <c r="BK1066" s="682"/>
      <c r="BL1066" s="682"/>
      <c r="BM1066" s="682"/>
      <c r="BN1066" s="682"/>
      <c r="BO1066" s="682"/>
      <c r="BP1066" s="682"/>
      <c r="BQ1066" s="682"/>
      <c r="BR1066" s="682"/>
      <c r="BS1066" s="682"/>
      <c r="BT1066" s="682"/>
      <c r="BU1066" s="682"/>
      <c r="BV1066" s="682"/>
      <c r="BW1066" s="682"/>
      <c r="BX1066" s="682"/>
      <c r="BY1066" s="682"/>
      <c r="BZ1066" s="682"/>
      <c r="CA1066" s="682"/>
      <c r="CB1066" s="682"/>
      <c r="CC1066" s="682"/>
      <c r="CD1066" s="682"/>
      <c r="CE1066" s="682"/>
      <c r="CF1066" s="682"/>
      <c r="CG1066" s="682"/>
      <c r="CH1066" s="682"/>
      <c r="CI1066" s="682"/>
      <c r="CJ1066" s="682"/>
      <c r="CK1066" s="682"/>
      <c r="CL1066" s="682"/>
      <c r="CM1066" s="682"/>
      <c r="CN1066" s="682"/>
      <c r="CO1066" s="682"/>
      <c r="CP1066" s="682"/>
      <c r="CQ1066" s="682"/>
      <c r="CR1066" s="682"/>
      <c r="CS1066" s="682"/>
      <c r="CT1066" s="682"/>
      <c r="CU1066" s="682"/>
      <c r="CV1066" s="682"/>
      <c r="CW1066" s="682"/>
      <c r="CX1066" s="682"/>
      <c r="CY1066" s="682"/>
      <c r="CZ1066" s="682"/>
      <c r="DA1066" s="682"/>
      <c r="DB1066" s="682"/>
      <c r="DC1066" s="682"/>
      <c r="DD1066" s="682"/>
      <c r="DE1066" s="682"/>
      <c r="DF1066" s="682"/>
      <c r="DG1066" s="682"/>
      <c r="DH1066" s="682"/>
      <c r="DI1066" s="682"/>
      <c r="DJ1066" s="682"/>
      <c r="DK1066" s="682"/>
      <c r="DL1066" s="682"/>
      <c r="DM1066" s="682"/>
      <c r="DN1066" s="682"/>
      <c r="DO1066" s="682"/>
      <c r="DP1066" s="682"/>
      <c r="DQ1066" s="682"/>
      <c r="DR1066" s="682"/>
      <c r="DS1066" s="682"/>
      <c r="DT1066" s="682"/>
      <c r="DU1066" s="682"/>
      <c r="DV1066" s="682"/>
      <c r="DW1066" s="682"/>
      <c r="DX1066" s="682"/>
      <c r="DY1066" s="682"/>
      <c r="DZ1066" s="682"/>
      <c r="EA1066" s="682"/>
      <c r="EB1066" s="682"/>
      <c r="EC1066" s="682"/>
      <c r="ED1066" s="682"/>
      <c r="EE1066" s="682"/>
      <c r="EF1066" s="682"/>
      <c r="EG1066" s="682"/>
      <c r="EH1066" s="682"/>
      <c r="EI1066" s="682"/>
      <c r="EJ1066" s="682"/>
      <c r="EK1066" s="682"/>
      <c r="EL1066" s="682"/>
      <c r="EM1066" s="682"/>
      <c r="EN1066" s="682"/>
      <c r="EO1066" s="682"/>
      <c r="EP1066" s="682"/>
      <c r="EQ1066" s="682"/>
      <c r="ER1066" s="682"/>
      <c r="ES1066" s="682"/>
      <c r="ET1066" s="682"/>
      <c r="EU1066" s="682"/>
      <c r="EV1066" s="682"/>
      <c r="EW1066" s="682"/>
      <c r="EX1066" s="682"/>
      <c r="EY1066" s="682"/>
      <c r="EZ1066" s="682"/>
      <c r="FA1066" s="682"/>
      <c r="FB1066" s="682"/>
      <c r="FC1066" s="682"/>
      <c r="FD1066" s="682"/>
      <c r="FE1066" s="682"/>
      <c r="FF1066" s="682"/>
      <c r="FG1066" s="682"/>
      <c r="FH1066" s="682"/>
      <c r="FI1066" s="682"/>
      <c r="FJ1066" s="682"/>
      <c r="FK1066" s="682"/>
      <c r="FL1066" s="682"/>
      <c r="FM1066" s="682"/>
      <c r="FN1066" s="682"/>
      <c r="FO1066" s="682"/>
      <c r="FP1066" s="682"/>
      <c r="FQ1066" s="682"/>
      <c r="FR1066" s="682"/>
      <c r="FS1066" s="682"/>
      <c r="FT1066" s="682"/>
      <c r="FU1066" s="682"/>
      <c r="FV1066" s="682"/>
      <c r="FW1066" s="682"/>
      <c r="FX1066" s="682"/>
      <c r="FY1066" s="682"/>
      <c r="FZ1066" s="682"/>
      <c r="GA1066" s="682"/>
      <c r="GB1066" s="682"/>
      <c r="GC1066" s="682"/>
      <c r="GD1066" s="682"/>
      <c r="GE1066" s="682"/>
      <c r="GF1066" s="682"/>
      <c r="GG1066" s="682"/>
      <c r="GH1066" s="682"/>
      <c r="GI1066" s="682"/>
      <c r="GJ1066" s="682"/>
      <c r="GK1066" s="682"/>
      <c r="GL1066" s="682"/>
      <c r="GM1066" s="682"/>
      <c r="GN1066" s="682"/>
      <c r="GO1066" s="682"/>
      <c r="GP1066" s="682"/>
      <c r="GQ1066" s="682"/>
      <c r="GR1066" s="682"/>
      <c r="GS1066" s="682"/>
      <c r="GT1066" s="682"/>
      <c r="GU1066" s="682"/>
      <c r="GV1066" s="682"/>
      <c r="GW1066" s="682"/>
      <c r="GX1066" s="682"/>
      <c r="GY1066" s="682"/>
      <c r="GZ1066" s="682"/>
      <c r="HA1066" s="682"/>
      <c r="HB1066" s="682"/>
      <c r="HC1066" s="682"/>
      <c r="HD1066" s="682"/>
      <c r="HE1066" s="682"/>
      <c r="HF1066" s="682"/>
      <c r="HG1066" s="682"/>
      <c r="HH1066" s="682"/>
      <c r="HI1066" s="682"/>
      <c r="HJ1066" s="682"/>
      <c r="HK1066" s="682"/>
      <c r="HL1066" s="682"/>
      <c r="HM1066" s="682"/>
      <c r="HN1066" s="682"/>
      <c r="HO1066" s="682"/>
      <c r="HP1066" s="682"/>
      <c r="HQ1066" s="682"/>
      <c r="HR1066" s="682"/>
      <c r="HS1066" s="682"/>
      <c r="HT1066" s="682"/>
      <c r="HU1066" s="682"/>
      <c r="HV1066" s="682"/>
      <c r="HW1066" s="682"/>
      <c r="HX1066" s="682"/>
      <c r="HY1066" s="682"/>
      <c r="HZ1066" s="682"/>
      <c r="IA1066" s="682"/>
      <c r="IB1066" s="682"/>
      <c r="IC1066" s="682"/>
      <c r="ID1066" s="682"/>
      <c r="IE1066" s="682"/>
      <c r="IF1066" s="682"/>
      <c r="IG1066" s="682"/>
      <c r="IH1066" s="682"/>
      <c r="II1066" s="682"/>
      <c r="IJ1066" s="682"/>
      <c r="IK1066" s="682"/>
      <c r="IL1066" s="682"/>
      <c r="IM1066" s="682"/>
      <c r="IN1066" s="682"/>
      <c r="IO1066" s="682"/>
      <c r="IP1066" s="682"/>
      <c r="IQ1066" s="682"/>
      <c r="IR1066" s="682"/>
      <c r="IS1066" s="682"/>
      <c r="IT1066" s="682"/>
      <c r="IU1066" s="682"/>
      <c r="IV1066" s="682"/>
      <c r="IW1066" s="682"/>
    </row>
    <row r="1067" spans="1:257" s="682" customFormat="1" ht="15.75" hidden="1" customHeight="1">
      <c r="A1067" s="713"/>
      <c r="B1067" s="669"/>
      <c r="C1067" s="699"/>
      <c r="D1067" s="699"/>
      <c r="E1067" s="700"/>
      <c r="F1067" s="725"/>
      <c r="G1067" s="700"/>
      <c r="H1067" s="700"/>
      <c r="I1067" s="700"/>
      <c r="J1067" s="725"/>
      <c r="K1067" s="725"/>
      <c r="L1067" s="1311"/>
      <c r="M1067" s="669"/>
      <c r="N1067" s="868"/>
      <c r="O1067" s="868"/>
      <c r="P1067" s="820"/>
      <c r="Q1067" s="820"/>
      <c r="R1067" s="908"/>
      <c r="S1067" s="871"/>
      <c r="T1067" s="824"/>
      <c r="U1067" s="670"/>
      <c r="V1067" s="727"/>
      <c r="W1067" s="581"/>
      <c r="X1067" s="578"/>
      <c r="Y1067" s="582"/>
      <c r="Z1067" s="582"/>
      <c r="AA1067" s="582"/>
      <c r="AB1067" s="582"/>
      <c r="AC1067" s="582"/>
      <c r="AD1067" s="582"/>
      <c r="AE1067" s="582"/>
      <c r="AF1067" s="582"/>
      <c r="AG1067" s="582"/>
      <c r="AH1067" s="582"/>
      <c r="AI1067" s="582"/>
      <c r="AJ1067" s="582"/>
      <c r="AK1067" s="582"/>
      <c r="AL1067" s="582"/>
      <c r="AM1067" s="582"/>
      <c r="AN1067" s="582"/>
      <c r="AO1067" s="582"/>
      <c r="AP1067" s="582"/>
      <c r="AQ1067" s="582"/>
      <c r="AR1067" s="582"/>
      <c r="AS1067" s="582"/>
      <c r="AT1067" s="582"/>
      <c r="AU1067" s="582"/>
      <c r="AV1067" s="582"/>
      <c r="AW1067" s="582"/>
      <c r="AX1067" s="582"/>
      <c r="AY1067" s="582"/>
      <c r="AZ1067" s="582"/>
      <c r="BA1067" s="582"/>
      <c r="BB1067" s="582"/>
      <c r="BC1067" s="582"/>
      <c r="BD1067" s="582"/>
      <c r="BE1067" s="582"/>
      <c r="BF1067" s="582"/>
      <c r="BG1067" s="582"/>
      <c r="BH1067" s="582"/>
      <c r="BI1067" s="582"/>
      <c r="BJ1067" s="582"/>
      <c r="BK1067" s="582"/>
      <c r="BL1067" s="582"/>
      <c r="BM1067" s="582"/>
      <c r="BN1067" s="582"/>
      <c r="BO1067" s="582"/>
      <c r="BP1067" s="582"/>
      <c r="BQ1067" s="582"/>
      <c r="BR1067" s="582"/>
      <c r="BS1067" s="582"/>
      <c r="BT1067" s="582"/>
      <c r="BU1067" s="582"/>
      <c r="BV1067" s="582"/>
      <c r="BW1067" s="582"/>
      <c r="BX1067" s="582"/>
      <c r="BY1067" s="582"/>
      <c r="BZ1067" s="582"/>
      <c r="CA1067" s="582"/>
      <c r="CB1067" s="582"/>
      <c r="CC1067" s="582"/>
      <c r="CD1067" s="582"/>
      <c r="CE1067" s="582"/>
      <c r="CF1067" s="582"/>
      <c r="CG1067" s="582"/>
      <c r="CH1067" s="582"/>
      <c r="CI1067" s="582"/>
      <c r="CJ1067" s="582"/>
      <c r="CK1067" s="582"/>
      <c r="CL1067" s="582"/>
      <c r="CM1067" s="582"/>
      <c r="CN1067" s="582"/>
      <c r="CO1067" s="582"/>
      <c r="CP1067" s="582"/>
      <c r="CQ1067" s="582"/>
      <c r="CR1067" s="582"/>
      <c r="CS1067" s="582"/>
      <c r="CT1067" s="582"/>
      <c r="CU1067" s="582"/>
      <c r="CV1067" s="582"/>
      <c r="CW1067" s="582"/>
      <c r="CX1067" s="582"/>
      <c r="CY1067" s="582"/>
      <c r="CZ1067" s="582"/>
      <c r="DA1067" s="582"/>
      <c r="DB1067" s="582"/>
      <c r="DC1067" s="582"/>
      <c r="DD1067" s="582"/>
      <c r="DE1067" s="582"/>
      <c r="DF1067" s="582"/>
      <c r="DG1067" s="582"/>
      <c r="DH1067" s="582"/>
      <c r="DI1067" s="582"/>
      <c r="DJ1067" s="582"/>
      <c r="DK1067" s="582"/>
      <c r="DL1067" s="582"/>
      <c r="DM1067" s="582"/>
      <c r="DN1067" s="582"/>
      <c r="DO1067" s="582"/>
      <c r="DP1067" s="582"/>
      <c r="DQ1067" s="582"/>
      <c r="DR1067" s="582"/>
      <c r="DS1067" s="582"/>
      <c r="DT1067" s="582"/>
      <c r="DU1067" s="582"/>
      <c r="DV1067" s="582"/>
      <c r="DW1067" s="582"/>
      <c r="DX1067" s="582"/>
      <c r="DY1067" s="582"/>
      <c r="DZ1067" s="582"/>
      <c r="EA1067" s="582"/>
      <c r="EB1067" s="582"/>
      <c r="EC1067" s="582"/>
      <c r="ED1067" s="582"/>
      <c r="EE1067" s="582"/>
      <c r="EF1067" s="582"/>
      <c r="EG1067" s="582"/>
      <c r="EH1067" s="582"/>
      <c r="EI1067" s="582"/>
      <c r="EJ1067" s="582"/>
      <c r="EK1067" s="582"/>
      <c r="EL1067" s="582"/>
      <c r="EM1067" s="582"/>
      <c r="EN1067" s="582"/>
      <c r="EO1067" s="582"/>
      <c r="EP1067" s="582"/>
      <c r="EQ1067" s="582"/>
      <c r="ER1067" s="582"/>
      <c r="ES1067" s="582"/>
      <c r="ET1067" s="582"/>
      <c r="EU1067" s="582"/>
      <c r="EV1067" s="582"/>
      <c r="EW1067" s="582"/>
      <c r="EX1067" s="582"/>
      <c r="EY1067" s="582"/>
      <c r="EZ1067" s="582"/>
      <c r="FA1067" s="582"/>
      <c r="FB1067" s="582"/>
      <c r="FC1067" s="582"/>
      <c r="FD1067" s="582"/>
      <c r="FE1067" s="582"/>
      <c r="FF1067" s="582"/>
      <c r="FG1067" s="582"/>
      <c r="FH1067" s="582"/>
      <c r="FI1067" s="582"/>
      <c r="FJ1067" s="582"/>
      <c r="FK1067" s="582"/>
      <c r="FL1067" s="582"/>
      <c r="FM1067" s="582"/>
      <c r="FN1067" s="582"/>
      <c r="FO1067" s="582"/>
      <c r="FP1067" s="582"/>
      <c r="FQ1067" s="582"/>
      <c r="FR1067" s="582"/>
      <c r="FS1067" s="582"/>
      <c r="FT1067" s="582"/>
      <c r="FU1067" s="582"/>
      <c r="FV1067" s="582"/>
      <c r="FW1067" s="582"/>
      <c r="FX1067" s="582"/>
      <c r="FY1067" s="582"/>
      <c r="FZ1067" s="582"/>
      <c r="GA1067" s="582"/>
      <c r="GB1067" s="582"/>
      <c r="GC1067" s="582"/>
      <c r="GD1067" s="582"/>
      <c r="GE1067" s="582"/>
      <c r="GF1067" s="582"/>
      <c r="GG1067" s="582"/>
      <c r="GH1067" s="582"/>
      <c r="GI1067" s="582"/>
      <c r="GJ1067" s="582"/>
      <c r="GK1067" s="582"/>
      <c r="GL1067" s="582"/>
      <c r="GM1067" s="582"/>
      <c r="GN1067" s="582"/>
      <c r="GO1067" s="582"/>
      <c r="GP1067" s="582"/>
      <c r="GQ1067" s="582"/>
      <c r="GR1067" s="582"/>
      <c r="GS1067" s="582"/>
      <c r="GT1067" s="582"/>
      <c r="GU1067" s="582"/>
      <c r="GV1067" s="582"/>
      <c r="GW1067" s="582"/>
      <c r="GX1067" s="582"/>
      <c r="GY1067" s="582"/>
      <c r="GZ1067" s="582"/>
      <c r="HA1067" s="582"/>
      <c r="HB1067" s="582"/>
      <c r="HC1067" s="582"/>
      <c r="HD1067" s="582"/>
      <c r="HE1067" s="582"/>
      <c r="HF1067" s="582"/>
      <c r="HG1067" s="582"/>
      <c r="HH1067" s="582"/>
      <c r="HI1067" s="582"/>
      <c r="HJ1067" s="582"/>
      <c r="HK1067" s="582"/>
      <c r="HL1067" s="582"/>
      <c r="HM1067" s="582"/>
      <c r="HN1067" s="582"/>
      <c r="HO1067" s="582"/>
      <c r="HP1067" s="582"/>
      <c r="HQ1067" s="582"/>
      <c r="HR1067" s="582"/>
      <c r="HS1067" s="582"/>
      <c r="HT1067" s="582"/>
      <c r="HU1067" s="582"/>
      <c r="HV1067" s="582"/>
      <c r="HW1067" s="582"/>
      <c r="HX1067" s="582"/>
      <c r="HY1067" s="582"/>
      <c r="HZ1067" s="582"/>
      <c r="IA1067" s="582"/>
      <c r="IB1067" s="582"/>
      <c r="IC1067" s="582"/>
      <c r="ID1067" s="582"/>
      <c r="IE1067" s="582"/>
      <c r="IF1067" s="582"/>
      <c r="IG1067" s="582"/>
      <c r="IH1067" s="582"/>
      <c r="II1067" s="582"/>
      <c r="IJ1067" s="582"/>
      <c r="IK1067" s="582"/>
      <c r="IL1067" s="582"/>
      <c r="IM1067" s="582"/>
      <c r="IN1067" s="582"/>
      <c r="IO1067" s="582"/>
      <c r="IP1067" s="582"/>
      <c r="IQ1067" s="582"/>
      <c r="IR1067" s="582"/>
      <c r="IS1067" s="582"/>
      <c r="IT1067" s="582"/>
      <c r="IU1067" s="582"/>
      <c r="IV1067" s="582"/>
      <c r="IW1067" s="582"/>
    </row>
    <row r="1068" spans="1:257" s="1094" customFormat="1">
      <c r="A1068" s="791">
        <v>5</v>
      </c>
      <c r="B1068" s="840" t="s">
        <v>570</v>
      </c>
      <c r="C1068" s="791"/>
      <c r="D1068" s="791"/>
      <c r="E1068" s="792"/>
      <c r="F1068" s="792">
        <f t="shared" ref="F1068:L1068" si="93">F1069+F1075</f>
        <v>727000000</v>
      </c>
      <c r="G1068" s="792">
        <f t="shared" si="93"/>
        <v>20000000</v>
      </c>
      <c r="H1068" s="792">
        <f t="shared" si="93"/>
        <v>0</v>
      </c>
      <c r="I1068" s="792">
        <f t="shared" si="93"/>
        <v>0</v>
      </c>
      <c r="J1068" s="792">
        <f t="shared" si="93"/>
        <v>678607000</v>
      </c>
      <c r="K1068" s="792">
        <f>K1069+K1075</f>
        <v>1005000000</v>
      </c>
      <c r="L1068" s="1303">
        <f t="shared" si="93"/>
        <v>967000000</v>
      </c>
      <c r="M1068" s="792"/>
      <c r="N1068" s="841"/>
      <c r="O1068" s="841"/>
      <c r="P1068" s="892"/>
      <c r="Q1068" s="892"/>
      <c r="R1068" s="947"/>
      <c r="S1068" s="894"/>
      <c r="T1068" s="845"/>
      <c r="U1068" s="1073"/>
      <c r="V1068" s="895"/>
      <c r="W1068" s="800"/>
      <c r="X1068" s="975"/>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976"/>
      <c r="AR1068" s="976"/>
      <c r="AS1068" s="976"/>
      <c r="AT1068" s="976"/>
      <c r="AU1068" s="976"/>
      <c r="AV1068" s="976"/>
      <c r="AW1068" s="976"/>
      <c r="AX1068" s="976"/>
      <c r="AY1068" s="976"/>
      <c r="AZ1068" s="976"/>
      <c r="BA1068" s="976"/>
      <c r="BB1068" s="976"/>
      <c r="BC1068" s="976"/>
      <c r="BD1068" s="976"/>
      <c r="BE1068" s="976"/>
      <c r="BF1068" s="976"/>
      <c r="BG1068" s="976"/>
      <c r="BH1068" s="976"/>
      <c r="BI1068" s="976"/>
      <c r="BJ1068" s="976"/>
      <c r="BK1068" s="976"/>
      <c r="BL1068" s="976"/>
      <c r="BM1068" s="976"/>
      <c r="BN1068" s="976"/>
      <c r="BO1068" s="976"/>
      <c r="BP1068" s="976"/>
      <c r="BQ1068" s="976"/>
      <c r="BR1068" s="976"/>
      <c r="BS1068" s="976"/>
      <c r="BT1068" s="976"/>
      <c r="BU1068" s="976"/>
      <c r="BV1068" s="976"/>
      <c r="BW1068" s="976"/>
      <c r="BX1068" s="976"/>
      <c r="BY1068" s="976"/>
      <c r="BZ1068" s="976"/>
      <c r="CA1068" s="976"/>
      <c r="CB1068" s="976"/>
      <c r="CC1068" s="976"/>
      <c r="CD1068" s="976"/>
      <c r="CE1068" s="976"/>
      <c r="CF1068" s="976"/>
      <c r="CG1068" s="976"/>
      <c r="CH1068" s="976"/>
      <c r="CI1068" s="976"/>
      <c r="CJ1068" s="976"/>
      <c r="CK1068" s="976"/>
      <c r="CL1068" s="976"/>
      <c r="CM1068" s="976"/>
      <c r="CN1068" s="976"/>
      <c r="CO1068" s="976"/>
      <c r="CP1068" s="976"/>
      <c r="CQ1068" s="976"/>
      <c r="CR1068" s="976"/>
      <c r="CS1068" s="976"/>
      <c r="CT1068" s="976"/>
      <c r="CU1068" s="976"/>
      <c r="CV1068" s="976"/>
      <c r="CW1068" s="976"/>
      <c r="CX1068" s="976"/>
      <c r="CY1068" s="976"/>
      <c r="CZ1068" s="976"/>
      <c r="DA1068" s="976"/>
      <c r="DB1068" s="976"/>
      <c r="DC1068" s="976"/>
      <c r="DD1068" s="976"/>
      <c r="DE1068" s="976"/>
      <c r="DF1068" s="976"/>
      <c r="DG1068" s="976"/>
      <c r="DH1068" s="976"/>
      <c r="DI1068" s="976"/>
      <c r="DJ1068" s="976"/>
      <c r="DK1068" s="976"/>
      <c r="DL1068" s="976"/>
      <c r="DM1068" s="976"/>
      <c r="DN1068" s="976"/>
      <c r="DO1068" s="976"/>
      <c r="DP1068" s="976"/>
      <c r="DQ1068" s="976"/>
      <c r="DR1068" s="976"/>
      <c r="DS1068" s="976"/>
      <c r="DT1068" s="976"/>
      <c r="DU1068" s="976"/>
      <c r="DV1068" s="976"/>
      <c r="DW1068" s="976"/>
      <c r="DX1068" s="976"/>
      <c r="DY1068" s="976"/>
      <c r="DZ1068" s="976"/>
      <c r="EA1068" s="976"/>
      <c r="EB1068" s="976"/>
      <c r="EC1068" s="976"/>
      <c r="ED1068" s="976"/>
      <c r="EE1068" s="976"/>
      <c r="EF1068" s="976"/>
      <c r="EG1068" s="976"/>
      <c r="EH1068" s="976"/>
      <c r="EI1068" s="976"/>
      <c r="EJ1068" s="976"/>
      <c r="EK1068" s="976"/>
      <c r="EL1068" s="976"/>
      <c r="EM1068" s="976"/>
      <c r="EN1068" s="976"/>
      <c r="EO1068" s="976"/>
      <c r="EP1068" s="976"/>
      <c r="EQ1068" s="976"/>
      <c r="ER1068" s="976"/>
      <c r="ES1068" s="976"/>
      <c r="ET1068" s="976"/>
      <c r="EU1068" s="976"/>
      <c r="EV1068" s="976"/>
      <c r="EW1068" s="976"/>
      <c r="EX1068" s="976"/>
      <c r="EY1068" s="976"/>
      <c r="EZ1068" s="976"/>
      <c r="FA1068" s="976"/>
      <c r="FB1068" s="976"/>
      <c r="FC1068" s="976"/>
      <c r="FD1068" s="976"/>
      <c r="FE1068" s="976"/>
      <c r="FF1068" s="976"/>
      <c r="FG1068" s="976"/>
      <c r="FH1068" s="976"/>
      <c r="FI1068" s="976"/>
      <c r="FJ1068" s="976"/>
      <c r="FK1068" s="976"/>
      <c r="FL1068" s="976"/>
      <c r="FM1068" s="976"/>
      <c r="FN1068" s="976"/>
      <c r="FO1068" s="976"/>
      <c r="FP1068" s="976"/>
      <c r="FQ1068" s="976"/>
      <c r="FR1068" s="976"/>
      <c r="FS1068" s="976"/>
      <c r="FT1068" s="976"/>
      <c r="FU1068" s="976"/>
      <c r="FV1068" s="976"/>
      <c r="FW1068" s="976"/>
      <c r="FX1068" s="976"/>
      <c r="FY1068" s="976"/>
      <c r="FZ1068" s="976"/>
      <c r="GA1068" s="976"/>
      <c r="GB1068" s="976"/>
      <c r="GC1068" s="976"/>
      <c r="GD1068" s="976"/>
      <c r="GE1068" s="976"/>
      <c r="GF1068" s="976"/>
      <c r="GG1068" s="976"/>
      <c r="GH1068" s="976"/>
      <c r="GI1068" s="976"/>
      <c r="GJ1068" s="976"/>
      <c r="GK1068" s="976"/>
      <c r="GL1068" s="976"/>
      <c r="GM1068" s="976"/>
      <c r="GN1068" s="976"/>
      <c r="GO1068" s="976"/>
      <c r="GP1068" s="976"/>
      <c r="GQ1068" s="976"/>
      <c r="GR1068" s="976"/>
      <c r="GS1068" s="976"/>
      <c r="GT1068" s="976"/>
      <c r="GU1068" s="976"/>
      <c r="GV1068" s="976"/>
      <c r="GW1068" s="976"/>
      <c r="GX1068" s="976"/>
      <c r="GY1068" s="976"/>
      <c r="GZ1068" s="976"/>
      <c r="HA1068" s="976"/>
      <c r="HB1068" s="976"/>
      <c r="HC1068" s="976"/>
      <c r="HD1068" s="976"/>
      <c r="HE1068" s="976"/>
      <c r="HF1068" s="976"/>
      <c r="HG1068" s="976"/>
      <c r="HH1068" s="976"/>
      <c r="HI1068" s="976"/>
      <c r="HJ1068" s="976"/>
      <c r="HK1068" s="976"/>
      <c r="HL1068" s="976"/>
      <c r="HM1068" s="976"/>
      <c r="HN1068" s="976"/>
      <c r="HO1068" s="976"/>
      <c r="HP1068" s="976"/>
      <c r="HQ1068" s="976"/>
      <c r="HR1068" s="976"/>
      <c r="HS1068" s="976"/>
      <c r="HT1068" s="976"/>
      <c r="HU1068" s="976"/>
      <c r="HV1068" s="976"/>
      <c r="HW1068" s="976"/>
      <c r="HX1068" s="976"/>
      <c r="HY1068" s="976"/>
      <c r="HZ1068" s="976"/>
      <c r="IA1068" s="976"/>
      <c r="IB1068" s="976"/>
      <c r="IC1068" s="976"/>
      <c r="ID1068" s="976"/>
      <c r="IE1068" s="976"/>
      <c r="IF1068" s="976"/>
      <c r="IG1068" s="976"/>
      <c r="IH1068" s="976"/>
      <c r="II1068" s="976"/>
      <c r="IJ1068" s="976"/>
      <c r="IK1068" s="976"/>
      <c r="IL1068" s="976"/>
      <c r="IM1068" s="976"/>
      <c r="IN1068" s="976"/>
      <c r="IO1068" s="976"/>
      <c r="IP1068" s="976"/>
      <c r="IQ1068" s="976"/>
      <c r="IR1068" s="976"/>
      <c r="IS1068" s="976"/>
      <c r="IT1068" s="976"/>
      <c r="IU1068" s="976"/>
      <c r="IV1068" s="976"/>
      <c r="IW1068" s="976"/>
    </row>
    <row r="1069" spans="1:257" s="621" customFormat="1">
      <c r="A1069" s="589" t="s">
        <v>222</v>
      </c>
      <c r="B1069" s="804" t="s">
        <v>252</v>
      </c>
      <c r="C1069" s="589"/>
      <c r="D1069" s="589"/>
      <c r="E1069" s="704"/>
      <c r="F1069" s="716">
        <f t="shared" ref="F1069:J1069" si="94">F1070+F1074</f>
        <v>424000000</v>
      </c>
      <c r="G1069" s="716">
        <f t="shared" si="94"/>
        <v>0</v>
      </c>
      <c r="H1069" s="716">
        <f t="shared" si="94"/>
        <v>0</v>
      </c>
      <c r="I1069" s="716">
        <f t="shared" si="94"/>
        <v>0</v>
      </c>
      <c r="J1069" s="716">
        <f t="shared" si="94"/>
        <v>438607000</v>
      </c>
      <c r="K1069" s="716">
        <f>K1071+K1073+K1074</f>
        <v>552000000</v>
      </c>
      <c r="L1069" s="1316">
        <f>L1071+L1073+L1074</f>
        <v>726000000</v>
      </c>
      <c r="M1069" s="618"/>
      <c r="N1069" s="890"/>
      <c r="O1069" s="890"/>
      <c r="P1069" s="829"/>
      <c r="Q1069" s="829"/>
      <c r="R1069" s="900"/>
      <c r="S1069" s="891"/>
      <c r="T1069" s="832"/>
      <c r="U1069" s="667"/>
      <c r="V1069" s="701"/>
      <c r="W1069" s="701"/>
      <c r="X1069" s="702"/>
      <c r="Y1069" s="703"/>
      <c r="Z1069" s="703"/>
      <c r="AA1069" s="703"/>
      <c r="AB1069" s="703"/>
      <c r="AC1069" s="703"/>
      <c r="AD1069" s="703"/>
      <c r="AE1069" s="703"/>
      <c r="AF1069" s="703"/>
      <c r="AG1069" s="703"/>
      <c r="AH1069" s="703"/>
      <c r="AI1069" s="703"/>
      <c r="AJ1069" s="703"/>
      <c r="AK1069" s="703"/>
      <c r="AL1069" s="703"/>
      <c r="AM1069" s="703"/>
      <c r="AN1069" s="703"/>
      <c r="AO1069" s="703"/>
      <c r="AP1069" s="703"/>
      <c r="AQ1069" s="703"/>
      <c r="AR1069" s="703"/>
      <c r="AS1069" s="703"/>
      <c r="AT1069" s="703"/>
      <c r="AU1069" s="703"/>
      <c r="AV1069" s="703"/>
      <c r="AW1069" s="703"/>
      <c r="AX1069" s="703"/>
      <c r="AY1069" s="703"/>
      <c r="AZ1069" s="703"/>
      <c r="BA1069" s="703"/>
      <c r="BB1069" s="703"/>
      <c r="BC1069" s="703"/>
      <c r="BD1069" s="703"/>
      <c r="BE1069" s="703"/>
      <c r="BF1069" s="703"/>
      <c r="BG1069" s="703"/>
      <c r="BH1069" s="703"/>
      <c r="BI1069" s="703"/>
      <c r="BJ1069" s="703"/>
      <c r="BK1069" s="703"/>
      <c r="BL1069" s="703"/>
      <c r="BM1069" s="703"/>
      <c r="BN1069" s="703"/>
      <c r="BO1069" s="703"/>
      <c r="BP1069" s="703"/>
      <c r="BQ1069" s="703"/>
      <c r="BR1069" s="703"/>
      <c r="BS1069" s="703"/>
      <c r="BT1069" s="703"/>
      <c r="BU1069" s="703"/>
      <c r="BV1069" s="703"/>
      <c r="BW1069" s="703"/>
      <c r="BX1069" s="703"/>
      <c r="BY1069" s="703"/>
      <c r="BZ1069" s="703"/>
      <c r="CA1069" s="703"/>
      <c r="CB1069" s="703"/>
      <c r="CC1069" s="703"/>
      <c r="CD1069" s="703"/>
      <c r="CE1069" s="703"/>
      <c r="CF1069" s="703"/>
      <c r="CG1069" s="703"/>
      <c r="CH1069" s="703"/>
      <c r="CI1069" s="703"/>
      <c r="CJ1069" s="703"/>
      <c r="CK1069" s="703"/>
      <c r="CL1069" s="703"/>
      <c r="CM1069" s="703"/>
      <c r="CN1069" s="703"/>
      <c r="CO1069" s="703"/>
      <c r="CP1069" s="703"/>
      <c r="CQ1069" s="703"/>
      <c r="CR1069" s="703"/>
      <c r="CS1069" s="703"/>
      <c r="CT1069" s="703"/>
      <c r="CU1069" s="703"/>
      <c r="CV1069" s="703"/>
      <c r="CW1069" s="703"/>
      <c r="CX1069" s="703"/>
      <c r="CY1069" s="703"/>
      <c r="CZ1069" s="703"/>
      <c r="DA1069" s="703"/>
      <c r="DB1069" s="703"/>
      <c r="DC1069" s="703"/>
      <c r="DD1069" s="703"/>
      <c r="DE1069" s="703"/>
      <c r="DF1069" s="703"/>
      <c r="DG1069" s="703"/>
      <c r="DH1069" s="703"/>
      <c r="DI1069" s="703"/>
      <c r="DJ1069" s="703"/>
      <c r="DK1069" s="703"/>
      <c r="DL1069" s="703"/>
      <c r="DM1069" s="703"/>
      <c r="DN1069" s="703"/>
      <c r="DO1069" s="703"/>
      <c r="DP1069" s="703"/>
      <c r="DQ1069" s="703"/>
      <c r="DR1069" s="703"/>
      <c r="DS1069" s="703"/>
      <c r="DT1069" s="703"/>
      <c r="DU1069" s="703"/>
      <c r="DV1069" s="703"/>
      <c r="DW1069" s="703"/>
      <c r="DX1069" s="703"/>
      <c r="DY1069" s="703"/>
      <c r="DZ1069" s="703"/>
      <c r="EA1069" s="703"/>
      <c r="EB1069" s="703"/>
      <c r="EC1069" s="703"/>
      <c r="ED1069" s="703"/>
      <c r="EE1069" s="703"/>
      <c r="EF1069" s="703"/>
      <c r="EG1069" s="703"/>
      <c r="EH1069" s="703"/>
      <c r="EI1069" s="703"/>
      <c r="EJ1069" s="703"/>
      <c r="EK1069" s="703"/>
      <c r="EL1069" s="703"/>
      <c r="EM1069" s="703"/>
      <c r="EN1069" s="703"/>
      <c r="EO1069" s="703"/>
      <c r="EP1069" s="703"/>
      <c r="EQ1069" s="703"/>
      <c r="ER1069" s="703"/>
      <c r="ES1069" s="703"/>
      <c r="ET1069" s="703"/>
      <c r="EU1069" s="703"/>
      <c r="EV1069" s="703"/>
      <c r="EW1069" s="703"/>
      <c r="EX1069" s="703"/>
      <c r="EY1069" s="703"/>
      <c r="EZ1069" s="703"/>
      <c r="FA1069" s="703"/>
      <c r="FB1069" s="703"/>
      <c r="FC1069" s="703"/>
      <c r="FD1069" s="703"/>
      <c r="FE1069" s="703"/>
      <c r="FF1069" s="703"/>
      <c r="FG1069" s="703"/>
      <c r="FH1069" s="703"/>
      <c r="FI1069" s="703"/>
      <c r="FJ1069" s="703"/>
      <c r="FK1069" s="703"/>
      <c r="FL1069" s="703"/>
      <c r="FM1069" s="703"/>
      <c r="FN1069" s="703"/>
      <c r="FO1069" s="703"/>
      <c r="FP1069" s="703"/>
      <c r="FQ1069" s="703"/>
      <c r="FR1069" s="703"/>
      <c r="FS1069" s="703"/>
      <c r="FT1069" s="703"/>
      <c r="FU1069" s="703"/>
      <c r="FV1069" s="703"/>
      <c r="FW1069" s="703"/>
      <c r="FX1069" s="703"/>
      <c r="FY1069" s="703"/>
      <c r="FZ1069" s="703"/>
      <c r="GA1069" s="703"/>
      <c r="GB1069" s="703"/>
      <c r="GC1069" s="703"/>
      <c r="GD1069" s="703"/>
      <c r="GE1069" s="703"/>
      <c r="GF1069" s="703"/>
      <c r="GG1069" s="703"/>
      <c r="GH1069" s="703"/>
      <c r="GI1069" s="703"/>
      <c r="GJ1069" s="703"/>
      <c r="GK1069" s="703"/>
      <c r="GL1069" s="703"/>
      <c r="GM1069" s="703"/>
      <c r="GN1069" s="703"/>
      <c r="GO1069" s="703"/>
      <c r="GP1069" s="703"/>
      <c r="GQ1069" s="703"/>
      <c r="GR1069" s="703"/>
      <c r="GS1069" s="703"/>
      <c r="GT1069" s="703"/>
      <c r="GU1069" s="703"/>
      <c r="GV1069" s="703"/>
      <c r="GW1069" s="703"/>
      <c r="GX1069" s="703"/>
      <c r="GY1069" s="703"/>
      <c r="GZ1069" s="703"/>
      <c r="HA1069" s="703"/>
      <c r="HB1069" s="703"/>
      <c r="HC1069" s="703"/>
      <c r="HD1069" s="703"/>
      <c r="HE1069" s="703"/>
      <c r="HF1069" s="703"/>
      <c r="HG1069" s="703"/>
      <c r="HH1069" s="703"/>
      <c r="HI1069" s="703"/>
      <c r="HJ1069" s="703"/>
      <c r="HK1069" s="703"/>
      <c r="HL1069" s="703"/>
      <c r="HM1069" s="703"/>
      <c r="HN1069" s="703"/>
      <c r="HO1069" s="703"/>
      <c r="HP1069" s="703"/>
      <c r="HQ1069" s="703"/>
      <c r="HR1069" s="703"/>
      <c r="HS1069" s="703"/>
      <c r="HT1069" s="703"/>
      <c r="HU1069" s="703"/>
      <c r="HV1069" s="703"/>
      <c r="HW1069" s="703"/>
      <c r="HX1069" s="703"/>
      <c r="HY1069" s="703"/>
      <c r="HZ1069" s="703"/>
      <c r="IA1069" s="703"/>
      <c r="IB1069" s="703"/>
      <c r="IC1069" s="703"/>
      <c r="ID1069" s="703"/>
      <c r="IE1069" s="703"/>
      <c r="IF1069" s="703"/>
      <c r="IG1069" s="703"/>
      <c r="IH1069" s="703"/>
      <c r="II1069" s="703"/>
      <c r="IJ1069" s="703"/>
      <c r="IK1069" s="703"/>
      <c r="IL1069" s="703"/>
      <c r="IM1069" s="703"/>
      <c r="IN1069" s="703"/>
      <c r="IO1069" s="703"/>
      <c r="IP1069" s="703"/>
      <c r="IQ1069" s="703"/>
      <c r="IR1069" s="703"/>
      <c r="IS1069" s="703"/>
      <c r="IT1069" s="703"/>
      <c r="IU1069" s="703"/>
      <c r="IV1069" s="703"/>
      <c r="IW1069" s="703"/>
    </row>
    <row r="1070" spans="1:257" s="621" customFormat="1">
      <c r="A1070" s="713" t="s">
        <v>258</v>
      </c>
      <c r="B1070" s="813" t="s">
        <v>377</v>
      </c>
      <c r="C1070" s="713">
        <v>3</v>
      </c>
      <c r="D1070" s="713"/>
      <c r="E1070" s="725"/>
      <c r="F1070" s="725">
        <v>343000000</v>
      </c>
      <c r="G1070" s="700"/>
      <c r="H1070" s="700"/>
      <c r="I1070" s="700"/>
      <c r="J1070" s="725">
        <v>357607000</v>
      </c>
      <c r="K1070" s="700">
        <f>K1071+K1072</f>
        <v>512000000</v>
      </c>
      <c r="L1070" s="1315">
        <f>L1071+L1072</f>
        <v>674000000</v>
      </c>
      <c r="M1070" s="669"/>
      <c r="N1070" s="868"/>
      <c r="O1070" s="868"/>
      <c r="P1070" s="820"/>
      <c r="Q1070" s="820"/>
      <c r="R1070" s="900"/>
      <c r="S1070" s="871"/>
      <c r="T1070" s="824"/>
      <c r="U1070" s="726"/>
      <c r="V1070" s="581"/>
      <c r="W1070" s="722"/>
      <c r="X1070" s="723"/>
      <c r="Y1070" s="724"/>
      <c r="Z1070" s="724"/>
      <c r="AA1070" s="724"/>
      <c r="AB1070" s="724"/>
      <c r="AC1070" s="724"/>
      <c r="AD1070" s="724"/>
      <c r="AE1070" s="724"/>
      <c r="AF1070" s="724"/>
      <c r="AG1070" s="724"/>
      <c r="AH1070" s="724"/>
      <c r="AI1070" s="724"/>
      <c r="AJ1070" s="724"/>
      <c r="AK1070" s="724"/>
      <c r="AL1070" s="724"/>
      <c r="AM1070" s="724"/>
      <c r="AN1070" s="724"/>
      <c r="AO1070" s="724"/>
      <c r="AP1070" s="724"/>
      <c r="AQ1070" s="724"/>
      <c r="AR1070" s="724"/>
      <c r="AS1070" s="724"/>
      <c r="AT1070" s="724"/>
      <c r="AU1070" s="724"/>
      <c r="AV1070" s="724"/>
      <c r="AW1070" s="724"/>
      <c r="AX1070" s="724"/>
      <c r="AY1070" s="724"/>
      <c r="AZ1070" s="724"/>
      <c r="BA1070" s="724"/>
      <c r="BB1070" s="724"/>
      <c r="BC1070" s="724"/>
      <c r="BD1070" s="724"/>
      <c r="BE1070" s="724"/>
      <c r="BF1070" s="724"/>
      <c r="BG1070" s="724"/>
      <c r="BH1070" s="724"/>
      <c r="BI1070" s="724"/>
      <c r="BJ1070" s="724"/>
      <c r="BK1070" s="724"/>
      <c r="BL1070" s="724"/>
      <c r="BM1070" s="724"/>
      <c r="BN1070" s="724"/>
      <c r="BO1070" s="724"/>
      <c r="BP1070" s="724"/>
      <c r="BQ1070" s="724"/>
      <c r="BR1070" s="724"/>
      <c r="BS1070" s="724"/>
      <c r="BT1070" s="724"/>
      <c r="BU1070" s="724"/>
      <c r="BV1070" s="724"/>
      <c r="BW1070" s="724"/>
      <c r="BX1070" s="724"/>
      <c r="BY1070" s="724"/>
      <c r="BZ1070" s="724"/>
      <c r="CA1070" s="724"/>
      <c r="CB1070" s="724"/>
      <c r="CC1070" s="724"/>
      <c r="CD1070" s="724"/>
      <c r="CE1070" s="724"/>
      <c r="CF1070" s="724"/>
      <c r="CG1070" s="724"/>
      <c r="CH1070" s="724"/>
      <c r="CI1070" s="724"/>
      <c r="CJ1070" s="724"/>
      <c r="CK1070" s="724"/>
      <c r="CL1070" s="724"/>
      <c r="CM1070" s="724"/>
      <c r="CN1070" s="724"/>
      <c r="CO1070" s="724"/>
      <c r="CP1070" s="724"/>
      <c r="CQ1070" s="724"/>
      <c r="CR1070" s="724"/>
      <c r="CS1070" s="724"/>
      <c r="CT1070" s="724"/>
      <c r="CU1070" s="724"/>
      <c r="CV1070" s="724"/>
      <c r="CW1070" s="724"/>
      <c r="CX1070" s="724"/>
      <c r="CY1070" s="724"/>
      <c r="CZ1070" s="724"/>
      <c r="DA1070" s="724"/>
      <c r="DB1070" s="724"/>
      <c r="DC1070" s="724"/>
      <c r="DD1070" s="724"/>
      <c r="DE1070" s="724"/>
      <c r="DF1070" s="724"/>
      <c r="DG1070" s="724"/>
      <c r="DH1070" s="724"/>
      <c r="DI1070" s="724"/>
      <c r="DJ1070" s="724"/>
      <c r="DK1070" s="724"/>
      <c r="DL1070" s="724"/>
      <c r="DM1070" s="724"/>
      <c r="DN1070" s="724"/>
      <c r="DO1070" s="724"/>
      <c r="DP1070" s="724"/>
      <c r="DQ1070" s="724"/>
      <c r="DR1070" s="724"/>
      <c r="DS1070" s="724"/>
      <c r="DT1070" s="724"/>
      <c r="DU1070" s="724"/>
      <c r="DV1070" s="724"/>
      <c r="DW1070" s="724"/>
      <c r="DX1070" s="724"/>
      <c r="DY1070" s="724"/>
      <c r="DZ1070" s="724"/>
      <c r="EA1070" s="724"/>
      <c r="EB1070" s="724"/>
      <c r="EC1070" s="724"/>
      <c r="ED1070" s="724"/>
      <c r="EE1070" s="724"/>
      <c r="EF1070" s="724"/>
      <c r="EG1070" s="724"/>
      <c r="EH1070" s="724"/>
      <c r="EI1070" s="724"/>
      <c r="EJ1070" s="724"/>
      <c r="EK1070" s="724"/>
      <c r="EL1070" s="724"/>
      <c r="EM1070" s="724"/>
      <c r="EN1070" s="724"/>
      <c r="EO1070" s="724"/>
      <c r="EP1070" s="724"/>
      <c r="EQ1070" s="724"/>
      <c r="ER1070" s="724"/>
      <c r="ES1070" s="724"/>
      <c r="ET1070" s="724"/>
      <c r="EU1070" s="724"/>
      <c r="EV1070" s="724"/>
      <c r="EW1070" s="724"/>
      <c r="EX1070" s="724"/>
      <c r="EY1070" s="724"/>
      <c r="EZ1070" s="724"/>
      <c r="FA1070" s="724"/>
      <c r="FB1070" s="724"/>
      <c r="FC1070" s="724"/>
      <c r="FD1070" s="724"/>
      <c r="FE1070" s="724"/>
      <c r="FF1070" s="724"/>
      <c r="FG1070" s="724"/>
      <c r="FH1070" s="724"/>
      <c r="FI1070" s="724"/>
      <c r="FJ1070" s="724"/>
      <c r="FK1070" s="724"/>
      <c r="FL1070" s="724"/>
      <c r="FM1070" s="724"/>
      <c r="FN1070" s="724"/>
      <c r="FO1070" s="724"/>
      <c r="FP1070" s="724"/>
      <c r="FQ1070" s="724"/>
      <c r="FR1070" s="724"/>
      <c r="FS1070" s="724"/>
      <c r="FT1070" s="724"/>
      <c r="FU1070" s="724"/>
      <c r="FV1070" s="724"/>
      <c r="FW1070" s="724"/>
      <c r="FX1070" s="724"/>
      <c r="FY1070" s="724"/>
      <c r="FZ1070" s="724"/>
      <c r="GA1070" s="724"/>
      <c r="GB1070" s="724"/>
      <c r="GC1070" s="724"/>
      <c r="GD1070" s="724"/>
      <c r="GE1070" s="724"/>
      <c r="GF1070" s="724"/>
      <c r="GG1070" s="724"/>
      <c r="GH1070" s="724"/>
      <c r="GI1070" s="724"/>
      <c r="GJ1070" s="724"/>
      <c r="GK1070" s="724"/>
      <c r="GL1070" s="724"/>
      <c r="GM1070" s="724"/>
      <c r="GN1070" s="724"/>
      <c r="GO1070" s="724"/>
      <c r="GP1070" s="724"/>
      <c r="GQ1070" s="724"/>
      <c r="GR1070" s="724"/>
      <c r="GS1070" s="724"/>
      <c r="GT1070" s="724"/>
      <c r="GU1070" s="724"/>
      <c r="GV1070" s="724"/>
      <c r="GW1070" s="724"/>
      <c r="GX1070" s="724"/>
      <c r="GY1070" s="724"/>
      <c r="GZ1070" s="724"/>
      <c r="HA1070" s="724"/>
      <c r="HB1070" s="724"/>
      <c r="HC1070" s="724"/>
      <c r="HD1070" s="724"/>
      <c r="HE1070" s="724"/>
      <c r="HF1070" s="724"/>
      <c r="HG1070" s="724"/>
      <c r="HH1070" s="724"/>
      <c r="HI1070" s="724"/>
      <c r="HJ1070" s="724"/>
      <c r="HK1070" s="724"/>
      <c r="HL1070" s="724"/>
      <c r="HM1070" s="724"/>
      <c r="HN1070" s="724"/>
      <c r="HO1070" s="724"/>
      <c r="HP1070" s="724"/>
      <c r="HQ1070" s="724"/>
      <c r="HR1070" s="724"/>
      <c r="HS1070" s="724"/>
      <c r="HT1070" s="724"/>
      <c r="HU1070" s="724"/>
      <c r="HV1070" s="724"/>
      <c r="HW1070" s="724"/>
      <c r="HX1070" s="724"/>
      <c r="HY1070" s="724"/>
      <c r="HZ1070" s="724"/>
      <c r="IA1070" s="724"/>
      <c r="IB1070" s="724"/>
      <c r="IC1070" s="724"/>
      <c r="ID1070" s="724"/>
      <c r="IE1070" s="724"/>
      <c r="IF1070" s="724"/>
      <c r="IG1070" s="724"/>
      <c r="IH1070" s="724"/>
      <c r="II1070" s="724"/>
      <c r="IJ1070" s="724"/>
      <c r="IK1070" s="724"/>
      <c r="IL1070" s="724"/>
      <c r="IM1070" s="724"/>
      <c r="IN1070" s="724"/>
      <c r="IO1070" s="724"/>
      <c r="IP1070" s="724"/>
      <c r="IQ1070" s="724"/>
      <c r="IR1070" s="724"/>
      <c r="IS1070" s="724"/>
      <c r="IT1070" s="724"/>
      <c r="IU1070" s="724"/>
      <c r="IV1070" s="724"/>
      <c r="IW1070" s="724"/>
    </row>
    <row r="1071" spans="1:257" s="621" customFormat="1">
      <c r="A1071" s="713"/>
      <c r="B1071" s="684" t="s">
        <v>1149</v>
      </c>
      <c r="C1071" s="713"/>
      <c r="D1071" s="713"/>
      <c r="E1071" s="725"/>
      <c r="F1071" s="725"/>
      <c r="G1071" s="700"/>
      <c r="H1071" s="700"/>
      <c r="I1071" s="700"/>
      <c r="J1071" s="725"/>
      <c r="K1071" s="725">
        <v>339000000</v>
      </c>
      <c r="L1071" s="1311">
        <v>429000000</v>
      </c>
      <c r="M1071" s="669"/>
      <c r="N1071" s="868"/>
      <c r="O1071" s="868"/>
      <c r="P1071" s="820"/>
      <c r="Q1071" s="820"/>
      <c r="R1071" s="900"/>
      <c r="S1071" s="871"/>
      <c r="T1071" s="824"/>
      <c r="U1071" s="726"/>
      <c r="V1071" s="581"/>
      <c r="W1071" s="722"/>
      <c r="X1071" s="723"/>
      <c r="Y1071" s="724"/>
      <c r="Z1071" s="724"/>
      <c r="AA1071" s="724"/>
      <c r="AB1071" s="724"/>
      <c r="AC1071" s="724"/>
      <c r="AD1071" s="724"/>
      <c r="AE1071" s="724"/>
      <c r="AF1071" s="724"/>
      <c r="AG1071" s="724"/>
      <c r="AH1071" s="724"/>
      <c r="AI1071" s="724"/>
      <c r="AJ1071" s="724"/>
      <c r="AK1071" s="724"/>
      <c r="AL1071" s="724"/>
      <c r="AM1071" s="724"/>
      <c r="AN1071" s="724"/>
      <c r="AO1071" s="724"/>
      <c r="AP1071" s="724"/>
      <c r="AQ1071" s="724"/>
      <c r="AR1071" s="724"/>
      <c r="AS1071" s="724"/>
      <c r="AT1071" s="724"/>
      <c r="AU1071" s="724"/>
      <c r="AV1071" s="724"/>
      <c r="AW1071" s="724"/>
      <c r="AX1071" s="724"/>
      <c r="AY1071" s="724"/>
      <c r="AZ1071" s="724"/>
      <c r="BA1071" s="724"/>
      <c r="BB1071" s="724"/>
      <c r="BC1071" s="724"/>
      <c r="BD1071" s="724"/>
      <c r="BE1071" s="724"/>
      <c r="BF1071" s="724"/>
      <c r="BG1071" s="724"/>
      <c r="BH1071" s="724"/>
      <c r="BI1071" s="724"/>
      <c r="BJ1071" s="724"/>
      <c r="BK1071" s="724"/>
      <c r="BL1071" s="724"/>
      <c r="BM1071" s="724"/>
      <c r="BN1071" s="724"/>
      <c r="BO1071" s="724"/>
      <c r="BP1071" s="724"/>
      <c r="BQ1071" s="724"/>
      <c r="BR1071" s="724"/>
      <c r="BS1071" s="724"/>
      <c r="BT1071" s="724"/>
      <c r="BU1071" s="724"/>
      <c r="BV1071" s="724"/>
      <c r="BW1071" s="724"/>
      <c r="BX1071" s="724"/>
      <c r="BY1071" s="724"/>
      <c r="BZ1071" s="724"/>
      <c r="CA1071" s="724"/>
      <c r="CB1071" s="724"/>
      <c r="CC1071" s="724"/>
      <c r="CD1071" s="724"/>
      <c r="CE1071" s="724"/>
      <c r="CF1071" s="724"/>
      <c r="CG1071" s="724"/>
      <c r="CH1071" s="724"/>
      <c r="CI1071" s="724"/>
      <c r="CJ1071" s="724"/>
      <c r="CK1071" s="724"/>
      <c r="CL1071" s="724"/>
      <c r="CM1071" s="724"/>
      <c r="CN1071" s="724"/>
      <c r="CO1071" s="724"/>
      <c r="CP1071" s="724"/>
      <c r="CQ1071" s="724"/>
      <c r="CR1071" s="724"/>
      <c r="CS1071" s="724"/>
      <c r="CT1071" s="724"/>
      <c r="CU1071" s="724"/>
      <c r="CV1071" s="724"/>
      <c r="CW1071" s="724"/>
      <c r="CX1071" s="724"/>
      <c r="CY1071" s="724"/>
      <c r="CZ1071" s="724"/>
      <c r="DA1071" s="724"/>
      <c r="DB1071" s="724"/>
      <c r="DC1071" s="724"/>
      <c r="DD1071" s="724"/>
      <c r="DE1071" s="724"/>
      <c r="DF1071" s="724"/>
      <c r="DG1071" s="724"/>
      <c r="DH1071" s="724"/>
      <c r="DI1071" s="724"/>
      <c r="DJ1071" s="724"/>
      <c r="DK1071" s="724"/>
      <c r="DL1071" s="724"/>
      <c r="DM1071" s="724"/>
      <c r="DN1071" s="724"/>
      <c r="DO1071" s="724"/>
      <c r="DP1071" s="724"/>
      <c r="DQ1071" s="724"/>
      <c r="DR1071" s="724"/>
      <c r="DS1071" s="724"/>
      <c r="DT1071" s="724"/>
      <c r="DU1071" s="724"/>
      <c r="DV1071" s="724"/>
      <c r="DW1071" s="724"/>
      <c r="DX1071" s="724"/>
      <c r="DY1071" s="724"/>
      <c r="DZ1071" s="724"/>
      <c r="EA1071" s="724"/>
      <c r="EB1071" s="724"/>
      <c r="EC1071" s="724"/>
      <c r="ED1071" s="724"/>
      <c r="EE1071" s="724"/>
      <c r="EF1071" s="724"/>
      <c r="EG1071" s="724"/>
      <c r="EH1071" s="724"/>
      <c r="EI1071" s="724"/>
      <c r="EJ1071" s="724"/>
      <c r="EK1071" s="724"/>
      <c r="EL1071" s="724"/>
      <c r="EM1071" s="724"/>
      <c r="EN1071" s="724"/>
      <c r="EO1071" s="724"/>
      <c r="EP1071" s="724"/>
      <c r="EQ1071" s="724"/>
      <c r="ER1071" s="724"/>
      <c r="ES1071" s="724"/>
      <c r="ET1071" s="724"/>
      <c r="EU1071" s="724"/>
      <c r="EV1071" s="724"/>
      <c r="EW1071" s="724"/>
      <c r="EX1071" s="724"/>
      <c r="EY1071" s="724"/>
      <c r="EZ1071" s="724"/>
      <c r="FA1071" s="724"/>
      <c r="FB1071" s="724"/>
      <c r="FC1071" s="724"/>
      <c r="FD1071" s="724"/>
      <c r="FE1071" s="724"/>
      <c r="FF1071" s="724"/>
      <c r="FG1071" s="724"/>
      <c r="FH1071" s="724"/>
      <c r="FI1071" s="724"/>
      <c r="FJ1071" s="724"/>
      <c r="FK1071" s="724"/>
      <c r="FL1071" s="724"/>
      <c r="FM1071" s="724"/>
      <c r="FN1071" s="724"/>
      <c r="FO1071" s="724"/>
      <c r="FP1071" s="724"/>
      <c r="FQ1071" s="724"/>
      <c r="FR1071" s="724"/>
      <c r="FS1071" s="724"/>
      <c r="FT1071" s="724"/>
      <c r="FU1071" s="724"/>
      <c r="FV1071" s="724"/>
      <c r="FW1071" s="724"/>
      <c r="FX1071" s="724"/>
      <c r="FY1071" s="724"/>
      <c r="FZ1071" s="724"/>
      <c r="GA1071" s="724"/>
      <c r="GB1071" s="724"/>
      <c r="GC1071" s="724"/>
      <c r="GD1071" s="724"/>
      <c r="GE1071" s="724"/>
      <c r="GF1071" s="724"/>
      <c r="GG1071" s="724"/>
      <c r="GH1071" s="724"/>
      <c r="GI1071" s="724"/>
      <c r="GJ1071" s="724"/>
      <c r="GK1071" s="724"/>
      <c r="GL1071" s="724"/>
      <c r="GM1071" s="724"/>
      <c r="GN1071" s="724"/>
      <c r="GO1071" s="724"/>
      <c r="GP1071" s="724"/>
      <c r="GQ1071" s="724"/>
      <c r="GR1071" s="724"/>
      <c r="GS1071" s="724"/>
      <c r="GT1071" s="724"/>
      <c r="GU1071" s="724"/>
      <c r="GV1071" s="724"/>
      <c r="GW1071" s="724"/>
      <c r="GX1071" s="724"/>
      <c r="GY1071" s="724"/>
      <c r="GZ1071" s="724"/>
      <c r="HA1071" s="724"/>
      <c r="HB1071" s="724"/>
      <c r="HC1071" s="724"/>
      <c r="HD1071" s="724"/>
      <c r="HE1071" s="724"/>
      <c r="HF1071" s="724"/>
      <c r="HG1071" s="724"/>
      <c r="HH1071" s="724"/>
      <c r="HI1071" s="724"/>
      <c r="HJ1071" s="724"/>
      <c r="HK1071" s="724"/>
      <c r="HL1071" s="724"/>
      <c r="HM1071" s="724"/>
      <c r="HN1071" s="724"/>
      <c r="HO1071" s="724"/>
      <c r="HP1071" s="724"/>
      <c r="HQ1071" s="724"/>
      <c r="HR1071" s="724"/>
      <c r="HS1071" s="724"/>
      <c r="HT1071" s="724"/>
      <c r="HU1071" s="724"/>
      <c r="HV1071" s="724"/>
      <c r="HW1071" s="724"/>
      <c r="HX1071" s="724"/>
      <c r="HY1071" s="724"/>
      <c r="HZ1071" s="724"/>
      <c r="IA1071" s="724"/>
      <c r="IB1071" s="724"/>
      <c r="IC1071" s="724"/>
      <c r="ID1071" s="724"/>
      <c r="IE1071" s="724"/>
      <c r="IF1071" s="724"/>
      <c r="IG1071" s="724"/>
      <c r="IH1071" s="724"/>
      <c r="II1071" s="724"/>
      <c r="IJ1071" s="724"/>
      <c r="IK1071" s="724"/>
      <c r="IL1071" s="724"/>
      <c r="IM1071" s="724"/>
      <c r="IN1071" s="724"/>
      <c r="IO1071" s="724"/>
      <c r="IP1071" s="724"/>
      <c r="IQ1071" s="724"/>
      <c r="IR1071" s="724"/>
      <c r="IS1071" s="724"/>
      <c r="IT1071" s="724"/>
      <c r="IU1071" s="724"/>
      <c r="IV1071" s="724"/>
      <c r="IW1071" s="724"/>
    </row>
    <row r="1072" spans="1:257" s="621" customFormat="1">
      <c r="A1072" s="713"/>
      <c r="B1072" s="684" t="s">
        <v>1375</v>
      </c>
      <c r="C1072" s="713"/>
      <c r="D1072" s="713"/>
      <c r="E1072" s="725"/>
      <c r="F1072" s="725"/>
      <c r="G1072" s="700"/>
      <c r="H1072" s="700"/>
      <c r="I1072" s="700"/>
      <c r="J1072" s="725"/>
      <c r="K1072" s="725">
        <f>512000000-K1071</f>
        <v>173000000</v>
      </c>
      <c r="L1072" s="1311">
        <v>245000000</v>
      </c>
      <c r="M1072" s="669"/>
      <c r="N1072" s="868"/>
      <c r="O1072" s="868"/>
      <c r="P1072" s="820"/>
      <c r="Q1072" s="820"/>
      <c r="R1072" s="900"/>
      <c r="S1072" s="871"/>
      <c r="T1072" s="824"/>
      <c r="U1072" s="726"/>
      <c r="V1072" s="581"/>
      <c r="W1072" s="722"/>
      <c r="X1072" s="723"/>
      <c r="Y1072" s="724"/>
      <c r="Z1072" s="724"/>
      <c r="AA1072" s="724"/>
      <c r="AB1072" s="724"/>
      <c r="AC1072" s="724"/>
      <c r="AD1072" s="724"/>
      <c r="AE1072" s="724"/>
      <c r="AF1072" s="724"/>
      <c r="AG1072" s="724"/>
      <c r="AH1072" s="724"/>
      <c r="AI1072" s="724"/>
      <c r="AJ1072" s="724"/>
      <c r="AK1072" s="724"/>
      <c r="AL1072" s="724"/>
      <c r="AM1072" s="724"/>
      <c r="AN1072" s="724"/>
      <c r="AO1072" s="724"/>
      <c r="AP1072" s="724"/>
      <c r="AQ1072" s="724"/>
      <c r="AR1072" s="724"/>
      <c r="AS1072" s="724"/>
      <c r="AT1072" s="724"/>
      <c r="AU1072" s="724"/>
      <c r="AV1072" s="724"/>
      <c r="AW1072" s="724"/>
      <c r="AX1072" s="724"/>
      <c r="AY1072" s="724"/>
      <c r="AZ1072" s="724"/>
      <c r="BA1072" s="724"/>
      <c r="BB1072" s="724"/>
      <c r="BC1072" s="724"/>
      <c r="BD1072" s="724"/>
      <c r="BE1072" s="724"/>
      <c r="BF1072" s="724"/>
      <c r="BG1072" s="724"/>
      <c r="BH1072" s="724"/>
      <c r="BI1072" s="724"/>
      <c r="BJ1072" s="724"/>
      <c r="BK1072" s="724"/>
      <c r="BL1072" s="724"/>
      <c r="BM1072" s="724"/>
      <c r="BN1072" s="724"/>
      <c r="BO1072" s="724"/>
      <c r="BP1072" s="724"/>
      <c r="BQ1072" s="724"/>
      <c r="BR1072" s="724"/>
      <c r="BS1072" s="724"/>
      <c r="BT1072" s="724"/>
      <c r="BU1072" s="724"/>
      <c r="BV1072" s="724"/>
      <c r="BW1072" s="724"/>
      <c r="BX1072" s="724"/>
      <c r="BY1072" s="724"/>
      <c r="BZ1072" s="724"/>
      <c r="CA1072" s="724"/>
      <c r="CB1072" s="724"/>
      <c r="CC1072" s="724"/>
      <c r="CD1072" s="724"/>
      <c r="CE1072" s="724"/>
      <c r="CF1072" s="724"/>
      <c r="CG1072" s="724"/>
      <c r="CH1072" s="724"/>
      <c r="CI1072" s="724"/>
      <c r="CJ1072" s="724"/>
      <c r="CK1072" s="724"/>
      <c r="CL1072" s="724"/>
      <c r="CM1072" s="724"/>
      <c r="CN1072" s="724"/>
      <c r="CO1072" s="724"/>
      <c r="CP1072" s="724"/>
      <c r="CQ1072" s="724"/>
      <c r="CR1072" s="724"/>
      <c r="CS1072" s="724"/>
      <c r="CT1072" s="724"/>
      <c r="CU1072" s="724"/>
      <c r="CV1072" s="724"/>
      <c r="CW1072" s="724"/>
      <c r="CX1072" s="724"/>
      <c r="CY1072" s="724"/>
      <c r="CZ1072" s="724"/>
      <c r="DA1072" s="724"/>
      <c r="DB1072" s="724"/>
      <c r="DC1072" s="724"/>
      <c r="DD1072" s="724"/>
      <c r="DE1072" s="724"/>
      <c r="DF1072" s="724"/>
      <c r="DG1072" s="724"/>
      <c r="DH1072" s="724"/>
      <c r="DI1072" s="724"/>
      <c r="DJ1072" s="724"/>
      <c r="DK1072" s="724"/>
      <c r="DL1072" s="724"/>
      <c r="DM1072" s="724"/>
      <c r="DN1072" s="724"/>
      <c r="DO1072" s="724"/>
      <c r="DP1072" s="724"/>
      <c r="DQ1072" s="724"/>
      <c r="DR1072" s="724"/>
      <c r="DS1072" s="724"/>
      <c r="DT1072" s="724"/>
      <c r="DU1072" s="724"/>
      <c r="DV1072" s="724"/>
      <c r="DW1072" s="724"/>
      <c r="DX1072" s="724"/>
      <c r="DY1072" s="724"/>
      <c r="DZ1072" s="724"/>
      <c r="EA1072" s="724"/>
      <c r="EB1072" s="724"/>
      <c r="EC1072" s="724"/>
      <c r="ED1072" s="724"/>
      <c r="EE1072" s="724"/>
      <c r="EF1072" s="724"/>
      <c r="EG1072" s="724"/>
      <c r="EH1072" s="724"/>
      <c r="EI1072" s="724"/>
      <c r="EJ1072" s="724"/>
      <c r="EK1072" s="724"/>
      <c r="EL1072" s="724"/>
      <c r="EM1072" s="724"/>
      <c r="EN1072" s="724"/>
      <c r="EO1072" s="724"/>
      <c r="EP1072" s="724"/>
      <c r="EQ1072" s="724"/>
      <c r="ER1072" s="724"/>
      <c r="ES1072" s="724"/>
      <c r="ET1072" s="724"/>
      <c r="EU1072" s="724"/>
      <c r="EV1072" s="724"/>
      <c r="EW1072" s="724"/>
      <c r="EX1072" s="724"/>
      <c r="EY1072" s="724"/>
      <c r="EZ1072" s="724"/>
      <c r="FA1072" s="724"/>
      <c r="FB1072" s="724"/>
      <c r="FC1072" s="724"/>
      <c r="FD1072" s="724"/>
      <c r="FE1072" s="724"/>
      <c r="FF1072" s="724"/>
      <c r="FG1072" s="724"/>
      <c r="FH1072" s="724"/>
      <c r="FI1072" s="724"/>
      <c r="FJ1072" s="724"/>
      <c r="FK1072" s="724"/>
      <c r="FL1072" s="724"/>
      <c r="FM1072" s="724"/>
      <c r="FN1072" s="724"/>
      <c r="FO1072" s="724"/>
      <c r="FP1072" s="724"/>
      <c r="FQ1072" s="724"/>
      <c r="FR1072" s="724"/>
      <c r="FS1072" s="724"/>
      <c r="FT1072" s="724"/>
      <c r="FU1072" s="724"/>
      <c r="FV1072" s="724"/>
      <c r="FW1072" s="724"/>
      <c r="FX1072" s="724"/>
      <c r="FY1072" s="724"/>
      <c r="FZ1072" s="724"/>
      <c r="GA1072" s="724"/>
      <c r="GB1072" s="724"/>
      <c r="GC1072" s="724"/>
      <c r="GD1072" s="724"/>
      <c r="GE1072" s="724"/>
      <c r="GF1072" s="724"/>
      <c r="GG1072" s="724"/>
      <c r="GH1072" s="724"/>
      <c r="GI1072" s="724"/>
      <c r="GJ1072" s="724"/>
      <c r="GK1072" s="724"/>
      <c r="GL1072" s="724"/>
      <c r="GM1072" s="724"/>
      <c r="GN1072" s="724"/>
      <c r="GO1072" s="724"/>
      <c r="GP1072" s="724"/>
      <c r="GQ1072" s="724"/>
      <c r="GR1072" s="724"/>
      <c r="GS1072" s="724"/>
      <c r="GT1072" s="724"/>
      <c r="GU1072" s="724"/>
      <c r="GV1072" s="724"/>
      <c r="GW1072" s="724"/>
      <c r="GX1072" s="724"/>
      <c r="GY1072" s="724"/>
      <c r="GZ1072" s="724"/>
      <c r="HA1072" s="724"/>
      <c r="HB1072" s="724"/>
      <c r="HC1072" s="724"/>
      <c r="HD1072" s="724"/>
      <c r="HE1072" s="724"/>
      <c r="HF1072" s="724"/>
      <c r="HG1072" s="724"/>
      <c r="HH1072" s="724"/>
      <c r="HI1072" s="724"/>
      <c r="HJ1072" s="724"/>
      <c r="HK1072" s="724"/>
      <c r="HL1072" s="724"/>
      <c r="HM1072" s="724"/>
      <c r="HN1072" s="724"/>
      <c r="HO1072" s="724"/>
      <c r="HP1072" s="724"/>
      <c r="HQ1072" s="724"/>
      <c r="HR1072" s="724"/>
      <c r="HS1072" s="724"/>
      <c r="HT1072" s="724"/>
      <c r="HU1072" s="724"/>
      <c r="HV1072" s="724"/>
      <c r="HW1072" s="724"/>
      <c r="HX1072" s="724"/>
      <c r="HY1072" s="724"/>
      <c r="HZ1072" s="724"/>
      <c r="IA1072" s="724"/>
      <c r="IB1072" s="724"/>
      <c r="IC1072" s="724"/>
      <c r="ID1072" s="724"/>
      <c r="IE1072" s="724"/>
      <c r="IF1072" s="724"/>
      <c r="IG1072" s="724"/>
      <c r="IH1072" s="724"/>
      <c r="II1072" s="724"/>
      <c r="IJ1072" s="724"/>
      <c r="IK1072" s="724"/>
      <c r="IL1072" s="724"/>
      <c r="IM1072" s="724"/>
      <c r="IN1072" s="724"/>
      <c r="IO1072" s="724"/>
      <c r="IP1072" s="724"/>
      <c r="IQ1072" s="724"/>
      <c r="IR1072" s="724"/>
      <c r="IS1072" s="724"/>
      <c r="IT1072" s="724"/>
      <c r="IU1072" s="724"/>
      <c r="IV1072" s="724"/>
      <c r="IW1072" s="724"/>
    </row>
    <row r="1073" spans="1:257" s="621" customFormat="1">
      <c r="A1073" s="713"/>
      <c r="B1073" s="684" t="s">
        <v>1357</v>
      </c>
      <c r="C1073" s="713"/>
      <c r="D1073" s="713"/>
      <c r="E1073" s="725"/>
      <c r="F1073" s="725"/>
      <c r="G1073" s="700"/>
      <c r="H1073" s="700"/>
      <c r="I1073" s="700"/>
      <c r="J1073" s="725"/>
      <c r="K1073" s="725">
        <f>ROUND(K1072-K1089,-6)</f>
        <v>132000000</v>
      </c>
      <c r="L1073" s="1311">
        <f>ROUND(L1072-L1089,-6)</f>
        <v>216000000</v>
      </c>
      <c r="M1073" s="669"/>
      <c r="N1073" s="868"/>
      <c r="O1073" s="868"/>
      <c r="P1073" s="820"/>
      <c r="Q1073" s="820"/>
      <c r="R1073" s="900"/>
      <c r="S1073" s="871"/>
      <c r="T1073" s="824"/>
      <c r="U1073" s="726"/>
      <c r="V1073" s="581"/>
      <c r="W1073" s="722"/>
      <c r="X1073" s="723"/>
      <c r="Y1073" s="724"/>
      <c r="Z1073" s="724"/>
      <c r="AA1073" s="724"/>
      <c r="AB1073" s="724"/>
      <c r="AC1073" s="724"/>
      <c r="AD1073" s="724"/>
      <c r="AE1073" s="724"/>
      <c r="AF1073" s="724"/>
      <c r="AG1073" s="724"/>
      <c r="AH1073" s="724"/>
      <c r="AI1073" s="724"/>
      <c r="AJ1073" s="724"/>
      <c r="AK1073" s="724"/>
      <c r="AL1073" s="724"/>
      <c r="AM1073" s="724"/>
      <c r="AN1073" s="724"/>
      <c r="AO1073" s="724"/>
      <c r="AP1073" s="724"/>
      <c r="AQ1073" s="724"/>
      <c r="AR1073" s="724"/>
      <c r="AS1073" s="724"/>
      <c r="AT1073" s="724"/>
      <c r="AU1073" s="724"/>
      <c r="AV1073" s="724"/>
      <c r="AW1073" s="724"/>
      <c r="AX1073" s="724"/>
      <c r="AY1073" s="724"/>
      <c r="AZ1073" s="724"/>
      <c r="BA1073" s="724"/>
      <c r="BB1073" s="724"/>
      <c r="BC1073" s="724"/>
      <c r="BD1073" s="724"/>
      <c r="BE1073" s="724"/>
      <c r="BF1073" s="724"/>
      <c r="BG1073" s="724"/>
      <c r="BH1073" s="724"/>
      <c r="BI1073" s="724"/>
      <c r="BJ1073" s="724"/>
      <c r="BK1073" s="724"/>
      <c r="BL1073" s="724"/>
      <c r="BM1073" s="724"/>
      <c r="BN1073" s="724"/>
      <c r="BO1073" s="724"/>
      <c r="BP1073" s="724"/>
      <c r="BQ1073" s="724"/>
      <c r="BR1073" s="724"/>
      <c r="BS1073" s="724"/>
      <c r="BT1073" s="724"/>
      <c r="BU1073" s="724"/>
      <c r="BV1073" s="724"/>
      <c r="BW1073" s="724"/>
      <c r="BX1073" s="724"/>
      <c r="BY1073" s="724"/>
      <c r="BZ1073" s="724"/>
      <c r="CA1073" s="724"/>
      <c r="CB1073" s="724"/>
      <c r="CC1073" s="724"/>
      <c r="CD1073" s="724"/>
      <c r="CE1073" s="724"/>
      <c r="CF1073" s="724"/>
      <c r="CG1073" s="724"/>
      <c r="CH1073" s="724"/>
      <c r="CI1073" s="724"/>
      <c r="CJ1073" s="724"/>
      <c r="CK1073" s="724"/>
      <c r="CL1073" s="724"/>
      <c r="CM1073" s="724"/>
      <c r="CN1073" s="724"/>
      <c r="CO1073" s="724"/>
      <c r="CP1073" s="724"/>
      <c r="CQ1073" s="724"/>
      <c r="CR1073" s="724"/>
      <c r="CS1073" s="724"/>
      <c r="CT1073" s="724"/>
      <c r="CU1073" s="724"/>
      <c r="CV1073" s="724"/>
      <c r="CW1073" s="724"/>
      <c r="CX1073" s="724"/>
      <c r="CY1073" s="724"/>
      <c r="CZ1073" s="724"/>
      <c r="DA1073" s="724"/>
      <c r="DB1073" s="724"/>
      <c r="DC1073" s="724"/>
      <c r="DD1073" s="724"/>
      <c r="DE1073" s="724"/>
      <c r="DF1073" s="724"/>
      <c r="DG1073" s="724"/>
      <c r="DH1073" s="724"/>
      <c r="DI1073" s="724"/>
      <c r="DJ1073" s="724"/>
      <c r="DK1073" s="724"/>
      <c r="DL1073" s="724"/>
      <c r="DM1073" s="724"/>
      <c r="DN1073" s="724"/>
      <c r="DO1073" s="724"/>
      <c r="DP1073" s="724"/>
      <c r="DQ1073" s="724"/>
      <c r="DR1073" s="724"/>
      <c r="DS1073" s="724"/>
      <c r="DT1073" s="724"/>
      <c r="DU1073" s="724"/>
      <c r="DV1073" s="724"/>
      <c r="DW1073" s="724"/>
      <c r="DX1073" s="724"/>
      <c r="DY1073" s="724"/>
      <c r="DZ1073" s="724"/>
      <c r="EA1073" s="724"/>
      <c r="EB1073" s="724"/>
      <c r="EC1073" s="724"/>
      <c r="ED1073" s="724"/>
      <c r="EE1073" s="724"/>
      <c r="EF1073" s="724"/>
      <c r="EG1073" s="724"/>
      <c r="EH1073" s="724"/>
      <c r="EI1073" s="724"/>
      <c r="EJ1073" s="724"/>
      <c r="EK1073" s="724"/>
      <c r="EL1073" s="724"/>
      <c r="EM1073" s="724"/>
      <c r="EN1073" s="724"/>
      <c r="EO1073" s="724"/>
      <c r="EP1073" s="724"/>
      <c r="EQ1073" s="724"/>
      <c r="ER1073" s="724"/>
      <c r="ES1073" s="724"/>
      <c r="ET1073" s="724"/>
      <c r="EU1073" s="724"/>
      <c r="EV1073" s="724"/>
      <c r="EW1073" s="724"/>
      <c r="EX1073" s="724"/>
      <c r="EY1073" s="724"/>
      <c r="EZ1073" s="724"/>
      <c r="FA1073" s="724"/>
      <c r="FB1073" s="724"/>
      <c r="FC1073" s="724"/>
      <c r="FD1073" s="724"/>
      <c r="FE1073" s="724"/>
      <c r="FF1073" s="724"/>
      <c r="FG1073" s="724"/>
      <c r="FH1073" s="724"/>
      <c r="FI1073" s="724"/>
      <c r="FJ1073" s="724"/>
      <c r="FK1073" s="724"/>
      <c r="FL1073" s="724"/>
      <c r="FM1073" s="724"/>
      <c r="FN1073" s="724"/>
      <c r="FO1073" s="724"/>
      <c r="FP1073" s="724"/>
      <c r="FQ1073" s="724"/>
      <c r="FR1073" s="724"/>
      <c r="FS1073" s="724"/>
      <c r="FT1073" s="724"/>
      <c r="FU1073" s="724"/>
      <c r="FV1073" s="724"/>
      <c r="FW1073" s="724"/>
      <c r="FX1073" s="724"/>
      <c r="FY1073" s="724"/>
      <c r="FZ1073" s="724"/>
      <c r="GA1073" s="724"/>
      <c r="GB1073" s="724"/>
      <c r="GC1073" s="724"/>
      <c r="GD1073" s="724"/>
      <c r="GE1073" s="724"/>
      <c r="GF1073" s="724"/>
      <c r="GG1073" s="724"/>
      <c r="GH1073" s="724"/>
      <c r="GI1073" s="724"/>
      <c r="GJ1073" s="724"/>
      <c r="GK1073" s="724"/>
      <c r="GL1073" s="724"/>
      <c r="GM1073" s="724"/>
      <c r="GN1073" s="724"/>
      <c r="GO1073" s="724"/>
      <c r="GP1073" s="724"/>
      <c r="GQ1073" s="724"/>
      <c r="GR1073" s="724"/>
      <c r="GS1073" s="724"/>
      <c r="GT1073" s="724"/>
      <c r="GU1073" s="724"/>
      <c r="GV1073" s="724"/>
      <c r="GW1073" s="724"/>
      <c r="GX1073" s="724"/>
      <c r="GY1073" s="724"/>
      <c r="GZ1073" s="724"/>
      <c r="HA1073" s="724"/>
      <c r="HB1073" s="724"/>
      <c r="HC1073" s="724"/>
      <c r="HD1073" s="724"/>
      <c r="HE1073" s="724"/>
      <c r="HF1073" s="724"/>
      <c r="HG1073" s="724"/>
      <c r="HH1073" s="724"/>
      <c r="HI1073" s="724"/>
      <c r="HJ1073" s="724"/>
      <c r="HK1073" s="724"/>
      <c r="HL1073" s="724"/>
      <c r="HM1073" s="724"/>
      <c r="HN1073" s="724"/>
      <c r="HO1073" s="724"/>
      <c r="HP1073" s="724"/>
      <c r="HQ1073" s="724"/>
      <c r="HR1073" s="724"/>
      <c r="HS1073" s="724"/>
      <c r="HT1073" s="724"/>
      <c r="HU1073" s="724"/>
      <c r="HV1073" s="724"/>
      <c r="HW1073" s="724"/>
      <c r="HX1073" s="724"/>
      <c r="HY1073" s="724"/>
      <c r="HZ1073" s="724"/>
      <c r="IA1073" s="724"/>
      <c r="IB1073" s="724"/>
      <c r="IC1073" s="724"/>
      <c r="ID1073" s="724"/>
      <c r="IE1073" s="724"/>
      <c r="IF1073" s="724"/>
      <c r="IG1073" s="724"/>
      <c r="IH1073" s="724"/>
      <c r="II1073" s="724"/>
      <c r="IJ1073" s="724"/>
      <c r="IK1073" s="724"/>
      <c r="IL1073" s="724"/>
      <c r="IM1073" s="724"/>
      <c r="IN1073" s="724"/>
      <c r="IO1073" s="724"/>
      <c r="IP1073" s="724"/>
      <c r="IQ1073" s="724"/>
      <c r="IR1073" s="724"/>
      <c r="IS1073" s="724"/>
      <c r="IT1073" s="724"/>
      <c r="IU1073" s="724"/>
      <c r="IV1073" s="724"/>
      <c r="IW1073" s="724"/>
    </row>
    <row r="1074" spans="1:257" s="621" customFormat="1">
      <c r="A1074" s="812" t="s">
        <v>91</v>
      </c>
      <c r="B1074" s="813" t="s">
        <v>256</v>
      </c>
      <c r="C1074" s="713"/>
      <c r="D1074" s="713"/>
      <c r="E1074" s="725">
        <v>27000000</v>
      </c>
      <c r="F1074" s="725">
        <f>C1070*E1074</f>
        <v>81000000</v>
      </c>
      <c r="G1074" s="704"/>
      <c r="H1074" s="704"/>
      <c r="I1074" s="704"/>
      <c r="J1074" s="725">
        <v>81000000</v>
      </c>
      <c r="K1074" s="725">
        <f>3*27000000</f>
        <v>81000000</v>
      </c>
      <c r="L1074" s="1311">
        <f>3*27000000</f>
        <v>81000000</v>
      </c>
      <c r="M1074" s="669" t="s">
        <v>1207</v>
      </c>
      <c r="N1074" s="868"/>
      <c r="O1074" s="868"/>
      <c r="P1074" s="829"/>
      <c r="Q1074" s="829"/>
      <c r="R1074" s="871"/>
      <c r="S1074" s="866"/>
      <c r="T1074" s="839"/>
      <c r="U1074" s="726"/>
      <c r="V1074" s="727"/>
      <c r="W1074" s="722"/>
      <c r="X1074" s="723"/>
      <c r="Y1074" s="724"/>
      <c r="Z1074" s="724"/>
      <c r="AA1074" s="724"/>
      <c r="AB1074" s="724"/>
      <c r="AC1074" s="724"/>
      <c r="AD1074" s="724"/>
      <c r="AE1074" s="724"/>
      <c r="AF1074" s="724"/>
      <c r="AG1074" s="724"/>
      <c r="AH1074" s="724"/>
      <c r="AI1074" s="724"/>
      <c r="AJ1074" s="724"/>
      <c r="AK1074" s="724"/>
      <c r="AL1074" s="724"/>
      <c r="AM1074" s="724"/>
      <c r="AN1074" s="724"/>
      <c r="AO1074" s="724"/>
      <c r="AP1074" s="724"/>
      <c r="AQ1074" s="724"/>
      <c r="AR1074" s="724"/>
      <c r="AS1074" s="724"/>
      <c r="AT1074" s="724"/>
      <c r="AU1074" s="724"/>
      <c r="AV1074" s="724"/>
      <c r="AW1074" s="724"/>
      <c r="AX1074" s="724"/>
      <c r="AY1074" s="724"/>
      <c r="AZ1074" s="724"/>
      <c r="BA1074" s="724"/>
      <c r="BB1074" s="724"/>
      <c r="BC1074" s="724"/>
      <c r="BD1074" s="724"/>
      <c r="BE1074" s="724"/>
      <c r="BF1074" s="724"/>
      <c r="BG1074" s="724"/>
      <c r="BH1074" s="724"/>
      <c r="BI1074" s="724"/>
      <c r="BJ1074" s="724"/>
      <c r="BK1074" s="724"/>
      <c r="BL1074" s="724"/>
      <c r="BM1074" s="724"/>
      <c r="BN1074" s="724"/>
      <c r="BO1074" s="724"/>
      <c r="BP1074" s="724"/>
      <c r="BQ1074" s="724"/>
      <c r="BR1074" s="724"/>
      <c r="BS1074" s="724"/>
      <c r="BT1074" s="724"/>
      <c r="BU1074" s="724"/>
      <c r="BV1074" s="724"/>
      <c r="BW1074" s="724"/>
      <c r="BX1074" s="724"/>
      <c r="BY1074" s="724"/>
      <c r="BZ1074" s="724"/>
      <c r="CA1074" s="724"/>
      <c r="CB1074" s="724"/>
      <c r="CC1074" s="724"/>
      <c r="CD1074" s="724"/>
      <c r="CE1074" s="724"/>
      <c r="CF1074" s="724"/>
      <c r="CG1074" s="724"/>
      <c r="CH1074" s="724"/>
      <c r="CI1074" s="724"/>
      <c r="CJ1074" s="724"/>
      <c r="CK1074" s="724"/>
      <c r="CL1074" s="724"/>
      <c r="CM1074" s="724"/>
      <c r="CN1074" s="724"/>
      <c r="CO1074" s="724"/>
      <c r="CP1074" s="724"/>
      <c r="CQ1074" s="724"/>
      <c r="CR1074" s="724"/>
      <c r="CS1074" s="724"/>
      <c r="CT1074" s="724"/>
      <c r="CU1074" s="724"/>
      <c r="CV1074" s="724"/>
      <c r="CW1074" s="724"/>
      <c r="CX1074" s="724"/>
      <c r="CY1074" s="724"/>
      <c r="CZ1074" s="724"/>
      <c r="DA1074" s="724"/>
      <c r="DB1074" s="724"/>
      <c r="DC1074" s="724"/>
      <c r="DD1074" s="724"/>
      <c r="DE1074" s="724"/>
      <c r="DF1074" s="724"/>
      <c r="DG1074" s="724"/>
      <c r="DH1074" s="724"/>
      <c r="DI1074" s="724"/>
      <c r="DJ1074" s="724"/>
      <c r="DK1074" s="724"/>
      <c r="DL1074" s="724"/>
      <c r="DM1074" s="724"/>
      <c r="DN1074" s="724"/>
      <c r="DO1074" s="724"/>
      <c r="DP1074" s="724"/>
      <c r="DQ1074" s="724"/>
      <c r="DR1074" s="724"/>
      <c r="DS1074" s="724"/>
      <c r="DT1074" s="724"/>
      <c r="DU1074" s="724"/>
      <c r="DV1074" s="724"/>
      <c r="DW1074" s="724"/>
      <c r="DX1074" s="724"/>
      <c r="DY1074" s="724"/>
      <c r="DZ1074" s="724"/>
      <c r="EA1074" s="724"/>
      <c r="EB1074" s="724"/>
      <c r="EC1074" s="724"/>
      <c r="ED1074" s="724"/>
      <c r="EE1074" s="724"/>
      <c r="EF1074" s="724"/>
      <c r="EG1074" s="724"/>
      <c r="EH1074" s="724"/>
      <c r="EI1074" s="724"/>
      <c r="EJ1074" s="724"/>
      <c r="EK1074" s="724"/>
      <c r="EL1074" s="724"/>
      <c r="EM1074" s="724"/>
      <c r="EN1074" s="724"/>
      <c r="EO1074" s="724"/>
      <c r="EP1074" s="724"/>
      <c r="EQ1074" s="724"/>
      <c r="ER1074" s="724"/>
      <c r="ES1074" s="724"/>
      <c r="ET1074" s="724"/>
      <c r="EU1074" s="724"/>
      <c r="EV1074" s="724"/>
      <c r="EW1074" s="724"/>
      <c r="EX1074" s="724"/>
      <c r="EY1074" s="724"/>
      <c r="EZ1074" s="724"/>
      <c r="FA1074" s="724"/>
      <c r="FB1074" s="724"/>
      <c r="FC1074" s="724"/>
      <c r="FD1074" s="724"/>
      <c r="FE1074" s="724"/>
      <c r="FF1074" s="724"/>
      <c r="FG1074" s="724"/>
      <c r="FH1074" s="724"/>
      <c r="FI1074" s="724"/>
      <c r="FJ1074" s="724"/>
      <c r="FK1074" s="724"/>
      <c r="FL1074" s="724"/>
      <c r="FM1074" s="724"/>
      <c r="FN1074" s="724"/>
      <c r="FO1074" s="724"/>
      <c r="FP1074" s="724"/>
      <c r="FQ1074" s="724"/>
      <c r="FR1074" s="724"/>
      <c r="FS1074" s="724"/>
      <c r="FT1074" s="724"/>
      <c r="FU1074" s="724"/>
      <c r="FV1074" s="724"/>
      <c r="FW1074" s="724"/>
      <c r="FX1074" s="724"/>
      <c r="FY1074" s="724"/>
      <c r="FZ1074" s="724"/>
      <c r="GA1074" s="724"/>
      <c r="GB1074" s="724"/>
      <c r="GC1074" s="724"/>
      <c r="GD1074" s="724"/>
      <c r="GE1074" s="724"/>
      <c r="GF1074" s="724"/>
      <c r="GG1074" s="724"/>
      <c r="GH1074" s="724"/>
      <c r="GI1074" s="724"/>
      <c r="GJ1074" s="724"/>
      <c r="GK1074" s="724"/>
      <c r="GL1074" s="724"/>
      <c r="GM1074" s="724"/>
      <c r="GN1074" s="724"/>
      <c r="GO1074" s="724"/>
      <c r="GP1074" s="724"/>
      <c r="GQ1074" s="724"/>
      <c r="GR1074" s="724"/>
      <c r="GS1074" s="724"/>
      <c r="GT1074" s="724"/>
      <c r="GU1074" s="724"/>
      <c r="GV1074" s="724"/>
      <c r="GW1074" s="724"/>
      <c r="GX1074" s="724"/>
      <c r="GY1074" s="724"/>
      <c r="GZ1074" s="724"/>
      <c r="HA1074" s="724"/>
      <c r="HB1074" s="724"/>
      <c r="HC1074" s="724"/>
      <c r="HD1074" s="724"/>
      <c r="HE1074" s="724"/>
      <c r="HF1074" s="724"/>
      <c r="HG1074" s="724"/>
      <c r="HH1074" s="724"/>
      <c r="HI1074" s="724"/>
      <c r="HJ1074" s="724"/>
      <c r="HK1074" s="724"/>
      <c r="HL1074" s="724"/>
      <c r="HM1074" s="724"/>
      <c r="HN1074" s="724"/>
      <c r="HO1074" s="724"/>
      <c r="HP1074" s="724"/>
      <c r="HQ1074" s="724"/>
      <c r="HR1074" s="724"/>
      <c r="HS1074" s="724"/>
      <c r="HT1074" s="724"/>
      <c r="HU1074" s="724"/>
      <c r="HV1074" s="724"/>
      <c r="HW1074" s="724"/>
      <c r="HX1074" s="724"/>
      <c r="HY1074" s="724"/>
      <c r="HZ1074" s="724"/>
      <c r="IA1074" s="724"/>
      <c r="IB1074" s="724"/>
      <c r="IC1074" s="724"/>
      <c r="ID1074" s="724"/>
      <c r="IE1074" s="724"/>
      <c r="IF1074" s="724"/>
      <c r="IG1074" s="724"/>
      <c r="IH1074" s="724"/>
      <c r="II1074" s="724"/>
      <c r="IJ1074" s="724"/>
      <c r="IK1074" s="724"/>
      <c r="IL1074" s="724"/>
      <c r="IM1074" s="724"/>
      <c r="IN1074" s="724"/>
      <c r="IO1074" s="724"/>
      <c r="IP1074" s="724"/>
      <c r="IQ1074" s="724"/>
      <c r="IR1074" s="724"/>
      <c r="IS1074" s="724"/>
      <c r="IT1074" s="724"/>
      <c r="IU1074" s="724"/>
      <c r="IV1074" s="724"/>
      <c r="IW1074" s="724"/>
    </row>
    <row r="1075" spans="1:257" s="582" customFormat="1">
      <c r="A1075" s="589" t="s">
        <v>225</v>
      </c>
      <c r="B1075" s="804" t="s">
        <v>257</v>
      </c>
      <c r="C1075" s="589"/>
      <c r="D1075" s="589"/>
      <c r="E1075" s="704"/>
      <c r="F1075" s="805">
        <f t="shared" ref="F1075:J1075" si="95">SUM(F1076:F1088)</f>
        <v>303000000</v>
      </c>
      <c r="G1075" s="805">
        <f t="shared" si="95"/>
        <v>20000000</v>
      </c>
      <c r="H1075" s="805">
        <f t="shared" si="95"/>
        <v>0</v>
      </c>
      <c r="I1075" s="805">
        <f t="shared" si="95"/>
        <v>0</v>
      </c>
      <c r="J1075" s="805">
        <f t="shared" si="95"/>
        <v>240000000</v>
      </c>
      <c r="K1075" s="805">
        <f>SUM(K1076:K1088)</f>
        <v>453000000</v>
      </c>
      <c r="L1075" s="1312">
        <f>SUM(L1076:L1088)</f>
        <v>241000000</v>
      </c>
      <c r="M1075" s="603"/>
      <c r="N1075" s="835"/>
      <c r="O1075" s="835"/>
      <c r="P1075" s="890"/>
      <c r="Q1075" s="890"/>
      <c r="R1075" s="908"/>
      <c r="S1075" s="900"/>
      <c r="T1075" s="822"/>
      <c r="U1075" s="580"/>
      <c r="V1075" s="722"/>
      <c r="W1075" s="727"/>
      <c r="X1075" s="728"/>
      <c r="Y1075" s="682"/>
      <c r="Z1075" s="682"/>
      <c r="AA1075" s="682"/>
      <c r="AB1075" s="682"/>
      <c r="AC1075" s="682"/>
      <c r="AD1075" s="682"/>
      <c r="AE1075" s="682"/>
      <c r="AF1075" s="682"/>
      <c r="AG1075" s="682"/>
      <c r="AH1075" s="682"/>
      <c r="AI1075" s="682"/>
      <c r="AJ1075" s="682"/>
      <c r="AK1075" s="682"/>
      <c r="AL1075" s="682"/>
      <c r="AM1075" s="682"/>
      <c r="AN1075" s="682"/>
      <c r="AO1075" s="682"/>
      <c r="AP1075" s="682"/>
      <c r="AQ1075" s="682"/>
      <c r="AR1075" s="682"/>
      <c r="AS1075" s="682"/>
      <c r="AT1075" s="682"/>
      <c r="AU1075" s="682"/>
      <c r="AV1075" s="682"/>
      <c r="AW1075" s="682"/>
      <c r="AX1075" s="682"/>
      <c r="AY1075" s="682"/>
      <c r="AZ1075" s="682"/>
      <c r="BA1075" s="682"/>
      <c r="BB1075" s="682"/>
      <c r="BC1075" s="682"/>
      <c r="BD1075" s="682"/>
      <c r="BE1075" s="682"/>
      <c r="BF1075" s="682"/>
      <c r="BG1075" s="682"/>
      <c r="BH1075" s="682"/>
      <c r="BI1075" s="682"/>
      <c r="BJ1075" s="682"/>
      <c r="BK1075" s="682"/>
      <c r="BL1075" s="682"/>
      <c r="BM1075" s="682"/>
      <c r="BN1075" s="682"/>
      <c r="BO1075" s="682"/>
      <c r="BP1075" s="682"/>
      <c r="BQ1075" s="682"/>
      <c r="BR1075" s="682"/>
      <c r="BS1075" s="682"/>
      <c r="BT1075" s="682"/>
      <c r="BU1075" s="682"/>
      <c r="BV1075" s="682"/>
      <c r="BW1075" s="682"/>
      <c r="BX1075" s="682"/>
      <c r="BY1075" s="682"/>
      <c r="BZ1075" s="682"/>
      <c r="CA1075" s="682"/>
      <c r="CB1075" s="682"/>
      <c r="CC1075" s="682"/>
      <c r="CD1075" s="682"/>
      <c r="CE1075" s="682"/>
      <c r="CF1075" s="682"/>
      <c r="CG1075" s="682"/>
      <c r="CH1075" s="682"/>
      <c r="CI1075" s="682"/>
      <c r="CJ1075" s="682"/>
      <c r="CK1075" s="682"/>
      <c r="CL1075" s="682"/>
      <c r="CM1075" s="682"/>
      <c r="CN1075" s="682"/>
      <c r="CO1075" s="682"/>
      <c r="CP1075" s="682"/>
      <c r="CQ1075" s="682"/>
      <c r="CR1075" s="682"/>
      <c r="CS1075" s="682"/>
      <c r="CT1075" s="682"/>
      <c r="CU1075" s="682"/>
      <c r="CV1075" s="682"/>
      <c r="CW1075" s="682"/>
      <c r="CX1075" s="682"/>
      <c r="CY1075" s="682"/>
      <c r="CZ1075" s="682"/>
      <c r="DA1075" s="682"/>
      <c r="DB1075" s="682"/>
      <c r="DC1075" s="682"/>
      <c r="DD1075" s="682"/>
      <c r="DE1075" s="682"/>
      <c r="DF1075" s="682"/>
      <c r="DG1075" s="682"/>
      <c r="DH1075" s="682"/>
      <c r="DI1075" s="682"/>
      <c r="DJ1075" s="682"/>
      <c r="DK1075" s="682"/>
      <c r="DL1075" s="682"/>
      <c r="DM1075" s="682"/>
      <c r="DN1075" s="682"/>
      <c r="DO1075" s="682"/>
      <c r="DP1075" s="682"/>
      <c r="DQ1075" s="682"/>
      <c r="DR1075" s="682"/>
      <c r="DS1075" s="682"/>
      <c r="DT1075" s="682"/>
      <c r="DU1075" s="682"/>
      <c r="DV1075" s="682"/>
      <c r="DW1075" s="682"/>
      <c r="DX1075" s="682"/>
      <c r="DY1075" s="682"/>
      <c r="DZ1075" s="682"/>
      <c r="EA1075" s="682"/>
      <c r="EB1075" s="682"/>
      <c r="EC1075" s="682"/>
      <c r="ED1075" s="682"/>
      <c r="EE1075" s="682"/>
      <c r="EF1075" s="682"/>
      <c r="EG1075" s="682"/>
      <c r="EH1075" s="682"/>
      <c r="EI1075" s="682"/>
      <c r="EJ1075" s="682"/>
      <c r="EK1075" s="682"/>
      <c r="EL1075" s="682"/>
      <c r="EM1075" s="682"/>
      <c r="EN1075" s="682"/>
      <c r="EO1075" s="682"/>
      <c r="EP1075" s="682"/>
      <c r="EQ1075" s="682"/>
      <c r="ER1075" s="682"/>
      <c r="ES1075" s="682"/>
      <c r="ET1075" s="682"/>
      <c r="EU1075" s="682"/>
      <c r="EV1075" s="682"/>
      <c r="EW1075" s="682"/>
      <c r="EX1075" s="682"/>
      <c r="EY1075" s="682"/>
      <c r="EZ1075" s="682"/>
      <c r="FA1075" s="682"/>
      <c r="FB1075" s="682"/>
      <c r="FC1075" s="682"/>
      <c r="FD1075" s="682"/>
      <c r="FE1075" s="682"/>
      <c r="FF1075" s="682"/>
      <c r="FG1075" s="682"/>
      <c r="FH1075" s="682"/>
      <c r="FI1075" s="682"/>
      <c r="FJ1075" s="682"/>
      <c r="FK1075" s="682"/>
      <c r="FL1075" s="682"/>
      <c r="FM1075" s="682"/>
      <c r="FN1075" s="682"/>
      <c r="FO1075" s="682"/>
      <c r="FP1075" s="682"/>
      <c r="FQ1075" s="682"/>
      <c r="FR1075" s="682"/>
      <c r="FS1075" s="682"/>
      <c r="FT1075" s="682"/>
      <c r="FU1075" s="682"/>
      <c r="FV1075" s="682"/>
      <c r="FW1075" s="682"/>
      <c r="FX1075" s="682"/>
      <c r="FY1075" s="682"/>
      <c r="FZ1075" s="682"/>
      <c r="GA1075" s="682"/>
      <c r="GB1075" s="682"/>
      <c r="GC1075" s="682"/>
      <c r="GD1075" s="682"/>
      <c r="GE1075" s="682"/>
      <c r="GF1075" s="682"/>
      <c r="GG1075" s="682"/>
      <c r="GH1075" s="682"/>
      <c r="GI1075" s="682"/>
      <c r="GJ1075" s="682"/>
      <c r="GK1075" s="682"/>
      <c r="GL1075" s="682"/>
      <c r="GM1075" s="682"/>
      <c r="GN1075" s="682"/>
      <c r="GO1075" s="682"/>
      <c r="GP1075" s="682"/>
      <c r="GQ1075" s="682"/>
      <c r="GR1075" s="682"/>
      <c r="GS1075" s="682"/>
      <c r="GT1075" s="682"/>
      <c r="GU1075" s="682"/>
      <c r="GV1075" s="682"/>
      <c r="GW1075" s="682"/>
      <c r="GX1075" s="682"/>
      <c r="GY1075" s="682"/>
      <c r="GZ1075" s="682"/>
      <c r="HA1075" s="682"/>
      <c r="HB1075" s="682"/>
      <c r="HC1075" s="682"/>
      <c r="HD1075" s="682"/>
      <c r="HE1075" s="682"/>
      <c r="HF1075" s="682"/>
      <c r="HG1075" s="682"/>
      <c r="HH1075" s="682"/>
      <c r="HI1075" s="682"/>
      <c r="HJ1075" s="682"/>
      <c r="HK1075" s="682"/>
      <c r="HL1075" s="682"/>
      <c r="HM1075" s="682"/>
      <c r="HN1075" s="682"/>
      <c r="HO1075" s="682"/>
      <c r="HP1075" s="682"/>
      <c r="HQ1075" s="682"/>
      <c r="HR1075" s="682"/>
      <c r="HS1075" s="682"/>
      <c r="HT1075" s="682"/>
      <c r="HU1075" s="682"/>
      <c r="HV1075" s="682"/>
      <c r="HW1075" s="682"/>
      <c r="HX1075" s="682"/>
      <c r="HY1075" s="682"/>
      <c r="HZ1075" s="682"/>
      <c r="IA1075" s="682"/>
      <c r="IB1075" s="682"/>
      <c r="IC1075" s="682"/>
      <c r="ID1075" s="682"/>
      <c r="IE1075" s="682"/>
      <c r="IF1075" s="682"/>
      <c r="IG1075" s="682"/>
      <c r="IH1075" s="682"/>
      <c r="II1075" s="682"/>
      <c r="IJ1075" s="682"/>
      <c r="IK1075" s="682"/>
      <c r="IL1075" s="682"/>
      <c r="IM1075" s="682"/>
      <c r="IN1075" s="682"/>
      <c r="IO1075" s="682"/>
      <c r="IP1075" s="682"/>
      <c r="IQ1075" s="682"/>
      <c r="IR1075" s="682"/>
      <c r="IS1075" s="682"/>
      <c r="IT1075" s="682"/>
      <c r="IU1075" s="682"/>
      <c r="IV1075" s="682"/>
      <c r="IW1075" s="682"/>
    </row>
    <row r="1076" spans="1:257" s="582" customFormat="1">
      <c r="A1076" s="683" t="s">
        <v>258</v>
      </c>
      <c r="B1076" s="1079" t="s">
        <v>409</v>
      </c>
      <c r="C1076" s="683"/>
      <c r="D1076" s="683"/>
      <c r="E1076" s="669"/>
      <c r="F1076" s="669">
        <v>15000000</v>
      </c>
      <c r="G1076" s="669" t="s">
        <v>1208</v>
      </c>
      <c r="H1076" s="669"/>
      <c r="I1076" s="669"/>
      <c r="J1076" s="669">
        <v>15000000</v>
      </c>
      <c r="K1076" s="669">
        <v>25000000</v>
      </c>
      <c r="L1076" s="1306">
        <v>20200000</v>
      </c>
      <c r="M1076" s="669" t="s">
        <v>1209</v>
      </c>
      <c r="N1076" s="837"/>
      <c r="O1076" s="837"/>
      <c r="P1076" s="837"/>
      <c r="Q1076" s="837"/>
      <c r="R1076" s="908"/>
      <c r="S1076" s="900"/>
      <c r="T1076" s="822"/>
      <c r="U1076" s="580"/>
      <c r="V1076" s="581"/>
      <c r="W1076" s="581"/>
      <c r="X1076" s="578"/>
    </row>
    <row r="1077" spans="1:257" s="582" customFormat="1">
      <c r="A1077" s="683" t="s">
        <v>258</v>
      </c>
      <c r="B1077" s="1079" t="s">
        <v>1210</v>
      </c>
      <c r="C1077" s="683"/>
      <c r="D1077" s="683"/>
      <c r="E1077" s="669"/>
      <c r="F1077" s="669">
        <v>78000000</v>
      </c>
      <c r="G1077" s="669"/>
      <c r="H1077" s="669"/>
      <c r="I1077" s="669"/>
      <c r="J1077" s="669"/>
      <c r="K1077" s="669">
        <v>20000000</v>
      </c>
      <c r="L1077" s="1306">
        <v>0</v>
      </c>
      <c r="M1077" s="669"/>
      <c r="N1077" s="837"/>
      <c r="O1077" s="837"/>
      <c r="P1077" s="837"/>
      <c r="Q1077" s="837"/>
      <c r="R1077" s="908"/>
      <c r="S1077" s="900"/>
      <c r="T1077" s="822"/>
      <c r="U1077" s="580"/>
      <c r="V1077" s="581"/>
      <c r="W1077" s="581"/>
      <c r="X1077" s="578"/>
    </row>
    <row r="1078" spans="1:257" s="582" customFormat="1">
      <c r="A1078" s="683" t="s">
        <v>258</v>
      </c>
      <c r="B1078" s="1079" t="s">
        <v>571</v>
      </c>
      <c r="C1078" s="683"/>
      <c r="D1078" s="683"/>
      <c r="E1078" s="669"/>
      <c r="F1078" s="669">
        <v>45000000</v>
      </c>
      <c r="G1078" s="669"/>
      <c r="H1078" s="669"/>
      <c r="I1078" s="669"/>
      <c r="J1078" s="669">
        <v>50000000</v>
      </c>
      <c r="K1078" s="669">
        <v>85000000</v>
      </c>
      <c r="L1078" s="1306">
        <v>100000000</v>
      </c>
      <c r="M1078" s="669"/>
      <c r="N1078" s="837"/>
      <c r="O1078" s="837"/>
      <c r="P1078" s="837"/>
      <c r="Q1078" s="837"/>
      <c r="R1078" s="908"/>
      <c r="S1078" s="900"/>
      <c r="T1078" s="822"/>
      <c r="U1078" s="580"/>
      <c r="V1078" s="581"/>
      <c r="W1078" s="581"/>
      <c r="X1078" s="578"/>
    </row>
    <row r="1079" spans="1:257" s="582" customFormat="1">
      <c r="A1079" s="683"/>
      <c r="B1079" s="1079" t="s">
        <v>1211</v>
      </c>
      <c r="C1079" s="683"/>
      <c r="D1079" s="683"/>
      <c r="E1079" s="669"/>
      <c r="F1079" s="669"/>
      <c r="G1079" s="669"/>
      <c r="H1079" s="669"/>
      <c r="I1079" s="669"/>
      <c r="J1079" s="669"/>
      <c r="K1079" s="669">
        <v>30000000</v>
      </c>
      <c r="L1079" s="1306">
        <v>0</v>
      </c>
      <c r="M1079" s="669"/>
      <c r="N1079" s="837"/>
      <c r="O1079" s="837"/>
      <c r="P1079" s="837"/>
      <c r="Q1079" s="837"/>
      <c r="R1079" s="908"/>
      <c r="S1079" s="900"/>
      <c r="T1079" s="822"/>
      <c r="U1079" s="580"/>
      <c r="V1079" s="581"/>
      <c r="W1079" s="581"/>
      <c r="X1079" s="578"/>
    </row>
    <row r="1080" spans="1:257" s="582" customFormat="1" ht="31.5">
      <c r="A1080" s="683"/>
      <c r="B1080" s="1079" t="s">
        <v>1376</v>
      </c>
      <c r="C1080" s="683"/>
      <c r="D1080" s="683"/>
      <c r="E1080" s="669"/>
      <c r="F1080" s="669"/>
      <c r="G1080" s="669"/>
      <c r="H1080" s="669"/>
      <c r="I1080" s="669"/>
      <c r="J1080" s="669"/>
      <c r="K1080" s="669">
        <v>100000000</v>
      </c>
      <c r="L1080" s="1306">
        <v>80000000</v>
      </c>
      <c r="M1080" s="669"/>
      <c r="N1080" s="837"/>
      <c r="O1080" s="837"/>
      <c r="P1080" s="837"/>
      <c r="Q1080" s="837"/>
      <c r="R1080" s="908"/>
      <c r="S1080" s="900"/>
      <c r="T1080" s="822"/>
      <c r="U1080" s="580"/>
      <c r="V1080" s="581"/>
      <c r="W1080" s="581"/>
      <c r="X1080" s="578"/>
    </row>
    <row r="1081" spans="1:257" s="582" customFormat="1">
      <c r="A1081" s="683" t="s">
        <v>258</v>
      </c>
      <c r="B1081" s="1079" t="s">
        <v>1377</v>
      </c>
      <c r="C1081" s="683"/>
      <c r="D1081" s="683"/>
      <c r="E1081" s="669"/>
      <c r="F1081" s="669">
        <v>15000000</v>
      </c>
      <c r="G1081" s="669"/>
      <c r="H1081" s="669"/>
      <c r="I1081" s="669"/>
      <c r="J1081" s="669"/>
      <c r="K1081" s="669"/>
      <c r="L1081" s="1306">
        <v>15800000</v>
      </c>
      <c r="M1081" s="669"/>
      <c r="N1081" s="837"/>
      <c r="O1081" s="837"/>
      <c r="P1081" s="837"/>
      <c r="Q1081" s="837"/>
      <c r="R1081" s="908"/>
      <c r="S1081" s="900"/>
      <c r="T1081" s="822"/>
      <c r="U1081" s="580"/>
      <c r="V1081" s="581"/>
      <c r="W1081" s="581"/>
      <c r="X1081" s="578"/>
    </row>
    <row r="1082" spans="1:257" s="582" customFormat="1">
      <c r="A1082" s="683"/>
      <c r="B1082" s="1079" t="s">
        <v>1212</v>
      </c>
      <c r="C1082" s="683"/>
      <c r="D1082" s="683"/>
      <c r="E1082" s="669"/>
      <c r="F1082" s="669"/>
      <c r="G1082" s="669"/>
      <c r="H1082" s="669"/>
      <c r="I1082" s="669"/>
      <c r="J1082" s="669"/>
      <c r="K1082" s="669">
        <v>80000000</v>
      </c>
      <c r="L1082" s="1306">
        <v>0</v>
      </c>
      <c r="M1082" s="669"/>
      <c r="N1082" s="837"/>
      <c r="O1082" s="837"/>
      <c r="P1082" s="837"/>
      <c r="Q1082" s="837"/>
      <c r="R1082" s="908"/>
      <c r="S1082" s="900"/>
      <c r="T1082" s="822"/>
      <c r="U1082" s="580"/>
      <c r="V1082" s="581"/>
      <c r="W1082" s="581"/>
      <c r="X1082" s="578"/>
    </row>
    <row r="1083" spans="1:257" s="582" customFormat="1">
      <c r="A1083" s="683" t="s">
        <v>258</v>
      </c>
      <c r="B1083" s="1079" t="s">
        <v>1378</v>
      </c>
      <c r="C1083" s="683"/>
      <c r="D1083" s="683"/>
      <c r="E1083" s="669"/>
      <c r="F1083" s="669"/>
      <c r="G1083" s="669">
        <v>20000000</v>
      </c>
      <c r="H1083" s="669"/>
      <c r="I1083" s="669"/>
      <c r="J1083" s="669"/>
      <c r="K1083" s="669">
        <v>33000000</v>
      </c>
      <c r="L1083" s="1306">
        <v>0</v>
      </c>
      <c r="M1083" s="669" t="s">
        <v>1442</v>
      </c>
      <c r="N1083" s="837"/>
      <c r="O1083" s="837"/>
      <c r="P1083" s="837"/>
      <c r="Q1083" s="837"/>
      <c r="R1083" s="908"/>
      <c r="S1083" s="900"/>
      <c r="T1083" s="822"/>
      <c r="U1083" s="580"/>
      <c r="V1083" s="581"/>
      <c r="W1083" s="581"/>
      <c r="X1083" s="578"/>
    </row>
    <row r="1084" spans="1:257" s="582" customFormat="1">
      <c r="A1084" s="683" t="s">
        <v>258</v>
      </c>
      <c r="B1084" s="1079" t="s">
        <v>572</v>
      </c>
      <c r="C1084" s="683"/>
      <c r="D1084" s="683"/>
      <c r="E1084" s="669"/>
      <c r="F1084" s="669"/>
      <c r="G1084" s="669"/>
      <c r="H1084" s="669"/>
      <c r="I1084" s="669"/>
      <c r="J1084" s="669">
        <v>15000000</v>
      </c>
      <c r="K1084" s="669"/>
      <c r="L1084" s="1306">
        <v>0</v>
      </c>
      <c r="M1084" s="669"/>
      <c r="N1084" s="837"/>
      <c r="O1084" s="837"/>
      <c r="P1084" s="837"/>
      <c r="Q1084" s="837"/>
      <c r="R1084" s="908"/>
      <c r="S1084" s="900"/>
      <c r="T1084" s="822"/>
      <c r="U1084" s="580"/>
      <c r="V1084" s="581"/>
      <c r="W1084" s="581"/>
      <c r="X1084" s="578"/>
    </row>
    <row r="1085" spans="1:257" s="582" customFormat="1" ht="31.5">
      <c r="A1085" s="683" t="s">
        <v>258</v>
      </c>
      <c r="B1085" s="1079" t="s">
        <v>1213</v>
      </c>
      <c r="C1085" s="683"/>
      <c r="D1085" s="683"/>
      <c r="E1085" s="669"/>
      <c r="F1085" s="669"/>
      <c r="G1085" s="669"/>
      <c r="H1085" s="669"/>
      <c r="I1085" s="669"/>
      <c r="J1085" s="669">
        <v>70000000</v>
      </c>
      <c r="K1085" s="669">
        <v>80000000</v>
      </c>
      <c r="L1085" s="1306"/>
      <c r="M1085" s="669"/>
      <c r="N1085" s="837"/>
      <c r="O1085" s="837"/>
      <c r="P1085" s="837"/>
      <c r="Q1085" s="837"/>
      <c r="R1085" s="908"/>
      <c r="S1085" s="900"/>
      <c r="T1085" s="822"/>
      <c r="U1085" s="580"/>
      <c r="V1085" s="581"/>
      <c r="W1085" s="581"/>
      <c r="X1085" s="578"/>
    </row>
    <row r="1086" spans="1:257" s="582" customFormat="1" ht="31.5">
      <c r="A1086" s="683" t="s">
        <v>258</v>
      </c>
      <c r="B1086" s="1079" t="s">
        <v>1379</v>
      </c>
      <c r="C1086" s="683"/>
      <c r="D1086" s="683"/>
      <c r="E1086" s="669"/>
      <c r="F1086" s="669"/>
      <c r="G1086" s="669"/>
      <c r="H1086" s="669"/>
      <c r="I1086" s="669"/>
      <c r="J1086" s="669">
        <v>20000000</v>
      </c>
      <c r="K1086" s="669"/>
      <c r="L1086" s="1306">
        <v>25000000</v>
      </c>
      <c r="M1086" s="669"/>
      <c r="N1086" s="837"/>
      <c r="O1086" s="837"/>
      <c r="P1086" s="837"/>
      <c r="Q1086" s="837"/>
      <c r="R1086" s="908"/>
      <c r="S1086" s="900"/>
      <c r="T1086" s="822"/>
      <c r="U1086" s="580"/>
      <c r="V1086" s="581"/>
      <c r="W1086" s="581"/>
      <c r="X1086" s="578"/>
    </row>
    <row r="1087" spans="1:257" s="582" customFormat="1">
      <c r="A1087" s="683" t="s">
        <v>258</v>
      </c>
      <c r="B1087" s="1079" t="s">
        <v>574</v>
      </c>
      <c r="C1087" s="683"/>
      <c r="D1087" s="683"/>
      <c r="E1087" s="669"/>
      <c r="F1087" s="669"/>
      <c r="G1087" s="669"/>
      <c r="H1087" s="669"/>
      <c r="I1087" s="669"/>
      <c r="J1087" s="669">
        <v>70000000</v>
      </c>
      <c r="K1087" s="669"/>
      <c r="L1087" s="1306"/>
      <c r="M1087" s="669"/>
      <c r="N1087" s="837"/>
      <c r="O1087" s="837"/>
      <c r="P1087" s="837"/>
      <c r="Q1087" s="837"/>
      <c r="R1087" s="908"/>
      <c r="S1087" s="900"/>
      <c r="T1087" s="822"/>
      <c r="U1087" s="580"/>
      <c r="V1087" s="581"/>
      <c r="W1087" s="581"/>
      <c r="X1087" s="578"/>
    </row>
    <row r="1088" spans="1:257" s="582" customFormat="1" ht="31.5">
      <c r="A1088" s="683" t="s">
        <v>258</v>
      </c>
      <c r="B1088" s="813" t="s">
        <v>1214</v>
      </c>
      <c r="C1088" s="713"/>
      <c r="D1088" s="713"/>
      <c r="E1088" s="725"/>
      <c r="F1088" s="725">
        <v>150000000</v>
      </c>
      <c r="G1088" s="725"/>
      <c r="H1088" s="725"/>
      <c r="I1088" s="725"/>
      <c r="J1088" s="725"/>
      <c r="K1088" s="725"/>
      <c r="L1088" s="1311"/>
      <c r="M1088" s="669"/>
      <c r="N1088" s="868"/>
      <c r="O1088" s="868"/>
      <c r="P1088" s="868"/>
      <c r="Q1088" s="868"/>
      <c r="R1088" s="871"/>
      <c r="S1088" s="866"/>
      <c r="T1088" s="839"/>
      <c r="U1088" s="577"/>
      <c r="V1088" s="581"/>
      <c r="W1088" s="613"/>
      <c r="X1088" s="611"/>
      <c r="Y1088" s="614"/>
      <c r="Z1088" s="614"/>
      <c r="AA1088" s="614"/>
      <c r="AB1088" s="614"/>
      <c r="AC1088" s="614"/>
      <c r="AD1088" s="614"/>
      <c r="AE1088" s="614"/>
      <c r="AF1088" s="614"/>
      <c r="AG1088" s="614"/>
      <c r="AH1088" s="614"/>
      <c r="AI1088" s="614"/>
      <c r="AJ1088" s="614"/>
      <c r="AK1088" s="614"/>
      <c r="AL1088" s="614"/>
      <c r="AM1088" s="614"/>
      <c r="AN1088" s="614"/>
      <c r="AO1088" s="614"/>
      <c r="AP1088" s="614"/>
      <c r="AQ1088" s="614"/>
      <c r="AR1088" s="614"/>
      <c r="AS1088" s="614"/>
      <c r="AT1088" s="614"/>
      <c r="AU1088" s="614"/>
      <c r="AV1088" s="614"/>
      <c r="AW1088" s="614"/>
      <c r="AX1088" s="614"/>
      <c r="AY1088" s="614"/>
      <c r="AZ1088" s="614"/>
      <c r="BA1088" s="614"/>
      <c r="BB1088" s="614"/>
      <c r="BC1088" s="614"/>
      <c r="BD1088" s="614"/>
      <c r="BE1088" s="614"/>
      <c r="BF1088" s="614"/>
      <c r="BG1088" s="614"/>
      <c r="BH1088" s="614"/>
      <c r="BI1088" s="614"/>
      <c r="BJ1088" s="614"/>
      <c r="BK1088" s="614"/>
      <c r="BL1088" s="614"/>
      <c r="BM1088" s="614"/>
      <c r="BN1088" s="614"/>
      <c r="BO1088" s="614"/>
      <c r="BP1088" s="614"/>
      <c r="BQ1088" s="614"/>
      <c r="BR1088" s="614"/>
      <c r="BS1088" s="614"/>
      <c r="BT1088" s="614"/>
      <c r="BU1088" s="614"/>
      <c r="BV1088" s="614"/>
      <c r="BW1088" s="614"/>
      <c r="BX1088" s="614"/>
      <c r="BY1088" s="614"/>
      <c r="BZ1088" s="614"/>
      <c r="CA1088" s="614"/>
      <c r="CB1088" s="614"/>
      <c r="CC1088" s="614"/>
      <c r="CD1088" s="614"/>
      <c r="CE1088" s="614"/>
      <c r="CF1088" s="614"/>
      <c r="CG1088" s="614"/>
      <c r="CH1088" s="614"/>
      <c r="CI1088" s="614"/>
      <c r="CJ1088" s="614"/>
      <c r="CK1088" s="614"/>
      <c r="CL1088" s="614"/>
      <c r="CM1088" s="614"/>
      <c r="CN1088" s="614"/>
      <c r="CO1088" s="614"/>
      <c r="CP1088" s="614"/>
      <c r="CQ1088" s="614"/>
      <c r="CR1088" s="614"/>
      <c r="CS1088" s="614"/>
      <c r="CT1088" s="614"/>
      <c r="CU1088" s="614"/>
      <c r="CV1088" s="614"/>
      <c r="CW1088" s="614"/>
      <c r="CX1088" s="614"/>
      <c r="CY1088" s="614"/>
      <c r="CZ1088" s="614"/>
      <c r="DA1088" s="614"/>
      <c r="DB1088" s="614"/>
      <c r="DC1088" s="614"/>
      <c r="DD1088" s="614"/>
      <c r="DE1088" s="614"/>
      <c r="DF1088" s="614"/>
      <c r="DG1088" s="614"/>
      <c r="DH1088" s="614"/>
      <c r="DI1088" s="614"/>
      <c r="DJ1088" s="614"/>
      <c r="DK1088" s="614"/>
      <c r="DL1088" s="614"/>
      <c r="DM1088" s="614"/>
      <c r="DN1088" s="614"/>
      <c r="DO1088" s="614"/>
      <c r="DP1088" s="614"/>
      <c r="DQ1088" s="614"/>
      <c r="DR1088" s="614"/>
      <c r="DS1088" s="614"/>
      <c r="DT1088" s="614"/>
      <c r="DU1088" s="614"/>
      <c r="DV1088" s="614"/>
      <c r="DW1088" s="614"/>
      <c r="DX1088" s="614"/>
      <c r="DY1088" s="614"/>
      <c r="DZ1088" s="614"/>
      <c r="EA1088" s="614"/>
      <c r="EB1088" s="614"/>
      <c r="EC1088" s="614"/>
      <c r="ED1088" s="614"/>
      <c r="EE1088" s="614"/>
      <c r="EF1088" s="614"/>
      <c r="EG1088" s="614"/>
      <c r="EH1088" s="614"/>
      <c r="EI1088" s="614"/>
      <c r="EJ1088" s="614"/>
      <c r="EK1088" s="614"/>
      <c r="EL1088" s="614"/>
      <c r="EM1088" s="614"/>
      <c r="EN1088" s="614"/>
      <c r="EO1088" s="614"/>
      <c r="EP1088" s="614"/>
      <c r="EQ1088" s="614"/>
      <c r="ER1088" s="614"/>
      <c r="ES1088" s="614"/>
      <c r="ET1088" s="614"/>
      <c r="EU1088" s="614"/>
      <c r="EV1088" s="614"/>
      <c r="EW1088" s="614"/>
      <c r="EX1088" s="614"/>
      <c r="EY1088" s="614"/>
      <c r="EZ1088" s="614"/>
      <c r="FA1088" s="614"/>
      <c r="FB1088" s="614"/>
      <c r="FC1088" s="614"/>
      <c r="FD1088" s="614"/>
      <c r="FE1088" s="614"/>
      <c r="FF1088" s="614"/>
      <c r="FG1088" s="614"/>
      <c r="FH1088" s="614"/>
      <c r="FI1088" s="614"/>
      <c r="FJ1088" s="614"/>
      <c r="FK1088" s="614"/>
      <c r="FL1088" s="614"/>
      <c r="FM1088" s="614"/>
      <c r="FN1088" s="614"/>
      <c r="FO1088" s="614"/>
      <c r="FP1088" s="614"/>
      <c r="FQ1088" s="614"/>
      <c r="FR1088" s="614"/>
      <c r="FS1088" s="614"/>
      <c r="FT1088" s="614"/>
      <c r="FU1088" s="614"/>
      <c r="FV1088" s="614"/>
      <c r="FW1088" s="614"/>
      <c r="FX1088" s="614"/>
      <c r="FY1088" s="614"/>
      <c r="FZ1088" s="614"/>
      <c r="GA1088" s="614"/>
      <c r="GB1088" s="614"/>
      <c r="GC1088" s="614"/>
      <c r="GD1088" s="614"/>
      <c r="GE1088" s="614"/>
      <c r="GF1088" s="614"/>
      <c r="GG1088" s="614"/>
      <c r="GH1088" s="614"/>
      <c r="GI1088" s="614"/>
      <c r="GJ1088" s="614"/>
      <c r="GK1088" s="614"/>
      <c r="GL1088" s="614"/>
      <c r="GM1088" s="614"/>
      <c r="GN1088" s="614"/>
      <c r="GO1088" s="614"/>
      <c r="GP1088" s="614"/>
      <c r="GQ1088" s="614"/>
      <c r="GR1088" s="614"/>
      <c r="GS1088" s="614"/>
      <c r="GT1088" s="614"/>
      <c r="GU1088" s="614"/>
      <c r="GV1088" s="614"/>
      <c r="GW1088" s="614"/>
      <c r="GX1088" s="614"/>
      <c r="GY1088" s="614"/>
      <c r="GZ1088" s="614"/>
      <c r="HA1088" s="614"/>
      <c r="HB1088" s="614"/>
      <c r="HC1088" s="614"/>
      <c r="HD1088" s="614"/>
      <c r="HE1088" s="614"/>
      <c r="HF1088" s="614"/>
      <c r="HG1088" s="614"/>
      <c r="HH1088" s="614"/>
      <c r="HI1088" s="614"/>
      <c r="HJ1088" s="614"/>
      <c r="HK1088" s="614"/>
      <c r="HL1088" s="614"/>
      <c r="HM1088" s="614"/>
      <c r="HN1088" s="614"/>
      <c r="HO1088" s="614"/>
      <c r="HP1088" s="614"/>
      <c r="HQ1088" s="614"/>
      <c r="HR1088" s="614"/>
      <c r="HS1088" s="614"/>
      <c r="HT1088" s="614"/>
      <c r="HU1088" s="614"/>
      <c r="HV1088" s="614"/>
      <c r="HW1088" s="614"/>
      <c r="HX1088" s="614"/>
      <c r="HY1088" s="614"/>
      <c r="HZ1088" s="614"/>
      <c r="IA1088" s="614"/>
      <c r="IB1088" s="614"/>
      <c r="IC1088" s="614"/>
      <c r="ID1088" s="614"/>
      <c r="IE1088" s="614"/>
      <c r="IF1088" s="614"/>
      <c r="IG1088" s="614"/>
      <c r="IH1088" s="614"/>
      <c r="II1088" s="614"/>
      <c r="IJ1088" s="614"/>
      <c r="IK1088" s="614"/>
      <c r="IL1088" s="614"/>
      <c r="IM1088" s="614"/>
      <c r="IN1088" s="614"/>
      <c r="IO1088" s="614"/>
      <c r="IP1088" s="614"/>
      <c r="IQ1088" s="614"/>
      <c r="IR1088" s="614"/>
      <c r="IS1088" s="614"/>
      <c r="IT1088" s="614"/>
      <c r="IU1088" s="614"/>
      <c r="IV1088" s="614"/>
      <c r="IW1088" s="614"/>
    </row>
    <row r="1089" spans="1:24" s="582" customFormat="1">
      <c r="A1089" s="699" t="s">
        <v>261</v>
      </c>
      <c r="B1089" s="808" t="s">
        <v>262</v>
      </c>
      <c r="C1089" s="699"/>
      <c r="D1089" s="699"/>
      <c r="E1089" s="700"/>
      <c r="F1089" s="810">
        <f t="shared" ref="F1089:L1089" si="96">F1090+F1091</f>
        <v>21000000</v>
      </c>
      <c r="G1089" s="810">
        <f t="shared" si="96"/>
        <v>0</v>
      </c>
      <c r="H1089" s="810">
        <f t="shared" si="96"/>
        <v>0</v>
      </c>
      <c r="I1089" s="810">
        <f t="shared" si="96"/>
        <v>0</v>
      </c>
      <c r="J1089" s="810">
        <f t="shared" si="96"/>
        <v>0</v>
      </c>
      <c r="K1089" s="810">
        <f>K1090+K1091</f>
        <v>40900000</v>
      </c>
      <c r="L1089" s="1313">
        <f t="shared" si="96"/>
        <v>28600000</v>
      </c>
      <c r="M1089" s="707"/>
      <c r="N1089" s="934"/>
      <c r="O1089" s="934"/>
      <c r="P1089" s="820"/>
      <c r="Q1089" s="820"/>
      <c r="R1089" s="866"/>
      <c r="S1089" s="866"/>
      <c r="T1089" s="839"/>
      <c r="U1089" s="726"/>
      <c r="V1089" s="613"/>
      <c r="W1089" s="581"/>
      <c r="X1089" s="578"/>
    </row>
    <row r="1090" spans="1:24" s="582" customFormat="1">
      <c r="A1090" s="713"/>
      <c r="B1090" s="668" t="s">
        <v>263</v>
      </c>
      <c r="C1090" s="699"/>
      <c r="D1090" s="699"/>
      <c r="E1090" s="700"/>
      <c r="F1090" s="725">
        <f>(F1078+F1081+F1083+F1088)*10%</f>
        <v>21000000</v>
      </c>
      <c r="G1090" s="700"/>
      <c r="H1090" s="700"/>
      <c r="I1090" s="700"/>
      <c r="J1090" s="725"/>
      <c r="K1090" s="725">
        <f>(K1074+K1078+K1079+K1080+K1082+K1083)*10%</f>
        <v>40900000</v>
      </c>
      <c r="L1090" s="1311">
        <f>(L1074+L1075-L1076-L1081)*10%</f>
        <v>28600000</v>
      </c>
      <c r="M1090" s="669"/>
      <c r="N1090" s="868"/>
      <c r="O1090" s="868"/>
      <c r="P1090" s="820"/>
      <c r="Q1090" s="820"/>
      <c r="R1090" s="866"/>
      <c r="S1090" s="866"/>
      <c r="T1090" s="839"/>
      <c r="U1090" s="726"/>
      <c r="V1090" s="581"/>
      <c r="W1090" s="581"/>
      <c r="X1090" s="578"/>
    </row>
    <row r="1091" spans="1:24" s="582" customFormat="1" ht="15.75" hidden="1" customHeight="1">
      <c r="A1091" s="713"/>
      <c r="B1091" s="669"/>
      <c r="C1091" s="699"/>
      <c r="D1091" s="699"/>
      <c r="E1091" s="700"/>
      <c r="F1091" s="725"/>
      <c r="G1091" s="700"/>
      <c r="H1091" s="700"/>
      <c r="I1091" s="700"/>
      <c r="J1091" s="725"/>
      <c r="K1091" s="725"/>
      <c r="L1091" s="1311"/>
      <c r="M1091" s="669"/>
      <c r="N1091" s="868"/>
      <c r="O1091" s="868"/>
      <c r="P1091" s="820"/>
      <c r="Q1091" s="820"/>
      <c r="R1091" s="945"/>
      <c r="S1091" s="866"/>
      <c r="T1091" s="839"/>
      <c r="U1091" s="726"/>
      <c r="V1091" s="581"/>
      <c r="W1091" s="581"/>
      <c r="X1091" s="578"/>
    </row>
    <row r="1092" spans="1:24" s="582" customFormat="1">
      <c r="A1092" s="590" t="s">
        <v>575</v>
      </c>
      <c r="B1092" s="607" t="s">
        <v>576</v>
      </c>
      <c r="C1092" s="590"/>
      <c r="D1092" s="590"/>
      <c r="E1092" s="609"/>
      <c r="F1092" s="603">
        <f t="shared" ref="F1092:J1092" si="97">F1093+F1133+F1171+F1165+F1175</f>
        <v>14815000000</v>
      </c>
      <c r="G1092" s="603" t="e">
        <f t="shared" si="97"/>
        <v>#VALUE!</v>
      </c>
      <c r="H1092" s="603">
        <f t="shared" si="97"/>
        <v>41000000</v>
      </c>
      <c r="I1092" s="603">
        <f t="shared" si="97"/>
        <v>41000000</v>
      </c>
      <c r="J1092" s="603">
        <f t="shared" si="97"/>
        <v>19592000000</v>
      </c>
      <c r="K1092" s="603">
        <f>K1093+K1133+K1171+K1165+K1175</f>
        <v>14283000000</v>
      </c>
      <c r="L1092" s="1302">
        <f>L1093+L1133+L1171+L1165+L1175</f>
        <v>14731293000</v>
      </c>
      <c r="M1092" s="603"/>
      <c r="N1092" s="855"/>
      <c r="O1092" s="855"/>
      <c r="P1092" s="973"/>
      <c r="Q1092" s="973"/>
      <c r="R1092" s="945"/>
      <c r="S1092" s="945"/>
      <c r="T1092" s="852"/>
      <c r="U1092" s="580"/>
      <c r="V1092" s="581"/>
      <c r="W1092" s="581"/>
      <c r="X1092" s="578"/>
    </row>
    <row r="1093" spans="1:24" s="582" customFormat="1" ht="63">
      <c r="A1093" s="622">
        <v>1</v>
      </c>
      <c r="B1093" s="623" t="s">
        <v>1215</v>
      </c>
      <c r="C1093" s="622"/>
      <c r="D1093" s="622"/>
      <c r="E1093" s="660"/>
      <c r="F1093" s="626">
        <f>ROUND(SUM(F1095:F1106),-6)</f>
        <v>2798000000</v>
      </c>
      <c r="G1093" s="626">
        <f>ROUND(SUM(G1095:G1106),-6)</f>
        <v>0</v>
      </c>
      <c r="H1093" s="626">
        <f>ROUND(SUM(H1095:H1106),-6)</f>
        <v>0</v>
      </c>
      <c r="I1093" s="626">
        <f>ROUND(SUM(I1095:I1106),-6)</f>
        <v>0</v>
      </c>
      <c r="J1093" s="626">
        <f>ROUND(SUM(J1095:J1130),-6)</f>
        <v>7781000000</v>
      </c>
      <c r="K1093" s="626">
        <f>K1094+K1099</f>
        <v>3468000000</v>
      </c>
      <c r="L1093" s="1302">
        <f>L1094+L1099</f>
        <v>3294000000</v>
      </c>
      <c r="M1093" s="626" t="s">
        <v>1565</v>
      </c>
      <c r="N1093" s="855">
        <v>17384000000</v>
      </c>
      <c r="O1093" s="855" t="s">
        <v>1977</v>
      </c>
      <c r="P1093" s="1071"/>
      <c r="Q1093" s="1071"/>
      <c r="R1093" s="866">
        <f>F1095+F1097+F1100</f>
        <v>1502696231</v>
      </c>
      <c r="S1093" s="866">
        <f>K1093-K1095</f>
        <v>2471011700</v>
      </c>
      <c r="T1093" s="839"/>
      <c r="U1093" s="726"/>
      <c r="V1093" s="581"/>
      <c r="W1093" s="581"/>
      <c r="X1093" s="578"/>
    </row>
    <row r="1094" spans="1:24" s="582" customFormat="1">
      <c r="A1094" s="622" t="s">
        <v>192</v>
      </c>
      <c r="B1094" s="623" t="s">
        <v>1216</v>
      </c>
      <c r="C1094" s="622"/>
      <c r="D1094" s="622"/>
      <c r="E1094" s="660"/>
      <c r="F1094" s="626"/>
      <c r="G1094" s="626"/>
      <c r="H1094" s="626"/>
      <c r="I1094" s="626"/>
      <c r="J1094" s="626"/>
      <c r="K1094" s="626">
        <f>ROUND(SUM(K1095:K1097),-6)</f>
        <v>1788000000</v>
      </c>
      <c r="L1094" s="1302">
        <f>ROUND(SUM(L1095:L1097),-6)</f>
        <v>1582000000</v>
      </c>
      <c r="M1094" s="626"/>
      <c r="N1094" s="855">
        <f>L1093+Sheet2!AW15*1000</f>
        <v>8371104700</v>
      </c>
      <c r="O1094" s="855" t="s">
        <v>1976</v>
      </c>
      <c r="P1094" s="1071"/>
      <c r="Q1094" s="1071"/>
      <c r="R1094" s="866"/>
      <c r="S1094" s="866"/>
      <c r="T1094" s="839"/>
      <c r="U1094" s="726"/>
      <c r="V1094" s="581"/>
      <c r="W1094" s="581"/>
      <c r="X1094" s="578"/>
    </row>
    <row r="1095" spans="1:24" s="582" customFormat="1" ht="15.75" customHeight="1">
      <c r="A1095" s="699"/>
      <c r="B1095" s="651" t="s">
        <v>578</v>
      </c>
      <c r="C1095" s="699"/>
      <c r="D1095" s="699"/>
      <c r="E1095" s="781">
        <v>7700</v>
      </c>
      <c r="F1095" s="700">
        <f>E1095*129479</f>
        <v>996988300</v>
      </c>
      <c r="G1095" s="781"/>
      <c r="H1095" s="781"/>
      <c r="I1095" s="781"/>
      <c r="J1095" s="700"/>
      <c r="K1095" s="700">
        <v>996988300</v>
      </c>
      <c r="L1095" s="1315">
        <v>996988300</v>
      </c>
      <c r="M1095" s="603"/>
      <c r="N1095" s="820"/>
      <c r="O1095" s="820"/>
      <c r="P1095" s="924"/>
      <c r="Q1095" s="924"/>
      <c r="R1095" s="866">
        <f>2187308000-R1093</f>
        <v>684611769</v>
      </c>
      <c r="S1095" s="866"/>
      <c r="T1095" s="839"/>
      <c r="U1095" s="726"/>
      <c r="V1095" s="581"/>
      <c r="W1095" s="581"/>
      <c r="X1095" s="578"/>
    </row>
    <row r="1096" spans="1:24" s="582" customFormat="1" ht="15.75" customHeight="1">
      <c r="A1096" s="699"/>
      <c r="B1096" s="651" t="s">
        <v>590</v>
      </c>
      <c r="C1096" s="699"/>
      <c r="D1096" s="699"/>
      <c r="E1096" s="781">
        <v>4400</v>
      </c>
      <c r="F1096" s="700">
        <f>E1096*133041</f>
        <v>585380400</v>
      </c>
      <c r="G1096" s="781"/>
      <c r="H1096" s="781"/>
      <c r="I1096" s="781"/>
      <c r="J1096" s="700"/>
      <c r="K1096" s="700">
        <v>585380400</v>
      </c>
      <c r="L1096" s="1315">
        <v>585380400</v>
      </c>
      <c r="M1096" s="651"/>
      <c r="N1096" s="820"/>
      <c r="O1096" s="820"/>
      <c r="P1096" s="924"/>
      <c r="Q1096" s="924"/>
      <c r="R1096" s="866"/>
      <c r="S1096" s="866"/>
      <c r="T1096" s="839"/>
      <c r="U1096" s="726"/>
      <c r="V1096" s="581"/>
      <c r="W1096" s="581"/>
      <c r="X1096" s="578"/>
    </row>
    <row r="1097" spans="1:24" s="582" customFormat="1" ht="15.75" customHeight="1">
      <c r="A1097" s="699"/>
      <c r="B1097" s="696" t="s">
        <v>591</v>
      </c>
      <c r="C1097" s="699"/>
      <c r="D1097" s="699"/>
      <c r="E1097" s="781"/>
      <c r="F1097" s="700">
        <f>(F1095+F1096)*13%</f>
        <v>205707931</v>
      </c>
      <c r="G1097" s="781"/>
      <c r="H1097" s="781"/>
      <c r="I1097" s="781"/>
      <c r="J1097" s="700"/>
      <c r="K1097" s="700">
        <v>205707931</v>
      </c>
      <c r="L1097" s="1315"/>
      <c r="M1097" s="651" t="s">
        <v>1566</v>
      </c>
      <c r="N1097" s="820">
        <f>L1097</f>
        <v>0</v>
      </c>
      <c r="O1097" s="820"/>
      <c r="P1097" s="924"/>
      <c r="Q1097" s="924"/>
      <c r="R1097" s="866"/>
      <c r="S1097" s="866"/>
      <c r="T1097" s="839"/>
      <c r="U1097" s="596"/>
      <c r="V1097" s="581"/>
      <c r="W1097" s="581"/>
      <c r="X1097" s="578"/>
    </row>
    <row r="1098" spans="1:24" s="582" customFormat="1" ht="15.75" customHeight="1">
      <c r="A1098" s="699" t="s">
        <v>91</v>
      </c>
      <c r="B1098" s="813" t="s">
        <v>579</v>
      </c>
      <c r="C1098" s="699"/>
      <c r="D1098" s="699"/>
      <c r="E1098" s="781"/>
      <c r="F1098" s="725"/>
      <c r="G1098" s="781"/>
      <c r="H1098" s="781"/>
      <c r="I1098" s="781"/>
      <c r="J1098" s="725"/>
      <c r="K1098" s="725"/>
      <c r="L1098" s="1311"/>
      <c r="M1098" s="669"/>
      <c r="N1098" s="868"/>
      <c r="O1098" s="868"/>
      <c r="P1098" s="924"/>
      <c r="Q1098" s="924"/>
      <c r="R1098" s="866"/>
      <c r="S1098" s="866"/>
      <c r="T1098" s="839"/>
      <c r="U1098" s="580"/>
      <c r="V1098" s="581"/>
      <c r="W1098" s="581"/>
      <c r="X1098" s="578"/>
    </row>
    <row r="1099" spans="1:24" s="737" customFormat="1">
      <c r="A1099" s="729" t="s">
        <v>192</v>
      </c>
      <c r="B1099" s="623" t="s">
        <v>1217</v>
      </c>
      <c r="C1099" s="729"/>
      <c r="D1099" s="729"/>
      <c r="E1099" s="883"/>
      <c r="F1099" s="882"/>
      <c r="G1099" s="883"/>
      <c r="H1099" s="883"/>
      <c r="I1099" s="883"/>
      <c r="J1099" s="882"/>
      <c r="K1099" s="882">
        <f>1680000000</f>
        <v>1680000000</v>
      </c>
      <c r="L1099" s="1316">
        <f>1680000000+32000000</f>
        <v>1712000000</v>
      </c>
      <c r="M1099" s="625" t="s">
        <v>1568</v>
      </c>
      <c r="N1099" s="984"/>
      <c r="O1099" s="984"/>
      <c r="P1099" s="1163"/>
      <c r="Q1099" s="1163"/>
      <c r="R1099" s="952"/>
      <c r="S1099" s="952"/>
      <c r="T1099" s="953"/>
      <c r="U1099" s="734"/>
      <c r="V1099" s="735"/>
      <c r="W1099" s="735"/>
      <c r="X1099" s="736"/>
    </row>
    <row r="1100" spans="1:24" s="582" customFormat="1" ht="15.75" hidden="1" customHeight="1">
      <c r="A1100" s="699" t="s">
        <v>91</v>
      </c>
      <c r="B1100" s="813" t="s">
        <v>580</v>
      </c>
      <c r="C1100" s="699"/>
      <c r="D1100" s="699"/>
      <c r="E1100" s="781"/>
      <c r="F1100" s="725">
        <v>300000000</v>
      </c>
      <c r="G1100" s="781"/>
      <c r="H1100" s="781"/>
      <c r="I1100" s="781"/>
      <c r="J1100" s="725">
        <v>800000000</v>
      </c>
      <c r="K1100" s="725"/>
      <c r="L1100" s="1311"/>
      <c r="M1100" s="669"/>
      <c r="N1100" s="868"/>
      <c r="O1100" s="868"/>
      <c r="P1100" s="924"/>
      <c r="Q1100" s="924"/>
      <c r="R1100" s="866"/>
      <c r="S1100" s="866"/>
      <c r="T1100" s="839"/>
      <c r="U1100" s="580"/>
      <c r="V1100" s="581"/>
      <c r="W1100" s="581"/>
      <c r="X1100" s="578"/>
    </row>
    <row r="1101" spans="1:24" s="582" customFormat="1" ht="31.5" hidden="1" customHeight="1">
      <c r="A1101" s="699" t="s">
        <v>91</v>
      </c>
      <c r="B1101" s="813" t="s">
        <v>1218</v>
      </c>
      <c r="C1101" s="699"/>
      <c r="D1101" s="699"/>
      <c r="E1101" s="781"/>
      <c r="F1101" s="725">
        <v>50000000</v>
      </c>
      <c r="G1101" s="781"/>
      <c r="H1101" s="781"/>
      <c r="I1101" s="781"/>
      <c r="J1101" s="725"/>
      <c r="K1101" s="725"/>
      <c r="L1101" s="1311"/>
      <c r="M1101" s="669"/>
      <c r="N1101" s="868"/>
      <c r="O1101" s="868"/>
      <c r="P1101" s="924"/>
      <c r="Q1101" s="924"/>
      <c r="R1101" s="866"/>
      <c r="S1101" s="866"/>
      <c r="T1101" s="839"/>
      <c r="U1101" s="580"/>
      <c r="V1101" s="581"/>
      <c r="W1101" s="581"/>
      <c r="X1101" s="578"/>
    </row>
    <row r="1102" spans="1:24" s="582" customFormat="1" ht="15.75" hidden="1" customHeight="1">
      <c r="A1102" s="699" t="s">
        <v>91</v>
      </c>
      <c r="B1102" s="813" t="s">
        <v>581</v>
      </c>
      <c r="C1102" s="699"/>
      <c r="D1102" s="699"/>
      <c r="E1102" s="781"/>
      <c r="F1102" s="700">
        <v>50000000</v>
      </c>
      <c r="G1102" s="781"/>
      <c r="H1102" s="781"/>
      <c r="I1102" s="781"/>
      <c r="J1102" s="700">
        <v>60000000</v>
      </c>
      <c r="K1102" s="700"/>
      <c r="L1102" s="1315"/>
      <c r="M1102" s="651"/>
      <c r="N1102" s="820"/>
      <c r="O1102" s="820"/>
      <c r="P1102" s="924"/>
      <c r="Q1102" s="924"/>
      <c r="R1102" s="866"/>
      <c r="S1102" s="866"/>
      <c r="T1102" s="839"/>
      <c r="U1102" s="726"/>
      <c r="V1102" s="581"/>
      <c r="W1102" s="581"/>
      <c r="X1102" s="578"/>
    </row>
    <row r="1103" spans="1:24" s="582" customFormat="1" ht="15.75" hidden="1" customHeight="1">
      <c r="A1103" s="699" t="s">
        <v>91</v>
      </c>
      <c r="B1103" s="813" t="s">
        <v>582</v>
      </c>
      <c r="C1103" s="699"/>
      <c r="D1103" s="699"/>
      <c r="E1103" s="781"/>
      <c r="F1103" s="700">
        <v>150000000</v>
      </c>
      <c r="G1103" s="781"/>
      <c r="H1103" s="781"/>
      <c r="I1103" s="781"/>
      <c r="J1103" s="700">
        <v>170000000</v>
      </c>
      <c r="K1103" s="700"/>
      <c r="L1103" s="1315"/>
      <c r="M1103" s="651"/>
      <c r="N1103" s="820"/>
      <c r="O1103" s="820"/>
      <c r="P1103" s="924"/>
      <c r="Q1103" s="924"/>
      <c r="R1103" s="866"/>
      <c r="S1103" s="866"/>
      <c r="T1103" s="839"/>
      <c r="U1103" s="726"/>
      <c r="V1103" s="581"/>
      <c r="W1103" s="581"/>
      <c r="X1103" s="578"/>
    </row>
    <row r="1104" spans="1:24" s="582" customFormat="1" ht="47.25" hidden="1" customHeight="1">
      <c r="A1104" s="699"/>
      <c r="B1104" s="813" t="s">
        <v>583</v>
      </c>
      <c r="C1104" s="699"/>
      <c r="D1104" s="699"/>
      <c r="E1104" s="781"/>
      <c r="F1104" s="700">
        <v>100000000</v>
      </c>
      <c r="G1104" s="781"/>
      <c r="H1104" s="781"/>
      <c r="I1104" s="781"/>
      <c r="J1104" s="700">
        <v>70000000</v>
      </c>
      <c r="K1104" s="700"/>
      <c r="L1104" s="1315"/>
      <c r="M1104" s="651"/>
      <c r="N1104" s="820"/>
      <c r="O1104" s="820"/>
      <c r="P1104" s="924"/>
      <c r="Q1104" s="924"/>
      <c r="R1104" s="866"/>
      <c r="S1104" s="866"/>
      <c r="T1104" s="839"/>
      <c r="U1104" s="726"/>
      <c r="V1104" s="581"/>
      <c r="W1104" s="581"/>
      <c r="X1104" s="578"/>
    </row>
    <row r="1105" spans="1:24" s="582" customFormat="1" ht="15.75" hidden="1" customHeight="1">
      <c r="A1105" s="699"/>
      <c r="B1105" s="813" t="s">
        <v>584</v>
      </c>
      <c r="C1105" s="699"/>
      <c r="D1105" s="699"/>
      <c r="E1105" s="781"/>
      <c r="F1105" s="700">
        <v>300000000</v>
      </c>
      <c r="G1105" s="781"/>
      <c r="H1105" s="781"/>
      <c r="I1105" s="781"/>
      <c r="J1105" s="700"/>
      <c r="K1105" s="700"/>
      <c r="L1105" s="1315"/>
      <c r="M1105" s="651"/>
      <c r="N1105" s="820"/>
      <c r="O1105" s="820"/>
      <c r="P1105" s="924"/>
      <c r="Q1105" s="924"/>
      <c r="R1105" s="866"/>
      <c r="S1105" s="866"/>
      <c r="T1105" s="839"/>
      <c r="U1105" s="726"/>
      <c r="V1105" s="581"/>
      <c r="W1105" s="581"/>
      <c r="X1105" s="578"/>
    </row>
    <row r="1106" spans="1:24" s="582" customFormat="1" ht="15.75" hidden="1" customHeight="1">
      <c r="A1106" s="699"/>
      <c r="B1106" s="813" t="s">
        <v>585</v>
      </c>
      <c r="C1106" s="699"/>
      <c r="D1106" s="699"/>
      <c r="E1106" s="781"/>
      <c r="F1106" s="700">
        <v>60000000</v>
      </c>
      <c r="G1106" s="781"/>
      <c r="H1106" s="781"/>
      <c r="I1106" s="781"/>
      <c r="J1106" s="700">
        <v>100000000</v>
      </c>
      <c r="K1106" s="700"/>
      <c r="L1106" s="1315"/>
      <c r="M1106" s="651"/>
      <c r="N1106" s="820"/>
      <c r="O1106" s="820"/>
      <c r="P1106" s="924"/>
      <c r="Q1106" s="924"/>
      <c r="R1106" s="866"/>
      <c r="S1106" s="866"/>
      <c r="T1106" s="839"/>
      <c r="U1106" s="726"/>
      <c r="V1106" s="581"/>
      <c r="W1106" s="581"/>
      <c r="X1106" s="578"/>
    </row>
    <row r="1107" spans="1:24" s="582" customFormat="1" ht="15.75" hidden="1" customHeight="1">
      <c r="A1107" s="699"/>
      <c r="B1107" s="813" t="s">
        <v>586</v>
      </c>
      <c r="C1107" s="699"/>
      <c r="D1107" s="699"/>
      <c r="E1107" s="781"/>
      <c r="F1107" s="700"/>
      <c r="G1107" s="781"/>
      <c r="H1107" s="781"/>
      <c r="I1107" s="781"/>
      <c r="J1107" s="700"/>
      <c r="K1107" s="700"/>
      <c r="L1107" s="1315"/>
      <c r="M1107" s="651"/>
      <c r="N1107" s="820"/>
      <c r="O1107" s="820"/>
      <c r="P1107" s="924"/>
      <c r="Q1107" s="924"/>
      <c r="R1107" s="866"/>
      <c r="S1107" s="866"/>
      <c r="T1107" s="839"/>
      <c r="U1107" s="726"/>
      <c r="V1107" s="581"/>
      <c r="W1107" s="581"/>
      <c r="X1107" s="578"/>
    </row>
    <row r="1108" spans="1:24" s="582" customFormat="1" ht="15.75" hidden="1" customHeight="1">
      <c r="A1108" s="699"/>
      <c r="B1108" s="813" t="s">
        <v>1219</v>
      </c>
      <c r="C1108" s="699"/>
      <c r="D1108" s="699"/>
      <c r="E1108" s="781"/>
      <c r="F1108" s="700"/>
      <c r="G1108" s="781"/>
      <c r="H1108" s="781"/>
      <c r="I1108" s="781"/>
      <c r="J1108" s="700">
        <v>450000000</v>
      </c>
      <c r="K1108" s="700"/>
      <c r="L1108" s="1315"/>
      <c r="M1108" s="651"/>
      <c r="N1108" s="820"/>
      <c r="O1108" s="820"/>
      <c r="P1108" s="924"/>
      <c r="Q1108" s="924"/>
      <c r="R1108" s="866"/>
      <c r="S1108" s="866"/>
      <c r="T1108" s="839"/>
      <c r="U1108" s="726"/>
      <c r="V1108" s="581"/>
      <c r="W1108" s="581"/>
      <c r="X1108" s="578"/>
    </row>
    <row r="1109" spans="1:24" s="582" customFormat="1" ht="15.75" hidden="1" customHeight="1">
      <c r="A1109" s="699"/>
      <c r="B1109" s="813" t="s">
        <v>1220</v>
      </c>
      <c r="C1109" s="699"/>
      <c r="D1109" s="699"/>
      <c r="E1109" s="781"/>
      <c r="F1109" s="700"/>
      <c r="G1109" s="781"/>
      <c r="H1109" s="781"/>
      <c r="I1109" s="781"/>
      <c r="J1109" s="700">
        <v>600000000</v>
      </c>
      <c r="K1109" s="700"/>
      <c r="L1109" s="1315"/>
      <c r="M1109" s="651"/>
      <c r="N1109" s="820"/>
      <c r="O1109" s="820"/>
      <c r="P1109" s="924"/>
      <c r="Q1109" s="924"/>
      <c r="R1109" s="866"/>
      <c r="S1109" s="866"/>
      <c r="T1109" s="839"/>
      <c r="U1109" s="726"/>
      <c r="V1109" s="581"/>
      <c r="W1109" s="581"/>
      <c r="X1109" s="578"/>
    </row>
    <row r="1110" spans="1:24" s="582" customFormat="1" ht="15.75" hidden="1" customHeight="1">
      <c r="A1110" s="699"/>
      <c r="B1110" s="813" t="s">
        <v>1221</v>
      </c>
      <c r="C1110" s="699"/>
      <c r="D1110" s="699"/>
      <c r="E1110" s="781"/>
      <c r="F1110" s="700"/>
      <c r="G1110" s="781"/>
      <c r="H1110" s="781"/>
      <c r="I1110" s="781"/>
      <c r="J1110" s="700">
        <v>320000000</v>
      </c>
      <c r="K1110" s="700"/>
      <c r="L1110" s="1315"/>
      <c r="M1110" s="651"/>
      <c r="N1110" s="820"/>
      <c r="O1110" s="820"/>
      <c r="P1110" s="924"/>
      <c r="Q1110" s="924"/>
      <c r="R1110" s="866"/>
      <c r="S1110" s="866"/>
      <c r="T1110" s="839"/>
      <c r="U1110" s="726"/>
      <c r="V1110" s="581"/>
      <c r="W1110" s="581"/>
      <c r="X1110" s="578"/>
    </row>
    <row r="1111" spans="1:24" s="582" customFormat="1" ht="15.75" hidden="1" customHeight="1">
      <c r="A1111" s="699"/>
      <c r="B1111" s="813" t="s">
        <v>1222</v>
      </c>
      <c r="C1111" s="699"/>
      <c r="D1111" s="699"/>
      <c r="E1111" s="781"/>
      <c r="F1111" s="700"/>
      <c r="G1111" s="781"/>
      <c r="H1111" s="781"/>
      <c r="I1111" s="781"/>
      <c r="J1111" s="700">
        <v>240000000</v>
      </c>
      <c r="K1111" s="700"/>
      <c r="L1111" s="1315"/>
      <c r="M1111" s="651"/>
      <c r="N1111" s="820"/>
      <c r="O1111" s="820"/>
      <c r="P1111" s="924"/>
      <c r="Q1111" s="924"/>
      <c r="R1111" s="866"/>
      <c r="S1111" s="866"/>
      <c r="T1111" s="839"/>
      <c r="U1111" s="726"/>
      <c r="V1111" s="581"/>
      <c r="W1111" s="581"/>
      <c r="X1111" s="578"/>
    </row>
    <row r="1112" spans="1:24" s="582" customFormat="1" ht="15.75" hidden="1" customHeight="1">
      <c r="A1112" s="699"/>
      <c r="B1112" s="813" t="s">
        <v>1223</v>
      </c>
      <c r="C1112" s="699"/>
      <c r="D1112" s="699"/>
      <c r="E1112" s="781"/>
      <c r="F1112" s="700"/>
      <c r="G1112" s="781"/>
      <c r="H1112" s="781"/>
      <c r="I1112" s="781"/>
      <c r="J1112" s="700">
        <v>810000000</v>
      </c>
      <c r="K1112" s="700"/>
      <c r="L1112" s="1315"/>
      <c r="M1112" s="651"/>
      <c r="N1112" s="820"/>
      <c r="O1112" s="820"/>
      <c r="P1112" s="924"/>
      <c r="Q1112" s="924"/>
      <c r="R1112" s="866"/>
      <c r="S1112" s="866"/>
      <c r="T1112" s="839"/>
      <c r="U1112" s="726"/>
      <c r="V1112" s="581"/>
      <c r="W1112" s="581"/>
      <c r="X1112" s="578"/>
    </row>
    <row r="1113" spans="1:24" s="582" customFormat="1" ht="15.75" hidden="1" customHeight="1">
      <c r="A1113" s="699"/>
      <c r="B1113" s="813" t="s">
        <v>1224</v>
      </c>
      <c r="C1113" s="699"/>
      <c r="D1113" s="699"/>
      <c r="E1113" s="781"/>
      <c r="F1113" s="700"/>
      <c r="G1113" s="781"/>
      <c r="H1113" s="781"/>
      <c r="I1113" s="781"/>
      <c r="J1113" s="700">
        <v>250000000</v>
      </c>
      <c r="K1113" s="700"/>
      <c r="L1113" s="1315"/>
      <c r="M1113" s="651"/>
      <c r="N1113" s="820"/>
      <c r="O1113" s="820"/>
      <c r="P1113" s="924"/>
      <c r="Q1113" s="924"/>
      <c r="R1113" s="866"/>
      <c r="S1113" s="866"/>
      <c r="T1113" s="839"/>
      <c r="U1113" s="726"/>
      <c r="V1113" s="581"/>
      <c r="W1113" s="581"/>
      <c r="X1113" s="578"/>
    </row>
    <row r="1114" spans="1:24" s="582" customFormat="1" ht="15.75" hidden="1" customHeight="1">
      <c r="A1114" s="699"/>
      <c r="B1114" s="813" t="s">
        <v>1225</v>
      </c>
      <c r="C1114" s="699"/>
      <c r="D1114" s="699"/>
      <c r="E1114" s="781"/>
      <c r="F1114" s="700"/>
      <c r="G1114" s="781"/>
      <c r="H1114" s="781"/>
      <c r="I1114" s="781"/>
      <c r="J1114" s="700">
        <v>200000000</v>
      </c>
      <c r="K1114" s="700"/>
      <c r="L1114" s="1315"/>
      <c r="M1114" s="651"/>
      <c r="N1114" s="820"/>
      <c r="O1114" s="820"/>
      <c r="P1114" s="924"/>
      <c r="Q1114" s="924"/>
      <c r="R1114" s="866"/>
      <c r="S1114" s="866"/>
      <c r="T1114" s="839"/>
      <c r="U1114" s="726"/>
      <c r="V1114" s="581"/>
      <c r="W1114" s="581"/>
      <c r="X1114" s="578"/>
    </row>
    <row r="1115" spans="1:24" s="582" customFormat="1" ht="15.75" hidden="1" customHeight="1">
      <c r="A1115" s="699"/>
      <c r="B1115" s="813" t="s">
        <v>1226</v>
      </c>
      <c r="C1115" s="699"/>
      <c r="D1115" s="699"/>
      <c r="E1115" s="781"/>
      <c r="F1115" s="700"/>
      <c r="G1115" s="781"/>
      <c r="H1115" s="781"/>
      <c r="I1115" s="781"/>
      <c r="J1115" s="700">
        <v>121000000</v>
      </c>
      <c r="K1115" s="700"/>
      <c r="L1115" s="1315"/>
      <c r="M1115" s="651"/>
      <c r="N1115" s="820"/>
      <c r="O1115" s="820"/>
      <c r="P1115" s="924"/>
      <c r="Q1115" s="924"/>
      <c r="R1115" s="866"/>
      <c r="S1115" s="866"/>
      <c r="T1115" s="839"/>
      <c r="U1115" s="726"/>
      <c r="V1115" s="581"/>
      <c r="W1115" s="581"/>
      <c r="X1115" s="578"/>
    </row>
    <row r="1116" spans="1:24" s="582" customFormat="1" ht="15.75" hidden="1" customHeight="1">
      <c r="A1116" s="699"/>
      <c r="B1116" s="813" t="s">
        <v>1227</v>
      </c>
      <c r="C1116" s="699"/>
      <c r="D1116" s="699"/>
      <c r="E1116" s="781"/>
      <c r="F1116" s="700"/>
      <c r="G1116" s="781"/>
      <c r="H1116" s="781"/>
      <c r="I1116" s="781"/>
      <c r="J1116" s="700">
        <v>400000000</v>
      </c>
      <c r="K1116" s="700"/>
      <c r="L1116" s="1315"/>
      <c r="M1116" s="651"/>
      <c r="N1116" s="820"/>
      <c r="O1116" s="820"/>
      <c r="P1116" s="924"/>
      <c r="Q1116" s="924"/>
      <c r="R1116" s="866"/>
      <c r="S1116" s="866"/>
      <c r="T1116" s="839"/>
      <c r="U1116" s="726"/>
      <c r="V1116" s="581"/>
      <c r="W1116" s="581"/>
      <c r="X1116" s="578"/>
    </row>
    <row r="1117" spans="1:24" s="582" customFormat="1" ht="15.75" hidden="1" customHeight="1">
      <c r="A1117" s="699"/>
      <c r="B1117" s="813" t="s">
        <v>1228</v>
      </c>
      <c r="C1117" s="699"/>
      <c r="D1117" s="699"/>
      <c r="E1117" s="781"/>
      <c r="F1117" s="700"/>
      <c r="G1117" s="781"/>
      <c r="H1117" s="781"/>
      <c r="I1117" s="781"/>
      <c r="J1117" s="700">
        <v>280000000</v>
      </c>
      <c r="K1117" s="700"/>
      <c r="L1117" s="1315"/>
      <c r="M1117" s="651"/>
      <c r="N1117" s="820"/>
      <c r="O1117" s="820"/>
      <c r="P1117" s="924"/>
      <c r="Q1117" s="924"/>
      <c r="R1117" s="866"/>
      <c r="S1117" s="866"/>
      <c r="T1117" s="839"/>
      <c r="U1117" s="726"/>
      <c r="V1117" s="581"/>
      <c r="W1117" s="581"/>
      <c r="X1117" s="578"/>
    </row>
    <row r="1118" spans="1:24" s="582" customFormat="1" ht="15.75" hidden="1" customHeight="1">
      <c r="A1118" s="699"/>
      <c r="B1118" s="813" t="s">
        <v>1229</v>
      </c>
      <c r="C1118" s="699"/>
      <c r="D1118" s="699"/>
      <c r="E1118" s="781"/>
      <c r="F1118" s="700"/>
      <c r="G1118" s="781"/>
      <c r="H1118" s="781"/>
      <c r="I1118" s="781"/>
      <c r="J1118" s="700">
        <v>30000000</v>
      </c>
      <c r="K1118" s="700"/>
      <c r="L1118" s="1315"/>
      <c r="M1118" s="651"/>
      <c r="N1118" s="820"/>
      <c r="O1118" s="820"/>
      <c r="P1118" s="924"/>
      <c r="Q1118" s="924"/>
      <c r="R1118" s="866"/>
      <c r="S1118" s="866"/>
      <c r="T1118" s="839"/>
      <c r="U1118" s="726"/>
      <c r="V1118" s="581"/>
      <c r="W1118" s="581"/>
      <c r="X1118" s="578"/>
    </row>
    <row r="1119" spans="1:24" s="582" customFormat="1" ht="15.75" hidden="1" customHeight="1">
      <c r="A1119" s="699"/>
      <c r="B1119" s="813" t="s">
        <v>1230</v>
      </c>
      <c r="C1119" s="699"/>
      <c r="D1119" s="699"/>
      <c r="E1119" s="781"/>
      <c r="F1119" s="700"/>
      <c r="G1119" s="781"/>
      <c r="H1119" s="781"/>
      <c r="I1119" s="781"/>
      <c r="J1119" s="700">
        <v>30000000</v>
      </c>
      <c r="K1119" s="700"/>
      <c r="L1119" s="1315"/>
      <c r="M1119" s="651"/>
      <c r="N1119" s="820"/>
      <c r="O1119" s="820"/>
      <c r="P1119" s="924"/>
      <c r="Q1119" s="924"/>
      <c r="R1119" s="866"/>
      <c r="S1119" s="866"/>
      <c r="T1119" s="839"/>
      <c r="U1119" s="726"/>
      <c r="V1119" s="581"/>
      <c r="W1119" s="581"/>
      <c r="X1119" s="578"/>
    </row>
    <row r="1120" spans="1:24" s="582" customFormat="1" ht="31.5" hidden="1" customHeight="1">
      <c r="A1120" s="699"/>
      <c r="B1120" s="813" t="s">
        <v>1231</v>
      </c>
      <c r="C1120" s="699"/>
      <c r="D1120" s="699"/>
      <c r="E1120" s="781"/>
      <c r="F1120" s="700"/>
      <c r="G1120" s="781"/>
      <c r="H1120" s="781"/>
      <c r="I1120" s="781"/>
      <c r="J1120" s="700">
        <v>50000000</v>
      </c>
      <c r="K1120" s="700"/>
      <c r="L1120" s="1315"/>
      <c r="M1120" s="651"/>
      <c r="N1120" s="820"/>
      <c r="O1120" s="820"/>
      <c r="P1120" s="924"/>
      <c r="Q1120" s="924"/>
      <c r="R1120" s="866"/>
      <c r="S1120" s="866"/>
      <c r="T1120" s="839"/>
      <c r="U1120" s="726"/>
      <c r="V1120" s="581"/>
      <c r="W1120" s="581"/>
      <c r="X1120" s="578"/>
    </row>
    <row r="1121" spans="1:257" s="582" customFormat="1" ht="15.75" hidden="1" customHeight="1">
      <c r="A1121" s="699"/>
      <c r="B1121" s="813" t="s">
        <v>1232</v>
      </c>
      <c r="C1121" s="699"/>
      <c r="D1121" s="699"/>
      <c r="E1121" s="781"/>
      <c r="F1121" s="700"/>
      <c r="G1121" s="781"/>
      <c r="H1121" s="781"/>
      <c r="I1121" s="781"/>
      <c r="J1121" s="700">
        <v>60000000</v>
      </c>
      <c r="K1121" s="700"/>
      <c r="L1121" s="1315"/>
      <c r="M1121" s="651"/>
      <c r="N1121" s="820"/>
      <c r="O1121" s="820"/>
      <c r="P1121" s="924"/>
      <c r="Q1121" s="924"/>
      <c r="R1121" s="866"/>
      <c r="S1121" s="866"/>
      <c r="T1121" s="839"/>
      <c r="U1121" s="726"/>
      <c r="V1121" s="581"/>
      <c r="W1121" s="581"/>
      <c r="X1121" s="578"/>
    </row>
    <row r="1122" spans="1:257" s="582" customFormat="1" ht="15.75" hidden="1" customHeight="1">
      <c r="A1122" s="699"/>
      <c r="B1122" s="813" t="s">
        <v>1233</v>
      </c>
      <c r="C1122" s="699"/>
      <c r="D1122" s="699"/>
      <c r="E1122" s="781"/>
      <c r="F1122" s="700"/>
      <c r="G1122" s="781"/>
      <c r="H1122" s="781"/>
      <c r="I1122" s="781"/>
      <c r="J1122" s="700">
        <v>800000000</v>
      </c>
      <c r="K1122" s="700"/>
      <c r="L1122" s="1315"/>
      <c r="M1122" s="651"/>
      <c r="N1122" s="820"/>
      <c r="O1122" s="820"/>
      <c r="P1122" s="924"/>
      <c r="Q1122" s="924"/>
      <c r="R1122" s="866"/>
      <c r="S1122" s="866"/>
      <c r="T1122" s="839"/>
      <c r="U1122" s="726"/>
      <c r="V1122" s="581"/>
      <c r="W1122" s="581"/>
      <c r="X1122" s="578"/>
    </row>
    <row r="1123" spans="1:257" s="582" customFormat="1" ht="15.75" hidden="1" customHeight="1">
      <c r="A1123" s="699"/>
      <c r="B1123" s="813" t="s">
        <v>1234</v>
      </c>
      <c r="C1123" s="699"/>
      <c r="D1123" s="699"/>
      <c r="E1123" s="781"/>
      <c r="F1123" s="700"/>
      <c r="G1123" s="781"/>
      <c r="H1123" s="781"/>
      <c r="I1123" s="781"/>
      <c r="J1123" s="700">
        <v>210000000</v>
      </c>
      <c r="K1123" s="700"/>
      <c r="L1123" s="1315"/>
      <c r="M1123" s="651"/>
      <c r="N1123" s="820"/>
      <c r="O1123" s="820"/>
      <c r="P1123" s="924"/>
      <c r="Q1123" s="924"/>
      <c r="R1123" s="866"/>
      <c r="S1123" s="866"/>
      <c r="T1123" s="839"/>
      <c r="U1123" s="726"/>
      <c r="V1123" s="581"/>
      <c r="W1123" s="581"/>
      <c r="X1123" s="578"/>
    </row>
    <row r="1124" spans="1:257" s="582" customFormat="1" ht="15.75" hidden="1" customHeight="1">
      <c r="A1124" s="699"/>
      <c r="B1124" s="813" t="s">
        <v>1235</v>
      </c>
      <c r="C1124" s="699"/>
      <c r="D1124" s="699"/>
      <c r="E1124" s="781"/>
      <c r="F1124" s="700"/>
      <c r="G1124" s="781"/>
      <c r="H1124" s="781"/>
      <c r="I1124" s="781"/>
      <c r="J1124" s="700">
        <v>220000000</v>
      </c>
      <c r="K1124" s="700"/>
      <c r="L1124" s="1315"/>
      <c r="M1124" s="651"/>
      <c r="N1124" s="820"/>
      <c r="O1124" s="820"/>
      <c r="P1124" s="924"/>
      <c r="Q1124" s="924"/>
      <c r="R1124" s="866"/>
      <c r="S1124" s="866"/>
      <c r="T1124" s="839"/>
      <c r="U1124" s="726"/>
      <c r="V1124" s="581"/>
      <c r="W1124" s="581"/>
      <c r="X1124" s="578"/>
    </row>
    <row r="1125" spans="1:257" s="582" customFormat="1" ht="15.75" hidden="1" customHeight="1">
      <c r="A1125" s="699"/>
      <c r="B1125" s="813" t="s">
        <v>1236</v>
      </c>
      <c r="C1125" s="699"/>
      <c r="D1125" s="699"/>
      <c r="E1125" s="781"/>
      <c r="F1125" s="700"/>
      <c r="G1125" s="781"/>
      <c r="H1125" s="781"/>
      <c r="I1125" s="781"/>
      <c r="J1125" s="700">
        <v>60000000</v>
      </c>
      <c r="K1125" s="700"/>
      <c r="L1125" s="1315"/>
      <c r="M1125" s="651"/>
      <c r="N1125" s="820"/>
      <c r="O1125" s="820"/>
      <c r="P1125" s="924"/>
      <c r="Q1125" s="924"/>
      <c r="R1125" s="866"/>
      <c r="S1125" s="866"/>
      <c r="T1125" s="839"/>
      <c r="U1125" s="726"/>
      <c r="V1125" s="581"/>
      <c r="W1125" s="581"/>
      <c r="X1125" s="578"/>
    </row>
    <row r="1126" spans="1:257" s="582" customFormat="1" ht="15.75" hidden="1" customHeight="1">
      <c r="A1126" s="699"/>
      <c r="B1126" s="813" t="s">
        <v>1237</v>
      </c>
      <c r="C1126" s="699"/>
      <c r="D1126" s="699"/>
      <c r="E1126" s="781"/>
      <c r="F1126" s="700"/>
      <c r="G1126" s="781"/>
      <c r="H1126" s="781"/>
      <c r="I1126" s="781"/>
      <c r="J1126" s="700">
        <v>850000000</v>
      </c>
      <c r="K1126" s="700"/>
      <c r="L1126" s="1315"/>
      <c r="M1126" s="651"/>
      <c r="N1126" s="820"/>
      <c r="O1126" s="820"/>
      <c r="P1126" s="924"/>
      <c r="Q1126" s="924"/>
      <c r="R1126" s="866"/>
      <c r="S1126" s="866"/>
      <c r="T1126" s="839"/>
      <c r="U1126" s="726"/>
      <c r="V1126" s="581"/>
      <c r="W1126" s="581"/>
      <c r="X1126" s="578"/>
    </row>
    <row r="1127" spans="1:257" s="582" customFormat="1" ht="15.75" hidden="1" customHeight="1">
      <c r="A1127" s="699"/>
      <c r="B1127" s="813" t="s">
        <v>587</v>
      </c>
      <c r="C1127" s="699"/>
      <c r="D1127" s="699"/>
      <c r="E1127" s="781"/>
      <c r="F1127" s="700"/>
      <c r="G1127" s="781"/>
      <c r="H1127" s="781"/>
      <c r="I1127" s="781"/>
      <c r="J1127" s="700">
        <v>350000000</v>
      </c>
      <c r="K1127" s="700"/>
      <c r="L1127" s="1315"/>
      <c r="M1127" s="651"/>
      <c r="N1127" s="820"/>
      <c r="O1127" s="820"/>
      <c r="P1127" s="924"/>
      <c r="Q1127" s="924"/>
      <c r="R1127" s="866"/>
      <c r="S1127" s="866"/>
      <c r="T1127" s="839"/>
      <c r="U1127" s="726"/>
      <c r="V1127" s="581"/>
      <c r="W1127" s="581"/>
      <c r="X1127" s="578"/>
    </row>
    <row r="1128" spans="1:257" s="582" customFormat="1" ht="15.75" hidden="1" customHeight="1">
      <c r="A1128" s="699"/>
      <c r="B1128" s="813" t="s">
        <v>588</v>
      </c>
      <c r="C1128" s="699"/>
      <c r="D1128" s="699"/>
      <c r="E1128" s="781"/>
      <c r="F1128" s="700"/>
      <c r="G1128" s="781"/>
      <c r="H1128" s="781"/>
      <c r="I1128" s="781"/>
      <c r="J1128" s="700">
        <v>110000000</v>
      </c>
      <c r="K1128" s="700"/>
      <c r="L1128" s="1315"/>
      <c r="M1128" s="651"/>
      <c r="N1128" s="820"/>
      <c r="O1128" s="820"/>
      <c r="P1128" s="924"/>
      <c r="Q1128" s="924"/>
      <c r="R1128" s="866"/>
      <c r="S1128" s="866"/>
      <c r="T1128" s="839"/>
      <c r="U1128" s="726"/>
      <c r="V1128" s="581"/>
      <c r="W1128" s="581"/>
      <c r="X1128" s="578"/>
    </row>
    <row r="1129" spans="1:257" s="582" customFormat="1" ht="15.75" hidden="1" customHeight="1">
      <c r="A1129" s="699"/>
      <c r="B1129" s="813" t="s">
        <v>1238</v>
      </c>
      <c r="C1129" s="699"/>
      <c r="D1129" s="699"/>
      <c r="E1129" s="781"/>
      <c r="F1129" s="700"/>
      <c r="G1129" s="781"/>
      <c r="H1129" s="781"/>
      <c r="I1129" s="781"/>
      <c r="J1129" s="700">
        <v>80000000</v>
      </c>
      <c r="K1129" s="700"/>
      <c r="L1129" s="1315"/>
      <c r="M1129" s="651"/>
      <c r="N1129" s="820"/>
      <c r="O1129" s="820"/>
      <c r="P1129" s="924"/>
      <c r="Q1129" s="924"/>
      <c r="R1129" s="866"/>
      <c r="S1129" s="866"/>
      <c r="T1129" s="839"/>
      <c r="U1129" s="726"/>
      <c r="V1129" s="581"/>
      <c r="W1129" s="581"/>
      <c r="X1129" s="578"/>
    </row>
    <row r="1130" spans="1:257" s="582" customFormat="1" ht="15.75" hidden="1" customHeight="1">
      <c r="A1130" s="699"/>
      <c r="B1130" s="813" t="s">
        <v>1239</v>
      </c>
      <c r="C1130" s="699"/>
      <c r="D1130" s="699"/>
      <c r="E1130" s="781"/>
      <c r="F1130" s="700"/>
      <c r="G1130" s="781"/>
      <c r="H1130" s="781"/>
      <c r="I1130" s="781"/>
      <c r="J1130" s="700">
        <v>60000000</v>
      </c>
      <c r="K1130" s="700"/>
      <c r="L1130" s="1315"/>
      <c r="M1130" s="651"/>
      <c r="N1130" s="820"/>
      <c r="O1130" s="820"/>
      <c r="P1130" s="924"/>
      <c r="Q1130" s="924"/>
      <c r="R1130" s="866"/>
      <c r="S1130" s="866"/>
      <c r="T1130" s="839"/>
      <c r="U1130" s="726"/>
      <c r="V1130" s="581"/>
      <c r="W1130" s="581"/>
      <c r="X1130" s="578"/>
    </row>
    <row r="1131" spans="1:257" s="682" customFormat="1">
      <c r="A1131" s="812" t="s">
        <v>91</v>
      </c>
      <c r="B1131" s="1164" t="s">
        <v>262</v>
      </c>
      <c r="C1131" s="713"/>
      <c r="D1131" s="713"/>
      <c r="E1131" s="926"/>
      <c r="F1131" s="725">
        <f t="shared" ref="F1131:J1131" si="98">F1132</f>
        <v>279800000</v>
      </c>
      <c r="G1131" s="725">
        <f t="shared" si="98"/>
        <v>0</v>
      </c>
      <c r="H1131" s="725">
        <f t="shared" si="98"/>
        <v>0</v>
      </c>
      <c r="I1131" s="725">
        <f t="shared" si="98"/>
        <v>0</v>
      </c>
      <c r="J1131" s="725">
        <f t="shared" si="98"/>
        <v>778100000</v>
      </c>
      <c r="K1131" s="725">
        <f>K1093*10%</f>
        <v>346800000</v>
      </c>
      <c r="L1131" s="1311">
        <f>L1093*10%</f>
        <v>329400000</v>
      </c>
      <c r="M1131" s="669"/>
      <c r="N1131" s="868"/>
      <c r="O1131" s="868"/>
      <c r="P1131" s="868"/>
      <c r="Q1131" s="868"/>
      <c r="R1131" s="871"/>
      <c r="S1131" s="871"/>
      <c r="T1131" s="824"/>
      <c r="U1131" s="667"/>
      <c r="V1131" s="727"/>
      <c r="W1131" s="727"/>
      <c r="X1131" s="728"/>
    </row>
    <row r="1132" spans="1:257" s="582" customFormat="1" ht="15.75" hidden="1" customHeight="1">
      <c r="A1132" s="699"/>
      <c r="B1132" s="813" t="s">
        <v>263</v>
      </c>
      <c r="C1132" s="699"/>
      <c r="D1132" s="699"/>
      <c r="E1132" s="781"/>
      <c r="F1132" s="725">
        <f t="shared" ref="F1132:J1132" si="99">(F1093)*10%</f>
        <v>279800000</v>
      </c>
      <c r="G1132" s="725">
        <f t="shared" si="99"/>
        <v>0</v>
      </c>
      <c r="H1132" s="725">
        <f t="shared" si="99"/>
        <v>0</v>
      </c>
      <c r="I1132" s="725">
        <f t="shared" si="99"/>
        <v>0</v>
      </c>
      <c r="J1132" s="725">
        <f t="shared" si="99"/>
        <v>778100000</v>
      </c>
      <c r="K1132" s="725"/>
      <c r="L1132" s="1311"/>
      <c r="M1132" s="669"/>
      <c r="N1132" s="868"/>
      <c r="O1132" s="868"/>
      <c r="P1132" s="820"/>
      <c r="Q1132" s="820"/>
      <c r="R1132" s="866"/>
      <c r="S1132" s="866"/>
      <c r="T1132" s="839"/>
      <c r="U1132" s="580"/>
      <c r="V1132" s="581"/>
      <c r="W1132" s="581"/>
      <c r="X1132" s="578"/>
    </row>
    <row r="1133" spans="1:257" s="748" customFormat="1" ht="94.5">
      <c r="A1133" s="622">
        <v>2</v>
      </c>
      <c r="B1133" s="623" t="s">
        <v>1240</v>
      </c>
      <c r="C1133" s="622"/>
      <c r="D1133" s="622"/>
      <c r="E1133" s="660"/>
      <c r="F1133" s="626">
        <f>ROUND(SUM(F1135:F1161),-6)</f>
        <v>6924000000</v>
      </c>
      <c r="G1133" s="660"/>
      <c r="H1133" s="660"/>
      <c r="I1133" s="660"/>
      <c r="J1133" s="626">
        <f>ROUND(SUM(J1135:J1161),-6)</f>
        <v>4948000000</v>
      </c>
      <c r="K1133" s="626">
        <f>K1134+K1138</f>
        <v>3619000000</v>
      </c>
      <c r="L1133" s="1302">
        <f>L1134+L1138</f>
        <v>3299140000</v>
      </c>
      <c r="M1133" s="626" t="s">
        <v>1569</v>
      </c>
      <c r="N1133" s="859">
        <v>8195000000</v>
      </c>
      <c r="O1133" s="859" t="s">
        <v>1977</v>
      </c>
      <c r="P1133" s="860"/>
      <c r="Q1133" s="860"/>
      <c r="R1133" s="861">
        <f>K1133-K1135-K1136</f>
        <v>2358904000</v>
      </c>
      <c r="S1133" s="861"/>
      <c r="T1133" s="862"/>
      <c r="U1133" s="745"/>
      <c r="V1133" s="746"/>
      <c r="W1133" s="746"/>
      <c r="X1133" s="747"/>
    </row>
    <row r="1134" spans="1:257" s="582" customFormat="1">
      <c r="A1134" s="590" t="s">
        <v>192</v>
      </c>
      <c r="B1134" s="607" t="s">
        <v>1216</v>
      </c>
      <c r="C1134" s="590"/>
      <c r="D1134" s="590"/>
      <c r="E1134" s="609"/>
      <c r="F1134" s="603"/>
      <c r="G1134" s="609"/>
      <c r="H1134" s="609"/>
      <c r="I1134" s="609"/>
      <c r="J1134" s="603"/>
      <c r="K1134" s="603">
        <f>ROUND(SUM(K1135:K1137),-6)</f>
        <v>1424000000</v>
      </c>
      <c r="L1134" s="1302">
        <f>ROUND(SUM(L1135:L1137),-6)</f>
        <v>1260000000</v>
      </c>
      <c r="M1134" s="603"/>
      <c r="N1134" s="855">
        <f>L1133+Sheet2!AP15*1000</f>
        <v>10032702000</v>
      </c>
      <c r="O1134" s="855" t="s">
        <v>1976</v>
      </c>
      <c r="P1134" s="830"/>
      <c r="Q1134" s="830"/>
      <c r="R1134" s="866"/>
      <c r="S1134" s="866"/>
      <c r="T1134" s="839"/>
      <c r="U1134" s="580"/>
      <c r="V1134" s="581"/>
      <c r="W1134" s="581"/>
      <c r="X1134" s="578"/>
    </row>
    <row r="1135" spans="1:257" s="682" customFormat="1" ht="15.75" customHeight="1">
      <c r="A1135" s="699"/>
      <c r="B1135" s="651" t="s">
        <v>578</v>
      </c>
      <c r="C1135" s="699"/>
      <c r="D1135" s="699"/>
      <c r="E1135" s="781">
        <v>4800</v>
      </c>
      <c r="F1135" s="700">
        <f>129479*E1135</f>
        <v>621499200</v>
      </c>
      <c r="G1135" s="700"/>
      <c r="H1135" s="700"/>
      <c r="I1135" s="700"/>
      <c r="J1135" s="700"/>
      <c r="K1135" s="700">
        <v>621499200</v>
      </c>
      <c r="L1135" s="1315">
        <v>621499200</v>
      </c>
      <c r="M1135" s="1779"/>
      <c r="N1135" s="820">
        <f>N1134-N1133</f>
        <v>1837702000</v>
      </c>
      <c r="O1135" s="820" t="s">
        <v>1978</v>
      </c>
      <c r="P1135" s="820"/>
      <c r="Q1135" s="820"/>
      <c r="R1135" s="866"/>
      <c r="S1135" s="866"/>
      <c r="T1135" s="839"/>
      <c r="U1135" s="580"/>
      <c r="V1135" s="581"/>
      <c r="W1135" s="581"/>
      <c r="X1135" s="578"/>
      <c r="Y1135" s="582"/>
      <c r="Z1135" s="582"/>
      <c r="AA1135" s="582"/>
      <c r="AB1135" s="582"/>
      <c r="AC1135" s="582"/>
      <c r="AD1135" s="582"/>
      <c r="AE1135" s="582"/>
      <c r="AF1135" s="582"/>
      <c r="AG1135" s="582"/>
      <c r="AH1135" s="582"/>
      <c r="AI1135" s="582"/>
      <c r="AJ1135" s="582"/>
      <c r="AK1135" s="582"/>
      <c r="AL1135" s="582"/>
      <c r="AM1135" s="582"/>
      <c r="AN1135" s="582"/>
      <c r="AO1135" s="582"/>
      <c r="AP1135" s="582"/>
      <c r="AQ1135" s="582"/>
      <c r="AR1135" s="582"/>
      <c r="AS1135" s="582"/>
      <c r="AT1135" s="582"/>
      <c r="AU1135" s="582"/>
      <c r="AV1135" s="582"/>
      <c r="AW1135" s="582"/>
      <c r="AX1135" s="582"/>
      <c r="AY1135" s="582"/>
      <c r="AZ1135" s="582"/>
      <c r="BA1135" s="582"/>
      <c r="BB1135" s="582"/>
      <c r="BC1135" s="582"/>
      <c r="BD1135" s="582"/>
      <c r="BE1135" s="582"/>
      <c r="BF1135" s="582"/>
      <c r="BG1135" s="582"/>
      <c r="BH1135" s="582"/>
      <c r="BI1135" s="582"/>
      <c r="BJ1135" s="582"/>
      <c r="BK1135" s="582"/>
      <c r="BL1135" s="582"/>
      <c r="BM1135" s="582"/>
      <c r="BN1135" s="582"/>
      <c r="BO1135" s="582"/>
      <c r="BP1135" s="582"/>
      <c r="BQ1135" s="582"/>
      <c r="BR1135" s="582"/>
      <c r="BS1135" s="582"/>
      <c r="BT1135" s="582"/>
      <c r="BU1135" s="582"/>
      <c r="BV1135" s="582"/>
      <c r="BW1135" s="582"/>
      <c r="BX1135" s="582"/>
      <c r="BY1135" s="582"/>
      <c r="BZ1135" s="582"/>
      <c r="CA1135" s="582"/>
      <c r="CB1135" s="582"/>
      <c r="CC1135" s="582"/>
      <c r="CD1135" s="582"/>
      <c r="CE1135" s="582"/>
      <c r="CF1135" s="582"/>
      <c r="CG1135" s="582"/>
      <c r="CH1135" s="582"/>
      <c r="CI1135" s="582"/>
      <c r="CJ1135" s="582"/>
      <c r="CK1135" s="582"/>
      <c r="CL1135" s="582"/>
      <c r="CM1135" s="582"/>
      <c r="CN1135" s="582"/>
      <c r="CO1135" s="582"/>
      <c r="CP1135" s="582"/>
      <c r="CQ1135" s="582"/>
      <c r="CR1135" s="582"/>
      <c r="CS1135" s="582"/>
      <c r="CT1135" s="582"/>
      <c r="CU1135" s="582"/>
      <c r="CV1135" s="582"/>
      <c r="CW1135" s="582"/>
      <c r="CX1135" s="582"/>
      <c r="CY1135" s="582"/>
      <c r="CZ1135" s="582"/>
      <c r="DA1135" s="582"/>
      <c r="DB1135" s="582"/>
      <c r="DC1135" s="582"/>
      <c r="DD1135" s="582"/>
      <c r="DE1135" s="582"/>
      <c r="DF1135" s="582"/>
      <c r="DG1135" s="582"/>
      <c r="DH1135" s="582"/>
      <c r="DI1135" s="582"/>
      <c r="DJ1135" s="582"/>
      <c r="DK1135" s="582"/>
      <c r="DL1135" s="582"/>
      <c r="DM1135" s="582"/>
      <c r="DN1135" s="582"/>
      <c r="DO1135" s="582"/>
      <c r="DP1135" s="582"/>
      <c r="DQ1135" s="582"/>
      <c r="DR1135" s="582"/>
      <c r="DS1135" s="582"/>
      <c r="DT1135" s="582"/>
      <c r="DU1135" s="582"/>
      <c r="DV1135" s="582"/>
      <c r="DW1135" s="582"/>
      <c r="DX1135" s="582"/>
      <c r="DY1135" s="582"/>
      <c r="DZ1135" s="582"/>
      <c r="EA1135" s="582"/>
      <c r="EB1135" s="582"/>
      <c r="EC1135" s="582"/>
      <c r="ED1135" s="582"/>
      <c r="EE1135" s="582"/>
      <c r="EF1135" s="582"/>
      <c r="EG1135" s="582"/>
      <c r="EH1135" s="582"/>
      <c r="EI1135" s="582"/>
      <c r="EJ1135" s="582"/>
      <c r="EK1135" s="582"/>
      <c r="EL1135" s="582"/>
      <c r="EM1135" s="582"/>
      <c r="EN1135" s="582"/>
      <c r="EO1135" s="582"/>
      <c r="EP1135" s="582"/>
      <c r="EQ1135" s="582"/>
      <c r="ER1135" s="582"/>
      <c r="ES1135" s="582"/>
      <c r="ET1135" s="582"/>
      <c r="EU1135" s="582"/>
      <c r="EV1135" s="582"/>
      <c r="EW1135" s="582"/>
      <c r="EX1135" s="582"/>
      <c r="EY1135" s="582"/>
      <c r="EZ1135" s="582"/>
      <c r="FA1135" s="582"/>
      <c r="FB1135" s="582"/>
      <c r="FC1135" s="582"/>
      <c r="FD1135" s="582"/>
      <c r="FE1135" s="582"/>
      <c r="FF1135" s="582"/>
      <c r="FG1135" s="582"/>
      <c r="FH1135" s="582"/>
      <c r="FI1135" s="582"/>
      <c r="FJ1135" s="582"/>
      <c r="FK1135" s="582"/>
      <c r="FL1135" s="582"/>
      <c r="FM1135" s="582"/>
      <c r="FN1135" s="582"/>
      <c r="FO1135" s="582"/>
      <c r="FP1135" s="582"/>
      <c r="FQ1135" s="582"/>
      <c r="FR1135" s="582"/>
      <c r="FS1135" s="582"/>
      <c r="FT1135" s="582"/>
      <c r="FU1135" s="582"/>
      <c r="FV1135" s="582"/>
      <c r="FW1135" s="582"/>
      <c r="FX1135" s="582"/>
      <c r="FY1135" s="582"/>
      <c r="FZ1135" s="582"/>
      <c r="GA1135" s="582"/>
      <c r="GB1135" s="582"/>
      <c r="GC1135" s="582"/>
      <c r="GD1135" s="582"/>
      <c r="GE1135" s="582"/>
      <c r="GF1135" s="582"/>
      <c r="GG1135" s="582"/>
      <c r="GH1135" s="582"/>
      <c r="GI1135" s="582"/>
      <c r="GJ1135" s="582"/>
      <c r="GK1135" s="582"/>
      <c r="GL1135" s="582"/>
      <c r="GM1135" s="582"/>
      <c r="GN1135" s="582"/>
      <c r="GO1135" s="582"/>
      <c r="GP1135" s="582"/>
      <c r="GQ1135" s="582"/>
      <c r="GR1135" s="582"/>
      <c r="GS1135" s="582"/>
      <c r="GT1135" s="582"/>
      <c r="GU1135" s="582"/>
      <c r="GV1135" s="582"/>
      <c r="GW1135" s="582"/>
      <c r="GX1135" s="582"/>
      <c r="GY1135" s="582"/>
      <c r="GZ1135" s="582"/>
      <c r="HA1135" s="582"/>
      <c r="HB1135" s="582"/>
      <c r="HC1135" s="582"/>
      <c r="HD1135" s="582"/>
      <c r="HE1135" s="582"/>
      <c r="HF1135" s="582"/>
      <c r="HG1135" s="582"/>
      <c r="HH1135" s="582"/>
      <c r="HI1135" s="582"/>
      <c r="HJ1135" s="582"/>
      <c r="HK1135" s="582"/>
      <c r="HL1135" s="582"/>
      <c r="HM1135" s="582"/>
      <c r="HN1135" s="582"/>
      <c r="HO1135" s="582"/>
      <c r="HP1135" s="582"/>
      <c r="HQ1135" s="582"/>
      <c r="HR1135" s="582"/>
      <c r="HS1135" s="582"/>
      <c r="HT1135" s="582"/>
      <c r="HU1135" s="582"/>
      <c r="HV1135" s="582"/>
      <c r="HW1135" s="582"/>
      <c r="HX1135" s="582"/>
      <c r="HY1135" s="582"/>
      <c r="HZ1135" s="582"/>
      <c r="IA1135" s="582"/>
      <c r="IB1135" s="582"/>
      <c r="IC1135" s="582"/>
      <c r="ID1135" s="582"/>
      <c r="IE1135" s="582"/>
      <c r="IF1135" s="582"/>
      <c r="IG1135" s="582"/>
      <c r="IH1135" s="582"/>
      <c r="II1135" s="582"/>
      <c r="IJ1135" s="582"/>
      <c r="IK1135" s="582"/>
      <c r="IL1135" s="582"/>
      <c r="IM1135" s="582"/>
      <c r="IN1135" s="582"/>
      <c r="IO1135" s="582"/>
      <c r="IP1135" s="582"/>
      <c r="IQ1135" s="582"/>
      <c r="IR1135" s="582"/>
      <c r="IS1135" s="582"/>
      <c r="IT1135" s="582"/>
      <c r="IU1135" s="582"/>
      <c r="IV1135" s="582"/>
      <c r="IW1135" s="582"/>
    </row>
    <row r="1136" spans="1:257" s="682" customFormat="1" ht="15.75" customHeight="1">
      <c r="A1136" s="699"/>
      <c r="B1136" s="651" t="s">
        <v>590</v>
      </c>
      <c r="C1136" s="699"/>
      <c r="D1136" s="699"/>
      <c r="E1136" s="781">
        <v>4800</v>
      </c>
      <c r="F1136" s="700">
        <f>133041*E1136</f>
        <v>638596800</v>
      </c>
      <c r="G1136" s="700"/>
      <c r="H1136" s="700"/>
      <c r="I1136" s="700"/>
      <c r="J1136" s="700"/>
      <c r="K1136" s="700">
        <v>638596800</v>
      </c>
      <c r="L1136" s="1315">
        <v>638596800</v>
      </c>
      <c r="M1136" s="1779"/>
      <c r="N1136" s="820"/>
      <c r="O1136" s="820"/>
      <c r="P1136" s="820"/>
      <c r="Q1136" s="820"/>
      <c r="R1136" s="866"/>
      <c r="S1136" s="866"/>
      <c r="T1136" s="839"/>
      <c r="U1136" s="580"/>
      <c r="V1136" s="581"/>
      <c r="W1136" s="581"/>
      <c r="X1136" s="578"/>
      <c r="Y1136" s="582"/>
      <c r="Z1136" s="582"/>
      <c r="AA1136" s="582"/>
      <c r="AB1136" s="582"/>
      <c r="AC1136" s="582"/>
      <c r="AD1136" s="582"/>
      <c r="AE1136" s="582"/>
      <c r="AF1136" s="582"/>
      <c r="AG1136" s="582"/>
      <c r="AH1136" s="582"/>
      <c r="AI1136" s="582"/>
      <c r="AJ1136" s="582"/>
      <c r="AK1136" s="582"/>
      <c r="AL1136" s="582"/>
      <c r="AM1136" s="582"/>
      <c r="AN1136" s="582"/>
      <c r="AO1136" s="582"/>
      <c r="AP1136" s="582"/>
      <c r="AQ1136" s="582"/>
      <c r="AR1136" s="582"/>
      <c r="AS1136" s="582"/>
      <c r="AT1136" s="582"/>
      <c r="AU1136" s="582"/>
      <c r="AV1136" s="582"/>
      <c r="AW1136" s="582"/>
      <c r="AX1136" s="582"/>
      <c r="AY1136" s="582"/>
      <c r="AZ1136" s="582"/>
      <c r="BA1136" s="582"/>
      <c r="BB1136" s="582"/>
      <c r="BC1136" s="582"/>
      <c r="BD1136" s="582"/>
      <c r="BE1136" s="582"/>
      <c r="BF1136" s="582"/>
      <c r="BG1136" s="582"/>
      <c r="BH1136" s="582"/>
      <c r="BI1136" s="582"/>
      <c r="BJ1136" s="582"/>
      <c r="BK1136" s="582"/>
      <c r="BL1136" s="582"/>
      <c r="BM1136" s="582"/>
      <c r="BN1136" s="582"/>
      <c r="BO1136" s="582"/>
      <c r="BP1136" s="582"/>
      <c r="BQ1136" s="582"/>
      <c r="BR1136" s="582"/>
      <c r="BS1136" s="582"/>
      <c r="BT1136" s="582"/>
      <c r="BU1136" s="582"/>
      <c r="BV1136" s="582"/>
      <c r="BW1136" s="582"/>
      <c r="BX1136" s="582"/>
      <c r="BY1136" s="582"/>
      <c r="BZ1136" s="582"/>
      <c r="CA1136" s="582"/>
      <c r="CB1136" s="582"/>
      <c r="CC1136" s="582"/>
      <c r="CD1136" s="582"/>
      <c r="CE1136" s="582"/>
      <c r="CF1136" s="582"/>
      <c r="CG1136" s="582"/>
      <c r="CH1136" s="582"/>
      <c r="CI1136" s="582"/>
      <c r="CJ1136" s="582"/>
      <c r="CK1136" s="582"/>
      <c r="CL1136" s="582"/>
      <c r="CM1136" s="582"/>
      <c r="CN1136" s="582"/>
      <c r="CO1136" s="582"/>
      <c r="CP1136" s="582"/>
      <c r="CQ1136" s="582"/>
      <c r="CR1136" s="582"/>
      <c r="CS1136" s="582"/>
      <c r="CT1136" s="582"/>
      <c r="CU1136" s="582"/>
      <c r="CV1136" s="582"/>
      <c r="CW1136" s="582"/>
      <c r="CX1136" s="582"/>
      <c r="CY1136" s="582"/>
      <c r="CZ1136" s="582"/>
      <c r="DA1136" s="582"/>
      <c r="DB1136" s="582"/>
      <c r="DC1136" s="582"/>
      <c r="DD1136" s="582"/>
      <c r="DE1136" s="582"/>
      <c r="DF1136" s="582"/>
      <c r="DG1136" s="582"/>
      <c r="DH1136" s="582"/>
      <c r="DI1136" s="582"/>
      <c r="DJ1136" s="582"/>
      <c r="DK1136" s="582"/>
      <c r="DL1136" s="582"/>
      <c r="DM1136" s="582"/>
      <c r="DN1136" s="582"/>
      <c r="DO1136" s="582"/>
      <c r="DP1136" s="582"/>
      <c r="DQ1136" s="582"/>
      <c r="DR1136" s="582"/>
      <c r="DS1136" s="582"/>
      <c r="DT1136" s="582"/>
      <c r="DU1136" s="582"/>
      <c r="DV1136" s="582"/>
      <c r="DW1136" s="582"/>
      <c r="DX1136" s="582"/>
      <c r="DY1136" s="582"/>
      <c r="DZ1136" s="582"/>
      <c r="EA1136" s="582"/>
      <c r="EB1136" s="582"/>
      <c r="EC1136" s="582"/>
      <c r="ED1136" s="582"/>
      <c r="EE1136" s="582"/>
      <c r="EF1136" s="582"/>
      <c r="EG1136" s="582"/>
      <c r="EH1136" s="582"/>
      <c r="EI1136" s="582"/>
      <c r="EJ1136" s="582"/>
      <c r="EK1136" s="582"/>
      <c r="EL1136" s="582"/>
      <c r="EM1136" s="582"/>
      <c r="EN1136" s="582"/>
      <c r="EO1136" s="582"/>
      <c r="EP1136" s="582"/>
      <c r="EQ1136" s="582"/>
      <c r="ER1136" s="582"/>
      <c r="ES1136" s="582"/>
      <c r="ET1136" s="582"/>
      <c r="EU1136" s="582"/>
      <c r="EV1136" s="582"/>
      <c r="EW1136" s="582"/>
      <c r="EX1136" s="582"/>
      <c r="EY1136" s="582"/>
      <c r="EZ1136" s="582"/>
      <c r="FA1136" s="582"/>
      <c r="FB1136" s="582"/>
      <c r="FC1136" s="582"/>
      <c r="FD1136" s="582"/>
      <c r="FE1136" s="582"/>
      <c r="FF1136" s="582"/>
      <c r="FG1136" s="582"/>
      <c r="FH1136" s="582"/>
      <c r="FI1136" s="582"/>
      <c r="FJ1136" s="582"/>
      <c r="FK1136" s="582"/>
      <c r="FL1136" s="582"/>
      <c r="FM1136" s="582"/>
      <c r="FN1136" s="582"/>
      <c r="FO1136" s="582"/>
      <c r="FP1136" s="582"/>
      <c r="FQ1136" s="582"/>
      <c r="FR1136" s="582"/>
      <c r="FS1136" s="582"/>
      <c r="FT1136" s="582"/>
      <c r="FU1136" s="582"/>
      <c r="FV1136" s="582"/>
      <c r="FW1136" s="582"/>
      <c r="FX1136" s="582"/>
      <c r="FY1136" s="582"/>
      <c r="FZ1136" s="582"/>
      <c r="GA1136" s="582"/>
      <c r="GB1136" s="582"/>
      <c r="GC1136" s="582"/>
      <c r="GD1136" s="582"/>
      <c r="GE1136" s="582"/>
      <c r="GF1136" s="582"/>
      <c r="GG1136" s="582"/>
      <c r="GH1136" s="582"/>
      <c r="GI1136" s="582"/>
      <c r="GJ1136" s="582"/>
      <c r="GK1136" s="582"/>
      <c r="GL1136" s="582"/>
      <c r="GM1136" s="582"/>
      <c r="GN1136" s="582"/>
      <c r="GO1136" s="582"/>
      <c r="GP1136" s="582"/>
      <c r="GQ1136" s="582"/>
      <c r="GR1136" s="582"/>
      <c r="GS1136" s="582"/>
      <c r="GT1136" s="582"/>
      <c r="GU1136" s="582"/>
      <c r="GV1136" s="582"/>
      <c r="GW1136" s="582"/>
      <c r="GX1136" s="582"/>
      <c r="GY1136" s="582"/>
      <c r="GZ1136" s="582"/>
      <c r="HA1136" s="582"/>
      <c r="HB1136" s="582"/>
      <c r="HC1136" s="582"/>
      <c r="HD1136" s="582"/>
      <c r="HE1136" s="582"/>
      <c r="HF1136" s="582"/>
      <c r="HG1136" s="582"/>
      <c r="HH1136" s="582"/>
      <c r="HI1136" s="582"/>
      <c r="HJ1136" s="582"/>
      <c r="HK1136" s="582"/>
      <c r="HL1136" s="582"/>
      <c r="HM1136" s="582"/>
      <c r="HN1136" s="582"/>
      <c r="HO1136" s="582"/>
      <c r="HP1136" s="582"/>
      <c r="HQ1136" s="582"/>
      <c r="HR1136" s="582"/>
      <c r="HS1136" s="582"/>
      <c r="HT1136" s="582"/>
      <c r="HU1136" s="582"/>
      <c r="HV1136" s="582"/>
      <c r="HW1136" s="582"/>
      <c r="HX1136" s="582"/>
      <c r="HY1136" s="582"/>
      <c r="HZ1136" s="582"/>
      <c r="IA1136" s="582"/>
      <c r="IB1136" s="582"/>
      <c r="IC1136" s="582"/>
      <c r="ID1136" s="582"/>
      <c r="IE1136" s="582"/>
      <c r="IF1136" s="582"/>
      <c r="IG1136" s="582"/>
      <c r="IH1136" s="582"/>
      <c r="II1136" s="582"/>
      <c r="IJ1136" s="582"/>
      <c r="IK1136" s="582"/>
      <c r="IL1136" s="582"/>
      <c r="IM1136" s="582"/>
      <c r="IN1136" s="582"/>
      <c r="IO1136" s="582"/>
      <c r="IP1136" s="582"/>
      <c r="IQ1136" s="582"/>
      <c r="IR1136" s="582"/>
      <c r="IS1136" s="582"/>
      <c r="IT1136" s="582"/>
      <c r="IU1136" s="582"/>
      <c r="IV1136" s="582"/>
      <c r="IW1136" s="582"/>
    </row>
    <row r="1137" spans="1:257" s="682" customFormat="1" ht="131.25" customHeight="1">
      <c r="A1137" s="699"/>
      <c r="B1137" s="696" t="s">
        <v>591</v>
      </c>
      <c r="C1137" s="699"/>
      <c r="D1137" s="699"/>
      <c r="E1137" s="781"/>
      <c r="F1137" s="700">
        <f>(F1135+F1136)*13%</f>
        <v>163812480</v>
      </c>
      <c r="G1137" s="700"/>
      <c r="H1137" s="700"/>
      <c r="I1137" s="700"/>
      <c r="J1137" s="700"/>
      <c r="K1137" s="700">
        <v>163812480</v>
      </c>
      <c r="L1137" s="1315"/>
      <c r="M1137" s="1779"/>
      <c r="N1137" s="700">
        <v>163812480</v>
      </c>
      <c r="O1137" s="820"/>
      <c r="P1137" s="820"/>
      <c r="Q1137" s="820"/>
      <c r="R1137" s="866"/>
      <c r="S1137" s="866"/>
      <c r="T1137" s="839"/>
      <c r="U1137" s="580"/>
      <c r="V1137" s="581"/>
      <c r="W1137" s="581"/>
      <c r="X1137" s="578"/>
      <c r="Y1137" s="582"/>
      <c r="Z1137" s="582"/>
      <c r="AA1137" s="582"/>
      <c r="AB1137" s="582"/>
      <c r="AC1137" s="582"/>
      <c r="AD1137" s="582"/>
      <c r="AE1137" s="582"/>
      <c r="AF1137" s="582"/>
      <c r="AG1137" s="582"/>
      <c r="AH1137" s="582"/>
      <c r="AI1137" s="582"/>
      <c r="AJ1137" s="582"/>
      <c r="AK1137" s="582"/>
      <c r="AL1137" s="582"/>
      <c r="AM1137" s="582"/>
      <c r="AN1137" s="582"/>
      <c r="AO1137" s="582"/>
      <c r="AP1137" s="582"/>
      <c r="AQ1137" s="582"/>
      <c r="AR1137" s="582"/>
      <c r="AS1137" s="582"/>
      <c r="AT1137" s="582"/>
      <c r="AU1137" s="582"/>
      <c r="AV1137" s="582"/>
      <c r="AW1137" s="582"/>
      <c r="AX1137" s="582"/>
      <c r="AY1137" s="582"/>
      <c r="AZ1137" s="582"/>
      <c r="BA1137" s="582"/>
      <c r="BB1137" s="582"/>
      <c r="BC1137" s="582"/>
      <c r="BD1137" s="582"/>
      <c r="BE1137" s="582"/>
      <c r="BF1137" s="582"/>
      <c r="BG1137" s="582"/>
      <c r="BH1137" s="582"/>
      <c r="BI1137" s="582"/>
      <c r="BJ1137" s="582"/>
      <c r="BK1137" s="582"/>
      <c r="BL1137" s="582"/>
      <c r="BM1137" s="582"/>
      <c r="BN1137" s="582"/>
      <c r="BO1137" s="582"/>
      <c r="BP1137" s="582"/>
      <c r="BQ1137" s="582"/>
      <c r="BR1137" s="582"/>
      <c r="BS1137" s="582"/>
      <c r="BT1137" s="582"/>
      <c r="BU1137" s="582"/>
      <c r="BV1137" s="582"/>
      <c r="BW1137" s="582"/>
      <c r="BX1137" s="582"/>
      <c r="BY1137" s="582"/>
      <c r="BZ1137" s="582"/>
      <c r="CA1137" s="582"/>
      <c r="CB1137" s="582"/>
      <c r="CC1137" s="582"/>
      <c r="CD1137" s="582"/>
      <c r="CE1137" s="582"/>
      <c r="CF1137" s="582"/>
      <c r="CG1137" s="582"/>
      <c r="CH1137" s="582"/>
      <c r="CI1137" s="582"/>
      <c r="CJ1137" s="582"/>
      <c r="CK1137" s="582"/>
      <c r="CL1137" s="582"/>
      <c r="CM1137" s="582"/>
      <c r="CN1137" s="582"/>
      <c r="CO1137" s="582"/>
      <c r="CP1137" s="582"/>
      <c r="CQ1137" s="582"/>
      <c r="CR1137" s="582"/>
      <c r="CS1137" s="582"/>
      <c r="CT1137" s="582"/>
      <c r="CU1137" s="582"/>
      <c r="CV1137" s="582"/>
      <c r="CW1137" s="582"/>
      <c r="CX1137" s="582"/>
      <c r="CY1137" s="582"/>
      <c r="CZ1137" s="582"/>
      <c r="DA1137" s="582"/>
      <c r="DB1137" s="582"/>
      <c r="DC1137" s="582"/>
      <c r="DD1137" s="582"/>
      <c r="DE1137" s="582"/>
      <c r="DF1137" s="582"/>
      <c r="DG1137" s="582"/>
      <c r="DH1137" s="582"/>
      <c r="DI1137" s="582"/>
      <c r="DJ1137" s="582"/>
      <c r="DK1137" s="582"/>
      <c r="DL1137" s="582"/>
      <c r="DM1137" s="582"/>
      <c r="DN1137" s="582"/>
      <c r="DO1137" s="582"/>
      <c r="DP1137" s="582"/>
      <c r="DQ1137" s="582"/>
      <c r="DR1137" s="582"/>
      <c r="DS1137" s="582"/>
      <c r="DT1137" s="582"/>
      <c r="DU1137" s="582"/>
      <c r="DV1137" s="582"/>
      <c r="DW1137" s="582"/>
      <c r="DX1137" s="582"/>
      <c r="DY1137" s="582"/>
      <c r="DZ1137" s="582"/>
      <c r="EA1137" s="582"/>
      <c r="EB1137" s="582"/>
      <c r="EC1137" s="582"/>
      <c r="ED1137" s="582"/>
      <c r="EE1137" s="582"/>
      <c r="EF1137" s="582"/>
      <c r="EG1137" s="582"/>
      <c r="EH1137" s="582"/>
      <c r="EI1137" s="582"/>
      <c r="EJ1137" s="582"/>
      <c r="EK1137" s="582"/>
      <c r="EL1137" s="582"/>
      <c r="EM1137" s="582"/>
      <c r="EN1137" s="582"/>
      <c r="EO1137" s="582"/>
      <c r="EP1137" s="582"/>
      <c r="EQ1137" s="582"/>
      <c r="ER1137" s="582"/>
      <c r="ES1137" s="582"/>
      <c r="ET1137" s="582"/>
      <c r="EU1137" s="582"/>
      <c r="EV1137" s="582"/>
      <c r="EW1137" s="582"/>
      <c r="EX1137" s="582"/>
      <c r="EY1137" s="582"/>
      <c r="EZ1137" s="582"/>
      <c r="FA1137" s="582"/>
      <c r="FB1137" s="582"/>
      <c r="FC1137" s="582"/>
      <c r="FD1137" s="582"/>
      <c r="FE1137" s="582"/>
      <c r="FF1137" s="582"/>
      <c r="FG1137" s="582"/>
      <c r="FH1137" s="582"/>
      <c r="FI1137" s="582"/>
      <c r="FJ1137" s="582"/>
      <c r="FK1137" s="582"/>
      <c r="FL1137" s="582"/>
      <c r="FM1137" s="582"/>
      <c r="FN1137" s="582"/>
      <c r="FO1137" s="582"/>
      <c r="FP1137" s="582"/>
      <c r="FQ1137" s="582"/>
      <c r="FR1137" s="582"/>
      <c r="FS1137" s="582"/>
      <c r="FT1137" s="582"/>
      <c r="FU1137" s="582"/>
      <c r="FV1137" s="582"/>
      <c r="FW1137" s="582"/>
      <c r="FX1137" s="582"/>
      <c r="FY1137" s="582"/>
      <c r="FZ1137" s="582"/>
      <c r="GA1137" s="582"/>
      <c r="GB1137" s="582"/>
      <c r="GC1137" s="582"/>
      <c r="GD1137" s="582"/>
      <c r="GE1137" s="582"/>
      <c r="GF1137" s="582"/>
      <c r="GG1137" s="582"/>
      <c r="GH1137" s="582"/>
      <c r="GI1137" s="582"/>
      <c r="GJ1137" s="582"/>
      <c r="GK1137" s="582"/>
      <c r="GL1137" s="582"/>
      <c r="GM1137" s="582"/>
      <c r="GN1137" s="582"/>
      <c r="GO1137" s="582"/>
      <c r="GP1137" s="582"/>
      <c r="GQ1137" s="582"/>
      <c r="GR1137" s="582"/>
      <c r="GS1137" s="582"/>
      <c r="GT1137" s="582"/>
      <c r="GU1137" s="582"/>
      <c r="GV1137" s="582"/>
      <c r="GW1137" s="582"/>
      <c r="GX1137" s="582"/>
      <c r="GY1137" s="582"/>
      <c r="GZ1137" s="582"/>
      <c r="HA1137" s="582"/>
      <c r="HB1137" s="582"/>
      <c r="HC1137" s="582"/>
      <c r="HD1137" s="582"/>
      <c r="HE1137" s="582"/>
      <c r="HF1137" s="582"/>
      <c r="HG1137" s="582"/>
      <c r="HH1137" s="582"/>
      <c r="HI1137" s="582"/>
      <c r="HJ1137" s="582"/>
      <c r="HK1137" s="582"/>
      <c r="HL1137" s="582"/>
      <c r="HM1137" s="582"/>
      <c r="HN1137" s="582"/>
      <c r="HO1137" s="582"/>
      <c r="HP1137" s="582"/>
      <c r="HQ1137" s="582"/>
      <c r="HR1137" s="582"/>
      <c r="HS1137" s="582"/>
      <c r="HT1137" s="582"/>
      <c r="HU1137" s="582"/>
      <c r="HV1137" s="582"/>
      <c r="HW1137" s="582"/>
      <c r="HX1137" s="582"/>
      <c r="HY1137" s="582"/>
      <c r="HZ1137" s="582"/>
      <c r="IA1137" s="582"/>
      <c r="IB1137" s="582"/>
      <c r="IC1137" s="582"/>
      <c r="ID1137" s="582"/>
      <c r="IE1137" s="582"/>
      <c r="IF1137" s="582"/>
      <c r="IG1137" s="582"/>
      <c r="IH1137" s="582"/>
      <c r="II1137" s="582"/>
      <c r="IJ1137" s="582"/>
      <c r="IK1137" s="582"/>
      <c r="IL1137" s="582"/>
      <c r="IM1137" s="582"/>
      <c r="IN1137" s="582"/>
      <c r="IO1137" s="582"/>
      <c r="IP1137" s="582"/>
      <c r="IQ1137" s="582"/>
      <c r="IR1137" s="582"/>
      <c r="IS1137" s="582"/>
      <c r="IT1137" s="582"/>
      <c r="IU1137" s="582"/>
      <c r="IV1137" s="582"/>
      <c r="IW1137" s="582"/>
    </row>
    <row r="1138" spans="1:257" s="724" customFormat="1" ht="31.5">
      <c r="A1138" s="589" t="s">
        <v>192</v>
      </c>
      <c r="B1138" s="607" t="s">
        <v>1217</v>
      </c>
      <c r="C1138" s="589"/>
      <c r="D1138" s="589"/>
      <c r="E1138" s="591"/>
      <c r="F1138" s="704"/>
      <c r="G1138" s="704"/>
      <c r="H1138" s="704"/>
      <c r="I1138" s="704"/>
      <c r="J1138" s="704"/>
      <c r="K1138" s="704">
        <v>2195000000</v>
      </c>
      <c r="L1138" s="1310">
        <f>1996000000+43140000</f>
        <v>2039140000</v>
      </c>
      <c r="M1138" s="592" t="s">
        <v>1567</v>
      </c>
      <c r="N1138" s="829"/>
      <c r="O1138" s="829"/>
      <c r="P1138" s="829"/>
      <c r="Q1138" s="829"/>
      <c r="R1138" s="900"/>
      <c r="S1138" s="900"/>
      <c r="T1138" s="822"/>
      <c r="U1138" s="577"/>
      <c r="V1138" s="701"/>
      <c r="W1138" s="701"/>
      <c r="X1138" s="702"/>
      <c r="Y1138" s="703"/>
      <c r="Z1138" s="703"/>
      <c r="AA1138" s="703"/>
      <c r="AB1138" s="703"/>
      <c r="AC1138" s="703"/>
      <c r="AD1138" s="703"/>
      <c r="AE1138" s="703"/>
      <c r="AF1138" s="703"/>
      <c r="AG1138" s="703"/>
      <c r="AH1138" s="703"/>
      <c r="AI1138" s="703"/>
      <c r="AJ1138" s="703"/>
      <c r="AK1138" s="703"/>
      <c r="AL1138" s="703"/>
      <c r="AM1138" s="703"/>
      <c r="AN1138" s="703"/>
      <c r="AO1138" s="703"/>
      <c r="AP1138" s="703"/>
      <c r="AQ1138" s="703"/>
      <c r="AR1138" s="703"/>
      <c r="AS1138" s="703"/>
      <c r="AT1138" s="703"/>
      <c r="AU1138" s="703"/>
      <c r="AV1138" s="703"/>
      <c r="AW1138" s="703"/>
      <c r="AX1138" s="703"/>
      <c r="AY1138" s="703"/>
      <c r="AZ1138" s="703"/>
      <c r="BA1138" s="703"/>
      <c r="BB1138" s="703"/>
      <c r="BC1138" s="703"/>
      <c r="BD1138" s="703"/>
      <c r="BE1138" s="703"/>
      <c r="BF1138" s="703"/>
      <c r="BG1138" s="703"/>
      <c r="BH1138" s="703"/>
      <c r="BI1138" s="703"/>
      <c r="BJ1138" s="703"/>
      <c r="BK1138" s="703"/>
      <c r="BL1138" s="703"/>
      <c r="BM1138" s="703"/>
      <c r="BN1138" s="703"/>
      <c r="BO1138" s="703"/>
      <c r="BP1138" s="703"/>
      <c r="BQ1138" s="703"/>
      <c r="BR1138" s="703"/>
      <c r="BS1138" s="703"/>
      <c r="BT1138" s="703"/>
      <c r="BU1138" s="703"/>
      <c r="BV1138" s="703"/>
      <c r="BW1138" s="703"/>
      <c r="BX1138" s="703"/>
      <c r="BY1138" s="703"/>
      <c r="BZ1138" s="703"/>
      <c r="CA1138" s="703"/>
      <c r="CB1138" s="703"/>
      <c r="CC1138" s="703"/>
      <c r="CD1138" s="703"/>
      <c r="CE1138" s="703"/>
      <c r="CF1138" s="703"/>
      <c r="CG1138" s="703"/>
      <c r="CH1138" s="703"/>
      <c r="CI1138" s="703"/>
      <c r="CJ1138" s="703"/>
      <c r="CK1138" s="703"/>
      <c r="CL1138" s="703"/>
      <c r="CM1138" s="703"/>
      <c r="CN1138" s="703"/>
      <c r="CO1138" s="703"/>
      <c r="CP1138" s="703"/>
      <c r="CQ1138" s="703"/>
      <c r="CR1138" s="703"/>
      <c r="CS1138" s="703"/>
      <c r="CT1138" s="703"/>
      <c r="CU1138" s="703"/>
      <c r="CV1138" s="703"/>
      <c r="CW1138" s="703"/>
      <c r="CX1138" s="703"/>
      <c r="CY1138" s="703"/>
      <c r="CZ1138" s="703"/>
      <c r="DA1138" s="703"/>
      <c r="DB1138" s="703"/>
      <c r="DC1138" s="703"/>
      <c r="DD1138" s="703"/>
      <c r="DE1138" s="703"/>
      <c r="DF1138" s="703"/>
      <c r="DG1138" s="703"/>
      <c r="DH1138" s="703"/>
      <c r="DI1138" s="703"/>
      <c r="DJ1138" s="703"/>
      <c r="DK1138" s="703"/>
      <c r="DL1138" s="703"/>
      <c r="DM1138" s="703"/>
      <c r="DN1138" s="703"/>
      <c r="DO1138" s="703"/>
      <c r="DP1138" s="703"/>
      <c r="DQ1138" s="703"/>
      <c r="DR1138" s="703"/>
      <c r="DS1138" s="703"/>
      <c r="DT1138" s="703"/>
      <c r="DU1138" s="703"/>
      <c r="DV1138" s="703"/>
      <c r="DW1138" s="703"/>
      <c r="DX1138" s="703"/>
      <c r="DY1138" s="703"/>
      <c r="DZ1138" s="703"/>
      <c r="EA1138" s="703"/>
      <c r="EB1138" s="703"/>
      <c r="EC1138" s="703"/>
      <c r="ED1138" s="703"/>
      <c r="EE1138" s="703"/>
      <c r="EF1138" s="703"/>
      <c r="EG1138" s="703"/>
      <c r="EH1138" s="703"/>
      <c r="EI1138" s="703"/>
      <c r="EJ1138" s="703"/>
      <c r="EK1138" s="703"/>
      <c r="EL1138" s="703"/>
      <c r="EM1138" s="703"/>
      <c r="EN1138" s="703"/>
      <c r="EO1138" s="703"/>
      <c r="EP1138" s="703"/>
      <c r="EQ1138" s="703"/>
      <c r="ER1138" s="703"/>
      <c r="ES1138" s="703"/>
      <c r="ET1138" s="703"/>
      <c r="EU1138" s="703"/>
      <c r="EV1138" s="703"/>
      <c r="EW1138" s="703"/>
      <c r="EX1138" s="703"/>
      <c r="EY1138" s="703"/>
      <c r="EZ1138" s="703"/>
      <c r="FA1138" s="703"/>
      <c r="FB1138" s="703"/>
      <c r="FC1138" s="703"/>
      <c r="FD1138" s="703"/>
      <c r="FE1138" s="703"/>
      <c r="FF1138" s="703"/>
      <c r="FG1138" s="703"/>
      <c r="FH1138" s="703"/>
      <c r="FI1138" s="703"/>
      <c r="FJ1138" s="703"/>
      <c r="FK1138" s="703"/>
      <c r="FL1138" s="703"/>
      <c r="FM1138" s="703"/>
      <c r="FN1138" s="703"/>
      <c r="FO1138" s="703"/>
      <c r="FP1138" s="703"/>
      <c r="FQ1138" s="703"/>
      <c r="FR1138" s="703"/>
      <c r="FS1138" s="703"/>
      <c r="FT1138" s="703"/>
      <c r="FU1138" s="703"/>
      <c r="FV1138" s="703"/>
      <c r="FW1138" s="703"/>
      <c r="FX1138" s="703"/>
      <c r="FY1138" s="703"/>
      <c r="FZ1138" s="703"/>
      <c r="GA1138" s="703"/>
      <c r="GB1138" s="703"/>
      <c r="GC1138" s="703"/>
      <c r="GD1138" s="703"/>
      <c r="GE1138" s="703"/>
      <c r="GF1138" s="703"/>
      <c r="GG1138" s="703"/>
      <c r="GH1138" s="703"/>
      <c r="GI1138" s="703"/>
      <c r="GJ1138" s="703"/>
      <c r="GK1138" s="703"/>
      <c r="GL1138" s="703"/>
      <c r="GM1138" s="703"/>
      <c r="GN1138" s="703"/>
      <c r="GO1138" s="703"/>
      <c r="GP1138" s="703"/>
      <c r="GQ1138" s="703"/>
      <c r="GR1138" s="703"/>
      <c r="GS1138" s="703"/>
      <c r="GT1138" s="703"/>
      <c r="GU1138" s="703"/>
      <c r="GV1138" s="703"/>
      <c r="GW1138" s="703"/>
      <c r="GX1138" s="703"/>
      <c r="GY1138" s="703"/>
      <c r="GZ1138" s="703"/>
      <c r="HA1138" s="703"/>
      <c r="HB1138" s="703"/>
      <c r="HC1138" s="703"/>
      <c r="HD1138" s="703"/>
      <c r="HE1138" s="703"/>
      <c r="HF1138" s="703"/>
      <c r="HG1138" s="703"/>
      <c r="HH1138" s="703"/>
      <c r="HI1138" s="703"/>
      <c r="HJ1138" s="703"/>
      <c r="HK1138" s="703"/>
      <c r="HL1138" s="703"/>
      <c r="HM1138" s="703"/>
      <c r="HN1138" s="703"/>
      <c r="HO1138" s="703"/>
      <c r="HP1138" s="703"/>
      <c r="HQ1138" s="703"/>
      <c r="HR1138" s="703"/>
      <c r="HS1138" s="703"/>
      <c r="HT1138" s="703"/>
      <c r="HU1138" s="703"/>
      <c r="HV1138" s="703"/>
      <c r="HW1138" s="703"/>
      <c r="HX1138" s="703"/>
      <c r="HY1138" s="703"/>
      <c r="HZ1138" s="703"/>
      <c r="IA1138" s="703"/>
      <c r="IB1138" s="703"/>
      <c r="IC1138" s="703"/>
      <c r="ID1138" s="703"/>
      <c r="IE1138" s="703"/>
      <c r="IF1138" s="703"/>
      <c r="IG1138" s="703"/>
      <c r="IH1138" s="703"/>
      <c r="II1138" s="703"/>
      <c r="IJ1138" s="703"/>
      <c r="IK1138" s="703"/>
      <c r="IL1138" s="703"/>
      <c r="IM1138" s="703"/>
      <c r="IN1138" s="703"/>
      <c r="IO1138" s="703"/>
      <c r="IP1138" s="703"/>
      <c r="IQ1138" s="703"/>
      <c r="IR1138" s="703"/>
      <c r="IS1138" s="703"/>
      <c r="IT1138" s="703"/>
      <c r="IU1138" s="703"/>
      <c r="IV1138" s="703"/>
      <c r="IW1138" s="703"/>
    </row>
    <row r="1139" spans="1:257" s="682" customFormat="1" ht="15.75" hidden="1" customHeight="1">
      <c r="A1139" s="699"/>
      <c r="B1139" s="696" t="s">
        <v>1241</v>
      </c>
      <c r="C1139" s="699"/>
      <c r="D1139" s="699"/>
      <c r="E1139" s="781"/>
      <c r="F1139" s="700"/>
      <c r="G1139" s="700"/>
      <c r="H1139" s="700"/>
      <c r="I1139" s="700"/>
      <c r="J1139" s="700">
        <v>223700000</v>
      </c>
      <c r="K1139" s="700"/>
      <c r="L1139" s="1315"/>
      <c r="M1139" s="651"/>
      <c r="N1139" s="820"/>
      <c r="O1139" s="820"/>
      <c r="P1139" s="820"/>
      <c r="Q1139" s="820"/>
      <c r="R1139" s="866"/>
      <c r="S1139" s="866"/>
      <c r="T1139" s="839"/>
      <c r="U1139" s="580"/>
      <c r="V1139" s="581"/>
      <c r="W1139" s="581"/>
      <c r="X1139" s="578"/>
      <c r="Y1139" s="582"/>
      <c r="Z1139" s="582"/>
      <c r="AA1139" s="582"/>
      <c r="AB1139" s="582"/>
      <c r="AC1139" s="582"/>
      <c r="AD1139" s="582"/>
      <c r="AE1139" s="582"/>
      <c r="AF1139" s="582"/>
      <c r="AG1139" s="582"/>
      <c r="AH1139" s="582"/>
      <c r="AI1139" s="582"/>
      <c r="AJ1139" s="582"/>
      <c r="AK1139" s="582"/>
      <c r="AL1139" s="582"/>
      <c r="AM1139" s="582"/>
      <c r="AN1139" s="582"/>
      <c r="AO1139" s="582"/>
      <c r="AP1139" s="582"/>
      <c r="AQ1139" s="582"/>
      <c r="AR1139" s="582"/>
      <c r="AS1139" s="582"/>
      <c r="AT1139" s="582"/>
      <c r="AU1139" s="582"/>
      <c r="AV1139" s="582"/>
      <c r="AW1139" s="582"/>
      <c r="AX1139" s="582"/>
      <c r="AY1139" s="582"/>
      <c r="AZ1139" s="582"/>
      <c r="BA1139" s="582"/>
      <c r="BB1139" s="582"/>
      <c r="BC1139" s="582"/>
      <c r="BD1139" s="582"/>
      <c r="BE1139" s="582"/>
      <c r="BF1139" s="582"/>
      <c r="BG1139" s="582"/>
      <c r="BH1139" s="582"/>
      <c r="BI1139" s="582"/>
      <c r="BJ1139" s="582"/>
      <c r="BK1139" s="582"/>
      <c r="BL1139" s="582"/>
      <c r="BM1139" s="582"/>
      <c r="BN1139" s="582"/>
      <c r="BO1139" s="582"/>
      <c r="BP1139" s="582"/>
      <c r="BQ1139" s="582"/>
      <c r="BR1139" s="582"/>
      <c r="BS1139" s="582"/>
      <c r="BT1139" s="582"/>
      <c r="BU1139" s="582"/>
      <c r="BV1139" s="582"/>
      <c r="BW1139" s="582"/>
      <c r="BX1139" s="582"/>
      <c r="BY1139" s="582"/>
      <c r="BZ1139" s="582"/>
      <c r="CA1139" s="582"/>
      <c r="CB1139" s="582"/>
      <c r="CC1139" s="582"/>
      <c r="CD1139" s="582"/>
      <c r="CE1139" s="582"/>
      <c r="CF1139" s="582"/>
      <c r="CG1139" s="582"/>
      <c r="CH1139" s="582"/>
      <c r="CI1139" s="582"/>
      <c r="CJ1139" s="582"/>
      <c r="CK1139" s="582"/>
      <c r="CL1139" s="582"/>
      <c r="CM1139" s="582"/>
      <c r="CN1139" s="582"/>
      <c r="CO1139" s="582"/>
      <c r="CP1139" s="582"/>
      <c r="CQ1139" s="582"/>
      <c r="CR1139" s="582"/>
      <c r="CS1139" s="582"/>
      <c r="CT1139" s="582"/>
      <c r="CU1139" s="582"/>
      <c r="CV1139" s="582"/>
      <c r="CW1139" s="582"/>
      <c r="CX1139" s="582"/>
      <c r="CY1139" s="582"/>
      <c r="CZ1139" s="582"/>
      <c r="DA1139" s="582"/>
      <c r="DB1139" s="582"/>
      <c r="DC1139" s="582"/>
      <c r="DD1139" s="582"/>
      <c r="DE1139" s="582"/>
      <c r="DF1139" s="582"/>
      <c r="DG1139" s="582"/>
      <c r="DH1139" s="582"/>
      <c r="DI1139" s="582"/>
      <c r="DJ1139" s="582"/>
      <c r="DK1139" s="582"/>
      <c r="DL1139" s="582"/>
      <c r="DM1139" s="582"/>
      <c r="DN1139" s="582"/>
      <c r="DO1139" s="582"/>
      <c r="DP1139" s="582"/>
      <c r="DQ1139" s="582"/>
      <c r="DR1139" s="582"/>
      <c r="DS1139" s="582"/>
      <c r="DT1139" s="582"/>
      <c r="DU1139" s="582"/>
      <c r="DV1139" s="582"/>
      <c r="DW1139" s="582"/>
      <c r="DX1139" s="582"/>
      <c r="DY1139" s="582"/>
      <c r="DZ1139" s="582"/>
      <c r="EA1139" s="582"/>
      <c r="EB1139" s="582"/>
      <c r="EC1139" s="582"/>
      <c r="ED1139" s="582"/>
      <c r="EE1139" s="582"/>
      <c r="EF1139" s="582"/>
      <c r="EG1139" s="582"/>
      <c r="EH1139" s="582"/>
      <c r="EI1139" s="582"/>
      <c r="EJ1139" s="582"/>
      <c r="EK1139" s="582"/>
      <c r="EL1139" s="582"/>
      <c r="EM1139" s="582"/>
      <c r="EN1139" s="582"/>
      <c r="EO1139" s="582"/>
      <c r="EP1139" s="582"/>
      <c r="EQ1139" s="582"/>
      <c r="ER1139" s="582"/>
      <c r="ES1139" s="582"/>
      <c r="ET1139" s="582"/>
      <c r="EU1139" s="582"/>
      <c r="EV1139" s="582"/>
      <c r="EW1139" s="582"/>
      <c r="EX1139" s="582"/>
      <c r="EY1139" s="582"/>
      <c r="EZ1139" s="582"/>
      <c r="FA1139" s="582"/>
      <c r="FB1139" s="582"/>
      <c r="FC1139" s="582"/>
      <c r="FD1139" s="582"/>
      <c r="FE1139" s="582"/>
      <c r="FF1139" s="582"/>
      <c r="FG1139" s="582"/>
      <c r="FH1139" s="582"/>
      <c r="FI1139" s="582"/>
      <c r="FJ1139" s="582"/>
      <c r="FK1139" s="582"/>
      <c r="FL1139" s="582"/>
      <c r="FM1139" s="582"/>
      <c r="FN1139" s="582"/>
      <c r="FO1139" s="582"/>
      <c r="FP1139" s="582"/>
      <c r="FQ1139" s="582"/>
      <c r="FR1139" s="582"/>
      <c r="FS1139" s="582"/>
      <c r="FT1139" s="582"/>
      <c r="FU1139" s="582"/>
      <c r="FV1139" s="582"/>
      <c r="FW1139" s="582"/>
      <c r="FX1139" s="582"/>
      <c r="FY1139" s="582"/>
      <c r="FZ1139" s="582"/>
      <c r="GA1139" s="582"/>
      <c r="GB1139" s="582"/>
      <c r="GC1139" s="582"/>
      <c r="GD1139" s="582"/>
      <c r="GE1139" s="582"/>
      <c r="GF1139" s="582"/>
      <c r="GG1139" s="582"/>
      <c r="GH1139" s="582"/>
      <c r="GI1139" s="582"/>
      <c r="GJ1139" s="582"/>
      <c r="GK1139" s="582"/>
      <c r="GL1139" s="582"/>
      <c r="GM1139" s="582"/>
      <c r="GN1139" s="582"/>
      <c r="GO1139" s="582"/>
      <c r="GP1139" s="582"/>
      <c r="GQ1139" s="582"/>
      <c r="GR1139" s="582"/>
      <c r="GS1139" s="582"/>
      <c r="GT1139" s="582"/>
      <c r="GU1139" s="582"/>
      <c r="GV1139" s="582"/>
      <c r="GW1139" s="582"/>
      <c r="GX1139" s="582"/>
      <c r="GY1139" s="582"/>
      <c r="GZ1139" s="582"/>
      <c r="HA1139" s="582"/>
      <c r="HB1139" s="582"/>
      <c r="HC1139" s="582"/>
      <c r="HD1139" s="582"/>
      <c r="HE1139" s="582"/>
      <c r="HF1139" s="582"/>
      <c r="HG1139" s="582"/>
      <c r="HH1139" s="582"/>
      <c r="HI1139" s="582"/>
      <c r="HJ1139" s="582"/>
      <c r="HK1139" s="582"/>
      <c r="HL1139" s="582"/>
      <c r="HM1139" s="582"/>
      <c r="HN1139" s="582"/>
      <c r="HO1139" s="582"/>
      <c r="HP1139" s="582"/>
      <c r="HQ1139" s="582"/>
      <c r="HR1139" s="582"/>
      <c r="HS1139" s="582"/>
      <c r="HT1139" s="582"/>
      <c r="HU1139" s="582"/>
      <c r="HV1139" s="582"/>
      <c r="HW1139" s="582"/>
      <c r="HX1139" s="582"/>
      <c r="HY1139" s="582"/>
      <c r="HZ1139" s="582"/>
      <c r="IA1139" s="582"/>
      <c r="IB1139" s="582"/>
      <c r="IC1139" s="582"/>
      <c r="ID1139" s="582"/>
      <c r="IE1139" s="582"/>
      <c r="IF1139" s="582"/>
      <c r="IG1139" s="582"/>
      <c r="IH1139" s="582"/>
      <c r="II1139" s="582"/>
      <c r="IJ1139" s="582"/>
      <c r="IK1139" s="582"/>
      <c r="IL1139" s="582"/>
      <c r="IM1139" s="582"/>
      <c r="IN1139" s="582"/>
      <c r="IO1139" s="582"/>
      <c r="IP1139" s="582"/>
      <c r="IQ1139" s="582"/>
      <c r="IR1139" s="582"/>
      <c r="IS1139" s="582"/>
      <c r="IT1139" s="582"/>
      <c r="IU1139" s="582"/>
      <c r="IV1139" s="582"/>
      <c r="IW1139" s="582"/>
    </row>
    <row r="1140" spans="1:257" s="682" customFormat="1" ht="15.75" hidden="1" customHeight="1">
      <c r="A1140" s="699"/>
      <c r="B1140" s="696" t="s">
        <v>592</v>
      </c>
      <c r="C1140" s="699"/>
      <c r="D1140" s="699"/>
      <c r="E1140" s="781"/>
      <c r="F1140" s="700"/>
      <c r="G1140" s="700"/>
      <c r="H1140" s="700"/>
      <c r="I1140" s="700"/>
      <c r="J1140" s="700"/>
      <c r="K1140" s="700"/>
      <c r="L1140" s="1315"/>
      <c r="M1140" s="651"/>
      <c r="N1140" s="820"/>
      <c r="O1140" s="820"/>
      <c r="P1140" s="820"/>
      <c r="Q1140" s="820"/>
      <c r="R1140" s="866"/>
      <c r="S1140" s="866"/>
      <c r="T1140" s="839"/>
      <c r="U1140" s="580"/>
      <c r="V1140" s="581"/>
      <c r="W1140" s="581"/>
      <c r="X1140" s="578"/>
      <c r="Y1140" s="582"/>
      <c r="Z1140" s="582"/>
      <c r="AA1140" s="582"/>
      <c r="AB1140" s="582"/>
      <c r="AC1140" s="582"/>
      <c r="AD1140" s="582"/>
      <c r="AE1140" s="582"/>
      <c r="AF1140" s="582"/>
      <c r="AG1140" s="582"/>
      <c r="AH1140" s="582"/>
      <c r="AI1140" s="582"/>
      <c r="AJ1140" s="582"/>
      <c r="AK1140" s="582"/>
      <c r="AL1140" s="582"/>
      <c r="AM1140" s="582"/>
      <c r="AN1140" s="582"/>
      <c r="AO1140" s="582"/>
      <c r="AP1140" s="582"/>
      <c r="AQ1140" s="582"/>
      <c r="AR1140" s="582"/>
      <c r="AS1140" s="582"/>
      <c r="AT1140" s="582"/>
      <c r="AU1140" s="582"/>
      <c r="AV1140" s="582"/>
      <c r="AW1140" s="582"/>
      <c r="AX1140" s="582"/>
      <c r="AY1140" s="582"/>
      <c r="AZ1140" s="582"/>
      <c r="BA1140" s="582"/>
      <c r="BB1140" s="582"/>
      <c r="BC1140" s="582"/>
      <c r="BD1140" s="582"/>
      <c r="BE1140" s="582"/>
      <c r="BF1140" s="582"/>
      <c r="BG1140" s="582"/>
      <c r="BH1140" s="582"/>
      <c r="BI1140" s="582"/>
      <c r="BJ1140" s="582"/>
      <c r="BK1140" s="582"/>
      <c r="BL1140" s="582"/>
      <c r="BM1140" s="582"/>
      <c r="BN1140" s="582"/>
      <c r="BO1140" s="582"/>
      <c r="BP1140" s="582"/>
      <c r="BQ1140" s="582"/>
      <c r="BR1140" s="582"/>
      <c r="BS1140" s="582"/>
      <c r="BT1140" s="582"/>
      <c r="BU1140" s="582"/>
      <c r="BV1140" s="582"/>
      <c r="BW1140" s="582"/>
      <c r="BX1140" s="582"/>
      <c r="BY1140" s="582"/>
      <c r="BZ1140" s="582"/>
      <c r="CA1140" s="582"/>
      <c r="CB1140" s="582"/>
      <c r="CC1140" s="582"/>
      <c r="CD1140" s="582"/>
      <c r="CE1140" s="582"/>
      <c r="CF1140" s="582"/>
      <c r="CG1140" s="582"/>
      <c r="CH1140" s="582"/>
      <c r="CI1140" s="582"/>
      <c r="CJ1140" s="582"/>
      <c r="CK1140" s="582"/>
      <c r="CL1140" s="582"/>
      <c r="CM1140" s="582"/>
      <c r="CN1140" s="582"/>
      <c r="CO1140" s="582"/>
      <c r="CP1140" s="582"/>
      <c r="CQ1140" s="582"/>
      <c r="CR1140" s="582"/>
      <c r="CS1140" s="582"/>
      <c r="CT1140" s="582"/>
      <c r="CU1140" s="582"/>
      <c r="CV1140" s="582"/>
      <c r="CW1140" s="582"/>
      <c r="CX1140" s="582"/>
      <c r="CY1140" s="582"/>
      <c r="CZ1140" s="582"/>
      <c r="DA1140" s="582"/>
      <c r="DB1140" s="582"/>
      <c r="DC1140" s="582"/>
      <c r="DD1140" s="582"/>
      <c r="DE1140" s="582"/>
      <c r="DF1140" s="582"/>
      <c r="DG1140" s="582"/>
      <c r="DH1140" s="582"/>
      <c r="DI1140" s="582"/>
      <c r="DJ1140" s="582"/>
      <c r="DK1140" s="582"/>
      <c r="DL1140" s="582"/>
      <c r="DM1140" s="582"/>
      <c r="DN1140" s="582"/>
      <c r="DO1140" s="582"/>
      <c r="DP1140" s="582"/>
      <c r="DQ1140" s="582"/>
      <c r="DR1140" s="582"/>
      <c r="DS1140" s="582"/>
      <c r="DT1140" s="582"/>
      <c r="DU1140" s="582"/>
      <c r="DV1140" s="582"/>
      <c r="DW1140" s="582"/>
      <c r="DX1140" s="582"/>
      <c r="DY1140" s="582"/>
      <c r="DZ1140" s="582"/>
      <c r="EA1140" s="582"/>
      <c r="EB1140" s="582"/>
      <c r="EC1140" s="582"/>
      <c r="ED1140" s="582"/>
      <c r="EE1140" s="582"/>
      <c r="EF1140" s="582"/>
      <c r="EG1140" s="582"/>
      <c r="EH1140" s="582"/>
      <c r="EI1140" s="582"/>
      <c r="EJ1140" s="582"/>
      <c r="EK1140" s="582"/>
      <c r="EL1140" s="582"/>
      <c r="EM1140" s="582"/>
      <c r="EN1140" s="582"/>
      <c r="EO1140" s="582"/>
      <c r="EP1140" s="582"/>
      <c r="EQ1140" s="582"/>
      <c r="ER1140" s="582"/>
      <c r="ES1140" s="582"/>
      <c r="ET1140" s="582"/>
      <c r="EU1140" s="582"/>
      <c r="EV1140" s="582"/>
      <c r="EW1140" s="582"/>
      <c r="EX1140" s="582"/>
      <c r="EY1140" s="582"/>
      <c r="EZ1140" s="582"/>
      <c r="FA1140" s="582"/>
      <c r="FB1140" s="582"/>
      <c r="FC1140" s="582"/>
      <c r="FD1140" s="582"/>
      <c r="FE1140" s="582"/>
      <c r="FF1140" s="582"/>
      <c r="FG1140" s="582"/>
      <c r="FH1140" s="582"/>
      <c r="FI1140" s="582"/>
      <c r="FJ1140" s="582"/>
      <c r="FK1140" s="582"/>
      <c r="FL1140" s="582"/>
      <c r="FM1140" s="582"/>
      <c r="FN1140" s="582"/>
      <c r="FO1140" s="582"/>
      <c r="FP1140" s="582"/>
      <c r="FQ1140" s="582"/>
      <c r="FR1140" s="582"/>
      <c r="FS1140" s="582"/>
      <c r="FT1140" s="582"/>
      <c r="FU1140" s="582"/>
      <c r="FV1140" s="582"/>
      <c r="FW1140" s="582"/>
      <c r="FX1140" s="582"/>
      <c r="FY1140" s="582"/>
      <c r="FZ1140" s="582"/>
      <c r="GA1140" s="582"/>
      <c r="GB1140" s="582"/>
      <c r="GC1140" s="582"/>
      <c r="GD1140" s="582"/>
      <c r="GE1140" s="582"/>
      <c r="GF1140" s="582"/>
      <c r="GG1140" s="582"/>
      <c r="GH1140" s="582"/>
      <c r="GI1140" s="582"/>
      <c r="GJ1140" s="582"/>
      <c r="GK1140" s="582"/>
      <c r="GL1140" s="582"/>
      <c r="GM1140" s="582"/>
      <c r="GN1140" s="582"/>
      <c r="GO1140" s="582"/>
      <c r="GP1140" s="582"/>
      <c r="GQ1140" s="582"/>
      <c r="GR1140" s="582"/>
      <c r="GS1140" s="582"/>
      <c r="GT1140" s="582"/>
      <c r="GU1140" s="582"/>
      <c r="GV1140" s="582"/>
      <c r="GW1140" s="582"/>
      <c r="GX1140" s="582"/>
      <c r="GY1140" s="582"/>
      <c r="GZ1140" s="582"/>
      <c r="HA1140" s="582"/>
      <c r="HB1140" s="582"/>
      <c r="HC1140" s="582"/>
      <c r="HD1140" s="582"/>
      <c r="HE1140" s="582"/>
      <c r="HF1140" s="582"/>
      <c r="HG1140" s="582"/>
      <c r="HH1140" s="582"/>
      <c r="HI1140" s="582"/>
      <c r="HJ1140" s="582"/>
      <c r="HK1140" s="582"/>
      <c r="HL1140" s="582"/>
      <c r="HM1140" s="582"/>
      <c r="HN1140" s="582"/>
      <c r="HO1140" s="582"/>
      <c r="HP1140" s="582"/>
      <c r="HQ1140" s="582"/>
      <c r="HR1140" s="582"/>
      <c r="HS1140" s="582"/>
      <c r="HT1140" s="582"/>
      <c r="HU1140" s="582"/>
      <c r="HV1140" s="582"/>
      <c r="HW1140" s="582"/>
      <c r="HX1140" s="582"/>
      <c r="HY1140" s="582"/>
      <c r="HZ1140" s="582"/>
      <c r="IA1140" s="582"/>
      <c r="IB1140" s="582"/>
      <c r="IC1140" s="582"/>
      <c r="ID1140" s="582"/>
      <c r="IE1140" s="582"/>
      <c r="IF1140" s="582"/>
      <c r="IG1140" s="582"/>
      <c r="IH1140" s="582"/>
      <c r="II1140" s="582"/>
      <c r="IJ1140" s="582"/>
      <c r="IK1140" s="582"/>
      <c r="IL1140" s="582"/>
      <c r="IM1140" s="582"/>
      <c r="IN1140" s="582"/>
      <c r="IO1140" s="582"/>
      <c r="IP1140" s="582"/>
      <c r="IQ1140" s="582"/>
      <c r="IR1140" s="582"/>
      <c r="IS1140" s="582"/>
      <c r="IT1140" s="582"/>
      <c r="IU1140" s="582"/>
      <c r="IV1140" s="582"/>
      <c r="IW1140" s="582"/>
    </row>
    <row r="1141" spans="1:257" s="682" customFormat="1" ht="15.75" hidden="1" customHeight="1">
      <c r="A1141" s="699" t="s">
        <v>91</v>
      </c>
      <c r="B1141" s="696" t="s">
        <v>1242</v>
      </c>
      <c r="C1141" s="699"/>
      <c r="D1141" s="699"/>
      <c r="E1141" s="781"/>
      <c r="F1141" s="700">
        <v>200000000</v>
      </c>
      <c r="G1141" s="700"/>
      <c r="H1141" s="700"/>
      <c r="I1141" s="700"/>
      <c r="J1141" s="700"/>
      <c r="K1141" s="700"/>
      <c r="L1141" s="1315"/>
      <c r="M1141" s="651"/>
      <c r="N1141" s="820"/>
      <c r="O1141" s="820"/>
      <c r="P1141" s="820"/>
      <c r="Q1141" s="820"/>
      <c r="R1141" s="866"/>
      <c r="S1141" s="866"/>
      <c r="T1141" s="839"/>
      <c r="U1141" s="580"/>
      <c r="V1141" s="581"/>
      <c r="W1141" s="581"/>
      <c r="X1141" s="578"/>
      <c r="Y1141" s="582"/>
      <c r="Z1141" s="582"/>
      <c r="AA1141" s="582"/>
      <c r="AB1141" s="582"/>
      <c r="AC1141" s="582"/>
      <c r="AD1141" s="582"/>
      <c r="AE1141" s="582"/>
      <c r="AF1141" s="582"/>
      <c r="AG1141" s="582"/>
      <c r="AH1141" s="582"/>
      <c r="AI1141" s="582"/>
      <c r="AJ1141" s="582"/>
      <c r="AK1141" s="582"/>
      <c r="AL1141" s="582"/>
      <c r="AM1141" s="582"/>
      <c r="AN1141" s="582"/>
      <c r="AO1141" s="582"/>
      <c r="AP1141" s="582"/>
      <c r="AQ1141" s="582"/>
      <c r="AR1141" s="582"/>
      <c r="AS1141" s="582"/>
      <c r="AT1141" s="582"/>
      <c r="AU1141" s="582"/>
      <c r="AV1141" s="582"/>
      <c r="AW1141" s="582"/>
      <c r="AX1141" s="582"/>
      <c r="AY1141" s="582"/>
      <c r="AZ1141" s="582"/>
      <c r="BA1141" s="582"/>
      <c r="BB1141" s="582"/>
      <c r="BC1141" s="582"/>
      <c r="BD1141" s="582"/>
      <c r="BE1141" s="582"/>
      <c r="BF1141" s="582"/>
      <c r="BG1141" s="582"/>
      <c r="BH1141" s="582"/>
      <c r="BI1141" s="582"/>
      <c r="BJ1141" s="582"/>
      <c r="BK1141" s="582"/>
      <c r="BL1141" s="582"/>
      <c r="BM1141" s="582"/>
      <c r="BN1141" s="582"/>
      <c r="BO1141" s="582"/>
      <c r="BP1141" s="582"/>
      <c r="BQ1141" s="582"/>
      <c r="BR1141" s="582"/>
      <c r="BS1141" s="582"/>
      <c r="BT1141" s="582"/>
      <c r="BU1141" s="582"/>
      <c r="BV1141" s="582"/>
      <c r="BW1141" s="582"/>
      <c r="BX1141" s="582"/>
      <c r="BY1141" s="582"/>
      <c r="BZ1141" s="582"/>
      <c r="CA1141" s="582"/>
      <c r="CB1141" s="582"/>
      <c r="CC1141" s="582"/>
      <c r="CD1141" s="582"/>
      <c r="CE1141" s="582"/>
      <c r="CF1141" s="582"/>
      <c r="CG1141" s="582"/>
      <c r="CH1141" s="582"/>
      <c r="CI1141" s="582"/>
      <c r="CJ1141" s="582"/>
      <c r="CK1141" s="582"/>
      <c r="CL1141" s="582"/>
      <c r="CM1141" s="582"/>
      <c r="CN1141" s="582"/>
      <c r="CO1141" s="582"/>
      <c r="CP1141" s="582"/>
      <c r="CQ1141" s="582"/>
      <c r="CR1141" s="582"/>
      <c r="CS1141" s="582"/>
      <c r="CT1141" s="582"/>
      <c r="CU1141" s="582"/>
      <c r="CV1141" s="582"/>
      <c r="CW1141" s="582"/>
      <c r="CX1141" s="582"/>
      <c r="CY1141" s="582"/>
      <c r="CZ1141" s="582"/>
      <c r="DA1141" s="582"/>
      <c r="DB1141" s="582"/>
      <c r="DC1141" s="582"/>
      <c r="DD1141" s="582"/>
      <c r="DE1141" s="582"/>
      <c r="DF1141" s="582"/>
      <c r="DG1141" s="582"/>
      <c r="DH1141" s="582"/>
      <c r="DI1141" s="582"/>
      <c r="DJ1141" s="582"/>
      <c r="DK1141" s="582"/>
      <c r="DL1141" s="582"/>
      <c r="DM1141" s="582"/>
      <c r="DN1141" s="582"/>
      <c r="DO1141" s="582"/>
      <c r="DP1141" s="582"/>
      <c r="DQ1141" s="582"/>
      <c r="DR1141" s="582"/>
      <c r="DS1141" s="582"/>
      <c r="DT1141" s="582"/>
      <c r="DU1141" s="582"/>
      <c r="DV1141" s="582"/>
      <c r="DW1141" s="582"/>
      <c r="DX1141" s="582"/>
      <c r="DY1141" s="582"/>
      <c r="DZ1141" s="582"/>
      <c r="EA1141" s="582"/>
      <c r="EB1141" s="582"/>
      <c r="EC1141" s="582"/>
      <c r="ED1141" s="582"/>
      <c r="EE1141" s="582"/>
      <c r="EF1141" s="582"/>
      <c r="EG1141" s="582"/>
      <c r="EH1141" s="582"/>
      <c r="EI1141" s="582"/>
      <c r="EJ1141" s="582"/>
      <c r="EK1141" s="582"/>
      <c r="EL1141" s="582"/>
      <c r="EM1141" s="582"/>
      <c r="EN1141" s="582"/>
      <c r="EO1141" s="582"/>
      <c r="EP1141" s="582"/>
      <c r="EQ1141" s="582"/>
      <c r="ER1141" s="582"/>
      <c r="ES1141" s="582"/>
      <c r="ET1141" s="582"/>
      <c r="EU1141" s="582"/>
      <c r="EV1141" s="582"/>
      <c r="EW1141" s="582"/>
      <c r="EX1141" s="582"/>
      <c r="EY1141" s="582"/>
      <c r="EZ1141" s="582"/>
      <c r="FA1141" s="582"/>
      <c r="FB1141" s="582"/>
      <c r="FC1141" s="582"/>
      <c r="FD1141" s="582"/>
      <c r="FE1141" s="582"/>
      <c r="FF1141" s="582"/>
      <c r="FG1141" s="582"/>
      <c r="FH1141" s="582"/>
      <c r="FI1141" s="582"/>
      <c r="FJ1141" s="582"/>
      <c r="FK1141" s="582"/>
      <c r="FL1141" s="582"/>
      <c r="FM1141" s="582"/>
      <c r="FN1141" s="582"/>
      <c r="FO1141" s="582"/>
      <c r="FP1141" s="582"/>
      <c r="FQ1141" s="582"/>
      <c r="FR1141" s="582"/>
      <c r="FS1141" s="582"/>
      <c r="FT1141" s="582"/>
      <c r="FU1141" s="582"/>
      <c r="FV1141" s="582"/>
      <c r="FW1141" s="582"/>
      <c r="FX1141" s="582"/>
      <c r="FY1141" s="582"/>
      <c r="FZ1141" s="582"/>
      <c r="GA1141" s="582"/>
      <c r="GB1141" s="582"/>
      <c r="GC1141" s="582"/>
      <c r="GD1141" s="582"/>
      <c r="GE1141" s="582"/>
      <c r="GF1141" s="582"/>
      <c r="GG1141" s="582"/>
      <c r="GH1141" s="582"/>
      <c r="GI1141" s="582"/>
      <c r="GJ1141" s="582"/>
      <c r="GK1141" s="582"/>
      <c r="GL1141" s="582"/>
      <c r="GM1141" s="582"/>
      <c r="GN1141" s="582"/>
      <c r="GO1141" s="582"/>
      <c r="GP1141" s="582"/>
      <c r="GQ1141" s="582"/>
      <c r="GR1141" s="582"/>
      <c r="GS1141" s="582"/>
      <c r="GT1141" s="582"/>
      <c r="GU1141" s="582"/>
      <c r="GV1141" s="582"/>
      <c r="GW1141" s="582"/>
      <c r="GX1141" s="582"/>
      <c r="GY1141" s="582"/>
      <c r="GZ1141" s="582"/>
      <c r="HA1141" s="582"/>
      <c r="HB1141" s="582"/>
      <c r="HC1141" s="582"/>
      <c r="HD1141" s="582"/>
      <c r="HE1141" s="582"/>
      <c r="HF1141" s="582"/>
      <c r="HG1141" s="582"/>
      <c r="HH1141" s="582"/>
      <c r="HI1141" s="582"/>
      <c r="HJ1141" s="582"/>
      <c r="HK1141" s="582"/>
      <c r="HL1141" s="582"/>
      <c r="HM1141" s="582"/>
      <c r="HN1141" s="582"/>
      <c r="HO1141" s="582"/>
      <c r="HP1141" s="582"/>
      <c r="HQ1141" s="582"/>
      <c r="HR1141" s="582"/>
      <c r="HS1141" s="582"/>
      <c r="HT1141" s="582"/>
      <c r="HU1141" s="582"/>
      <c r="HV1141" s="582"/>
      <c r="HW1141" s="582"/>
      <c r="HX1141" s="582"/>
      <c r="HY1141" s="582"/>
      <c r="HZ1141" s="582"/>
      <c r="IA1141" s="582"/>
      <c r="IB1141" s="582"/>
      <c r="IC1141" s="582"/>
      <c r="ID1141" s="582"/>
      <c r="IE1141" s="582"/>
      <c r="IF1141" s="582"/>
      <c r="IG1141" s="582"/>
      <c r="IH1141" s="582"/>
      <c r="II1141" s="582"/>
      <c r="IJ1141" s="582"/>
      <c r="IK1141" s="582"/>
      <c r="IL1141" s="582"/>
      <c r="IM1141" s="582"/>
      <c r="IN1141" s="582"/>
      <c r="IO1141" s="582"/>
      <c r="IP1141" s="582"/>
      <c r="IQ1141" s="582"/>
      <c r="IR1141" s="582"/>
      <c r="IS1141" s="582"/>
      <c r="IT1141" s="582"/>
      <c r="IU1141" s="582"/>
      <c r="IV1141" s="582"/>
      <c r="IW1141" s="582"/>
    </row>
    <row r="1142" spans="1:257" s="682" customFormat="1" ht="35.25" hidden="1" customHeight="1">
      <c r="A1142" s="699"/>
      <c r="B1142" s="696" t="s">
        <v>593</v>
      </c>
      <c r="C1142" s="699"/>
      <c r="D1142" s="699"/>
      <c r="E1142" s="781"/>
      <c r="F1142" s="700"/>
      <c r="G1142" s="700"/>
      <c r="H1142" s="700"/>
      <c r="I1142" s="700"/>
      <c r="J1142" s="700">
        <v>236736000</v>
      </c>
      <c r="K1142" s="700"/>
      <c r="L1142" s="1315"/>
      <c r="M1142" s="651"/>
      <c r="N1142" s="820"/>
      <c r="O1142" s="820"/>
      <c r="P1142" s="820"/>
      <c r="Q1142" s="820"/>
      <c r="R1142" s="866"/>
      <c r="S1142" s="866"/>
      <c r="T1142" s="839"/>
      <c r="U1142" s="580"/>
      <c r="V1142" s="581"/>
      <c r="W1142" s="581"/>
      <c r="X1142" s="578"/>
      <c r="Y1142" s="582"/>
      <c r="Z1142" s="582"/>
      <c r="AA1142" s="582"/>
      <c r="AB1142" s="582"/>
      <c r="AC1142" s="582"/>
      <c r="AD1142" s="582"/>
      <c r="AE1142" s="582"/>
      <c r="AF1142" s="582"/>
      <c r="AG1142" s="582"/>
      <c r="AH1142" s="582"/>
      <c r="AI1142" s="582"/>
      <c r="AJ1142" s="582"/>
      <c r="AK1142" s="582"/>
      <c r="AL1142" s="582"/>
      <c r="AM1142" s="582"/>
      <c r="AN1142" s="582"/>
      <c r="AO1142" s="582"/>
      <c r="AP1142" s="582"/>
      <c r="AQ1142" s="582"/>
      <c r="AR1142" s="582"/>
      <c r="AS1142" s="582"/>
      <c r="AT1142" s="582"/>
      <c r="AU1142" s="582"/>
      <c r="AV1142" s="582"/>
      <c r="AW1142" s="582"/>
      <c r="AX1142" s="582"/>
      <c r="AY1142" s="582"/>
      <c r="AZ1142" s="582"/>
      <c r="BA1142" s="582"/>
      <c r="BB1142" s="582"/>
      <c r="BC1142" s="582"/>
      <c r="BD1142" s="582"/>
      <c r="BE1142" s="582"/>
      <c r="BF1142" s="582"/>
      <c r="BG1142" s="582"/>
      <c r="BH1142" s="582"/>
      <c r="BI1142" s="582"/>
      <c r="BJ1142" s="582"/>
      <c r="BK1142" s="582"/>
      <c r="BL1142" s="582"/>
      <c r="BM1142" s="582"/>
      <c r="BN1142" s="582"/>
      <c r="BO1142" s="582"/>
      <c r="BP1142" s="582"/>
      <c r="BQ1142" s="582"/>
      <c r="BR1142" s="582"/>
      <c r="BS1142" s="582"/>
      <c r="BT1142" s="582"/>
      <c r="BU1142" s="582"/>
      <c r="BV1142" s="582"/>
      <c r="BW1142" s="582"/>
      <c r="BX1142" s="582"/>
      <c r="BY1142" s="582"/>
      <c r="BZ1142" s="582"/>
      <c r="CA1142" s="582"/>
      <c r="CB1142" s="582"/>
      <c r="CC1142" s="582"/>
      <c r="CD1142" s="582"/>
      <c r="CE1142" s="582"/>
      <c r="CF1142" s="582"/>
      <c r="CG1142" s="582"/>
      <c r="CH1142" s="582"/>
      <c r="CI1142" s="582"/>
      <c r="CJ1142" s="582"/>
      <c r="CK1142" s="582"/>
      <c r="CL1142" s="582"/>
      <c r="CM1142" s="582"/>
      <c r="CN1142" s="582"/>
      <c r="CO1142" s="582"/>
      <c r="CP1142" s="582"/>
      <c r="CQ1142" s="582"/>
      <c r="CR1142" s="582"/>
      <c r="CS1142" s="582"/>
      <c r="CT1142" s="582"/>
      <c r="CU1142" s="582"/>
      <c r="CV1142" s="582"/>
      <c r="CW1142" s="582"/>
      <c r="CX1142" s="582"/>
      <c r="CY1142" s="582"/>
      <c r="CZ1142" s="582"/>
      <c r="DA1142" s="582"/>
      <c r="DB1142" s="582"/>
      <c r="DC1142" s="582"/>
      <c r="DD1142" s="582"/>
      <c r="DE1142" s="582"/>
      <c r="DF1142" s="582"/>
      <c r="DG1142" s="582"/>
      <c r="DH1142" s="582"/>
      <c r="DI1142" s="582"/>
      <c r="DJ1142" s="582"/>
      <c r="DK1142" s="582"/>
      <c r="DL1142" s="582"/>
      <c r="DM1142" s="582"/>
      <c r="DN1142" s="582"/>
      <c r="DO1142" s="582"/>
      <c r="DP1142" s="582"/>
      <c r="DQ1142" s="582"/>
      <c r="DR1142" s="582"/>
      <c r="DS1142" s="582"/>
      <c r="DT1142" s="582"/>
      <c r="DU1142" s="582"/>
      <c r="DV1142" s="582"/>
      <c r="DW1142" s="582"/>
      <c r="DX1142" s="582"/>
      <c r="DY1142" s="582"/>
      <c r="DZ1142" s="582"/>
      <c r="EA1142" s="582"/>
      <c r="EB1142" s="582"/>
      <c r="EC1142" s="582"/>
      <c r="ED1142" s="582"/>
      <c r="EE1142" s="582"/>
      <c r="EF1142" s="582"/>
      <c r="EG1142" s="582"/>
      <c r="EH1142" s="582"/>
      <c r="EI1142" s="582"/>
      <c r="EJ1142" s="582"/>
      <c r="EK1142" s="582"/>
      <c r="EL1142" s="582"/>
      <c r="EM1142" s="582"/>
      <c r="EN1142" s="582"/>
      <c r="EO1142" s="582"/>
      <c r="EP1142" s="582"/>
      <c r="EQ1142" s="582"/>
      <c r="ER1142" s="582"/>
      <c r="ES1142" s="582"/>
      <c r="ET1142" s="582"/>
      <c r="EU1142" s="582"/>
      <c r="EV1142" s="582"/>
      <c r="EW1142" s="582"/>
      <c r="EX1142" s="582"/>
      <c r="EY1142" s="582"/>
      <c r="EZ1142" s="582"/>
      <c r="FA1142" s="582"/>
      <c r="FB1142" s="582"/>
      <c r="FC1142" s="582"/>
      <c r="FD1142" s="582"/>
      <c r="FE1142" s="582"/>
      <c r="FF1142" s="582"/>
      <c r="FG1142" s="582"/>
      <c r="FH1142" s="582"/>
      <c r="FI1142" s="582"/>
      <c r="FJ1142" s="582"/>
      <c r="FK1142" s="582"/>
      <c r="FL1142" s="582"/>
      <c r="FM1142" s="582"/>
      <c r="FN1142" s="582"/>
      <c r="FO1142" s="582"/>
      <c r="FP1142" s="582"/>
      <c r="FQ1142" s="582"/>
      <c r="FR1142" s="582"/>
      <c r="FS1142" s="582"/>
      <c r="FT1142" s="582"/>
      <c r="FU1142" s="582"/>
      <c r="FV1142" s="582"/>
      <c r="FW1142" s="582"/>
      <c r="FX1142" s="582"/>
      <c r="FY1142" s="582"/>
      <c r="FZ1142" s="582"/>
      <c r="GA1142" s="582"/>
      <c r="GB1142" s="582"/>
      <c r="GC1142" s="582"/>
      <c r="GD1142" s="582"/>
      <c r="GE1142" s="582"/>
      <c r="GF1142" s="582"/>
      <c r="GG1142" s="582"/>
      <c r="GH1142" s="582"/>
      <c r="GI1142" s="582"/>
      <c r="GJ1142" s="582"/>
      <c r="GK1142" s="582"/>
      <c r="GL1142" s="582"/>
      <c r="GM1142" s="582"/>
      <c r="GN1142" s="582"/>
      <c r="GO1142" s="582"/>
      <c r="GP1142" s="582"/>
      <c r="GQ1142" s="582"/>
      <c r="GR1142" s="582"/>
      <c r="GS1142" s="582"/>
      <c r="GT1142" s="582"/>
      <c r="GU1142" s="582"/>
      <c r="GV1142" s="582"/>
      <c r="GW1142" s="582"/>
      <c r="GX1142" s="582"/>
      <c r="GY1142" s="582"/>
      <c r="GZ1142" s="582"/>
      <c r="HA1142" s="582"/>
      <c r="HB1142" s="582"/>
      <c r="HC1142" s="582"/>
      <c r="HD1142" s="582"/>
      <c r="HE1142" s="582"/>
      <c r="HF1142" s="582"/>
      <c r="HG1142" s="582"/>
      <c r="HH1142" s="582"/>
      <c r="HI1142" s="582"/>
      <c r="HJ1142" s="582"/>
      <c r="HK1142" s="582"/>
      <c r="HL1142" s="582"/>
      <c r="HM1142" s="582"/>
      <c r="HN1142" s="582"/>
      <c r="HO1142" s="582"/>
      <c r="HP1142" s="582"/>
      <c r="HQ1142" s="582"/>
      <c r="HR1142" s="582"/>
      <c r="HS1142" s="582"/>
      <c r="HT1142" s="582"/>
      <c r="HU1142" s="582"/>
      <c r="HV1142" s="582"/>
      <c r="HW1142" s="582"/>
      <c r="HX1142" s="582"/>
      <c r="HY1142" s="582"/>
      <c r="HZ1142" s="582"/>
      <c r="IA1142" s="582"/>
      <c r="IB1142" s="582"/>
      <c r="IC1142" s="582"/>
      <c r="ID1142" s="582"/>
      <c r="IE1142" s="582"/>
      <c r="IF1142" s="582"/>
      <c r="IG1142" s="582"/>
      <c r="IH1142" s="582"/>
      <c r="II1142" s="582"/>
      <c r="IJ1142" s="582"/>
      <c r="IK1142" s="582"/>
      <c r="IL1142" s="582"/>
      <c r="IM1142" s="582"/>
      <c r="IN1142" s="582"/>
      <c r="IO1142" s="582"/>
      <c r="IP1142" s="582"/>
      <c r="IQ1142" s="582"/>
      <c r="IR1142" s="582"/>
      <c r="IS1142" s="582"/>
      <c r="IT1142" s="582"/>
      <c r="IU1142" s="582"/>
      <c r="IV1142" s="582"/>
      <c r="IW1142" s="582"/>
    </row>
    <row r="1143" spans="1:257" s="682" customFormat="1" ht="51" hidden="1" customHeight="1">
      <c r="A1143" s="699"/>
      <c r="B1143" s="696" t="s">
        <v>594</v>
      </c>
      <c r="C1143" s="699"/>
      <c r="D1143" s="699"/>
      <c r="E1143" s="781"/>
      <c r="F1143" s="700"/>
      <c r="G1143" s="700"/>
      <c r="H1143" s="700"/>
      <c r="I1143" s="700"/>
      <c r="J1143" s="700">
        <v>358800000</v>
      </c>
      <c r="K1143" s="700"/>
      <c r="L1143" s="1315"/>
      <c r="M1143" s="651"/>
      <c r="N1143" s="820"/>
      <c r="O1143" s="820"/>
      <c r="P1143" s="820"/>
      <c r="Q1143" s="820"/>
      <c r="R1143" s="866"/>
      <c r="S1143" s="866"/>
      <c r="T1143" s="839"/>
      <c r="U1143" s="580"/>
      <c r="V1143" s="581"/>
      <c r="W1143" s="581"/>
      <c r="X1143" s="578"/>
      <c r="Y1143" s="582"/>
      <c r="Z1143" s="582"/>
      <c r="AA1143" s="582"/>
      <c r="AB1143" s="582"/>
      <c r="AC1143" s="582"/>
      <c r="AD1143" s="582"/>
      <c r="AE1143" s="582"/>
      <c r="AF1143" s="582"/>
      <c r="AG1143" s="582"/>
      <c r="AH1143" s="582"/>
      <c r="AI1143" s="582"/>
      <c r="AJ1143" s="582"/>
      <c r="AK1143" s="582"/>
      <c r="AL1143" s="582"/>
      <c r="AM1143" s="582"/>
      <c r="AN1143" s="582"/>
      <c r="AO1143" s="582"/>
      <c r="AP1143" s="582"/>
      <c r="AQ1143" s="582"/>
      <c r="AR1143" s="582"/>
      <c r="AS1143" s="582"/>
      <c r="AT1143" s="582"/>
      <c r="AU1143" s="582"/>
      <c r="AV1143" s="582"/>
      <c r="AW1143" s="582"/>
      <c r="AX1143" s="582"/>
      <c r="AY1143" s="582"/>
      <c r="AZ1143" s="582"/>
      <c r="BA1143" s="582"/>
      <c r="BB1143" s="582"/>
      <c r="BC1143" s="582"/>
      <c r="BD1143" s="582"/>
      <c r="BE1143" s="582"/>
      <c r="BF1143" s="582"/>
      <c r="BG1143" s="582"/>
      <c r="BH1143" s="582"/>
      <c r="BI1143" s="582"/>
      <c r="BJ1143" s="582"/>
      <c r="BK1143" s="582"/>
      <c r="BL1143" s="582"/>
      <c r="BM1143" s="582"/>
      <c r="BN1143" s="582"/>
      <c r="BO1143" s="582"/>
      <c r="BP1143" s="582"/>
      <c r="BQ1143" s="582"/>
      <c r="BR1143" s="582"/>
      <c r="BS1143" s="582"/>
      <c r="BT1143" s="582"/>
      <c r="BU1143" s="582"/>
      <c r="BV1143" s="582"/>
      <c r="BW1143" s="582"/>
      <c r="BX1143" s="582"/>
      <c r="BY1143" s="582"/>
      <c r="BZ1143" s="582"/>
      <c r="CA1143" s="582"/>
      <c r="CB1143" s="582"/>
      <c r="CC1143" s="582"/>
      <c r="CD1143" s="582"/>
      <c r="CE1143" s="582"/>
      <c r="CF1143" s="582"/>
      <c r="CG1143" s="582"/>
      <c r="CH1143" s="582"/>
      <c r="CI1143" s="582"/>
      <c r="CJ1143" s="582"/>
      <c r="CK1143" s="582"/>
      <c r="CL1143" s="582"/>
      <c r="CM1143" s="582"/>
      <c r="CN1143" s="582"/>
      <c r="CO1143" s="582"/>
      <c r="CP1143" s="582"/>
      <c r="CQ1143" s="582"/>
      <c r="CR1143" s="582"/>
      <c r="CS1143" s="582"/>
      <c r="CT1143" s="582"/>
      <c r="CU1143" s="582"/>
      <c r="CV1143" s="582"/>
      <c r="CW1143" s="582"/>
      <c r="CX1143" s="582"/>
      <c r="CY1143" s="582"/>
      <c r="CZ1143" s="582"/>
      <c r="DA1143" s="582"/>
      <c r="DB1143" s="582"/>
      <c r="DC1143" s="582"/>
      <c r="DD1143" s="582"/>
      <c r="DE1143" s="582"/>
      <c r="DF1143" s="582"/>
      <c r="DG1143" s="582"/>
      <c r="DH1143" s="582"/>
      <c r="DI1143" s="582"/>
      <c r="DJ1143" s="582"/>
      <c r="DK1143" s="582"/>
      <c r="DL1143" s="582"/>
      <c r="DM1143" s="582"/>
      <c r="DN1143" s="582"/>
      <c r="DO1143" s="582"/>
      <c r="DP1143" s="582"/>
      <c r="DQ1143" s="582"/>
      <c r="DR1143" s="582"/>
      <c r="DS1143" s="582"/>
      <c r="DT1143" s="582"/>
      <c r="DU1143" s="582"/>
      <c r="DV1143" s="582"/>
      <c r="DW1143" s="582"/>
      <c r="DX1143" s="582"/>
      <c r="DY1143" s="582"/>
      <c r="DZ1143" s="582"/>
      <c r="EA1143" s="582"/>
      <c r="EB1143" s="582"/>
      <c r="EC1143" s="582"/>
      <c r="ED1143" s="582"/>
      <c r="EE1143" s="582"/>
      <c r="EF1143" s="582"/>
      <c r="EG1143" s="582"/>
      <c r="EH1143" s="582"/>
      <c r="EI1143" s="582"/>
      <c r="EJ1143" s="582"/>
      <c r="EK1143" s="582"/>
      <c r="EL1143" s="582"/>
      <c r="EM1143" s="582"/>
      <c r="EN1143" s="582"/>
      <c r="EO1143" s="582"/>
      <c r="EP1143" s="582"/>
      <c r="EQ1143" s="582"/>
      <c r="ER1143" s="582"/>
      <c r="ES1143" s="582"/>
      <c r="ET1143" s="582"/>
      <c r="EU1143" s="582"/>
      <c r="EV1143" s="582"/>
      <c r="EW1143" s="582"/>
      <c r="EX1143" s="582"/>
      <c r="EY1143" s="582"/>
      <c r="EZ1143" s="582"/>
      <c r="FA1143" s="582"/>
      <c r="FB1143" s="582"/>
      <c r="FC1143" s="582"/>
      <c r="FD1143" s="582"/>
      <c r="FE1143" s="582"/>
      <c r="FF1143" s="582"/>
      <c r="FG1143" s="582"/>
      <c r="FH1143" s="582"/>
      <c r="FI1143" s="582"/>
      <c r="FJ1143" s="582"/>
      <c r="FK1143" s="582"/>
      <c r="FL1143" s="582"/>
      <c r="FM1143" s="582"/>
      <c r="FN1143" s="582"/>
      <c r="FO1143" s="582"/>
      <c r="FP1143" s="582"/>
      <c r="FQ1143" s="582"/>
      <c r="FR1143" s="582"/>
      <c r="FS1143" s="582"/>
      <c r="FT1143" s="582"/>
      <c r="FU1143" s="582"/>
      <c r="FV1143" s="582"/>
      <c r="FW1143" s="582"/>
      <c r="FX1143" s="582"/>
      <c r="FY1143" s="582"/>
      <c r="FZ1143" s="582"/>
      <c r="GA1143" s="582"/>
      <c r="GB1143" s="582"/>
      <c r="GC1143" s="582"/>
      <c r="GD1143" s="582"/>
      <c r="GE1143" s="582"/>
      <c r="GF1143" s="582"/>
      <c r="GG1143" s="582"/>
      <c r="GH1143" s="582"/>
      <c r="GI1143" s="582"/>
      <c r="GJ1143" s="582"/>
      <c r="GK1143" s="582"/>
      <c r="GL1143" s="582"/>
      <c r="GM1143" s="582"/>
      <c r="GN1143" s="582"/>
      <c r="GO1143" s="582"/>
      <c r="GP1143" s="582"/>
      <c r="GQ1143" s="582"/>
      <c r="GR1143" s="582"/>
      <c r="GS1143" s="582"/>
      <c r="GT1143" s="582"/>
      <c r="GU1143" s="582"/>
      <c r="GV1143" s="582"/>
      <c r="GW1143" s="582"/>
      <c r="GX1143" s="582"/>
      <c r="GY1143" s="582"/>
      <c r="GZ1143" s="582"/>
      <c r="HA1143" s="582"/>
      <c r="HB1143" s="582"/>
      <c r="HC1143" s="582"/>
      <c r="HD1143" s="582"/>
      <c r="HE1143" s="582"/>
      <c r="HF1143" s="582"/>
      <c r="HG1143" s="582"/>
      <c r="HH1143" s="582"/>
      <c r="HI1143" s="582"/>
      <c r="HJ1143" s="582"/>
      <c r="HK1143" s="582"/>
      <c r="HL1143" s="582"/>
      <c r="HM1143" s="582"/>
      <c r="HN1143" s="582"/>
      <c r="HO1143" s="582"/>
      <c r="HP1143" s="582"/>
      <c r="HQ1143" s="582"/>
      <c r="HR1143" s="582"/>
      <c r="HS1143" s="582"/>
      <c r="HT1143" s="582"/>
      <c r="HU1143" s="582"/>
      <c r="HV1143" s="582"/>
      <c r="HW1143" s="582"/>
      <c r="HX1143" s="582"/>
      <c r="HY1143" s="582"/>
      <c r="HZ1143" s="582"/>
      <c r="IA1143" s="582"/>
      <c r="IB1143" s="582"/>
      <c r="IC1143" s="582"/>
      <c r="ID1143" s="582"/>
      <c r="IE1143" s="582"/>
      <c r="IF1143" s="582"/>
      <c r="IG1143" s="582"/>
      <c r="IH1143" s="582"/>
      <c r="II1143" s="582"/>
      <c r="IJ1143" s="582"/>
      <c r="IK1143" s="582"/>
      <c r="IL1143" s="582"/>
      <c r="IM1143" s="582"/>
      <c r="IN1143" s="582"/>
      <c r="IO1143" s="582"/>
      <c r="IP1143" s="582"/>
      <c r="IQ1143" s="582"/>
      <c r="IR1143" s="582"/>
      <c r="IS1143" s="582"/>
      <c r="IT1143" s="582"/>
      <c r="IU1143" s="582"/>
      <c r="IV1143" s="582"/>
      <c r="IW1143" s="582"/>
    </row>
    <row r="1144" spans="1:257" s="682" customFormat="1" ht="35.25" hidden="1" customHeight="1">
      <c r="A1144" s="699"/>
      <c r="B1144" s="696" t="s">
        <v>595</v>
      </c>
      <c r="C1144" s="699"/>
      <c r="D1144" s="699"/>
      <c r="E1144" s="781"/>
      <c r="F1144" s="700"/>
      <c r="G1144" s="700"/>
      <c r="H1144" s="700"/>
      <c r="I1144" s="700"/>
      <c r="J1144" s="700">
        <v>132176000</v>
      </c>
      <c r="K1144" s="700"/>
      <c r="L1144" s="1315"/>
      <c r="M1144" s="651"/>
      <c r="N1144" s="820"/>
      <c r="O1144" s="820"/>
      <c r="P1144" s="820"/>
      <c r="Q1144" s="820"/>
      <c r="R1144" s="866"/>
      <c r="S1144" s="866"/>
      <c r="T1144" s="839"/>
      <c r="U1144" s="580"/>
      <c r="V1144" s="581"/>
      <c r="W1144" s="581"/>
      <c r="X1144" s="578"/>
      <c r="Y1144" s="582"/>
      <c r="Z1144" s="582"/>
      <c r="AA1144" s="582"/>
      <c r="AB1144" s="582"/>
      <c r="AC1144" s="582"/>
      <c r="AD1144" s="582"/>
      <c r="AE1144" s="582"/>
      <c r="AF1144" s="582"/>
      <c r="AG1144" s="582"/>
      <c r="AH1144" s="582"/>
      <c r="AI1144" s="582"/>
      <c r="AJ1144" s="582"/>
      <c r="AK1144" s="582"/>
      <c r="AL1144" s="582"/>
      <c r="AM1144" s="582"/>
      <c r="AN1144" s="582"/>
      <c r="AO1144" s="582"/>
      <c r="AP1144" s="582"/>
      <c r="AQ1144" s="582"/>
      <c r="AR1144" s="582"/>
      <c r="AS1144" s="582"/>
      <c r="AT1144" s="582"/>
      <c r="AU1144" s="582"/>
      <c r="AV1144" s="582"/>
      <c r="AW1144" s="582"/>
      <c r="AX1144" s="582"/>
      <c r="AY1144" s="582"/>
      <c r="AZ1144" s="582"/>
      <c r="BA1144" s="582"/>
      <c r="BB1144" s="582"/>
      <c r="BC1144" s="582"/>
      <c r="BD1144" s="582"/>
      <c r="BE1144" s="582"/>
      <c r="BF1144" s="582"/>
      <c r="BG1144" s="582"/>
      <c r="BH1144" s="582"/>
      <c r="BI1144" s="582"/>
      <c r="BJ1144" s="582"/>
      <c r="BK1144" s="582"/>
      <c r="BL1144" s="582"/>
      <c r="BM1144" s="582"/>
      <c r="BN1144" s="582"/>
      <c r="BO1144" s="582"/>
      <c r="BP1144" s="582"/>
      <c r="BQ1144" s="582"/>
      <c r="BR1144" s="582"/>
      <c r="BS1144" s="582"/>
      <c r="BT1144" s="582"/>
      <c r="BU1144" s="582"/>
      <c r="BV1144" s="582"/>
      <c r="BW1144" s="582"/>
      <c r="BX1144" s="582"/>
      <c r="BY1144" s="582"/>
      <c r="BZ1144" s="582"/>
      <c r="CA1144" s="582"/>
      <c r="CB1144" s="582"/>
      <c r="CC1144" s="582"/>
      <c r="CD1144" s="582"/>
      <c r="CE1144" s="582"/>
      <c r="CF1144" s="582"/>
      <c r="CG1144" s="582"/>
      <c r="CH1144" s="582"/>
      <c r="CI1144" s="582"/>
      <c r="CJ1144" s="582"/>
      <c r="CK1144" s="582"/>
      <c r="CL1144" s="582"/>
      <c r="CM1144" s="582"/>
      <c r="CN1144" s="582"/>
      <c r="CO1144" s="582"/>
      <c r="CP1144" s="582"/>
      <c r="CQ1144" s="582"/>
      <c r="CR1144" s="582"/>
      <c r="CS1144" s="582"/>
      <c r="CT1144" s="582"/>
      <c r="CU1144" s="582"/>
      <c r="CV1144" s="582"/>
      <c r="CW1144" s="582"/>
      <c r="CX1144" s="582"/>
      <c r="CY1144" s="582"/>
      <c r="CZ1144" s="582"/>
      <c r="DA1144" s="582"/>
      <c r="DB1144" s="582"/>
      <c r="DC1144" s="582"/>
      <c r="DD1144" s="582"/>
      <c r="DE1144" s="582"/>
      <c r="DF1144" s="582"/>
      <c r="DG1144" s="582"/>
      <c r="DH1144" s="582"/>
      <c r="DI1144" s="582"/>
      <c r="DJ1144" s="582"/>
      <c r="DK1144" s="582"/>
      <c r="DL1144" s="582"/>
      <c r="DM1144" s="582"/>
      <c r="DN1144" s="582"/>
      <c r="DO1144" s="582"/>
      <c r="DP1144" s="582"/>
      <c r="DQ1144" s="582"/>
      <c r="DR1144" s="582"/>
      <c r="DS1144" s="582"/>
      <c r="DT1144" s="582"/>
      <c r="DU1144" s="582"/>
      <c r="DV1144" s="582"/>
      <c r="DW1144" s="582"/>
      <c r="DX1144" s="582"/>
      <c r="DY1144" s="582"/>
      <c r="DZ1144" s="582"/>
      <c r="EA1144" s="582"/>
      <c r="EB1144" s="582"/>
      <c r="EC1144" s="582"/>
      <c r="ED1144" s="582"/>
      <c r="EE1144" s="582"/>
      <c r="EF1144" s="582"/>
      <c r="EG1144" s="582"/>
      <c r="EH1144" s="582"/>
      <c r="EI1144" s="582"/>
      <c r="EJ1144" s="582"/>
      <c r="EK1144" s="582"/>
      <c r="EL1144" s="582"/>
      <c r="EM1144" s="582"/>
      <c r="EN1144" s="582"/>
      <c r="EO1144" s="582"/>
      <c r="EP1144" s="582"/>
      <c r="EQ1144" s="582"/>
      <c r="ER1144" s="582"/>
      <c r="ES1144" s="582"/>
      <c r="ET1144" s="582"/>
      <c r="EU1144" s="582"/>
      <c r="EV1144" s="582"/>
      <c r="EW1144" s="582"/>
      <c r="EX1144" s="582"/>
      <c r="EY1144" s="582"/>
      <c r="EZ1144" s="582"/>
      <c r="FA1144" s="582"/>
      <c r="FB1144" s="582"/>
      <c r="FC1144" s="582"/>
      <c r="FD1144" s="582"/>
      <c r="FE1144" s="582"/>
      <c r="FF1144" s="582"/>
      <c r="FG1144" s="582"/>
      <c r="FH1144" s="582"/>
      <c r="FI1144" s="582"/>
      <c r="FJ1144" s="582"/>
      <c r="FK1144" s="582"/>
      <c r="FL1144" s="582"/>
      <c r="FM1144" s="582"/>
      <c r="FN1144" s="582"/>
      <c r="FO1144" s="582"/>
      <c r="FP1144" s="582"/>
      <c r="FQ1144" s="582"/>
      <c r="FR1144" s="582"/>
      <c r="FS1144" s="582"/>
      <c r="FT1144" s="582"/>
      <c r="FU1144" s="582"/>
      <c r="FV1144" s="582"/>
      <c r="FW1144" s="582"/>
      <c r="FX1144" s="582"/>
      <c r="FY1144" s="582"/>
      <c r="FZ1144" s="582"/>
      <c r="GA1144" s="582"/>
      <c r="GB1144" s="582"/>
      <c r="GC1144" s="582"/>
      <c r="GD1144" s="582"/>
      <c r="GE1144" s="582"/>
      <c r="GF1144" s="582"/>
      <c r="GG1144" s="582"/>
      <c r="GH1144" s="582"/>
      <c r="GI1144" s="582"/>
      <c r="GJ1144" s="582"/>
      <c r="GK1144" s="582"/>
      <c r="GL1144" s="582"/>
      <c r="GM1144" s="582"/>
      <c r="GN1144" s="582"/>
      <c r="GO1144" s="582"/>
      <c r="GP1144" s="582"/>
      <c r="GQ1144" s="582"/>
      <c r="GR1144" s="582"/>
      <c r="GS1144" s="582"/>
      <c r="GT1144" s="582"/>
      <c r="GU1144" s="582"/>
      <c r="GV1144" s="582"/>
      <c r="GW1144" s="582"/>
      <c r="GX1144" s="582"/>
      <c r="GY1144" s="582"/>
      <c r="GZ1144" s="582"/>
      <c r="HA1144" s="582"/>
      <c r="HB1144" s="582"/>
      <c r="HC1144" s="582"/>
      <c r="HD1144" s="582"/>
      <c r="HE1144" s="582"/>
      <c r="HF1144" s="582"/>
      <c r="HG1144" s="582"/>
      <c r="HH1144" s="582"/>
      <c r="HI1144" s="582"/>
      <c r="HJ1144" s="582"/>
      <c r="HK1144" s="582"/>
      <c r="HL1144" s="582"/>
      <c r="HM1144" s="582"/>
      <c r="HN1144" s="582"/>
      <c r="HO1144" s="582"/>
      <c r="HP1144" s="582"/>
      <c r="HQ1144" s="582"/>
      <c r="HR1144" s="582"/>
      <c r="HS1144" s="582"/>
      <c r="HT1144" s="582"/>
      <c r="HU1144" s="582"/>
      <c r="HV1144" s="582"/>
      <c r="HW1144" s="582"/>
      <c r="HX1144" s="582"/>
      <c r="HY1144" s="582"/>
      <c r="HZ1144" s="582"/>
      <c r="IA1144" s="582"/>
      <c r="IB1144" s="582"/>
      <c r="IC1144" s="582"/>
      <c r="ID1144" s="582"/>
      <c r="IE1144" s="582"/>
      <c r="IF1144" s="582"/>
      <c r="IG1144" s="582"/>
      <c r="IH1144" s="582"/>
      <c r="II1144" s="582"/>
      <c r="IJ1144" s="582"/>
      <c r="IK1144" s="582"/>
      <c r="IL1144" s="582"/>
      <c r="IM1144" s="582"/>
      <c r="IN1144" s="582"/>
      <c r="IO1144" s="582"/>
      <c r="IP1144" s="582"/>
      <c r="IQ1144" s="582"/>
      <c r="IR1144" s="582"/>
      <c r="IS1144" s="582"/>
      <c r="IT1144" s="582"/>
      <c r="IU1144" s="582"/>
      <c r="IV1144" s="582"/>
      <c r="IW1144" s="582"/>
    </row>
    <row r="1145" spans="1:257" s="682" customFormat="1" ht="35.25" hidden="1" customHeight="1">
      <c r="A1145" s="699"/>
      <c r="B1145" s="696" t="s">
        <v>1243</v>
      </c>
      <c r="C1145" s="699"/>
      <c r="D1145" s="699"/>
      <c r="E1145" s="781"/>
      <c r="F1145" s="700"/>
      <c r="G1145" s="700"/>
      <c r="H1145" s="700"/>
      <c r="I1145" s="700"/>
      <c r="J1145" s="700">
        <v>157000000</v>
      </c>
      <c r="K1145" s="700"/>
      <c r="L1145" s="1315"/>
      <c r="M1145" s="651"/>
      <c r="N1145" s="820"/>
      <c r="O1145" s="820"/>
      <c r="P1145" s="820"/>
      <c r="Q1145" s="820"/>
      <c r="R1145" s="866"/>
      <c r="S1145" s="866"/>
      <c r="T1145" s="839"/>
      <c r="U1145" s="580"/>
      <c r="V1145" s="581"/>
      <c r="W1145" s="581"/>
      <c r="X1145" s="578"/>
      <c r="Y1145" s="582"/>
      <c r="Z1145" s="582"/>
      <c r="AA1145" s="582"/>
      <c r="AB1145" s="582"/>
      <c r="AC1145" s="582"/>
      <c r="AD1145" s="582"/>
      <c r="AE1145" s="582"/>
      <c r="AF1145" s="582"/>
      <c r="AG1145" s="582"/>
      <c r="AH1145" s="582"/>
      <c r="AI1145" s="582"/>
      <c r="AJ1145" s="582"/>
      <c r="AK1145" s="582"/>
      <c r="AL1145" s="582"/>
      <c r="AM1145" s="582"/>
      <c r="AN1145" s="582"/>
      <c r="AO1145" s="582"/>
      <c r="AP1145" s="582"/>
      <c r="AQ1145" s="582"/>
      <c r="AR1145" s="582"/>
      <c r="AS1145" s="582"/>
      <c r="AT1145" s="582"/>
      <c r="AU1145" s="582"/>
      <c r="AV1145" s="582"/>
      <c r="AW1145" s="582"/>
      <c r="AX1145" s="582"/>
      <c r="AY1145" s="582"/>
      <c r="AZ1145" s="582"/>
      <c r="BA1145" s="582"/>
      <c r="BB1145" s="582"/>
      <c r="BC1145" s="582"/>
      <c r="BD1145" s="582"/>
      <c r="BE1145" s="582"/>
      <c r="BF1145" s="582"/>
      <c r="BG1145" s="582"/>
      <c r="BH1145" s="582"/>
      <c r="BI1145" s="582"/>
      <c r="BJ1145" s="582"/>
      <c r="BK1145" s="582"/>
      <c r="BL1145" s="582"/>
      <c r="BM1145" s="582"/>
      <c r="BN1145" s="582"/>
      <c r="BO1145" s="582"/>
      <c r="BP1145" s="582"/>
      <c r="BQ1145" s="582"/>
      <c r="BR1145" s="582"/>
      <c r="BS1145" s="582"/>
      <c r="BT1145" s="582"/>
      <c r="BU1145" s="582"/>
      <c r="BV1145" s="582"/>
      <c r="BW1145" s="582"/>
      <c r="BX1145" s="582"/>
      <c r="BY1145" s="582"/>
      <c r="BZ1145" s="582"/>
      <c r="CA1145" s="582"/>
      <c r="CB1145" s="582"/>
      <c r="CC1145" s="582"/>
      <c r="CD1145" s="582"/>
      <c r="CE1145" s="582"/>
      <c r="CF1145" s="582"/>
      <c r="CG1145" s="582"/>
      <c r="CH1145" s="582"/>
      <c r="CI1145" s="582"/>
      <c r="CJ1145" s="582"/>
      <c r="CK1145" s="582"/>
      <c r="CL1145" s="582"/>
      <c r="CM1145" s="582"/>
      <c r="CN1145" s="582"/>
      <c r="CO1145" s="582"/>
      <c r="CP1145" s="582"/>
      <c r="CQ1145" s="582"/>
      <c r="CR1145" s="582"/>
      <c r="CS1145" s="582"/>
      <c r="CT1145" s="582"/>
      <c r="CU1145" s="582"/>
      <c r="CV1145" s="582"/>
      <c r="CW1145" s="582"/>
      <c r="CX1145" s="582"/>
      <c r="CY1145" s="582"/>
      <c r="CZ1145" s="582"/>
      <c r="DA1145" s="582"/>
      <c r="DB1145" s="582"/>
      <c r="DC1145" s="582"/>
      <c r="DD1145" s="582"/>
      <c r="DE1145" s="582"/>
      <c r="DF1145" s="582"/>
      <c r="DG1145" s="582"/>
      <c r="DH1145" s="582"/>
      <c r="DI1145" s="582"/>
      <c r="DJ1145" s="582"/>
      <c r="DK1145" s="582"/>
      <c r="DL1145" s="582"/>
      <c r="DM1145" s="582"/>
      <c r="DN1145" s="582"/>
      <c r="DO1145" s="582"/>
      <c r="DP1145" s="582"/>
      <c r="DQ1145" s="582"/>
      <c r="DR1145" s="582"/>
      <c r="DS1145" s="582"/>
      <c r="DT1145" s="582"/>
      <c r="DU1145" s="582"/>
      <c r="DV1145" s="582"/>
      <c r="DW1145" s="582"/>
      <c r="DX1145" s="582"/>
      <c r="DY1145" s="582"/>
      <c r="DZ1145" s="582"/>
      <c r="EA1145" s="582"/>
      <c r="EB1145" s="582"/>
      <c r="EC1145" s="582"/>
      <c r="ED1145" s="582"/>
      <c r="EE1145" s="582"/>
      <c r="EF1145" s="582"/>
      <c r="EG1145" s="582"/>
      <c r="EH1145" s="582"/>
      <c r="EI1145" s="582"/>
      <c r="EJ1145" s="582"/>
      <c r="EK1145" s="582"/>
      <c r="EL1145" s="582"/>
      <c r="EM1145" s="582"/>
      <c r="EN1145" s="582"/>
      <c r="EO1145" s="582"/>
      <c r="EP1145" s="582"/>
      <c r="EQ1145" s="582"/>
      <c r="ER1145" s="582"/>
      <c r="ES1145" s="582"/>
      <c r="ET1145" s="582"/>
      <c r="EU1145" s="582"/>
      <c r="EV1145" s="582"/>
      <c r="EW1145" s="582"/>
      <c r="EX1145" s="582"/>
      <c r="EY1145" s="582"/>
      <c r="EZ1145" s="582"/>
      <c r="FA1145" s="582"/>
      <c r="FB1145" s="582"/>
      <c r="FC1145" s="582"/>
      <c r="FD1145" s="582"/>
      <c r="FE1145" s="582"/>
      <c r="FF1145" s="582"/>
      <c r="FG1145" s="582"/>
      <c r="FH1145" s="582"/>
      <c r="FI1145" s="582"/>
      <c r="FJ1145" s="582"/>
      <c r="FK1145" s="582"/>
      <c r="FL1145" s="582"/>
      <c r="FM1145" s="582"/>
      <c r="FN1145" s="582"/>
      <c r="FO1145" s="582"/>
      <c r="FP1145" s="582"/>
      <c r="FQ1145" s="582"/>
      <c r="FR1145" s="582"/>
      <c r="FS1145" s="582"/>
      <c r="FT1145" s="582"/>
      <c r="FU1145" s="582"/>
      <c r="FV1145" s="582"/>
      <c r="FW1145" s="582"/>
      <c r="FX1145" s="582"/>
      <c r="FY1145" s="582"/>
      <c r="FZ1145" s="582"/>
      <c r="GA1145" s="582"/>
      <c r="GB1145" s="582"/>
      <c r="GC1145" s="582"/>
      <c r="GD1145" s="582"/>
      <c r="GE1145" s="582"/>
      <c r="GF1145" s="582"/>
      <c r="GG1145" s="582"/>
      <c r="GH1145" s="582"/>
      <c r="GI1145" s="582"/>
      <c r="GJ1145" s="582"/>
      <c r="GK1145" s="582"/>
      <c r="GL1145" s="582"/>
      <c r="GM1145" s="582"/>
      <c r="GN1145" s="582"/>
      <c r="GO1145" s="582"/>
      <c r="GP1145" s="582"/>
      <c r="GQ1145" s="582"/>
      <c r="GR1145" s="582"/>
      <c r="GS1145" s="582"/>
      <c r="GT1145" s="582"/>
      <c r="GU1145" s="582"/>
      <c r="GV1145" s="582"/>
      <c r="GW1145" s="582"/>
      <c r="GX1145" s="582"/>
      <c r="GY1145" s="582"/>
      <c r="GZ1145" s="582"/>
      <c r="HA1145" s="582"/>
      <c r="HB1145" s="582"/>
      <c r="HC1145" s="582"/>
      <c r="HD1145" s="582"/>
      <c r="HE1145" s="582"/>
      <c r="HF1145" s="582"/>
      <c r="HG1145" s="582"/>
      <c r="HH1145" s="582"/>
      <c r="HI1145" s="582"/>
      <c r="HJ1145" s="582"/>
      <c r="HK1145" s="582"/>
      <c r="HL1145" s="582"/>
      <c r="HM1145" s="582"/>
      <c r="HN1145" s="582"/>
      <c r="HO1145" s="582"/>
      <c r="HP1145" s="582"/>
      <c r="HQ1145" s="582"/>
      <c r="HR1145" s="582"/>
      <c r="HS1145" s="582"/>
      <c r="HT1145" s="582"/>
      <c r="HU1145" s="582"/>
      <c r="HV1145" s="582"/>
      <c r="HW1145" s="582"/>
      <c r="HX1145" s="582"/>
      <c r="HY1145" s="582"/>
      <c r="HZ1145" s="582"/>
      <c r="IA1145" s="582"/>
      <c r="IB1145" s="582"/>
      <c r="IC1145" s="582"/>
      <c r="ID1145" s="582"/>
      <c r="IE1145" s="582"/>
      <c r="IF1145" s="582"/>
      <c r="IG1145" s="582"/>
      <c r="IH1145" s="582"/>
      <c r="II1145" s="582"/>
      <c r="IJ1145" s="582"/>
      <c r="IK1145" s="582"/>
      <c r="IL1145" s="582"/>
      <c r="IM1145" s="582"/>
      <c r="IN1145" s="582"/>
      <c r="IO1145" s="582"/>
      <c r="IP1145" s="582"/>
      <c r="IQ1145" s="582"/>
      <c r="IR1145" s="582"/>
      <c r="IS1145" s="582"/>
      <c r="IT1145" s="582"/>
      <c r="IU1145" s="582"/>
      <c r="IV1145" s="582"/>
      <c r="IW1145" s="582"/>
    </row>
    <row r="1146" spans="1:257" s="682" customFormat="1" ht="35.25" hidden="1" customHeight="1">
      <c r="A1146" s="699"/>
      <c r="B1146" s="696" t="s">
        <v>1244</v>
      </c>
      <c r="C1146" s="699"/>
      <c r="D1146" s="699"/>
      <c r="E1146" s="781"/>
      <c r="F1146" s="700"/>
      <c r="G1146" s="700"/>
      <c r="H1146" s="700"/>
      <c r="I1146" s="700"/>
      <c r="J1146" s="700">
        <v>254930000</v>
      </c>
      <c r="K1146" s="700"/>
      <c r="L1146" s="1315"/>
      <c r="M1146" s="651"/>
      <c r="N1146" s="820"/>
      <c r="O1146" s="820"/>
      <c r="P1146" s="820"/>
      <c r="Q1146" s="820"/>
      <c r="R1146" s="866"/>
      <c r="S1146" s="866"/>
      <c r="T1146" s="839"/>
      <c r="U1146" s="580"/>
      <c r="V1146" s="581"/>
      <c r="W1146" s="581"/>
      <c r="X1146" s="578"/>
      <c r="Y1146" s="582"/>
      <c r="Z1146" s="582"/>
      <c r="AA1146" s="582"/>
      <c r="AB1146" s="582"/>
      <c r="AC1146" s="582"/>
      <c r="AD1146" s="582"/>
      <c r="AE1146" s="582"/>
      <c r="AF1146" s="582"/>
      <c r="AG1146" s="582"/>
      <c r="AH1146" s="582"/>
      <c r="AI1146" s="582"/>
      <c r="AJ1146" s="582"/>
      <c r="AK1146" s="582"/>
      <c r="AL1146" s="582"/>
      <c r="AM1146" s="582"/>
      <c r="AN1146" s="582"/>
      <c r="AO1146" s="582"/>
      <c r="AP1146" s="582"/>
      <c r="AQ1146" s="582"/>
      <c r="AR1146" s="582"/>
      <c r="AS1146" s="582"/>
      <c r="AT1146" s="582"/>
      <c r="AU1146" s="582"/>
      <c r="AV1146" s="582"/>
      <c r="AW1146" s="582"/>
      <c r="AX1146" s="582"/>
      <c r="AY1146" s="582"/>
      <c r="AZ1146" s="582"/>
      <c r="BA1146" s="582"/>
      <c r="BB1146" s="582"/>
      <c r="BC1146" s="582"/>
      <c r="BD1146" s="582"/>
      <c r="BE1146" s="582"/>
      <c r="BF1146" s="582"/>
      <c r="BG1146" s="582"/>
      <c r="BH1146" s="582"/>
      <c r="BI1146" s="582"/>
      <c r="BJ1146" s="582"/>
      <c r="BK1146" s="582"/>
      <c r="BL1146" s="582"/>
      <c r="BM1146" s="582"/>
      <c r="BN1146" s="582"/>
      <c r="BO1146" s="582"/>
      <c r="BP1146" s="582"/>
      <c r="BQ1146" s="582"/>
      <c r="BR1146" s="582"/>
      <c r="BS1146" s="582"/>
      <c r="BT1146" s="582"/>
      <c r="BU1146" s="582"/>
      <c r="BV1146" s="582"/>
      <c r="BW1146" s="582"/>
      <c r="BX1146" s="582"/>
      <c r="BY1146" s="582"/>
      <c r="BZ1146" s="582"/>
      <c r="CA1146" s="582"/>
      <c r="CB1146" s="582"/>
      <c r="CC1146" s="582"/>
      <c r="CD1146" s="582"/>
      <c r="CE1146" s="582"/>
      <c r="CF1146" s="582"/>
      <c r="CG1146" s="582"/>
      <c r="CH1146" s="582"/>
      <c r="CI1146" s="582"/>
      <c r="CJ1146" s="582"/>
      <c r="CK1146" s="582"/>
      <c r="CL1146" s="582"/>
      <c r="CM1146" s="582"/>
      <c r="CN1146" s="582"/>
      <c r="CO1146" s="582"/>
      <c r="CP1146" s="582"/>
      <c r="CQ1146" s="582"/>
      <c r="CR1146" s="582"/>
      <c r="CS1146" s="582"/>
      <c r="CT1146" s="582"/>
      <c r="CU1146" s="582"/>
      <c r="CV1146" s="582"/>
      <c r="CW1146" s="582"/>
      <c r="CX1146" s="582"/>
      <c r="CY1146" s="582"/>
      <c r="CZ1146" s="582"/>
      <c r="DA1146" s="582"/>
      <c r="DB1146" s="582"/>
      <c r="DC1146" s="582"/>
      <c r="DD1146" s="582"/>
      <c r="DE1146" s="582"/>
      <c r="DF1146" s="582"/>
      <c r="DG1146" s="582"/>
      <c r="DH1146" s="582"/>
      <c r="DI1146" s="582"/>
      <c r="DJ1146" s="582"/>
      <c r="DK1146" s="582"/>
      <c r="DL1146" s="582"/>
      <c r="DM1146" s="582"/>
      <c r="DN1146" s="582"/>
      <c r="DO1146" s="582"/>
      <c r="DP1146" s="582"/>
      <c r="DQ1146" s="582"/>
      <c r="DR1146" s="582"/>
      <c r="DS1146" s="582"/>
      <c r="DT1146" s="582"/>
      <c r="DU1146" s="582"/>
      <c r="DV1146" s="582"/>
      <c r="DW1146" s="582"/>
      <c r="DX1146" s="582"/>
      <c r="DY1146" s="582"/>
      <c r="DZ1146" s="582"/>
      <c r="EA1146" s="582"/>
      <c r="EB1146" s="582"/>
      <c r="EC1146" s="582"/>
      <c r="ED1146" s="582"/>
      <c r="EE1146" s="582"/>
      <c r="EF1146" s="582"/>
      <c r="EG1146" s="582"/>
      <c r="EH1146" s="582"/>
      <c r="EI1146" s="582"/>
      <c r="EJ1146" s="582"/>
      <c r="EK1146" s="582"/>
      <c r="EL1146" s="582"/>
      <c r="EM1146" s="582"/>
      <c r="EN1146" s="582"/>
      <c r="EO1146" s="582"/>
      <c r="EP1146" s="582"/>
      <c r="EQ1146" s="582"/>
      <c r="ER1146" s="582"/>
      <c r="ES1146" s="582"/>
      <c r="ET1146" s="582"/>
      <c r="EU1146" s="582"/>
      <c r="EV1146" s="582"/>
      <c r="EW1146" s="582"/>
      <c r="EX1146" s="582"/>
      <c r="EY1146" s="582"/>
      <c r="EZ1146" s="582"/>
      <c r="FA1146" s="582"/>
      <c r="FB1146" s="582"/>
      <c r="FC1146" s="582"/>
      <c r="FD1146" s="582"/>
      <c r="FE1146" s="582"/>
      <c r="FF1146" s="582"/>
      <c r="FG1146" s="582"/>
      <c r="FH1146" s="582"/>
      <c r="FI1146" s="582"/>
      <c r="FJ1146" s="582"/>
      <c r="FK1146" s="582"/>
      <c r="FL1146" s="582"/>
      <c r="FM1146" s="582"/>
      <c r="FN1146" s="582"/>
      <c r="FO1146" s="582"/>
      <c r="FP1146" s="582"/>
      <c r="FQ1146" s="582"/>
      <c r="FR1146" s="582"/>
      <c r="FS1146" s="582"/>
      <c r="FT1146" s="582"/>
      <c r="FU1146" s="582"/>
      <c r="FV1146" s="582"/>
      <c r="FW1146" s="582"/>
      <c r="FX1146" s="582"/>
      <c r="FY1146" s="582"/>
      <c r="FZ1146" s="582"/>
      <c r="GA1146" s="582"/>
      <c r="GB1146" s="582"/>
      <c r="GC1146" s="582"/>
      <c r="GD1146" s="582"/>
      <c r="GE1146" s="582"/>
      <c r="GF1146" s="582"/>
      <c r="GG1146" s="582"/>
      <c r="GH1146" s="582"/>
      <c r="GI1146" s="582"/>
      <c r="GJ1146" s="582"/>
      <c r="GK1146" s="582"/>
      <c r="GL1146" s="582"/>
      <c r="GM1146" s="582"/>
      <c r="GN1146" s="582"/>
      <c r="GO1146" s="582"/>
      <c r="GP1146" s="582"/>
      <c r="GQ1146" s="582"/>
      <c r="GR1146" s="582"/>
      <c r="GS1146" s="582"/>
      <c r="GT1146" s="582"/>
      <c r="GU1146" s="582"/>
      <c r="GV1146" s="582"/>
      <c r="GW1146" s="582"/>
      <c r="GX1146" s="582"/>
      <c r="GY1146" s="582"/>
      <c r="GZ1146" s="582"/>
      <c r="HA1146" s="582"/>
      <c r="HB1146" s="582"/>
      <c r="HC1146" s="582"/>
      <c r="HD1146" s="582"/>
      <c r="HE1146" s="582"/>
      <c r="HF1146" s="582"/>
      <c r="HG1146" s="582"/>
      <c r="HH1146" s="582"/>
      <c r="HI1146" s="582"/>
      <c r="HJ1146" s="582"/>
      <c r="HK1146" s="582"/>
      <c r="HL1146" s="582"/>
      <c r="HM1146" s="582"/>
      <c r="HN1146" s="582"/>
      <c r="HO1146" s="582"/>
      <c r="HP1146" s="582"/>
      <c r="HQ1146" s="582"/>
      <c r="HR1146" s="582"/>
      <c r="HS1146" s="582"/>
      <c r="HT1146" s="582"/>
      <c r="HU1146" s="582"/>
      <c r="HV1146" s="582"/>
      <c r="HW1146" s="582"/>
      <c r="HX1146" s="582"/>
      <c r="HY1146" s="582"/>
      <c r="HZ1146" s="582"/>
      <c r="IA1146" s="582"/>
      <c r="IB1146" s="582"/>
      <c r="IC1146" s="582"/>
      <c r="ID1146" s="582"/>
      <c r="IE1146" s="582"/>
      <c r="IF1146" s="582"/>
      <c r="IG1146" s="582"/>
      <c r="IH1146" s="582"/>
      <c r="II1146" s="582"/>
      <c r="IJ1146" s="582"/>
      <c r="IK1146" s="582"/>
      <c r="IL1146" s="582"/>
      <c r="IM1146" s="582"/>
      <c r="IN1146" s="582"/>
      <c r="IO1146" s="582"/>
      <c r="IP1146" s="582"/>
      <c r="IQ1146" s="582"/>
      <c r="IR1146" s="582"/>
      <c r="IS1146" s="582"/>
      <c r="IT1146" s="582"/>
      <c r="IU1146" s="582"/>
      <c r="IV1146" s="582"/>
      <c r="IW1146" s="582"/>
    </row>
    <row r="1147" spans="1:257" s="682" customFormat="1" ht="35.25" hidden="1" customHeight="1">
      <c r="A1147" s="699"/>
      <c r="B1147" s="696" t="s">
        <v>1245</v>
      </c>
      <c r="C1147" s="699"/>
      <c r="D1147" s="699"/>
      <c r="E1147" s="781"/>
      <c r="F1147" s="700"/>
      <c r="G1147" s="700"/>
      <c r="H1147" s="700"/>
      <c r="I1147" s="700"/>
      <c r="J1147" s="700">
        <v>145000000</v>
      </c>
      <c r="K1147" s="700"/>
      <c r="L1147" s="1315"/>
      <c r="M1147" s="651"/>
      <c r="N1147" s="820"/>
      <c r="O1147" s="820"/>
      <c r="P1147" s="820"/>
      <c r="Q1147" s="820"/>
      <c r="R1147" s="866"/>
      <c r="S1147" s="866"/>
      <c r="T1147" s="839"/>
      <c r="U1147" s="580"/>
      <c r="V1147" s="581"/>
      <c r="W1147" s="581"/>
      <c r="X1147" s="578"/>
      <c r="Y1147" s="582"/>
      <c r="Z1147" s="582"/>
      <c r="AA1147" s="582"/>
      <c r="AB1147" s="582"/>
      <c r="AC1147" s="582"/>
      <c r="AD1147" s="582"/>
      <c r="AE1147" s="582"/>
      <c r="AF1147" s="582"/>
      <c r="AG1147" s="582"/>
      <c r="AH1147" s="582"/>
      <c r="AI1147" s="582"/>
      <c r="AJ1147" s="582"/>
      <c r="AK1147" s="582"/>
      <c r="AL1147" s="582"/>
      <c r="AM1147" s="582"/>
      <c r="AN1147" s="582"/>
      <c r="AO1147" s="582"/>
      <c r="AP1147" s="582"/>
      <c r="AQ1147" s="582"/>
      <c r="AR1147" s="582"/>
      <c r="AS1147" s="582"/>
      <c r="AT1147" s="582"/>
      <c r="AU1147" s="582"/>
      <c r="AV1147" s="582"/>
      <c r="AW1147" s="582"/>
      <c r="AX1147" s="582"/>
      <c r="AY1147" s="582"/>
      <c r="AZ1147" s="582"/>
      <c r="BA1147" s="582"/>
      <c r="BB1147" s="582"/>
      <c r="BC1147" s="582"/>
      <c r="BD1147" s="582"/>
      <c r="BE1147" s="582"/>
      <c r="BF1147" s="582"/>
      <c r="BG1147" s="582"/>
      <c r="BH1147" s="582"/>
      <c r="BI1147" s="582"/>
      <c r="BJ1147" s="582"/>
      <c r="BK1147" s="582"/>
      <c r="BL1147" s="582"/>
      <c r="BM1147" s="582"/>
      <c r="BN1147" s="582"/>
      <c r="BO1147" s="582"/>
      <c r="BP1147" s="582"/>
      <c r="BQ1147" s="582"/>
      <c r="BR1147" s="582"/>
      <c r="BS1147" s="582"/>
      <c r="BT1147" s="582"/>
      <c r="BU1147" s="582"/>
      <c r="BV1147" s="582"/>
      <c r="BW1147" s="582"/>
      <c r="BX1147" s="582"/>
      <c r="BY1147" s="582"/>
      <c r="BZ1147" s="582"/>
      <c r="CA1147" s="582"/>
      <c r="CB1147" s="582"/>
      <c r="CC1147" s="582"/>
      <c r="CD1147" s="582"/>
      <c r="CE1147" s="582"/>
      <c r="CF1147" s="582"/>
      <c r="CG1147" s="582"/>
      <c r="CH1147" s="582"/>
      <c r="CI1147" s="582"/>
      <c r="CJ1147" s="582"/>
      <c r="CK1147" s="582"/>
      <c r="CL1147" s="582"/>
      <c r="CM1147" s="582"/>
      <c r="CN1147" s="582"/>
      <c r="CO1147" s="582"/>
      <c r="CP1147" s="582"/>
      <c r="CQ1147" s="582"/>
      <c r="CR1147" s="582"/>
      <c r="CS1147" s="582"/>
      <c r="CT1147" s="582"/>
      <c r="CU1147" s="582"/>
      <c r="CV1147" s="582"/>
      <c r="CW1147" s="582"/>
      <c r="CX1147" s="582"/>
      <c r="CY1147" s="582"/>
      <c r="CZ1147" s="582"/>
      <c r="DA1147" s="582"/>
      <c r="DB1147" s="582"/>
      <c r="DC1147" s="582"/>
      <c r="DD1147" s="582"/>
      <c r="DE1147" s="582"/>
      <c r="DF1147" s="582"/>
      <c r="DG1147" s="582"/>
      <c r="DH1147" s="582"/>
      <c r="DI1147" s="582"/>
      <c r="DJ1147" s="582"/>
      <c r="DK1147" s="582"/>
      <c r="DL1147" s="582"/>
      <c r="DM1147" s="582"/>
      <c r="DN1147" s="582"/>
      <c r="DO1147" s="582"/>
      <c r="DP1147" s="582"/>
      <c r="DQ1147" s="582"/>
      <c r="DR1147" s="582"/>
      <c r="DS1147" s="582"/>
      <c r="DT1147" s="582"/>
      <c r="DU1147" s="582"/>
      <c r="DV1147" s="582"/>
      <c r="DW1147" s="582"/>
      <c r="DX1147" s="582"/>
      <c r="DY1147" s="582"/>
      <c r="DZ1147" s="582"/>
      <c r="EA1147" s="582"/>
      <c r="EB1147" s="582"/>
      <c r="EC1147" s="582"/>
      <c r="ED1147" s="582"/>
      <c r="EE1147" s="582"/>
      <c r="EF1147" s="582"/>
      <c r="EG1147" s="582"/>
      <c r="EH1147" s="582"/>
      <c r="EI1147" s="582"/>
      <c r="EJ1147" s="582"/>
      <c r="EK1147" s="582"/>
      <c r="EL1147" s="582"/>
      <c r="EM1147" s="582"/>
      <c r="EN1147" s="582"/>
      <c r="EO1147" s="582"/>
      <c r="EP1147" s="582"/>
      <c r="EQ1147" s="582"/>
      <c r="ER1147" s="582"/>
      <c r="ES1147" s="582"/>
      <c r="ET1147" s="582"/>
      <c r="EU1147" s="582"/>
      <c r="EV1147" s="582"/>
      <c r="EW1147" s="582"/>
      <c r="EX1147" s="582"/>
      <c r="EY1147" s="582"/>
      <c r="EZ1147" s="582"/>
      <c r="FA1147" s="582"/>
      <c r="FB1147" s="582"/>
      <c r="FC1147" s="582"/>
      <c r="FD1147" s="582"/>
      <c r="FE1147" s="582"/>
      <c r="FF1147" s="582"/>
      <c r="FG1147" s="582"/>
      <c r="FH1147" s="582"/>
      <c r="FI1147" s="582"/>
      <c r="FJ1147" s="582"/>
      <c r="FK1147" s="582"/>
      <c r="FL1147" s="582"/>
      <c r="FM1147" s="582"/>
      <c r="FN1147" s="582"/>
      <c r="FO1147" s="582"/>
      <c r="FP1147" s="582"/>
      <c r="FQ1147" s="582"/>
      <c r="FR1147" s="582"/>
      <c r="FS1147" s="582"/>
      <c r="FT1147" s="582"/>
      <c r="FU1147" s="582"/>
      <c r="FV1147" s="582"/>
      <c r="FW1147" s="582"/>
      <c r="FX1147" s="582"/>
      <c r="FY1147" s="582"/>
      <c r="FZ1147" s="582"/>
      <c r="GA1147" s="582"/>
      <c r="GB1147" s="582"/>
      <c r="GC1147" s="582"/>
      <c r="GD1147" s="582"/>
      <c r="GE1147" s="582"/>
      <c r="GF1147" s="582"/>
      <c r="GG1147" s="582"/>
      <c r="GH1147" s="582"/>
      <c r="GI1147" s="582"/>
      <c r="GJ1147" s="582"/>
      <c r="GK1147" s="582"/>
      <c r="GL1147" s="582"/>
      <c r="GM1147" s="582"/>
      <c r="GN1147" s="582"/>
      <c r="GO1147" s="582"/>
      <c r="GP1147" s="582"/>
      <c r="GQ1147" s="582"/>
      <c r="GR1147" s="582"/>
      <c r="GS1147" s="582"/>
      <c r="GT1147" s="582"/>
      <c r="GU1147" s="582"/>
      <c r="GV1147" s="582"/>
      <c r="GW1147" s="582"/>
      <c r="GX1147" s="582"/>
      <c r="GY1147" s="582"/>
      <c r="GZ1147" s="582"/>
      <c r="HA1147" s="582"/>
      <c r="HB1147" s="582"/>
      <c r="HC1147" s="582"/>
      <c r="HD1147" s="582"/>
      <c r="HE1147" s="582"/>
      <c r="HF1147" s="582"/>
      <c r="HG1147" s="582"/>
      <c r="HH1147" s="582"/>
      <c r="HI1147" s="582"/>
      <c r="HJ1147" s="582"/>
      <c r="HK1147" s="582"/>
      <c r="HL1147" s="582"/>
      <c r="HM1147" s="582"/>
      <c r="HN1147" s="582"/>
      <c r="HO1147" s="582"/>
      <c r="HP1147" s="582"/>
      <c r="HQ1147" s="582"/>
      <c r="HR1147" s="582"/>
      <c r="HS1147" s="582"/>
      <c r="HT1147" s="582"/>
      <c r="HU1147" s="582"/>
      <c r="HV1147" s="582"/>
      <c r="HW1147" s="582"/>
      <c r="HX1147" s="582"/>
      <c r="HY1147" s="582"/>
      <c r="HZ1147" s="582"/>
      <c r="IA1147" s="582"/>
      <c r="IB1147" s="582"/>
      <c r="IC1147" s="582"/>
      <c r="ID1147" s="582"/>
      <c r="IE1147" s="582"/>
      <c r="IF1147" s="582"/>
      <c r="IG1147" s="582"/>
      <c r="IH1147" s="582"/>
      <c r="II1147" s="582"/>
      <c r="IJ1147" s="582"/>
      <c r="IK1147" s="582"/>
      <c r="IL1147" s="582"/>
      <c r="IM1147" s="582"/>
      <c r="IN1147" s="582"/>
      <c r="IO1147" s="582"/>
      <c r="IP1147" s="582"/>
      <c r="IQ1147" s="582"/>
      <c r="IR1147" s="582"/>
      <c r="IS1147" s="582"/>
      <c r="IT1147" s="582"/>
      <c r="IU1147" s="582"/>
      <c r="IV1147" s="582"/>
      <c r="IW1147" s="582"/>
    </row>
    <row r="1148" spans="1:257" s="682" customFormat="1" ht="35.25" hidden="1" customHeight="1">
      <c r="A1148" s="699"/>
      <c r="B1148" s="696" t="s">
        <v>1246</v>
      </c>
      <c r="C1148" s="699"/>
      <c r="D1148" s="699"/>
      <c r="E1148" s="781"/>
      <c r="F1148" s="700"/>
      <c r="G1148" s="700"/>
      <c r="H1148" s="700"/>
      <c r="I1148" s="700"/>
      <c r="J1148" s="700">
        <v>50000000</v>
      </c>
      <c r="K1148" s="700"/>
      <c r="L1148" s="1315"/>
      <c r="M1148" s="651"/>
      <c r="N1148" s="820"/>
      <c r="O1148" s="820"/>
      <c r="P1148" s="820"/>
      <c r="Q1148" s="820"/>
      <c r="R1148" s="866"/>
      <c r="S1148" s="866"/>
      <c r="T1148" s="839"/>
      <c r="U1148" s="580"/>
      <c r="V1148" s="581"/>
      <c r="W1148" s="581"/>
      <c r="X1148" s="578"/>
      <c r="Y1148" s="582"/>
      <c r="Z1148" s="582"/>
      <c r="AA1148" s="582"/>
      <c r="AB1148" s="582"/>
      <c r="AC1148" s="582"/>
      <c r="AD1148" s="582"/>
      <c r="AE1148" s="582"/>
      <c r="AF1148" s="582"/>
      <c r="AG1148" s="582"/>
      <c r="AH1148" s="582"/>
      <c r="AI1148" s="582"/>
      <c r="AJ1148" s="582"/>
      <c r="AK1148" s="582"/>
      <c r="AL1148" s="582"/>
      <c r="AM1148" s="582"/>
      <c r="AN1148" s="582"/>
      <c r="AO1148" s="582"/>
      <c r="AP1148" s="582"/>
      <c r="AQ1148" s="582"/>
      <c r="AR1148" s="582"/>
      <c r="AS1148" s="582"/>
      <c r="AT1148" s="582"/>
      <c r="AU1148" s="582"/>
      <c r="AV1148" s="582"/>
      <c r="AW1148" s="582"/>
      <c r="AX1148" s="582"/>
      <c r="AY1148" s="582"/>
      <c r="AZ1148" s="582"/>
      <c r="BA1148" s="582"/>
      <c r="BB1148" s="582"/>
      <c r="BC1148" s="582"/>
      <c r="BD1148" s="582"/>
      <c r="BE1148" s="582"/>
      <c r="BF1148" s="582"/>
      <c r="BG1148" s="582"/>
      <c r="BH1148" s="582"/>
      <c r="BI1148" s="582"/>
      <c r="BJ1148" s="582"/>
      <c r="BK1148" s="582"/>
      <c r="BL1148" s="582"/>
      <c r="BM1148" s="582"/>
      <c r="BN1148" s="582"/>
      <c r="BO1148" s="582"/>
      <c r="BP1148" s="582"/>
      <c r="BQ1148" s="582"/>
      <c r="BR1148" s="582"/>
      <c r="BS1148" s="582"/>
      <c r="BT1148" s="582"/>
      <c r="BU1148" s="582"/>
      <c r="BV1148" s="582"/>
      <c r="BW1148" s="582"/>
      <c r="BX1148" s="582"/>
      <c r="BY1148" s="582"/>
      <c r="BZ1148" s="582"/>
      <c r="CA1148" s="582"/>
      <c r="CB1148" s="582"/>
      <c r="CC1148" s="582"/>
      <c r="CD1148" s="582"/>
      <c r="CE1148" s="582"/>
      <c r="CF1148" s="582"/>
      <c r="CG1148" s="582"/>
      <c r="CH1148" s="582"/>
      <c r="CI1148" s="582"/>
      <c r="CJ1148" s="582"/>
      <c r="CK1148" s="582"/>
      <c r="CL1148" s="582"/>
      <c r="CM1148" s="582"/>
      <c r="CN1148" s="582"/>
      <c r="CO1148" s="582"/>
      <c r="CP1148" s="582"/>
      <c r="CQ1148" s="582"/>
      <c r="CR1148" s="582"/>
      <c r="CS1148" s="582"/>
      <c r="CT1148" s="582"/>
      <c r="CU1148" s="582"/>
      <c r="CV1148" s="582"/>
      <c r="CW1148" s="582"/>
      <c r="CX1148" s="582"/>
      <c r="CY1148" s="582"/>
      <c r="CZ1148" s="582"/>
      <c r="DA1148" s="582"/>
      <c r="DB1148" s="582"/>
      <c r="DC1148" s="582"/>
      <c r="DD1148" s="582"/>
      <c r="DE1148" s="582"/>
      <c r="DF1148" s="582"/>
      <c r="DG1148" s="582"/>
      <c r="DH1148" s="582"/>
      <c r="DI1148" s="582"/>
      <c r="DJ1148" s="582"/>
      <c r="DK1148" s="582"/>
      <c r="DL1148" s="582"/>
      <c r="DM1148" s="582"/>
      <c r="DN1148" s="582"/>
      <c r="DO1148" s="582"/>
      <c r="DP1148" s="582"/>
      <c r="DQ1148" s="582"/>
      <c r="DR1148" s="582"/>
      <c r="DS1148" s="582"/>
      <c r="DT1148" s="582"/>
      <c r="DU1148" s="582"/>
      <c r="DV1148" s="582"/>
      <c r="DW1148" s="582"/>
      <c r="DX1148" s="582"/>
      <c r="DY1148" s="582"/>
      <c r="DZ1148" s="582"/>
      <c r="EA1148" s="582"/>
      <c r="EB1148" s="582"/>
      <c r="EC1148" s="582"/>
      <c r="ED1148" s="582"/>
      <c r="EE1148" s="582"/>
      <c r="EF1148" s="582"/>
      <c r="EG1148" s="582"/>
      <c r="EH1148" s="582"/>
      <c r="EI1148" s="582"/>
      <c r="EJ1148" s="582"/>
      <c r="EK1148" s="582"/>
      <c r="EL1148" s="582"/>
      <c r="EM1148" s="582"/>
      <c r="EN1148" s="582"/>
      <c r="EO1148" s="582"/>
      <c r="EP1148" s="582"/>
      <c r="EQ1148" s="582"/>
      <c r="ER1148" s="582"/>
      <c r="ES1148" s="582"/>
      <c r="ET1148" s="582"/>
      <c r="EU1148" s="582"/>
      <c r="EV1148" s="582"/>
      <c r="EW1148" s="582"/>
      <c r="EX1148" s="582"/>
      <c r="EY1148" s="582"/>
      <c r="EZ1148" s="582"/>
      <c r="FA1148" s="582"/>
      <c r="FB1148" s="582"/>
      <c r="FC1148" s="582"/>
      <c r="FD1148" s="582"/>
      <c r="FE1148" s="582"/>
      <c r="FF1148" s="582"/>
      <c r="FG1148" s="582"/>
      <c r="FH1148" s="582"/>
      <c r="FI1148" s="582"/>
      <c r="FJ1148" s="582"/>
      <c r="FK1148" s="582"/>
      <c r="FL1148" s="582"/>
      <c r="FM1148" s="582"/>
      <c r="FN1148" s="582"/>
      <c r="FO1148" s="582"/>
      <c r="FP1148" s="582"/>
      <c r="FQ1148" s="582"/>
      <c r="FR1148" s="582"/>
      <c r="FS1148" s="582"/>
      <c r="FT1148" s="582"/>
      <c r="FU1148" s="582"/>
      <c r="FV1148" s="582"/>
      <c r="FW1148" s="582"/>
      <c r="FX1148" s="582"/>
      <c r="FY1148" s="582"/>
      <c r="FZ1148" s="582"/>
      <c r="GA1148" s="582"/>
      <c r="GB1148" s="582"/>
      <c r="GC1148" s="582"/>
      <c r="GD1148" s="582"/>
      <c r="GE1148" s="582"/>
      <c r="GF1148" s="582"/>
      <c r="GG1148" s="582"/>
      <c r="GH1148" s="582"/>
      <c r="GI1148" s="582"/>
      <c r="GJ1148" s="582"/>
      <c r="GK1148" s="582"/>
      <c r="GL1148" s="582"/>
      <c r="GM1148" s="582"/>
      <c r="GN1148" s="582"/>
      <c r="GO1148" s="582"/>
      <c r="GP1148" s="582"/>
      <c r="GQ1148" s="582"/>
      <c r="GR1148" s="582"/>
      <c r="GS1148" s="582"/>
      <c r="GT1148" s="582"/>
      <c r="GU1148" s="582"/>
      <c r="GV1148" s="582"/>
      <c r="GW1148" s="582"/>
      <c r="GX1148" s="582"/>
      <c r="GY1148" s="582"/>
      <c r="GZ1148" s="582"/>
      <c r="HA1148" s="582"/>
      <c r="HB1148" s="582"/>
      <c r="HC1148" s="582"/>
      <c r="HD1148" s="582"/>
      <c r="HE1148" s="582"/>
      <c r="HF1148" s="582"/>
      <c r="HG1148" s="582"/>
      <c r="HH1148" s="582"/>
      <c r="HI1148" s="582"/>
      <c r="HJ1148" s="582"/>
      <c r="HK1148" s="582"/>
      <c r="HL1148" s="582"/>
      <c r="HM1148" s="582"/>
      <c r="HN1148" s="582"/>
      <c r="HO1148" s="582"/>
      <c r="HP1148" s="582"/>
      <c r="HQ1148" s="582"/>
      <c r="HR1148" s="582"/>
      <c r="HS1148" s="582"/>
      <c r="HT1148" s="582"/>
      <c r="HU1148" s="582"/>
      <c r="HV1148" s="582"/>
      <c r="HW1148" s="582"/>
      <c r="HX1148" s="582"/>
      <c r="HY1148" s="582"/>
      <c r="HZ1148" s="582"/>
      <c r="IA1148" s="582"/>
      <c r="IB1148" s="582"/>
      <c r="IC1148" s="582"/>
      <c r="ID1148" s="582"/>
      <c r="IE1148" s="582"/>
      <c r="IF1148" s="582"/>
      <c r="IG1148" s="582"/>
      <c r="IH1148" s="582"/>
      <c r="II1148" s="582"/>
      <c r="IJ1148" s="582"/>
      <c r="IK1148" s="582"/>
      <c r="IL1148" s="582"/>
      <c r="IM1148" s="582"/>
      <c r="IN1148" s="582"/>
      <c r="IO1148" s="582"/>
      <c r="IP1148" s="582"/>
      <c r="IQ1148" s="582"/>
      <c r="IR1148" s="582"/>
      <c r="IS1148" s="582"/>
      <c r="IT1148" s="582"/>
      <c r="IU1148" s="582"/>
      <c r="IV1148" s="582"/>
      <c r="IW1148" s="582"/>
    </row>
    <row r="1149" spans="1:257" s="682" customFormat="1" ht="15.75" hidden="1" customHeight="1">
      <c r="A1149" s="699" t="s">
        <v>91</v>
      </c>
      <c r="B1149" s="696" t="s">
        <v>596</v>
      </c>
      <c r="C1149" s="699"/>
      <c r="D1149" s="699"/>
      <c r="E1149" s="781"/>
      <c r="F1149" s="700">
        <v>250000000</v>
      </c>
      <c r="G1149" s="700"/>
      <c r="H1149" s="700"/>
      <c r="I1149" s="700"/>
      <c r="J1149" s="700">
        <v>250000000</v>
      </c>
      <c r="K1149" s="700"/>
      <c r="L1149" s="1315"/>
      <c r="M1149" s="651"/>
      <c r="N1149" s="820"/>
      <c r="O1149" s="820"/>
      <c r="P1149" s="820"/>
      <c r="Q1149" s="820"/>
      <c r="R1149" s="866"/>
      <c r="S1149" s="866"/>
      <c r="T1149" s="839"/>
      <c r="U1149" s="580"/>
      <c r="V1149" s="581"/>
      <c r="W1149" s="581"/>
      <c r="X1149" s="578"/>
      <c r="Y1149" s="582"/>
      <c r="Z1149" s="582"/>
      <c r="AA1149" s="582"/>
      <c r="AB1149" s="582"/>
      <c r="AC1149" s="582"/>
      <c r="AD1149" s="582"/>
      <c r="AE1149" s="582"/>
      <c r="AF1149" s="582"/>
      <c r="AG1149" s="582"/>
      <c r="AH1149" s="582"/>
      <c r="AI1149" s="582"/>
      <c r="AJ1149" s="582"/>
      <c r="AK1149" s="582"/>
      <c r="AL1149" s="582"/>
      <c r="AM1149" s="582"/>
      <c r="AN1149" s="582"/>
      <c r="AO1149" s="582"/>
      <c r="AP1149" s="582"/>
      <c r="AQ1149" s="582"/>
      <c r="AR1149" s="582"/>
      <c r="AS1149" s="582"/>
      <c r="AT1149" s="582"/>
      <c r="AU1149" s="582"/>
      <c r="AV1149" s="582"/>
      <c r="AW1149" s="582"/>
      <c r="AX1149" s="582"/>
      <c r="AY1149" s="582"/>
      <c r="AZ1149" s="582"/>
      <c r="BA1149" s="582"/>
      <c r="BB1149" s="582"/>
      <c r="BC1149" s="582"/>
      <c r="BD1149" s="582"/>
      <c r="BE1149" s="582"/>
      <c r="BF1149" s="582"/>
      <c r="BG1149" s="582"/>
      <c r="BH1149" s="582"/>
      <c r="BI1149" s="582"/>
      <c r="BJ1149" s="582"/>
      <c r="BK1149" s="582"/>
      <c r="BL1149" s="582"/>
      <c r="BM1149" s="582"/>
      <c r="BN1149" s="582"/>
      <c r="BO1149" s="582"/>
      <c r="BP1149" s="582"/>
      <c r="BQ1149" s="582"/>
      <c r="BR1149" s="582"/>
      <c r="BS1149" s="582"/>
      <c r="BT1149" s="582"/>
      <c r="BU1149" s="582"/>
      <c r="BV1149" s="582"/>
      <c r="BW1149" s="582"/>
      <c r="BX1149" s="582"/>
      <c r="BY1149" s="582"/>
      <c r="BZ1149" s="582"/>
      <c r="CA1149" s="582"/>
      <c r="CB1149" s="582"/>
      <c r="CC1149" s="582"/>
      <c r="CD1149" s="582"/>
      <c r="CE1149" s="582"/>
      <c r="CF1149" s="582"/>
      <c r="CG1149" s="582"/>
      <c r="CH1149" s="582"/>
      <c r="CI1149" s="582"/>
      <c r="CJ1149" s="582"/>
      <c r="CK1149" s="582"/>
      <c r="CL1149" s="582"/>
      <c r="CM1149" s="582"/>
      <c r="CN1149" s="582"/>
      <c r="CO1149" s="582"/>
      <c r="CP1149" s="582"/>
      <c r="CQ1149" s="582"/>
      <c r="CR1149" s="582"/>
      <c r="CS1149" s="582"/>
      <c r="CT1149" s="582"/>
      <c r="CU1149" s="582"/>
      <c r="CV1149" s="582"/>
      <c r="CW1149" s="582"/>
      <c r="CX1149" s="582"/>
      <c r="CY1149" s="582"/>
      <c r="CZ1149" s="582"/>
      <c r="DA1149" s="582"/>
      <c r="DB1149" s="582"/>
      <c r="DC1149" s="582"/>
      <c r="DD1149" s="582"/>
      <c r="DE1149" s="582"/>
      <c r="DF1149" s="582"/>
      <c r="DG1149" s="582"/>
      <c r="DH1149" s="582"/>
      <c r="DI1149" s="582"/>
      <c r="DJ1149" s="582"/>
      <c r="DK1149" s="582"/>
      <c r="DL1149" s="582"/>
      <c r="DM1149" s="582"/>
      <c r="DN1149" s="582"/>
      <c r="DO1149" s="582"/>
      <c r="DP1149" s="582"/>
      <c r="DQ1149" s="582"/>
      <c r="DR1149" s="582"/>
      <c r="DS1149" s="582"/>
      <c r="DT1149" s="582"/>
      <c r="DU1149" s="582"/>
      <c r="DV1149" s="582"/>
      <c r="DW1149" s="582"/>
      <c r="DX1149" s="582"/>
      <c r="DY1149" s="582"/>
      <c r="DZ1149" s="582"/>
      <c r="EA1149" s="582"/>
      <c r="EB1149" s="582"/>
      <c r="EC1149" s="582"/>
      <c r="ED1149" s="582"/>
      <c r="EE1149" s="582"/>
      <c r="EF1149" s="582"/>
      <c r="EG1149" s="582"/>
      <c r="EH1149" s="582"/>
      <c r="EI1149" s="582"/>
      <c r="EJ1149" s="582"/>
      <c r="EK1149" s="582"/>
      <c r="EL1149" s="582"/>
      <c r="EM1149" s="582"/>
      <c r="EN1149" s="582"/>
      <c r="EO1149" s="582"/>
      <c r="EP1149" s="582"/>
      <c r="EQ1149" s="582"/>
      <c r="ER1149" s="582"/>
      <c r="ES1149" s="582"/>
      <c r="ET1149" s="582"/>
      <c r="EU1149" s="582"/>
      <c r="EV1149" s="582"/>
      <c r="EW1149" s="582"/>
      <c r="EX1149" s="582"/>
      <c r="EY1149" s="582"/>
      <c r="EZ1149" s="582"/>
      <c r="FA1149" s="582"/>
      <c r="FB1149" s="582"/>
      <c r="FC1149" s="582"/>
      <c r="FD1149" s="582"/>
      <c r="FE1149" s="582"/>
      <c r="FF1149" s="582"/>
      <c r="FG1149" s="582"/>
      <c r="FH1149" s="582"/>
      <c r="FI1149" s="582"/>
      <c r="FJ1149" s="582"/>
      <c r="FK1149" s="582"/>
      <c r="FL1149" s="582"/>
      <c r="FM1149" s="582"/>
      <c r="FN1149" s="582"/>
      <c r="FO1149" s="582"/>
      <c r="FP1149" s="582"/>
      <c r="FQ1149" s="582"/>
      <c r="FR1149" s="582"/>
      <c r="FS1149" s="582"/>
      <c r="FT1149" s="582"/>
      <c r="FU1149" s="582"/>
      <c r="FV1149" s="582"/>
      <c r="FW1149" s="582"/>
      <c r="FX1149" s="582"/>
      <c r="FY1149" s="582"/>
      <c r="FZ1149" s="582"/>
      <c r="GA1149" s="582"/>
      <c r="GB1149" s="582"/>
      <c r="GC1149" s="582"/>
      <c r="GD1149" s="582"/>
      <c r="GE1149" s="582"/>
      <c r="GF1149" s="582"/>
      <c r="GG1149" s="582"/>
      <c r="GH1149" s="582"/>
      <c r="GI1149" s="582"/>
      <c r="GJ1149" s="582"/>
      <c r="GK1149" s="582"/>
      <c r="GL1149" s="582"/>
      <c r="GM1149" s="582"/>
      <c r="GN1149" s="582"/>
      <c r="GO1149" s="582"/>
      <c r="GP1149" s="582"/>
      <c r="GQ1149" s="582"/>
      <c r="GR1149" s="582"/>
      <c r="GS1149" s="582"/>
      <c r="GT1149" s="582"/>
      <c r="GU1149" s="582"/>
      <c r="GV1149" s="582"/>
      <c r="GW1149" s="582"/>
      <c r="GX1149" s="582"/>
      <c r="GY1149" s="582"/>
      <c r="GZ1149" s="582"/>
      <c r="HA1149" s="582"/>
      <c r="HB1149" s="582"/>
      <c r="HC1149" s="582"/>
      <c r="HD1149" s="582"/>
      <c r="HE1149" s="582"/>
      <c r="HF1149" s="582"/>
      <c r="HG1149" s="582"/>
      <c r="HH1149" s="582"/>
      <c r="HI1149" s="582"/>
      <c r="HJ1149" s="582"/>
      <c r="HK1149" s="582"/>
      <c r="HL1149" s="582"/>
      <c r="HM1149" s="582"/>
      <c r="HN1149" s="582"/>
      <c r="HO1149" s="582"/>
      <c r="HP1149" s="582"/>
      <c r="HQ1149" s="582"/>
      <c r="HR1149" s="582"/>
      <c r="HS1149" s="582"/>
      <c r="HT1149" s="582"/>
      <c r="HU1149" s="582"/>
      <c r="HV1149" s="582"/>
      <c r="HW1149" s="582"/>
      <c r="HX1149" s="582"/>
      <c r="HY1149" s="582"/>
      <c r="HZ1149" s="582"/>
      <c r="IA1149" s="582"/>
      <c r="IB1149" s="582"/>
      <c r="IC1149" s="582"/>
      <c r="ID1149" s="582"/>
      <c r="IE1149" s="582"/>
      <c r="IF1149" s="582"/>
      <c r="IG1149" s="582"/>
      <c r="IH1149" s="582"/>
      <c r="II1149" s="582"/>
      <c r="IJ1149" s="582"/>
      <c r="IK1149" s="582"/>
      <c r="IL1149" s="582"/>
      <c r="IM1149" s="582"/>
      <c r="IN1149" s="582"/>
      <c r="IO1149" s="582"/>
      <c r="IP1149" s="582"/>
      <c r="IQ1149" s="582"/>
      <c r="IR1149" s="582"/>
      <c r="IS1149" s="582"/>
      <c r="IT1149" s="582"/>
      <c r="IU1149" s="582"/>
      <c r="IV1149" s="582"/>
      <c r="IW1149" s="582"/>
    </row>
    <row r="1150" spans="1:257" s="682" customFormat="1" ht="15.75" hidden="1" customHeight="1">
      <c r="A1150" s="699" t="s">
        <v>91</v>
      </c>
      <c r="B1150" s="696" t="s">
        <v>1247</v>
      </c>
      <c r="C1150" s="699"/>
      <c r="D1150" s="699"/>
      <c r="E1150" s="781"/>
      <c r="F1150" s="700">
        <v>50000000</v>
      </c>
      <c r="G1150" s="700"/>
      <c r="H1150" s="700"/>
      <c r="I1150" s="700"/>
      <c r="J1150" s="700">
        <v>110000000</v>
      </c>
      <c r="K1150" s="700"/>
      <c r="L1150" s="1315"/>
      <c r="M1150" s="651"/>
      <c r="N1150" s="820"/>
      <c r="O1150" s="820"/>
      <c r="P1150" s="820"/>
      <c r="Q1150" s="820"/>
      <c r="R1150" s="866"/>
      <c r="S1150" s="866"/>
      <c r="T1150" s="839"/>
      <c r="U1150" s="580"/>
      <c r="V1150" s="581"/>
      <c r="W1150" s="581"/>
      <c r="X1150" s="578"/>
      <c r="Y1150" s="582"/>
      <c r="Z1150" s="582"/>
      <c r="AA1150" s="582"/>
      <c r="AB1150" s="582"/>
      <c r="AC1150" s="582"/>
      <c r="AD1150" s="582"/>
      <c r="AE1150" s="582"/>
      <c r="AF1150" s="582"/>
      <c r="AG1150" s="582"/>
      <c r="AH1150" s="582"/>
      <c r="AI1150" s="582"/>
      <c r="AJ1150" s="582"/>
      <c r="AK1150" s="582"/>
      <c r="AL1150" s="582"/>
      <c r="AM1150" s="582"/>
      <c r="AN1150" s="582"/>
      <c r="AO1150" s="582"/>
      <c r="AP1150" s="582"/>
      <c r="AQ1150" s="582"/>
      <c r="AR1150" s="582"/>
      <c r="AS1150" s="582"/>
      <c r="AT1150" s="582"/>
      <c r="AU1150" s="582"/>
      <c r="AV1150" s="582"/>
      <c r="AW1150" s="582"/>
      <c r="AX1150" s="582"/>
      <c r="AY1150" s="582"/>
      <c r="AZ1150" s="582"/>
      <c r="BA1150" s="582"/>
      <c r="BB1150" s="582"/>
      <c r="BC1150" s="582"/>
      <c r="BD1150" s="582"/>
      <c r="BE1150" s="582"/>
      <c r="BF1150" s="582"/>
      <c r="BG1150" s="582"/>
      <c r="BH1150" s="582"/>
      <c r="BI1150" s="582"/>
      <c r="BJ1150" s="582"/>
      <c r="BK1150" s="582"/>
      <c r="BL1150" s="582"/>
      <c r="BM1150" s="582"/>
      <c r="BN1150" s="582"/>
      <c r="BO1150" s="582"/>
      <c r="BP1150" s="582"/>
      <c r="BQ1150" s="582"/>
      <c r="BR1150" s="582"/>
      <c r="BS1150" s="582"/>
      <c r="BT1150" s="582"/>
      <c r="BU1150" s="582"/>
      <c r="BV1150" s="582"/>
      <c r="BW1150" s="582"/>
      <c r="BX1150" s="582"/>
      <c r="BY1150" s="582"/>
      <c r="BZ1150" s="582"/>
      <c r="CA1150" s="582"/>
      <c r="CB1150" s="582"/>
      <c r="CC1150" s="582"/>
      <c r="CD1150" s="582"/>
      <c r="CE1150" s="582"/>
      <c r="CF1150" s="582"/>
      <c r="CG1150" s="582"/>
      <c r="CH1150" s="582"/>
      <c r="CI1150" s="582"/>
      <c r="CJ1150" s="582"/>
      <c r="CK1150" s="582"/>
      <c r="CL1150" s="582"/>
      <c r="CM1150" s="582"/>
      <c r="CN1150" s="582"/>
      <c r="CO1150" s="582"/>
      <c r="CP1150" s="582"/>
      <c r="CQ1150" s="582"/>
      <c r="CR1150" s="582"/>
      <c r="CS1150" s="582"/>
      <c r="CT1150" s="582"/>
      <c r="CU1150" s="582"/>
      <c r="CV1150" s="582"/>
      <c r="CW1150" s="582"/>
      <c r="CX1150" s="582"/>
      <c r="CY1150" s="582"/>
      <c r="CZ1150" s="582"/>
      <c r="DA1150" s="582"/>
      <c r="DB1150" s="582"/>
      <c r="DC1150" s="582"/>
      <c r="DD1150" s="582"/>
      <c r="DE1150" s="582"/>
      <c r="DF1150" s="582"/>
      <c r="DG1150" s="582"/>
      <c r="DH1150" s="582"/>
      <c r="DI1150" s="582"/>
      <c r="DJ1150" s="582"/>
      <c r="DK1150" s="582"/>
      <c r="DL1150" s="582"/>
      <c r="DM1150" s="582"/>
      <c r="DN1150" s="582"/>
      <c r="DO1150" s="582"/>
      <c r="DP1150" s="582"/>
      <c r="DQ1150" s="582"/>
      <c r="DR1150" s="582"/>
      <c r="DS1150" s="582"/>
      <c r="DT1150" s="582"/>
      <c r="DU1150" s="582"/>
      <c r="DV1150" s="582"/>
      <c r="DW1150" s="582"/>
      <c r="DX1150" s="582"/>
      <c r="DY1150" s="582"/>
      <c r="DZ1150" s="582"/>
      <c r="EA1150" s="582"/>
      <c r="EB1150" s="582"/>
      <c r="EC1150" s="582"/>
      <c r="ED1150" s="582"/>
      <c r="EE1150" s="582"/>
      <c r="EF1150" s="582"/>
      <c r="EG1150" s="582"/>
      <c r="EH1150" s="582"/>
      <c r="EI1150" s="582"/>
      <c r="EJ1150" s="582"/>
      <c r="EK1150" s="582"/>
      <c r="EL1150" s="582"/>
      <c r="EM1150" s="582"/>
      <c r="EN1150" s="582"/>
      <c r="EO1150" s="582"/>
      <c r="EP1150" s="582"/>
      <c r="EQ1150" s="582"/>
      <c r="ER1150" s="582"/>
      <c r="ES1150" s="582"/>
      <c r="ET1150" s="582"/>
      <c r="EU1150" s="582"/>
      <c r="EV1150" s="582"/>
      <c r="EW1150" s="582"/>
      <c r="EX1150" s="582"/>
      <c r="EY1150" s="582"/>
      <c r="EZ1150" s="582"/>
      <c r="FA1150" s="582"/>
      <c r="FB1150" s="582"/>
      <c r="FC1150" s="582"/>
      <c r="FD1150" s="582"/>
      <c r="FE1150" s="582"/>
      <c r="FF1150" s="582"/>
      <c r="FG1150" s="582"/>
      <c r="FH1150" s="582"/>
      <c r="FI1150" s="582"/>
      <c r="FJ1150" s="582"/>
      <c r="FK1150" s="582"/>
      <c r="FL1150" s="582"/>
      <c r="FM1150" s="582"/>
      <c r="FN1150" s="582"/>
      <c r="FO1150" s="582"/>
      <c r="FP1150" s="582"/>
      <c r="FQ1150" s="582"/>
      <c r="FR1150" s="582"/>
      <c r="FS1150" s="582"/>
      <c r="FT1150" s="582"/>
      <c r="FU1150" s="582"/>
      <c r="FV1150" s="582"/>
      <c r="FW1150" s="582"/>
      <c r="FX1150" s="582"/>
      <c r="FY1150" s="582"/>
      <c r="FZ1150" s="582"/>
      <c r="GA1150" s="582"/>
      <c r="GB1150" s="582"/>
      <c r="GC1150" s="582"/>
      <c r="GD1150" s="582"/>
      <c r="GE1150" s="582"/>
      <c r="GF1150" s="582"/>
      <c r="GG1150" s="582"/>
      <c r="GH1150" s="582"/>
      <c r="GI1150" s="582"/>
      <c r="GJ1150" s="582"/>
      <c r="GK1150" s="582"/>
      <c r="GL1150" s="582"/>
      <c r="GM1150" s="582"/>
      <c r="GN1150" s="582"/>
      <c r="GO1150" s="582"/>
      <c r="GP1150" s="582"/>
      <c r="GQ1150" s="582"/>
      <c r="GR1150" s="582"/>
      <c r="GS1150" s="582"/>
      <c r="GT1150" s="582"/>
      <c r="GU1150" s="582"/>
      <c r="GV1150" s="582"/>
      <c r="GW1150" s="582"/>
      <c r="GX1150" s="582"/>
      <c r="GY1150" s="582"/>
      <c r="GZ1150" s="582"/>
      <c r="HA1150" s="582"/>
      <c r="HB1150" s="582"/>
      <c r="HC1150" s="582"/>
      <c r="HD1150" s="582"/>
      <c r="HE1150" s="582"/>
      <c r="HF1150" s="582"/>
      <c r="HG1150" s="582"/>
      <c r="HH1150" s="582"/>
      <c r="HI1150" s="582"/>
      <c r="HJ1150" s="582"/>
      <c r="HK1150" s="582"/>
      <c r="HL1150" s="582"/>
      <c r="HM1150" s="582"/>
      <c r="HN1150" s="582"/>
      <c r="HO1150" s="582"/>
      <c r="HP1150" s="582"/>
      <c r="HQ1150" s="582"/>
      <c r="HR1150" s="582"/>
      <c r="HS1150" s="582"/>
      <c r="HT1150" s="582"/>
      <c r="HU1150" s="582"/>
      <c r="HV1150" s="582"/>
      <c r="HW1150" s="582"/>
      <c r="HX1150" s="582"/>
      <c r="HY1150" s="582"/>
      <c r="HZ1150" s="582"/>
      <c r="IA1150" s="582"/>
      <c r="IB1150" s="582"/>
      <c r="IC1150" s="582"/>
      <c r="ID1150" s="582"/>
      <c r="IE1150" s="582"/>
      <c r="IF1150" s="582"/>
      <c r="IG1150" s="582"/>
      <c r="IH1150" s="582"/>
      <c r="II1150" s="582"/>
      <c r="IJ1150" s="582"/>
      <c r="IK1150" s="582"/>
      <c r="IL1150" s="582"/>
      <c r="IM1150" s="582"/>
      <c r="IN1150" s="582"/>
      <c r="IO1150" s="582"/>
      <c r="IP1150" s="582"/>
      <c r="IQ1150" s="582"/>
      <c r="IR1150" s="582"/>
      <c r="IS1150" s="582"/>
      <c r="IT1150" s="582"/>
      <c r="IU1150" s="582"/>
      <c r="IV1150" s="582"/>
      <c r="IW1150" s="582"/>
    </row>
    <row r="1151" spans="1:257" s="682" customFormat="1" ht="15.75" hidden="1" customHeight="1">
      <c r="A1151" s="699" t="s">
        <v>91</v>
      </c>
      <c r="B1151" s="696" t="s">
        <v>597</v>
      </c>
      <c r="C1151" s="699"/>
      <c r="D1151" s="699"/>
      <c r="E1151" s="781"/>
      <c r="F1151" s="700">
        <v>100000000</v>
      </c>
      <c r="G1151" s="700"/>
      <c r="H1151" s="700"/>
      <c r="I1151" s="700"/>
      <c r="J1151" s="700">
        <v>90000000</v>
      </c>
      <c r="K1151" s="700"/>
      <c r="L1151" s="1315"/>
      <c r="M1151" s="651"/>
      <c r="N1151" s="820"/>
      <c r="O1151" s="820"/>
      <c r="P1151" s="820"/>
      <c r="Q1151" s="820"/>
      <c r="R1151" s="866"/>
      <c r="S1151" s="866"/>
      <c r="T1151" s="839"/>
      <c r="U1151" s="580"/>
      <c r="V1151" s="581"/>
      <c r="W1151" s="581"/>
      <c r="X1151" s="578"/>
      <c r="Y1151" s="582"/>
      <c r="Z1151" s="582"/>
      <c r="AA1151" s="582"/>
      <c r="AB1151" s="582"/>
      <c r="AC1151" s="582"/>
      <c r="AD1151" s="582"/>
      <c r="AE1151" s="582"/>
      <c r="AF1151" s="582"/>
      <c r="AG1151" s="582"/>
      <c r="AH1151" s="582"/>
      <c r="AI1151" s="582"/>
      <c r="AJ1151" s="582"/>
      <c r="AK1151" s="582"/>
      <c r="AL1151" s="582"/>
      <c r="AM1151" s="582"/>
      <c r="AN1151" s="582"/>
      <c r="AO1151" s="582"/>
      <c r="AP1151" s="582"/>
      <c r="AQ1151" s="582"/>
      <c r="AR1151" s="582"/>
      <c r="AS1151" s="582"/>
      <c r="AT1151" s="582"/>
      <c r="AU1151" s="582"/>
      <c r="AV1151" s="582"/>
      <c r="AW1151" s="582"/>
      <c r="AX1151" s="582"/>
      <c r="AY1151" s="582"/>
      <c r="AZ1151" s="582"/>
      <c r="BA1151" s="582"/>
      <c r="BB1151" s="582"/>
      <c r="BC1151" s="582"/>
      <c r="BD1151" s="582"/>
      <c r="BE1151" s="582"/>
      <c r="BF1151" s="582"/>
      <c r="BG1151" s="582"/>
      <c r="BH1151" s="582"/>
      <c r="BI1151" s="582"/>
      <c r="BJ1151" s="582"/>
      <c r="BK1151" s="582"/>
      <c r="BL1151" s="582"/>
      <c r="BM1151" s="582"/>
      <c r="BN1151" s="582"/>
      <c r="BO1151" s="582"/>
      <c r="BP1151" s="582"/>
      <c r="BQ1151" s="582"/>
      <c r="BR1151" s="582"/>
      <c r="BS1151" s="582"/>
      <c r="BT1151" s="582"/>
      <c r="BU1151" s="582"/>
      <c r="BV1151" s="582"/>
      <c r="BW1151" s="582"/>
      <c r="BX1151" s="582"/>
      <c r="BY1151" s="582"/>
      <c r="BZ1151" s="582"/>
      <c r="CA1151" s="582"/>
      <c r="CB1151" s="582"/>
      <c r="CC1151" s="582"/>
      <c r="CD1151" s="582"/>
      <c r="CE1151" s="582"/>
      <c r="CF1151" s="582"/>
      <c r="CG1151" s="582"/>
      <c r="CH1151" s="582"/>
      <c r="CI1151" s="582"/>
      <c r="CJ1151" s="582"/>
      <c r="CK1151" s="582"/>
      <c r="CL1151" s="582"/>
      <c r="CM1151" s="582"/>
      <c r="CN1151" s="582"/>
      <c r="CO1151" s="582"/>
      <c r="CP1151" s="582"/>
      <c r="CQ1151" s="582"/>
      <c r="CR1151" s="582"/>
      <c r="CS1151" s="582"/>
      <c r="CT1151" s="582"/>
      <c r="CU1151" s="582"/>
      <c r="CV1151" s="582"/>
      <c r="CW1151" s="582"/>
      <c r="CX1151" s="582"/>
      <c r="CY1151" s="582"/>
      <c r="CZ1151" s="582"/>
      <c r="DA1151" s="582"/>
      <c r="DB1151" s="582"/>
      <c r="DC1151" s="582"/>
      <c r="DD1151" s="582"/>
      <c r="DE1151" s="582"/>
      <c r="DF1151" s="582"/>
      <c r="DG1151" s="582"/>
      <c r="DH1151" s="582"/>
      <c r="DI1151" s="582"/>
      <c r="DJ1151" s="582"/>
      <c r="DK1151" s="582"/>
      <c r="DL1151" s="582"/>
      <c r="DM1151" s="582"/>
      <c r="DN1151" s="582"/>
      <c r="DO1151" s="582"/>
      <c r="DP1151" s="582"/>
      <c r="DQ1151" s="582"/>
      <c r="DR1151" s="582"/>
      <c r="DS1151" s="582"/>
      <c r="DT1151" s="582"/>
      <c r="DU1151" s="582"/>
      <c r="DV1151" s="582"/>
      <c r="DW1151" s="582"/>
      <c r="DX1151" s="582"/>
      <c r="DY1151" s="582"/>
      <c r="DZ1151" s="582"/>
      <c r="EA1151" s="582"/>
      <c r="EB1151" s="582"/>
      <c r="EC1151" s="582"/>
      <c r="ED1151" s="582"/>
      <c r="EE1151" s="582"/>
      <c r="EF1151" s="582"/>
      <c r="EG1151" s="582"/>
      <c r="EH1151" s="582"/>
      <c r="EI1151" s="582"/>
      <c r="EJ1151" s="582"/>
      <c r="EK1151" s="582"/>
      <c r="EL1151" s="582"/>
      <c r="EM1151" s="582"/>
      <c r="EN1151" s="582"/>
      <c r="EO1151" s="582"/>
      <c r="EP1151" s="582"/>
      <c r="EQ1151" s="582"/>
      <c r="ER1151" s="582"/>
      <c r="ES1151" s="582"/>
      <c r="ET1151" s="582"/>
      <c r="EU1151" s="582"/>
      <c r="EV1151" s="582"/>
      <c r="EW1151" s="582"/>
      <c r="EX1151" s="582"/>
      <c r="EY1151" s="582"/>
      <c r="EZ1151" s="582"/>
      <c r="FA1151" s="582"/>
      <c r="FB1151" s="582"/>
      <c r="FC1151" s="582"/>
      <c r="FD1151" s="582"/>
      <c r="FE1151" s="582"/>
      <c r="FF1151" s="582"/>
      <c r="FG1151" s="582"/>
      <c r="FH1151" s="582"/>
      <c r="FI1151" s="582"/>
      <c r="FJ1151" s="582"/>
      <c r="FK1151" s="582"/>
      <c r="FL1151" s="582"/>
      <c r="FM1151" s="582"/>
      <c r="FN1151" s="582"/>
      <c r="FO1151" s="582"/>
      <c r="FP1151" s="582"/>
      <c r="FQ1151" s="582"/>
      <c r="FR1151" s="582"/>
      <c r="FS1151" s="582"/>
      <c r="FT1151" s="582"/>
      <c r="FU1151" s="582"/>
      <c r="FV1151" s="582"/>
      <c r="FW1151" s="582"/>
      <c r="FX1151" s="582"/>
      <c r="FY1151" s="582"/>
      <c r="FZ1151" s="582"/>
      <c r="GA1151" s="582"/>
      <c r="GB1151" s="582"/>
      <c r="GC1151" s="582"/>
      <c r="GD1151" s="582"/>
      <c r="GE1151" s="582"/>
      <c r="GF1151" s="582"/>
      <c r="GG1151" s="582"/>
      <c r="GH1151" s="582"/>
      <c r="GI1151" s="582"/>
      <c r="GJ1151" s="582"/>
      <c r="GK1151" s="582"/>
      <c r="GL1151" s="582"/>
      <c r="GM1151" s="582"/>
      <c r="GN1151" s="582"/>
      <c r="GO1151" s="582"/>
      <c r="GP1151" s="582"/>
      <c r="GQ1151" s="582"/>
      <c r="GR1151" s="582"/>
      <c r="GS1151" s="582"/>
      <c r="GT1151" s="582"/>
      <c r="GU1151" s="582"/>
      <c r="GV1151" s="582"/>
      <c r="GW1151" s="582"/>
      <c r="GX1151" s="582"/>
      <c r="GY1151" s="582"/>
      <c r="GZ1151" s="582"/>
      <c r="HA1151" s="582"/>
      <c r="HB1151" s="582"/>
      <c r="HC1151" s="582"/>
      <c r="HD1151" s="582"/>
      <c r="HE1151" s="582"/>
      <c r="HF1151" s="582"/>
      <c r="HG1151" s="582"/>
      <c r="HH1151" s="582"/>
      <c r="HI1151" s="582"/>
      <c r="HJ1151" s="582"/>
      <c r="HK1151" s="582"/>
      <c r="HL1151" s="582"/>
      <c r="HM1151" s="582"/>
      <c r="HN1151" s="582"/>
      <c r="HO1151" s="582"/>
      <c r="HP1151" s="582"/>
      <c r="HQ1151" s="582"/>
      <c r="HR1151" s="582"/>
      <c r="HS1151" s="582"/>
      <c r="HT1151" s="582"/>
      <c r="HU1151" s="582"/>
      <c r="HV1151" s="582"/>
      <c r="HW1151" s="582"/>
      <c r="HX1151" s="582"/>
      <c r="HY1151" s="582"/>
      <c r="HZ1151" s="582"/>
      <c r="IA1151" s="582"/>
      <c r="IB1151" s="582"/>
      <c r="IC1151" s="582"/>
      <c r="ID1151" s="582"/>
      <c r="IE1151" s="582"/>
      <c r="IF1151" s="582"/>
      <c r="IG1151" s="582"/>
      <c r="IH1151" s="582"/>
      <c r="II1151" s="582"/>
      <c r="IJ1151" s="582"/>
      <c r="IK1151" s="582"/>
      <c r="IL1151" s="582"/>
      <c r="IM1151" s="582"/>
      <c r="IN1151" s="582"/>
      <c r="IO1151" s="582"/>
      <c r="IP1151" s="582"/>
      <c r="IQ1151" s="582"/>
      <c r="IR1151" s="582"/>
      <c r="IS1151" s="582"/>
      <c r="IT1151" s="582"/>
      <c r="IU1151" s="582"/>
      <c r="IV1151" s="582"/>
      <c r="IW1151" s="582"/>
    </row>
    <row r="1152" spans="1:257" s="682" customFormat="1" ht="15.75" hidden="1" customHeight="1">
      <c r="A1152" s="699" t="s">
        <v>91</v>
      </c>
      <c r="B1152" s="696" t="s">
        <v>1248</v>
      </c>
      <c r="C1152" s="699"/>
      <c r="D1152" s="699"/>
      <c r="E1152" s="781"/>
      <c r="F1152" s="700">
        <v>1000000000</v>
      </c>
      <c r="G1152" s="700" t="s">
        <v>1249</v>
      </c>
      <c r="H1152" s="700"/>
      <c r="I1152" s="700"/>
      <c r="J1152" s="700"/>
      <c r="K1152" s="700"/>
      <c r="L1152" s="1315"/>
      <c r="M1152" s="651"/>
      <c r="N1152" s="820"/>
      <c r="O1152" s="820"/>
      <c r="P1152" s="820"/>
      <c r="Q1152" s="820"/>
      <c r="R1152" s="866"/>
      <c r="S1152" s="866"/>
      <c r="T1152" s="839"/>
      <c r="U1152" s="580"/>
      <c r="V1152" s="581"/>
      <c r="W1152" s="581"/>
      <c r="X1152" s="578"/>
      <c r="Y1152" s="582"/>
      <c r="Z1152" s="582"/>
      <c r="AA1152" s="582"/>
      <c r="AB1152" s="582"/>
      <c r="AC1152" s="582"/>
      <c r="AD1152" s="582"/>
      <c r="AE1152" s="582"/>
      <c r="AF1152" s="582"/>
      <c r="AG1152" s="582"/>
      <c r="AH1152" s="582"/>
      <c r="AI1152" s="582"/>
      <c r="AJ1152" s="582"/>
      <c r="AK1152" s="582"/>
      <c r="AL1152" s="582"/>
      <c r="AM1152" s="582"/>
      <c r="AN1152" s="582"/>
      <c r="AO1152" s="582"/>
      <c r="AP1152" s="582"/>
      <c r="AQ1152" s="582"/>
      <c r="AR1152" s="582"/>
      <c r="AS1152" s="582"/>
      <c r="AT1152" s="582"/>
      <c r="AU1152" s="582"/>
      <c r="AV1152" s="582"/>
      <c r="AW1152" s="582"/>
      <c r="AX1152" s="582"/>
      <c r="AY1152" s="582"/>
      <c r="AZ1152" s="582"/>
      <c r="BA1152" s="582"/>
      <c r="BB1152" s="582"/>
      <c r="BC1152" s="582"/>
      <c r="BD1152" s="582"/>
      <c r="BE1152" s="582"/>
      <c r="BF1152" s="582"/>
      <c r="BG1152" s="582"/>
      <c r="BH1152" s="582"/>
      <c r="BI1152" s="582"/>
      <c r="BJ1152" s="582"/>
      <c r="BK1152" s="582"/>
      <c r="BL1152" s="582"/>
      <c r="BM1152" s="582"/>
      <c r="BN1152" s="582"/>
      <c r="BO1152" s="582"/>
      <c r="BP1152" s="582"/>
      <c r="BQ1152" s="582"/>
      <c r="BR1152" s="582"/>
      <c r="BS1152" s="582"/>
      <c r="BT1152" s="582"/>
      <c r="BU1152" s="582"/>
      <c r="BV1152" s="582"/>
      <c r="BW1152" s="582"/>
      <c r="BX1152" s="582"/>
      <c r="BY1152" s="582"/>
      <c r="BZ1152" s="582"/>
      <c r="CA1152" s="582"/>
      <c r="CB1152" s="582"/>
      <c r="CC1152" s="582"/>
      <c r="CD1152" s="582"/>
      <c r="CE1152" s="582"/>
      <c r="CF1152" s="582"/>
      <c r="CG1152" s="582"/>
      <c r="CH1152" s="582"/>
      <c r="CI1152" s="582"/>
      <c r="CJ1152" s="582"/>
      <c r="CK1152" s="582"/>
      <c r="CL1152" s="582"/>
      <c r="CM1152" s="582"/>
      <c r="CN1152" s="582"/>
      <c r="CO1152" s="582"/>
      <c r="CP1152" s="582"/>
      <c r="CQ1152" s="582"/>
      <c r="CR1152" s="582"/>
      <c r="CS1152" s="582"/>
      <c r="CT1152" s="582"/>
      <c r="CU1152" s="582"/>
      <c r="CV1152" s="582"/>
      <c r="CW1152" s="582"/>
      <c r="CX1152" s="582"/>
      <c r="CY1152" s="582"/>
      <c r="CZ1152" s="582"/>
      <c r="DA1152" s="582"/>
      <c r="DB1152" s="582"/>
      <c r="DC1152" s="582"/>
      <c r="DD1152" s="582"/>
      <c r="DE1152" s="582"/>
      <c r="DF1152" s="582"/>
      <c r="DG1152" s="582"/>
      <c r="DH1152" s="582"/>
      <c r="DI1152" s="582"/>
      <c r="DJ1152" s="582"/>
      <c r="DK1152" s="582"/>
      <c r="DL1152" s="582"/>
      <c r="DM1152" s="582"/>
      <c r="DN1152" s="582"/>
      <c r="DO1152" s="582"/>
      <c r="DP1152" s="582"/>
      <c r="DQ1152" s="582"/>
      <c r="DR1152" s="582"/>
      <c r="DS1152" s="582"/>
      <c r="DT1152" s="582"/>
      <c r="DU1152" s="582"/>
      <c r="DV1152" s="582"/>
      <c r="DW1152" s="582"/>
      <c r="DX1152" s="582"/>
      <c r="DY1152" s="582"/>
      <c r="DZ1152" s="582"/>
      <c r="EA1152" s="582"/>
      <c r="EB1152" s="582"/>
      <c r="EC1152" s="582"/>
      <c r="ED1152" s="582"/>
      <c r="EE1152" s="582"/>
      <c r="EF1152" s="582"/>
      <c r="EG1152" s="582"/>
      <c r="EH1152" s="582"/>
      <c r="EI1152" s="582"/>
      <c r="EJ1152" s="582"/>
      <c r="EK1152" s="582"/>
      <c r="EL1152" s="582"/>
      <c r="EM1152" s="582"/>
      <c r="EN1152" s="582"/>
      <c r="EO1152" s="582"/>
      <c r="EP1152" s="582"/>
      <c r="EQ1152" s="582"/>
      <c r="ER1152" s="582"/>
      <c r="ES1152" s="582"/>
      <c r="ET1152" s="582"/>
      <c r="EU1152" s="582"/>
      <c r="EV1152" s="582"/>
      <c r="EW1152" s="582"/>
      <c r="EX1152" s="582"/>
      <c r="EY1152" s="582"/>
      <c r="EZ1152" s="582"/>
      <c r="FA1152" s="582"/>
      <c r="FB1152" s="582"/>
      <c r="FC1152" s="582"/>
      <c r="FD1152" s="582"/>
      <c r="FE1152" s="582"/>
      <c r="FF1152" s="582"/>
      <c r="FG1152" s="582"/>
      <c r="FH1152" s="582"/>
      <c r="FI1152" s="582"/>
      <c r="FJ1152" s="582"/>
      <c r="FK1152" s="582"/>
      <c r="FL1152" s="582"/>
      <c r="FM1152" s="582"/>
      <c r="FN1152" s="582"/>
      <c r="FO1152" s="582"/>
      <c r="FP1152" s="582"/>
      <c r="FQ1152" s="582"/>
      <c r="FR1152" s="582"/>
      <c r="FS1152" s="582"/>
      <c r="FT1152" s="582"/>
      <c r="FU1152" s="582"/>
      <c r="FV1152" s="582"/>
      <c r="FW1152" s="582"/>
      <c r="FX1152" s="582"/>
      <c r="FY1152" s="582"/>
      <c r="FZ1152" s="582"/>
      <c r="GA1152" s="582"/>
      <c r="GB1152" s="582"/>
      <c r="GC1152" s="582"/>
      <c r="GD1152" s="582"/>
      <c r="GE1152" s="582"/>
      <c r="GF1152" s="582"/>
      <c r="GG1152" s="582"/>
      <c r="GH1152" s="582"/>
      <c r="GI1152" s="582"/>
      <c r="GJ1152" s="582"/>
      <c r="GK1152" s="582"/>
      <c r="GL1152" s="582"/>
      <c r="GM1152" s="582"/>
      <c r="GN1152" s="582"/>
      <c r="GO1152" s="582"/>
      <c r="GP1152" s="582"/>
      <c r="GQ1152" s="582"/>
      <c r="GR1152" s="582"/>
      <c r="GS1152" s="582"/>
      <c r="GT1152" s="582"/>
      <c r="GU1152" s="582"/>
      <c r="GV1152" s="582"/>
      <c r="GW1152" s="582"/>
      <c r="GX1152" s="582"/>
      <c r="GY1152" s="582"/>
      <c r="GZ1152" s="582"/>
      <c r="HA1152" s="582"/>
      <c r="HB1152" s="582"/>
      <c r="HC1152" s="582"/>
      <c r="HD1152" s="582"/>
      <c r="HE1152" s="582"/>
      <c r="HF1152" s="582"/>
      <c r="HG1152" s="582"/>
      <c r="HH1152" s="582"/>
      <c r="HI1152" s="582"/>
      <c r="HJ1152" s="582"/>
      <c r="HK1152" s="582"/>
      <c r="HL1152" s="582"/>
      <c r="HM1152" s="582"/>
      <c r="HN1152" s="582"/>
      <c r="HO1152" s="582"/>
      <c r="HP1152" s="582"/>
      <c r="HQ1152" s="582"/>
      <c r="HR1152" s="582"/>
      <c r="HS1152" s="582"/>
      <c r="HT1152" s="582"/>
      <c r="HU1152" s="582"/>
      <c r="HV1152" s="582"/>
      <c r="HW1152" s="582"/>
      <c r="HX1152" s="582"/>
      <c r="HY1152" s="582"/>
      <c r="HZ1152" s="582"/>
      <c r="IA1152" s="582"/>
      <c r="IB1152" s="582"/>
      <c r="IC1152" s="582"/>
      <c r="ID1152" s="582"/>
      <c r="IE1152" s="582"/>
      <c r="IF1152" s="582"/>
      <c r="IG1152" s="582"/>
      <c r="IH1152" s="582"/>
      <c r="II1152" s="582"/>
      <c r="IJ1152" s="582"/>
      <c r="IK1152" s="582"/>
      <c r="IL1152" s="582"/>
      <c r="IM1152" s="582"/>
      <c r="IN1152" s="582"/>
      <c r="IO1152" s="582"/>
      <c r="IP1152" s="582"/>
      <c r="IQ1152" s="582"/>
      <c r="IR1152" s="582"/>
      <c r="IS1152" s="582"/>
      <c r="IT1152" s="582"/>
      <c r="IU1152" s="582"/>
      <c r="IV1152" s="582"/>
      <c r="IW1152" s="582"/>
    </row>
    <row r="1153" spans="1:257" s="682" customFormat="1" ht="15.75" hidden="1" customHeight="1">
      <c r="A1153" s="699"/>
      <c r="B1153" s="696" t="s">
        <v>598</v>
      </c>
      <c r="C1153" s="699"/>
      <c r="D1153" s="699"/>
      <c r="E1153" s="781"/>
      <c r="F1153" s="700"/>
      <c r="G1153" s="700"/>
      <c r="H1153" s="700"/>
      <c r="I1153" s="700"/>
      <c r="J1153" s="700">
        <v>125000000</v>
      </c>
      <c r="K1153" s="700"/>
      <c r="L1153" s="1315"/>
      <c r="M1153" s="651"/>
      <c r="N1153" s="820"/>
      <c r="O1153" s="820"/>
      <c r="P1153" s="820"/>
      <c r="Q1153" s="820"/>
      <c r="R1153" s="866"/>
      <c r="S1153" s="866"/>
      <c r="T1153" s="839"/>
      <c r="U1153" s="580"/>
      <c r="V1153" s="581"/>
      <c r="W1153" s="581"/>
      <c r="X1153" s="578"/>
      <c r="Y1153" s="582"/>
      <c r="Z1153" s="582"/>
      <c r="AA1153" s="582"/>
      <c r="AB1153" s="582"/>
      <c r="AC1153" s="582"/>
      <c r="AD1153" s="582"/>
      <c r="AE1153" s="582"/>
      <c r="AF1153" s="582"/>
      <c r="AG1153" s="582"/>
      <c r="AH1153" s="582"/>
      <c r="AI1153" s="582"/>
      <c r="AJ1153" s="582"/>
      <c r="AK1153" s="582"/>
      <c r="AL1153" s="582"/>
      <c r="AM1153" s="582"/>
      <c r="AN1153" s="582"/>
      <c r="AO1153" s="582"/>
      <c r="AP1153" s="582"/>
      <c r="AQ1153" s="582"/>
      <c r="AR1153" s="582"/>
      <c r="AS1153" s="582"/>
      <c r="AT1153" s="582"/>
      <c r="AU1153" s="582"/>
      <c r="AV1153" s="582"/>
      <c r="AW1153" s="582"/>
      <c r="AX1153" s="582"/>
      <c r="AY1153" s="582"/>
      <c r="AZ1153" s="582"/>
      <c r="BA1153" s="582"/>
      <c r="BB1153" s="582"/>
      <c r="BC1153" s="582"/>
      <c r="BD1153" s="582"/>
      <c r="BE1153" s="582"/>
      <c r="BF1153" s="582"/>
      <c r="BG1153" s="582"/>
      <c r="BH1153" s="582"/>
      <c r="BI1153" s="582"/>
      <c r="BJ1153" s="582"/>
      <c r="BK1153" s="582"/>
      <c r="BL1153" s="582"/>
      <c r="BM1153" s="582"/>
      <c r="BN1153" s="582"/>
      <c r="BO1153" s="582"/>
      <c r="BP1153" s="582"/>
      <c r="BQ1153" s="582"/>
      <c r="BR1153" s="582"/>
      <c r="BS1153" s="582"/>
      <c r="BT1153" s="582"/>
      <c r="BU1153" s="582"/>
      <c r="BV1153" s="582"/>
      <c r="BW1153" s="582"/>
      <c r="BX1153" s="582"/>
      <c r="BY1153" s="582"/>
      <c r="BZ1153" s="582"/>
      <c r="CA1153" s="582"/>
      <c r="CB1153" s="582"/>
      <c r="CC1153" s="582"/>
      <c r="CD1153" s="582"/>
      <c r="CE1153" s="582"/>
      <c r="CF1153" s="582"/>
      <c r="CG1153" s="582"/>
      <c r="CH1153" s="582"/>
      <c r="CI1153" s="582"/>
      <c r="CJ1153" s="582"/>
      <c r="CK1153" s="582"/>
      <c r="CL1153" s="582"/>
      <c r="CM1153" s="582"/>
      <c r="CN1153" s="582"/>
      <c r="CO1153" s="582"/>
      <c r="CP1153" s="582"/>
      <c r="CQ1153" s="582"/>
      <c r="CR1153" s="582"/>
      <c r="CS1153" s="582"/>
      <c r="CT1153" s="582"/>
      <c r="CU1153" s="582"/>
      <c r="CV1153" s="582"/>
      <c r="CW1153" s="582"/>
      <c r="CX1153" s="582"/>
      <c r="CY1153" s="582"/>
      <c r="CZ1153" s="582"/>
      <c r="DA1153" s="582"/>
      <c r="DB1153" s="582"/>
      <c r="DC1153" s="582"/>
      <c r="DD1153" s="582"/>
      <c r="DE1153" s="582"/>
      <c r="DF1153" s="582"/>
      <c r="DG1153" s="582"/>
      <c r="DH1153" s="582"/>
      <c r="DI1153" s="582"/>
      <c r="DJ1153" s="582"/>
      <c r="DK1153" s="582"/>
      <c r="DL1153" s="582"/>
      <c r="DM1153" s="582"/>
      <c r="DN1153" s="582"/>
      <c r="DO1153" s="582"/>
      <c r="DP1153" s="582"/>
      <c r="DQ1153" s="582"/>
      <c r="DR1153" s="582"/>
      <c r="DS1153" s="582"/>
      <c r="DT1153" s="582"/>
      <c r="DU1153" s="582"/>
      <c r="DV1153" s="582"/>
      <c r="DW1153" s="582"/>
      <c r="DX1153" s="582"/>
      <c r="DY1153" s="582"/>
      <c r="DZ1153" s="582"/>
      <c r="EA1153" s="582"/>
      <c r="EB1153" s="582"/>
      <c r="EC1153" s="582"/>
      <c r="ED1153" s="582"/>
      <c r="EE1153" s="582"/>
      <c r="EF1153" s="582"/>
      <c r="EG1153" s="582"/>
      <c r="EH1153" s="582"/>
      <c r="EI1153" s="582"/>
      <c r="EJ1153" s="582"/>
      <c r="EK1153" s="582"/>
      <c r="EL1153" s="582"/>
      <c r="EM1153" s="582"/>
      <c r="EN1153" s="582"/>
      <c r="EO1153" s="582"/>
      <c r="EP1153" s="582"/>
      <c r="EQ1153" s="582"/>
      <c r="ER1153" s="582"/>
      <c r="ES1153" s="582"/>
      <c r="ET1153" s="582"/>
      <c r="EU1153" s="582"/>
      <c r="EV1153" s="582"/>
      <c r="EW1153" s="582"/>
      <c r="EX1153" s="582"/>
      <c r="EY1153" s="582"/>
      <c r="EZ1153" s="582"/>
      <c r="FA1153" s="582"/>
      <c r="FB1153" s="582"/>
      <c r="FC1153" s="582"/>
      <c r="FD1153" s="582"/>
      <c r="FE1153" s="582"/>
      <c r="FF1153" s="582"/>
      <c r="FG1153" s="582"/>
      <c r="FH1153" s="582"/>
      <c r="FI1153" s="582"/>
      <c r="FJ1153" s="582"/>
      <c r="FK1153" s="582"/>
      <c r="FL1153" s="582"/>
      <c r="FM1153" s="582"/>
      <c r="FN1153" s="582"/>
      <c r="FO1153" s="582"/>
      <c r="FP1153" s="582"/>
      <c r="FQ1153" s="582"/>
      <c r="FR1153" s="582"/>
      <c r="FS1153" s="582"/>
      <c r="FT1153" s="582"/>
      <c r="FU1153" s="582"/>
      <c r="FV1153" s="582"/>
      <c r="FW1153" s="582"/>
      <c r="FX1153" s="582"/>
      <c r="FY1153" s="582"/>
      <c r="FZ1153" s="582"/>
      <c r="GA1153" s="582"/>
      <c r="GB1153" s="582"/>
      <c r="GC1153" s="582"/>
      <c r="GD1153" s="582"/>
      <c r="GE1153" s="582"/>
      <c r="GF1153" s="582"/>
      <c r="GG1153" s="582"/>
      <c r="GH1153" s="582"/>
      <c r="GI1153" s="582"/>
      <c r="GJ1153" s="582"/>
      <c r="GK1153" s="582"/>
      <c r="GL1153" s="582"/>
      <c r="GM1153" s="582"/>
      <c r="GN1153" s="582"/>
      <c r="GO1153" s="582"/>
      <c r="GP1153" s="582"/>
      <c r="GQ1153" s="582"/>
      <c r="GR1153" s="582"/>
      <c r="GS1153" s="582"/>
      <c r="GT1153" s="582"/>
      <c r="GU1153" s="582"/>
      <c r="GV1153" s="582"/>
      <c r="GW1153" s="582"/>
      <c r="GX1153" s="582"/>
      <c r="GY1153" s="582"/>
      <c r="GZ1153" s="582"/>
      <c r="HA1153" s="582"/>
      <c r="HB1153" s="582"/>
      <c r="HC1153" s="582"/>
      <c r="HD1153" s="582"/>
      <c r="HE1153" s="582"/>
      <c r="HF1153" s="582"/>
      <c r="HG1153" s="582"/>
      <c r="HH1153" s="582"/>
      <c r="HI1153" s="582"/>
      <c r="HJ1153" s="582"/>
      <c r="HK1153" s="582"/>
      <c r="HL1153" s="582"/>
      <c r="HM1153" s="582"/>
      <c r="HN1153" s="582"/>
      <c r="HO1153" s="582"/>
      <c r="HP1153" s="582"/>
      <c r="HQ1153" s="582"/>
      <c r="HR1153" s="582"/>
      <c r="HS1153" s="582"/>
      <c r="HT1153" s="582"/>
      <c r="HU1153" s="582"/>
      <c r="HV1153" s="582"/>
      <c r="HW1153" s="582"/>
      <c r="HX1153" s="582"/>
      <c r="HY1153" s="582"/>
      <c r="HZ1153" s="582"/>
      <c r="IA1153" s="582"/>
      <c r="IB1153" s="582"/>
      <c r="IC1153" s="582"/>
      <c r="ID1153" s="582"/>
      <c r="IE1153" s="582"/>
      <c r="IF1153" s="582"/>
      <c r="IG1153" s="582"/>
      <c r="IH1153" s="582"/>
      <c r="II1153" s="582"/>
      <c r="IJ1153" s="582"/>
      <c r="IK1153" s="582"/>
      <c r="IL1153" s="582"/>
      <c r="IM1153" s="582"/>
      <c r="IN1153" s="582"/>
      <c r="IO1153" s="582"/>
      <c r="IP1153" s="582"/>
      <c r="IQ1153" s="582"/>
      <c r="IR1153" s="582"/>
      <c r="IS1153" s="582"/>
      <c r="IT1153" s="582"/>
      <c r="IU1153" s="582"/>
      <c r="IV1153" s="582"/>
      <c r="IW1153" s="582"/>
    </row>
    <row r="1154" spans="1:257" s="682" customFormat="1" ht="15.75" hidden="1" customHeight="1">
      <c r="A1154" s="699"/>
      <c r="B1154" s="696" t="s">
        <v>1250</v>
      </c>
      <c r="C1154" s="699"/>
      <c r="D1154" s="699"/>
      <c r="E1154" s="781"/>
      <c r="F1154" s="700"/>
      <c r="G1154" s="700"/>
      <c r="H1154" s="700"/>
      <c r="I1154" s="700"/>
      <c r="J1154" s="700">
        <v>80000000</v>
      </c>
      <c r="K1154" s="700"/>
      <c r="L1154" s="1315"/>
      <c r="M1154" s="651"/>
      <c r="N1154" s="820"/>
      <c r="O1154" s="820"/>
      <c r="P1154" s="820"/>
      <c r="Q1154" s="820"/>
      <c r="R1154" s="866"/>
      <c r="S1154" s="866"/>
      <c r="T1154" s="839"/>
      <c r="U1154" s="580"/>
      <c r="V1154" s="581"/>
      <c r="W1154" s="581"/>
      <c r="X1154" s="578"/>
      <c r="Y1154" s="582"/>
      <c r="Z1154" s="582"/>
      <c r="AA1154" s="582"/>
      <c r="AB1154" s="582"/>
      <c r="AC1154" s="582"/>
      <c r="AD1154" s="582"/>
      <c r="AE1154" s="582"/>
      <c r="AF1154" s="582"/>
      <c r="AG1154" s="582"/>
      <c r="AH1154" s="582"/>
      <c r="AI1154" s="582"/>
      <c r="AJ1154" s="582"/>
      <c r="AK1154" s="582"/>
      <c r="AL1154" s="582"/>
      <c r="AM1154" s="582"/>
      <c r="AN1154" s="582"/>
      <c r="AO1154" s="582"/>
      <c r="AP1154" s="582"/>
      <c r="AQ1154" s="582"/>
      <c r="AR1154" s="582"/>
      <c r="AS1154" s="582"/>
      <c r="AT1154" s="582"/>
      <c r="AU1154" s="582"/>
      <c r="AV1154" s="582"/>
      <c r="AW1154" s="582"/>
      <c r="AX1154" s="582"/>
      <c r="AY1154" s="582"/>
      <c r="AZ1154" s="582"/>
      <c r="BA1154" s="582"/>
      <c r="BB1154" s="582"/>
      <c r="BC1154" s="582"/>
      <c r="BD1154" s="582"/>
      <c r="BE1154" s="582"/>
      <c r="BF1154" s="582"/>
      <c r="BG1154" s="582"/>
      <c r="BH1154" s="582"/>
      <c r="BI1154" s="582"/>
      <c r="BJ1154" s="582"/>
      <c r="BK1154" s="582"/>
      <c r="BL1154" s="582"/>
      <c r="BM1154" s="582"/>
      <c r="BN1154" s="582"/>
      <c r="BO1154" s="582"/>
      <c r="BP1154" s="582"/>
      <c r="BQ1154" s="582"/>
      <c r="BR1154" s="582"/>
      <c r="BS1154" s="582"/>
      <c r="BT1154" s="582"/>
      <c r="BU1154" s="582"/>
      <c r="BV1154" s="582"/>
      <c r="BW1154" s="582"/>
      <c r="BX1154" s="582"/>
      <c r="BY1154" s="582"/>
      <c r="BZ1154" s="582"/>
      <c r="CA1154" s="582"/>
      <c r="CB1154" s="582"/>
      <c r="CC1154" s="582"/>
      <c r="CD1154" s="582"/>
      <c r="CE1154" s="582"/>
      <c r="CF1154" s="582"/>
      <c r="CG1154" s="582"/>
      <c r="CH1154" s="582"/>
      <c r="CI1154" s="582"/>
      <c r="CJ1154" s="582"/>
      <c r="CK1154" s="582"/>
      <c r="CL1154" s="582"/>
      <c r="CM1154" s="582"/>
      <c r="CN1154" s="582"/>
      <c r="CO1154" s="582"/>
      <c r="CP1154" s="582"/>
      <c r="CQ1154" s="582"/>
      <c r="CR1154" s="582"/>
      <c r="CS1154" s="582"/>
      <c r="CT1154" s="582"/>
      <c r="CU1154" s="582"/>
      <c r="CV1154" s="582"/>
      <c r="CW1154" s="582"/>
      <c r="CX1154" s="582"/>
      <c r="CY1154" s="582"/>
      <c r="CZ1154" s="582"/>
      <c r="DA1154" s="582"/>
      <c r="DB1154" s="582"/>
      <c r="DC1154" s="582"/>
      <c r="DD1154" s="582"/>
      <c r="DE1154" s="582"/>
      <c r="DF1154" s="582"/>
      <c r="DG1154" s="582"/>
      <c r="DH1154" s="582"/>
      <c r="DI1154" s="582"/>
      <c r="DJ1154" s="582"/>
      <c r="DK1154" s="582"/>
      <c r="DL1154" s="582"/>
      <c r="DM1154" s="582"/>
      <c r="DN1154" s="582"/>
      <c r="DO1154" s="582"/>
      <c r="DP1154" s="582"/>
      <c r="DQ1154" s="582"/>
      <c r="DR1154" s="582"/>
      <c r="DS1154" s="582"/>
      <c r="DT1154" s="582"/>
      <c r="DU1154" s="582"/>
      <c r="DV1154" s="582"/>
      <c r="DW1154" s="582"/>
      <c r="DX1154" s="582"/>
      <c r="DY1154" s="582"/>
      <c r="DZ1154" s="582"/>
      <c r="EA1154" s="582"/>
      <c r="EB1154" s="582"/>
      <c r="EC1154" s="582"/>
      <c r="ED1154" s="582"/>
      <c r="EE1154" s="582"/>
      <c r="EF1154" s="582"/>
      <c r="EG1154" s="582"/>
      <c r="EH1154" s="582"/>
      <c r="EI1154" s="582"/>
      <c r="EJ1154" s="582"/>
      <c r="EK1154" s="582"/>
      <c r="EL1154" s="582"/>
      <c r="EM1154" s="582"/>
      <c r="EN1154" s="582"/>
      <c r="EO1154" s="582"/>
      <c r="EP1154" s="582"/>
      <c r="EQ1154" s="582"/>
      <c r="ER1154" s="582"/>
      <c r="ES1154" s="582"/>
      <c r="ET1154" s="582"/>
      <c r="EU1154" s="582"/>
      <c r="EV1154" s="582"/>
      <c r="EW1154" s="582"/>
      <c r="EX1154" s="582"/>
      <c r="EY1154" s="582"/>
      <c r="EZ1154" s="582"/>
      <c r="FA1154" s="582"/>
      <c r="FB1154" s="582"/>
      <c r="FC1154" s="582"/>
      <c r="FD1154" s="582"/>
      <c r="FE1154" s="582"/>
      <c r="FF1154" s="582"/>
      <c r="FG1154" s="582"/>
      <c r="FH1154" s="582"/>
      <c r="FI1154" s="582"/>
      <c r="FJ1154" s="582"/>
      <c r="FK1154" s="582"/>
      <c r="FL1154" s="582"/>
      <c r="FM1154" s="582"/>
      <c r="FN1154" s="582"/>
      <c r="FO1154" s="582"/>
      <c r="FP1154" s="582"/>
      <c r="FQ1154" s="582"/>
      <c r="FR1154" s="582"/>
      <c r="FS1154" s="582"/>
      <c r="FT1154" s="582"/>
      <c r="FU1154" s="582"/>
      <c r="FV1154" s="582"/>
      <c r="FW1154" s="582"/>
      <c r="FX1154" s="582"/>
      <c r="FY1154" s="582"/>
      <c r="FZ1154" s="582"/>
      <c r="GA1154" s="582"/>
      <c r="GB1154" s="582"/>
      <c r="GC1154" s="582"/>
      <c r="GD1154" s="582"/>
      <c r="GE1154" s="582"/>
      <c r="GF1154" s="582"/>
      <c r="GG1154" s="582"/>
      <c r="GH1154" s="582"/>
      <c r="GI1154" s="582"/>
      <c r="GJ1154" s="582"/>
      <c r="GK1154" s="582"/>
      <c r="GL1154" s="582"/>
      <c r="GM1154" s="582"/>
      <c r="GN1154" s="582"/>
      <c r="GO1154" s="582"/>
      <c r="GP1154" s="582"/>
      <c r="GQ1154" s="582"/>
      <c r="GR1154" s="582"/>
      <c r="GS1154" s="582"/>
      <c r="GT1154" s="582"/>
      <c r="GU1154" s="582"/>
      <c r="GV1154" s="582"/>
      <c r="GW1154" s="582"/>
      <c r="GX1154" s="582"/>
      <c r="GY1154" s="582"/>
      <c r="GZ1154" s="582"/>
      <c r="HA1154" s="582"/>
      <c r="HB1154" s="582"/>
      <c r="HC1154" s="582"/>
      <c r="HD1154" s="582"/>
      <c r="HE1154" s="582"/>
      <c r="HF1154" s="582"/>
      <c r="HG1154" s="582"/>
      <c r="HH1154" s="582"/>
      <c r="HI1154" s="582"/>
      <c r="HJ1154" s="582"/>
      <c r="HK1154" s="582"/>
      <c r="HL1154" s="582"/>
      <c r="HM1154" s="582"/>
      <c r="HN1154" s="582"/>
      <c r="HO1154" s="582"/>
      <c r="HP1154" s="582"/>
      <c r="HQ1154" s="582"/>
      <c r="HR1154" s="582"/>
      <c r="HS1154" s="582"/>
      <c r="HT1154" s="582"/>
      <c r="HU1154" s="582"/>
      <c r="HV1154" s="582"/>
      <c r="HW1154" s="582"/>
      <c r="HX1154" s="582"/>
      <c r="HY1154" s="582"/>
      <c r="HZ1154" s="582"/>
      <c r="IA1154" s="582"/>
      <c r="IB1154" s="582"/>
      <c r="IC1154" s="582"/>
      <c r="ID1154" s="582"/>
      <c r="IE1154" s="582"/>
      <c r="IF1154" s="582"/>
      <c r="IG1154" s="582"/>
      <c r="IH1154" s="582"/>
      <c r="II1154" s="582"/>
      <c r="IJ1154" s="582"/>
      <c r="IK1154" s="582"/>
      <c r="IL1154" s="582"/>
      <c r="IM1154" s="582"/>
      <c r="IN1154" s="582"/>
      <c r="IO1154" s="582"/>
      <c r="IP1154" s="582"/>
      <c r="IQ1154" s="582"/>
      <c r="IR1154" s="582"/>
      <c r="IS1154" s="582"/>
      <c r="IT1154" s="582"/>
      <c r="IU1154" s="582"/>
      <c r="IV1154" s="582"/>
      <c r="IW1154" s="582"/>
    </row>
    <row r="1155" spans="1:257" s="682" customFormat="1" ht="15.75" hidden="1" customHeight="1">
      <c r="A1155" s="699"/>
      <c r="B1155" s="696" t="s">
        <v>1251</v>
      </c>
      <c r="C1155" s="699"/>
      <c r="D1155" s="699"/>
      <c r="E1155" s="781"/>
      <c r="F1155" s="700"/>
      <c r="G1155" s="700"/>
      <c r="H1155" s="700"/>
      <c r="I1155" s="700"/>
      <c r="J1155" s="700">
        <v>230000000</v>
      </c>
      <c r="K1155" s="700"/>
      <c r="L1155" s="1315"/>
      <c r="M1155" s="651"/>
      <c r="N1155" s="820"/>
      <c r="O1155" s="820"/>
      <c r="P1155" s="820"/>
      <c r="Q1155" s="820"/>
      <c r="R1155" s="866"/>
      <c r="S1155" s="866"/>
      <c r="T1155" s="839"/>
      <c r="U1155" s="580"/>
      <c r="V1155" s="581"/>
      <c r="W1155" s="581"/>
      <c r="X1155" s="578"/>
      <c r="Y1155" s="582"/>
      <c r="Z1155" s="582"/>
      <c r="AA1155" s="582"/>
      <c r="AB1155" s="582"/>
      <c r="AC1155" s="582"/>
      <c r="AD1155" s="582"/>
      <c r="AE1155" s="582"/>
      <c r="AF1155" s="582"/>
      <c r="AG1155" s="582"/>
      <c r="AH1155" s="582"/>
      <c r="AI1155" s="582"/>
      <c r="AJ1155" s="582"/>
      <c r="AK1155" s="582"/>
      <c r="AL1155" s="582"/>
      <c r="AM1155" s="582"/>
      <c r="AN1155" s="582"/>
      <c r="AO1155" s="582"/>
      <c r="AP1155" s="582"/>
      <c r="AQ1155" s="582"/>
      <c r="AR1155" s="582"/>
      <c r="AS1155" s="582"/>
      <c r="AT1155" s="582"/>
      <c r="AU1155" s="582"/>
      <c r="AV1155" s="582"/>
      <c r="AW1155" s="582"/>
      <c r="AX1155" s="582"/>
      <c r="AY1155" s="582"/>
      <c r="AZ1155" s="582"/>
      <c r="BA1155" s="582"/>
      <c r="BB1155" s="582"/>
      <c r="BC1155" s="582"/>
      <c r="BD1155" s="582"/>
      <c r="BE1155" s="582"/>
      <c r="BF1155" s="582"/>
      <c r="BG1155" s="582"/>
      <c r="BH1155" s="582"/>
      <c r="BI1155" s="582"/>
      <c r="BJ1155" s="582"/>
      <c r="BK1155" s="582"/>
      <c r="BL1155" s="582"/>
      <c r="BM1155" s="582"/>
      <c r="BN1155" s="582"/>
      <c r="BO1155" s="582"/>
      <c r="BP1155" s="582"/>
      <c r="BQ1155" s="582"/>
      <c r="BR1155" s="582"/>
      <c r="BS1155" s="582"/>
      <c r="BT1155" s="582"/>
      <c r="BU1155" s="582"/>
      <c r="BV1155" s="582"/>
      <c r="BW1155" s="582"/>
      <c r="BX1155" s="582"/>
      <c r="BY1155" s="582"/>
      <c r="BZ1155" s="582"/>
      <c r="CA1155" s="582"/>
      <c r="CB1155" s="582"/>
      <c r="CC1155" s="582"/>
      <c r="CD1155" s="582"/>
      <c r="CE1155" s="582"/>
      <c r="CF1155" s="582"/>
      <c r="CG1155" s="582"/>
      <c r="CH1155" s="582"/>
      <c r="CI1155" s="582"/>
      <c r="CJ1155" s="582"/>
      <c r="CK1155" s="582"/>
      <c r="CL1155" s="582"/>
      <c r="CM1155" s="582"/>
      <c r="CN1155" s="582"/>
      <c r="CO1155" s="582"/>
      <c r="CP1155" s="582"/>
      <c r="CQ1155" s="582"/>
      <c r="CR1155" s="582"/>
      <c r="CS1155" s="582"/>
      <c r="CT1155" s="582"/>
      <c r="CU1155" s="582"/>
      <c r="CV1155" s="582"/>
      <c r="CW1155" s="582"/>
      <c r="CX1155" s="582"/>
      <c r="CY1155" s="582"/>
      <c r="CZ1155" s="582"/>
      <c r="DA1155" s="582"/>
      <c r="DB1155" s="582"/>
      <c r="DC1155" s="582"/>
      <c r="DD1155" s="582"/>
      <c r="DE1155" s="582"/>
      <c r="DF1155" s="582"/>
      <c r="DG1155" s="582"/>
      <c r="DH1155" s="582"/>
      <c r="DI1155" s="582"/>
      <c r="DJ1155" s="582"/>
      <c r="DK1155" s="582"/>
      <c r="DL1155" s="582"/>
      <c r="DM1155" s="582"/>
      <c r="DN1155" s="582"/>
      <c r="DO1155" s="582"/>
      <c r="DP1155" s="582"/>
      <c r="DQ1155" s="582"/>
      <c r="DR1155" s="582"/>
      <c r="DS1155" s="582"/>
      <c r="DT1155" s="582"/>
      <c r="DU1155" s="582"/>
      <c r="DV1155" s="582"/>
      <c r="DW1155" s="582"/>
      <c r="DX1155" s="582"/>
      <c r="DY1155" s="582"/>
      <c r="DZ1155" s="582"/>
      <c r="EA1155" s="582"/>
      <c r="EB1155" s="582"/>
      <c r="EC1155" s="582"/>
      <c r="ED1155" s="582"/>
      <c r="EE1155" s="582"/>
      <c r="EF1155" s="582"/>
      <c r="EG1155" s="582"/>
      <c r="EH1155" s="582"/>
      <c r="EI1155" s="582"/>
      <c r="EJ1155" s="582"/>
      <c r="EK1155" s="582"/>
      <c r="EL1155" s="582"/>
      <c r="EM1155" s="582"/>
      <c r="EN1155" s="582"/>
      <c r="EO1155" s="582"/>
      <c r="EP1155" s="582"/>
      <c r="EQ1155" s="582"/>
      <c r="ER1155" s="582"/>
      <c r="ES1155" s="582"/>
      <c r="ET1155" s="582"/>
      <c r="EU1155" s="582"/>
      <c r="EV1155" s="582"/>
      <c r="EW1155" s="582"/>
      <c r="EX1155" s="582"/>
      <c r="EY1155" s="582"/>
      <c r="EZ1155" s="582"/>
      <c r="FA1155" s="582"/>
      <c r="FB1155" s="582"/>
      <c r="FC1155" s="582"/>
      <c r="FD1155" s="582"/>
      <c r="FE1155" s="582"/>
      <c r="FF1155" s="582"/>
      <c r="FG1155" s="582"/>
      <c r="FH1155" s="582"/>
      <c r="FI1155" s="582"/>
      <c r="FJ1155" s="582"/>
      <c r="FK1155" s="582"/>
      <c r="FL1155" s="582"/>
      <c r="FM1155" s="582"/>
      <c r="FN1155" s="582"/>
      <c r="FO1155" s="582"/>
      <c r="FP1155" s="582"/>
      <c r="FQ1155" s="582"/>
      <c r="FR1155" s="582"/>
      <c r="FS1155" s="582"/>
      <c r="FT1155" s="582"/>
      <c r="FU1155" s="582"/>
      <c r="FV1155" s="582"/>
      <c r="FW1155" s="582"/>
      <c r="FX1155" s="582"/>
      <c r="FY1155" s="582"/>
      <c r="FZ1155" s="582"/>
      <c r="GA1155" s="582"/>
      <c r="GB1155" s="582"/>
      <c r="GC1155" s="582"/>
      <c r="GD1155" s="582"/>
      <c r="GE1155" s="582"/>
      <c r="GF1155" s="582"/>
      <c r="GG1155" s="582"/>
      <c r="GH1155" s="582"/>
      <c r="GI1155" s="582"/>
      <c r="GJ1155" s="582"/>
      <c r="GK1155" s="582"/>
      <c r="GL1155" s="582"/>
      <c r="GM1155" s="582"/>
      <c r="GN1155" s="582"/>
      <c r="GO1155" s="582"/>
      <c r="GP1155" s="582"/>
      <c r="GQ1155" s="582"/>
      <c r="GR1155" s="582"/>
      <c r="GS1155" s="582"/>
      <c r="GT1155" s="582"/>
      <c r="GU1155" s="582"/>
      <c r="GV1155" s="582"/>
      <c r="GW1155" s="582"/>
      <c r="GX1155" s="582"/>
      <c r="GY1155" s="582"/>
      <c r="GZ1155" s="582"/>
      <c r="HA1155" s="582"/>
      <c r="HB1155" s="582"/>
      <c r="HC1155" s="582"/>
      <c r="HD1155" s="582"/>
      <c r="HE1155" s="582"/>
      <c r="HF1155" s="582"/>
      <c r="HG1155" s="582"/>
      <c r="HH1155" s="582"/>
      <c r="HI1155" s="582"/>
      <c r="HJ1155" s="582"/>
      <c r="HK1155" s="582"/>
      <c r="HL1155" s="582"/>
      <c r="HM1155" s="582"/>
      <c r="HN1155" s="582"/>
      <c r="HO1155" s="582"/>
      <c r="HP1155" s="582"/>
      <c r="HQ1155" s="582"/>
      <c r="HR1155" s="582"/>
      <c r="HS1155" s="582"/>
      <c r="HT1155" s="582"/>
      <c r="HU1155" s="582"/>
      <c r="HV1155" s="582"/>
      <c r="HW1155" s="582"/>
      <c r="HX1155" s="582"/>
      <c r="HY1155" s="582"/>
      <c r="HZ1155" s="582"/>
      <c r="IA1155" s="582"/>
      <c r="IB1155" s="582"/>
      <c r="IC1155" s="582"/>
      <c r="ID1155" s="582"/>
      <c r="IE1155" s="582"/>
      <c r="IF1155" s="582"/>
      <c r="IG1155" s="582"/>
      <c r="IH1155" s="582"/>
      <c r="II1155" s="582"/>
      <c r="IJ1155" s="582"/>
      <c r="IK1155" s="582"/>
      <c r="IL1155" s="582"/>
      <c r="IM1155" s="582"/>
      <c r="IN1155" s="582"/>
      <c r="IO1155" s="582"/>
      <c r="IP1155" s="582"/>
      <c r="IQ1155" s="582"/>
      <c r="IR1155" s="582"/>
      <c r="IS1155" s="582"/>
      <c r="IT1155" s="582"/>
      <c r="IU1155" s="582"/>
      <c r="IV1155" s="582"/>
      <c r="IW1155" s="582"/>
    </row>
    <row r="1156" spans="1:257" s="682" customFormat="1" ht="15.75" hidden="1" customHeight="1">
      <c r="A1156" s="699"/>
      <c r="B1156" s="696" t="s">
        <v>1252</v>
      </c>
      <c r="C1156" s="699"/>
      <c r="D1156" s="699"/>
      <c r="E1156" s="781"/>
      <c r="F1156" s="700"/>
      <c r="G1156" s="700"/>
      <c r="H1156" s="700"/>
      <c r="I1156" s="700"/>
      <c r="J1156" s="700">
        <v>1600000000</v>
      </c>
      <c r="K1156" s="700"/>
      <c r="L1156" s="1315"/>
      <c r="M1156" s="651"/>
      <c r="N1156" s="820"/>
      <c r="O1156" s="820"/>
      <c r="P1156" s="820"/>
      <c r="Q1156" s="820"/>
      <c r="R1156" s="866"/>
      <c r="S1156" s="866"/>
      <c r="T1156" s="839"/>
      <c r="U1156" s="580"/>
      <c r="V1156" s="581"/>
      <c r="W1156" s="581"/>
      <c r="X1156" s="578"/>
      <c r="Y1156" s="582"/>
      <c r="Z1156" s="582"/>
      <c r="AA1156" s="582"/>
      <c r="AB1156" s="582"/>
      <c r="AC1156" s="582"/>
      <c r="AD1156" s="582"/>
      <c r="AE1156" s="582"/>
      <c r="AF1156" s="582"/>
      <c r="AG1156" s="582"/>
      <c r="AH1156" s="582"/>
      <c r="AI1156" s="582"/>
      <c r="AJ1156" s="582"/>
      <c r="AK1156" s="582"/>
      <c r="AL1156" s="582"/>
      <c r="AM1156" s="582"/>
      <c r="AN1156" s="582"/>
      <c r="AO1156" s="582"/>
      <c r="AP1156" s="582"/>
      <c r="AQ1156" s="582"/>
      <c r="AR1156" s="582"/>
      <c r="AS1156" s="582"/>
      <c r="AT1156" s="582"/>
      <c r="AU1156" s="582"/>
      <c r="AV1156" s="582"/>
      <c r="AW1156" s="582"/>
      <c r="AX1156" s="582"/>
      <c r="AY1156" s="582"/>
      <c r="AZ1156" s="582"/>
      <c r="BA1156" s="582"/>
      <c r="BB1156" s="582"/>
      <c r="BC1156" s="582"/>
      <c r="BD1156" s="582"/>
      <c r="BE1156" s="582"/>
      <c r="BF1156" s="582"/>
      <c r="BG1156" s="582"/>
      <c r="BH1156" s="582"/>
      <c r="BI1156" s="582"/>
      <c r="BJ1156" s="582"/>
      <c r="BK1156" s="582"/>
      <c r="BL1156" s="582"/>
      <c r="BM1156" s="582"/>
      <c r="BN1156" s="582"/>
      <c r="BO1156" s="582"/>
      <c r="BP1156" s="582"/>
      <c r="BQ1156" s="582"/>
      <c r="BR1156" s="582"/>
      <c r="BS1156" s="582"/>
      <c r="BT1156" s="582"/>
      <c r="BU1156" s="582"/>
      <c r="BV1156" s="582"/>
      <c r="BW1156" s="582"/>
      <c r="BX1156" s="582"/>
      <c r="BY1156" s="582"/>
      <c r="BZ1156" s="582"/>
      <c r="CA1156" s="582"/>
      <c r="CB1156" s="582"/>
      <c r="CC1156" s="582"/>
      <c r="CD1156" s="582"/>
      <c r="CE1156" s="582"/>
      <c r="CF1156" s="582"/>
      <c r="CG1156" s="582"/>
      <c r="CH1156" s="582"/>
      <c r="CI1156" s="582"/>
      <c r="CJ1156" s="582"/>
      <c r="CK1156" s="582"/>
      <c r="CL1156" s="582"/>
      <c r="CM1156" s="582"/>
      <c r="CN1156" s="582"/>
      <c r="CO1156" s="582"/>
      <c r="CP1156" s="582"/>
      <c r="CQ1156" s="582"/>
      <c r="CR1156" s="582"/>
      <c r="CS1156" s="582"/>
      <c r="CT1156" s="582"/>
      <c r="CU1156" s="582"/>
      <c r="CV1156" s="582"/>
      <c r="CW1156" s="582"/>
      <c r="CX1156" s="582"/>
      <c r="CY1156" s="582"/>
      <c r="CZ1156" s="582"/>
      <c r="DA1156" s="582"/>
      <c r="DB1156" s="582"/>
      <c r="DC1156" s="582"/>
      <c r="DD1156" s="582"/>
      <c r="DE1156" s="582"/>
      <c r="DF1156" s="582"/>
      <c r="DG1156" s="582"/>
      <c r="DH1156" s="582"/>
      <c r="DI1156" s="582"/>
      <c r="DJ1156" s="582"/>
      <c r="DK1156" s="582"/>
      <c r="DL1156" s="582"/>
      <c r="DM1156" s="582"/>
      <c r="DN1156" s="582"/>
      <c r="DO1156" s="582"/>
      <c r="DP1156" s="582"/>
      <c r="DQ1156" s="582"/>
      <c r="DR1156" s="582"/>
      <c r="DS1156" s="582"/>
      <c r="DT1156" s="582"/>
      <c r="DU1156" s="582"/>
      <c r="DV1156" s="582"/>
      <c r="DW1156" s="582"/>
      <c r="DX1156" s="582"/>
      <c r="DY1156" s="582"/>
      <c r="DZ1156" s="582"/>
      <c r="EA1156" s="582"/>
      <c r="EB1156" s="582"/>
      <c r="EC1156" s="582"/>
      <c r="ED1156" s="582"/>
      <c r="EE1156" s="582"/>
      <c r="EF1156" s="582"/>
      <c r="EG1156" s="582"/>
      <c r="EH1156" s="582"/>
      <c r="EI1156" s="582"/>
      <c r="EJ1156" s="582"/>
      <c r="EK1156" s="582"/>
      <c r="EL1156" s="582"/>
      <c r="EM1156" s="582"/>
      <c r="EN1156" s="582"/>
      <c r="EO1156" s="582"/>
      <c r="EP1156" s="582"/>
      <c r="EQ1156" s="582"/>
      <c r="ER1156" s="582"/>
      <c r="ES1156" s="582"/>
      <c r="ET1156" s="582"/>
      <c r="EU1156" s="582"/>
      <c r="EV1156" s="582"/>
      <c r="EW1156" s="582"/>
      <c r="EX1156" s="582"/>
      <c r="EY1156" s="582"/>
      <c r="EZ1156" s="582"/>
      <c r="FA1156" s="582"/>
      <c r="FB1156" s="582"/>
      <c r="FC1156" s="582"/>
      <c r="FD1156" s="582"/>
      <c r="FE1156" s="582"/>
      <c r="FF1156" s="582"/>
      <c r="FG1156" s="582"/>
      <c r="FH1156" s="582"/>
      <c r="FI1156" s="582"/>
      <c r="FJ1156" s="582"/>
      <c r="FK1156" s="582"/>
      <c r="FL1156" s="582"/>
      <c r="FM1156" s="582"/>
      <c r="FN1156" s="582"/>
      <c r="FO1156" s="582"/>
      <c r="FP1156" s="582"/>
      <c r="FQ1156" s="582"/>
      <c r="FR1156" s="582"/>
      <c r="FS1156" s="582"/>
      <c r="FT1156" s="582"/>
      <c r="FU1156" s="582"/>
      <c r="FV1156" s="582"/>
      <c r="FW1156" s="582"/>
      <c r="FX1156" s="582"/>
      <c r="FY1156" s="582"/>
      <c r="FZ1156" s="582"/>
      <c r="GA1156" s="582"/>
      <c r="GB1156" s="582"/>
      <c r="GC1156" s="582"/>
      <c r="GD1156" s="582"/>
      <c r="GE1156" s="582"/>
      <c r="GF1156" s="582"/>
      <c r="GG1156" s="582"/>
      <c r="GH1156" s="582"/>
      <c r="GI1156" s="582"/>
      <c r="GJ1156" s="582"/>
      <c r="GK1156" s="582"/>
      <c r="GL1156" s="582"/>
      <c r="GM1156" s="582"/>
      <c r="GN1156" s="582"/>
      <c r="GO1156" s="582"/>
      <c r="GP1156" s="582"/>
      <c r="GQ1156" s="582"/>
      <c r="GR1156" s="582"/>
      <c r="GS1156" s="582"/>
      <c r="GT1156" s="582"/>
      <c r="GU1156" s="582"/>
      <c r="GV1156" s="582"/>
      <c r="GW1156" s="582"/>
      <c r="GX1156" s="582"/>
      <c r="GY1156" s="582"/>
      <c r="GZ1156" s="582"/>
      <c r="HA1156" s="582"/>
      <c r="HB1156" s="582"/>
      <c r="HC1156" s="582"/>
      <c r="HD1156" s="582"/>
      <c r="HE1156" s="582"/>
      <c r="HF1156" s="582"/>
      <c r="HG1156" s="582"/>
      <c r="HH1156" s="582"/>
      <c r="HI1156" s="582"/>
      <c r="HJ1156" s="582"/>
      <c r="HK1156" s="582"/>
      <c r="HL1156" s="582"/>
      <c r="HM1156" s="582"/>
      <c r="HN1156" s="582"/>
      <c r="HO1156" s="582"/>
      <c r="HP1156" s="582"/>
      <c r="HQ1156" s="582"/>
      <c r="HR1156" s="582"/>
      <c r="HS1156" s="582"/>
      <c r="HT1156" s="582"/>
      <c r="HU1156" s="582"/>
      <c r="HV1156" s="582"/>
      <c r="HW1156" s="582"/>
      <c r="HX1156" s="582"/>
      <c r="HY1156" s="582"/>
      <c r="HZ1156" s="582"/>
      <c r="IA1156" s="582"/>
      <c r="IB1156" s="582"/>
      <c r="IC1156" s="582"/>
      <c r="ID1156" s="582"/>
      <c r="IE1156" s="582"/>
      <c r="IF1156" s="582"/>
      <c r="IG1156" s="582"/>
      <c r="IH1156" s="582"/>
      <c r="II1156" s="582"/>
      <c r="IJ1156" s="582"/>
      <c r="IK1156" s="582"/>
      <c r="IL1156" s="582"/>
      <c r="IM1156" s="582"/>
      <c r="IN1156" s="582"/>
      <c r="IO1156" s="582"/>
      <c r="IP1156" s="582"/>
      <c r="IQ1156" s="582"/>
      <c r="IR1156" s="582"/>
      <c r="IS1156" s="582"/>
      <c r="IT1156" s="582"/>
      <c r="IU1156" s="582"/>
      <c r="IV1156" s="582"/>
      <c r="IW1156" s="582"/>
    </row>
    <row r="1157" spans="1:257" s="682" customFormat="1" ht="15.75" hidden="1" customHeight="1">
      <c r="A1157" s="699"/>
      <c r="B1157" s="696" t="s">
        <v>599</v>
      </c>
      <c r="C1157" s="699"/>
      <c r="D1157" s="699"/>
      <c r="E1157" s="781"/>
      <c r="F1157" s="700"/>
      <c r="G1157" s="700"/>
      <c r="H1157" s="700"/>
      <c r="I1157" s="700"/>
      <c r="J1157" s="700">
        <v>275000000</v>
      </c>
      <c r="K1157" s="700"/>
      <c r="L1157" s="1315"/>
      <c r="M1157" s="651"/>
      <c r="N1157" s="820"/>
      <c r="O1157" s="820"/>
      <c r="P1157" s="820"/>
      <c r="Q1157" s="820"/>
      <c r="R1157" s="866"/>
      <c r="S1157" s="866"/>
      <c r="T1157" s="839"/>
      <c r="U1157" s="580"/>
      <c r="V1157" s="581"/>
      <c r="W1157" s="581"/>
      <c r="X1157" s="578"/>
      <c r="Y1157" s="582"/>
      <c r="Z1157" s="582"/>
      <c r="AA1157" s="582"/>
      <c r="AB1157" s="582"/>
      <c r="AC1157" s="582"/>
      <c r="AD1157" s="582"/>
      <c r="AE1157" s="582"/>
      <c r="AF1157" s="582"/>
      <c r="AG1157" s="582"/>
      <c r="AH1157" s="582"/>
      <c r="AI1157" s="582"/>
      <c r="AJ1157" s="582"/>
      <c r="AK1157" s="582"/>
      <c r="AL1157" s="582"/>
      <c r="AM1157" s="582"/>
      <c r="AN1157" s="582"/>
      <c r="AO1157" s="582"/>
      <c r="AP1157" s="582"/>
      <c r="AQ1157" s="582"/>
      <c r="AR1157" s="582"/>
      <c r="AS1157" s="582"/>
      <c r="AT1157" s="582"/>
      <c r="AU1157" s="582"/>
      <c r="AV1157" s="582"/>
      <c r="AW1157" s="582"/>
      <c r="AX1157" s="582"/>
      <c r="AY1157" s="582"/>
      <c r="AZ1157" s="582"/>
      <c r="BA1157" s="582"/>
      <c r="BB1157" s="582"/>
      <c r="BC1157" s="582"/>
      <c r="BD1157" s="582"/>
      <c r="BE1157" s="582"/>
      <c r="BF1157" s="582"/>
      <c r="BG1157" s="582"/>
      <c r="BH1157" s="582"/>
      <c r="BI1157" s="582"/>
      <c r="BJ1157" s="582"/>
      <c r="BK1157" s="582"/>
      <c r="BL1157" s="582"/>
      <c r="BM1157" s="582"/>
      <c r="BN1157" s="582"/>
      <c r="BO1157" s="582"/>
      <c r="BP1157" s="582"/>
      <c r="BQ1157" s="582"/>
      <c r="BR1157" s="582"/>
      <c r="BS1157" s="582"/>
      <c r="BT1157" s="582"/>
      <c r="BU1157" s="582"/>
      <c r="BV1157" s="582"/>
      <c r="BW1157" s="582"/>
      <c r="BX1157" s="582"/>
      <c r="BY1157" s="582"/>
      <c r="BZ1157" s="582"/>
      <c r="CA1157" s="582"/>
      <c r="CB1157" s="582"/>
      <c r="CC1157" s="582"/>
      <c r="CD1157" s="582"/>
      <c r="CE1157" s="582"/>
      <c r="CF1157" s="582"/>
      <c r="CG1157" s="582"/>
      <c r="CH1157" s="582"/>
      <c r="CI1157" s="582"/>
      <c r="CJ1157" s="582"/>
      <c r="CK1157" s="582"/>
      <c r="CL1157" s="582"/>
      <c r="CM1157" s="582"/>
      <c r="CN1157" s="582"/>
      <c r="CO1157" s="582"/>
      <c r="CP1157" s="582"/>
      <c r="CQ1157" s="582"/>
      <c r="CR1157" s="582"/>
      <c r="CS1157" s="582"/>
      <c r="CT1157" s="582"/>
      <c r="CU1157" s="582"/>
      <c r="CV1157" s="582"/>
      <c r="CW1157" s="582"/>
      <c r="CX1157" s="582"/>
      <c r="CY1157" s="582"/>
      <c r="CZ1157" s="582"/>
      <c r="DA1157" s="582"/>
      <c r="DB1157" s="582"/>
      <c r="DC1157" s="582"/>
      <c r="DD1157" s="582"/>
      <c r="DE1157" s="582"/>
      <c r="DF1157" s="582"/>
      <c r="DG1157" s="582"/>
      <c r="DH1157" s="582"/>
      <c r="DI1157" s="582"/>
      <c r="DJ1157" s="582"/>
      <c r="DK1157" s="582"/>
      <c r="DL1157" s="582"/>
      <c r="DM1157" s="582"/>
      <c r="DN1157" s="582"/>
      <c r="DO1157" s="582"/>
      <c r="DP1157" s="582"/>
      <c r="DQ1157" s="582"/>
      <c r="DR1157" s="582"/>
      <c r="DS1157" s="582"/>
      <c r="DT1157" s="582"/>
      <c r="DU1157" s="582"/>
      <c r="DV1157" s="582"/>
      <c r="DW1157" s="582"/>
      <c r="DX1157" s="582"/>
      <c r="DY1157" s="582"/>
      <c r="DZ1157" s="582"/>
      <c r="EA1157" s="582"/>
      <c r="EB1157" s="582"/>
      <c r="EC1157" s="582"/>
      <c r="ED1157" s="582"/>
      <c r="EE1157" s="582"/>
      <c r="EF1157" s="582"/>
      <c r="EG1157" s="582"/>
      <c r="EH1157" s="582"/>
      <c r="EI1157" s="582"/>
      <c r="EJ1157" s="582"/>
      <c r="EK1157" s="582"/>
      <c r="EL1157" s="582"/>
      <c r="EM1157" s="582"/>
      <c r="EN1157" s="582"/>
      <c r="EO1157" s="582"/>
      <c r="EP1157" s="582"/>
      <c r="EQ1157" s="582"/>
      <c r="ER1157" s="582"/>
      <c r="ES1157" s="582"/>
      <c r="ET1157" s="582"/>
      <c r="EU1157" s="582"/>
      <c r="EV1157" s="582"/>
      <c r="EW1157" s="582"/>
      <c r="EX1157" s="582"/>
      <c r="EY1157" s="582"/>
      <c r="EZ1157" s="582"/>
      <c r="FA1157" s="582"/>
      <c r="FB1157" s="582"/>
      <c r="FC1157" s="582"/>
      <c r="FD1157" s="582"/>
      <c r="FE1157" s="582"/>
      <c r="FF1157" s="582"/>
      <c r="FG1157" s="582"/>
      <c r="FH1157" s="582"/>
      <c r="FI1157" s="582"/>
      <c r="FJ1157" s="582"/>
      <c r="FK1157" s="582"/>
      <c r="FL1157" s="582"/>
      <c r="FM1157" s="582"/>
      <c r="FN1157" s="582"/>
      <c r="FO1157" s="582"/>
      <c r="FP1157" s="582"/>
      <c r="FQ1157" s="582"/>
      <c r="FR1157" s="582"/>
      <c r="FS1157" s="582"/>
      <c r="FT1157" s="582"/>
      <c r="FU1157" s="582"/>
      <c r="FV1157" s="582"/>
      <c r="FW1157" s="582"/>
      <c r="FX1157" s="582"/>
      <c r="FY1157" s="582"/>
      <c r="FZ1157" s="582"/>
      <c r="GA1157" s="582"/>
      <c r="GB1157" s="582"/>
      <c r="GC1157" s="582"/>
      <c r="GD1157" s="582"/>
      <c r="GE1157" s="582"/>
      <c r="GF1157" s="582"/>
      <c r="GG1157" s="582"/>
      <c r="GH1157" s="582"/>
      <c r="GI1157" s="582"/>
      <c r="GJ1157" s="582"/>
      <c r="GK1157" s="582"/>
      <c r="GL1157" s="582"/>
      <c r="GM1157" s="582"/>
      <c r="GN1157" s="582"/>
      <c r="GO1157" s="582"/>
      <c r="GP1157" s="582"/>
      <c r="GQ1157" s="582"/>
      <c r="GR1157" s="582"/>
      <c r="GS1157" s="582"/>
      <c r="GT1157" s="582"/>
      <c r="GU1157" s="582"/>
      <c r="GV1157" s="582"/>
      <c r="GW1157" s="582"/>
      <c r="GX1157" s="582"/>
      <c r="GY1157" s="582"/>
      <c r="GZ1157" s="582"/>
      <c r="HA1157" s="582"/>
      <c r="HB1157" s="582"/>
      <c r="HC1157" s="582"/>
      <c r="HD1157" s="582"/>
      <c r="HE1157" s="582"/>
      <c r="HF1157" s="582"/>
      <c r="HG1157" s="582"/>
      <c r="HH1157" s="582"/>
      <c r="HI1157" s="582"/>
      <c r="HJ1157" s="582"/>
      <c r="HK1157" s="582"/>
      <c r="HL1157" s="582"/>
      <c r="HM1157" s="582"/>
      <c r="HN1157" s="582"/>
      <c r="HO1157" s="582"/>
      <c r="HP1157" s="582"/>
      <c r="HQ1157" s="582"/>
      <c r="HR1157" s="582"/>
      <c r="HS1157" s="582"/>
      <c r="HT1157" s="582"/>
      <c r="HU1157" s="582"/>
      <c r="HV1157" s="582"/>
      <c r="HW1157" s="582"/>
      <c r="HX1157" s="582"/>
      <c r="HY1157" s="582"/>
      <c r="HZ1157" s="582"/>
      <c r="IA1157" s="582"/>
      <c r="IB1157" s="582"/>
      <c r="IC1157" s="582"/>
      <c r="ID1157" s="582"/>
      <c r="IE1157" s="582"/>
      <c r="IF1157" s="582"/>
      <c r="IG1157" s="582"/>
      <c r="IH1157" s="582"/>
      <c r="II1157" s="582"/>
      <c r="IJ1157" s="582"/>
      <c r="IK1157" s="582"/>
      <c r="IL1157" s="582"/>
      <c r="IM1157" s="582"/>
      <c r="IN1157" s="582"/>
      <c r="IO1157" s="582"/>
      <c r="IP1157" s="582"/>
      <c r="IQ1157" s="582"/>
      <c r="IR1157" s="582"/>
      <c r="IS1157" s="582"/>
      <c r="IT1157" s="582"/>
      <c r="IU1157" s="582"/>
      <c r="IV1157" s="582"/>
      <c r="IW1157" s="582"/>
    </row>
    <row r="1158" spans="1:257" s="682" customFormat="1" ht="15.75" hidden="1" customHeight="1">
      <c r="A1158" s="699"/>
      <c r="B1158" s="696" t="s">
        <v>600</v>
      </c>
      <c r="C1158" s="699"/>
      <c r="D1158" s="699"/>
      <c r="E1158" s="781"/>
      <c r="F1158" s="700"/>
      <c r="G1158" s="700"/>
      <c r="H1158" s="700"/>
      <c r="I1158" s="700"/>
      <c r="J1158" s="700">
        <f>180000000+160000000</f>
        <v>340000000</v>
      </c>
      <c r="K1158" s="700"/>
      <c r="L1158" s="1315"/>
      <c r="M1158" s="651"/>
      <c r="N1158" s="820"/>
      <c r="O1158" s="820"/>
      <c r="P1158" s="820"/>
      <c r="Q1158" s="820"/>
      <c r="R1158" s="866"/>
      <c r="S1158" s="866"/>
      <c r="T1158" s="839"/>
      <c r="U1158" s="580"/>
      <c r="V1158" s="581"/>
      <c r="W1158" s="581"/>
      <c r="X1158" s="578"/>
      <c r="Y1158" s="582"/>
      <c r="Z1158" s="582"/>
      <c r="AA1158" s="582"/>
      <c r="AB1158" s="582"/>
      <c r="AC1158" s="582"/>
      <c r="AD1158" s="582"/>
      <c r="AE1158" s="582"/>
      <c r="AF1158" s="582"/>
      <c r="AG1158" s="582"/>
      <c r="AH1158" s="582"/>
      <c r="AI1158" s="582"/>
      <c r="AJ1158" s="582"/>
      <c r="AK1158" s="582"/>
      <c r="AL1158" s="582"/>
      <c r="AM1158" s="582"/>
      <c r="AN1158" s="582"/>
      <c r="AO1158" s="582"/>
      <c r="AP1158" s="582"/>
      <c r="AQ1158" s="582"/>
      <c r="AR1158" s="582"/>
      <c r="AS1158" s="582"/>
      <c r="AT1158" s="582"/>
      <c r="AU1158" s="582"/>
      <c r="AV1158" s="582"/>
      <c r="AW1158" s="582"/>
      <c r="AX1158" s="582"/>
      <c r="AY1158" s="582"/>
      <c r="AZ1158" s="582"/>
      <c r="BA1158" s="582"/>
      <c r="BB1158" s="582"/>
      <c r="BC1158" s="582"/>
      <c r="BD1158" s="582"/>
      <c r="BE1158" s="582"/>
      <c r="BF1158" s="582"/>
      <c r="BG1158" s="582"/>
      <c r="BH1158" s="582"/>
      <c r="BI1158" s="582"/>
      <c r="BJ1158" s="582"/>
      <c r="BK1158" s="582"/>
      <c r="BL1158" s="582"/>
      <c r="BM1158" s="582"/>
      <c r="BN1158" s="582"/>
      <c r="BO1158" s="582"/>
      <c r="BP1158" s="582"/>
      <c r="BQ1158" s="582"/>
      <c r="BR1158" s="582"/>
      <c r="BS1158" s="582"/>
      <c r="BT1158" s="582"/>
      <c r="BU1158" s="582"/>
      <c r="BV1158" s="582"/>
      <c r="BW1158" s="582"/>
      <c r="BX1158" s="582"/>
      <c r="BY1158" s="582"/>
      <c r="BZ1158" s="582"/>
      <c r="CA1158" s="582"/>
      <c r="CB1158" s="582"/>
      <c r="CC1158" s="582"/>
      <c r="CD1158" s="582"/>
      <c r="CE1158" s="582"/>
      <c r="CF1158" s="582"/>
      <c r="CG1158" s="582"/>
      <c r="CH1158" s="582"/>
      <c r="CI1158" s="582"/>
      <c r="CJ1158" s="582"/>
      <c r="CK1158" s="582"/>
      <c r="CL1158" s="582"/>
      <c r="CM1158" s="582"/>
      <c r="CN1158" s="582"/>
      <c r="CO1158" s="582"/>
      <c r="CP1158" s="582"/>
      <c r="CQ1158" s="582"/>
      <c r="CR1158" s="582"/>
      <c r="CS1158" s="582"/>
      <c r="CT1158" s="582"/>
      <c r="CU1158" s="582"/>
      <c r="CV1158" s="582"/>
      <c r="CW1158" s="582"/>
      <c r="CX1158" s="582"/>
      <c r="CY1158" s="582"/>
      <c r="CZ1158" s="582"/>
      <c r="DA1158" s="582"/>
      <c r="DB1158" s="582"/>
      <c r="DC1158" s="582"/>
      <c r="DD1158" s="582"/>
      <c r="DE1158" s="582"/>
      <c r="DF1158" s="582"/>
      <c r="DG1158" s="582"/>
      <c r="DH1158" s="582"/>
      <c r="DI1158" s="582"/>
      <c r="DJ1158" s="582"/>
      <c r="DK1158" s="582"/>
      <c r="DL1158" s="582"/>
      <c r="DM1158" s="582"/>
      <c r="DN1158" s="582"/>
      <c r="DO1158" s="582"/>
      <c r="DP1158" s="582"/>
      <c r="DQ1158" s="582"/>
      <c r="DR1158" s="582"/>
      <c r="DS1158" s="582"/>
      <c r="DT1158" s="582"/>
      <c r="DU1158" s="582"/>
      <c r="DV1158" s="582"/>
      <c r="DW1158" s="582"/>
      <c r="DX1158" s="582"/>
      <c r="DY1158" s="582"/>
      <c r="DZ1158" s="582"/>
      <c r="EA1158" s="582"/>
      <c r="EB1158" s="582"/>
      <c r="EC1158" s="582"/>
      <c r="ED1158" s="582"/>
      <c r="EE1158" s="582"/>
      <c r="EF1158" s="582"/>
      <c r="EG1158" s="582"/>
      <c r="EH1158" s="582"/>
      <c r="EI1158" s="582"/>
      <c r="EJ1158" s="582"/>
      <c r="EK1158" s="582"/>
      <c r="EL1158" s="582"/>
      <c r="EM1158" s="582"/>
      <c r="EN1158" s="582"/>
      <c r="EO1158" s="582"/>
      <c r="EP1158" s="582"/>
      <c r="EQ1158" s="582"/>
      <c r="ER1158" s="582"/>
      <c r="ES1158" s="582"/>
      <c r="ET1158" s="582"/>
      <c r="EU1158" s="582"/>
      <c r="EV1158" s="582"/>
      <c r="EW1158" s="582"/>
      <c r="EX1158" s="582"/>
      <c r="EY1158" s="582"/>
      <c r="EZ1158" s="582"/>
      <c r="FA1158" s="582"/>
      <c r="FB1158" s="582"/>
      <c r="FC1158" s="582"/>
      <c r="FD1158" s="582"/>
      <c r="FE1158" s="582"/>
      <c r="FF1158" s="582"/>
      <c r="FG1158" s="582"/>
      <c r="FH1158" s="582"/>
      <c r="FI1158" s="582"/>
      <c r="FJ1158" s="582"/>
      <c r="FK1158" s="582"/>
      <c r="FL1158" s="582"/>
      <c r="FM1158" s="582"/>
      <c r="FN1158" s="582"/>
      <c r="FO1158" s="582"/>
      <c r="FP1158" s="582"/>
      <c r="FQ1158" s="582"/>
      <c r="FR1158" s="582"/>
      <c r="FS1158" s="582"/>
      <c r="FT1158" s="582"/>
      <c r="FU1158" s="582"/>
      <c r="FV1158" s="582"/>
      <c r="FW1158" s="582"/>
      <c r="FX1158" s="582"/>
      <c r="FY1158" s="582"/>
      <c r="FZ1158" s="582"/>
      <c r="GA1158" s="582"/>
      <c r="GB1158" s="582"/>
      <c r="GC1158" s="582"/>
      <c r="GD1158" s="582"/>
      <c r="GE1158" s="582"/>
      <c r="GF1158" s="582"/>
      <c r="GG1158" s="582"/>
      <c r="GH1158" s="582"/>
      <c r="GI1158" s="582"/>
      <c r="GJ1158" s="582"/>
      <c r="GK1158" s="582"/>
      <c r="GL1158" s="582"/>
      <c r="GM1158" s="582"/>
      <c r="GN1158" s="582"/>
      <c r="GO1158" s="582"/>
      <c r="GP1158" s="582"/>
      <c r="GQ1158" s="582"/>
      <c r="GR1158" s="582"/>
      <c r="GS1158" s="582"/>
      <c r="GT1158" s="582"/>
      <c r="GU1158" s="582"/>
      <c r="GV1158" s="582"/>
      <c r="GW1158" s="582"/>
      <c r="GX1158" s="582"/>
      <c r="GY1158" s="582"/>
      <c r="GZ1158" s="582"/>
      <c r="HA1158" s="582"/>
      <c r="HB1158" s="582"/>
      <c r="HC1158" s="582"/>
      <c r="HD1158" s="582"/>
      <c r="HE1158" s="582"/>
      <c r="HF1158" s="582"/>
      <c r="HG1158" s="582"/>
      <c r="HH1158" s="582"/>
      <c r="HI1158" s="582"/>
      <c r="HJ1158" s="582"/>
      <c r="HK1158" s="582"/>
      <c r="HL1158" s="582"/>
      <c r="HM1158" s="582"/>
      <c r="HN1158" s="582"/>
      <c r="HO1158" s="582"/>
      <c r="HP1158" s="582"/>
      <c r="HQ1158" s="582"/>
      <c r="HR1158" s="582"/>
      <c r="HS1158" s="582"/>
      <c r="HT1158" s="582"/>
      <c r="HU1158" s="582"/>
      <c r="HV1158" s="582"/>
      <c r="HW1158" s="582"/>
      <c r="HX1158" s="582"/>
      <c r="HY1158" s="582"/>
      <c r="HZ1158" s="582"/>
      <c r="IA1158" s="582"/>
      <c r="IB1158" s="582"/>
      <c r="IC1158" s="582"/>
      <c r="ID1158" s="582"/>
      <c r="IE1158" s="582"/>
      <c r="IF1158" s="582"/>
      <c r="IG1158" s="582"/>
      <c r="IH1158" s="582"/>
      <c r="II1158" s="582"/>
      <c r="IJ1158" s="582"/>
      <c r="IK1158" s="582"/>
      <c r="IL1158" s="582"/>
      <c r="IM1158" s="582"/>
      <c r="IN1158" s="582"/>
      <c r="IO1158" s="582"/>
      <c r="IP1158" s="582"/>
      <c r="IQ1158" s="582"/>
      <c r="IR1158" s="582"/>
      <c r="IS1158" s="582"/>
      <c r="IT1158" s="582"/>
      <c r="IU1158" s="582"/>
      <c r="IV1158" s="582"/>
      <c r="IW1158" s="582"/>
    </row>
    <row r="1159" spans="1:257" s="682" customFormat="1" ht="15.75" hidden="1" customHeight="1">
      <c r="A1159" s="699" t="s">
        <v>91</v>
      </c>
      <c r="B1159" s="696" t="s">
        <v>1253</v>
      </c>
      <c r="C1159" s="699"/>
      <c r="D1159" s="699"/>
      <c r="E1159" s="781"/>
      <c r="F1159" s="700">
        <v>3500000000</v>
      </c>
      <c r="G1159" s="700"/>
      <c r="H1159" s="700"/>
      <c r="I1159" s="700"/>
      <c r="J1159" s="700"/>
      <c r="K1159" s="700"/>
      <c r="L1159" s="1315"/>
      <c r="M1159" s="651"/>
      <c r="N1159" s="820"/>
      <c r="O1159" s="820"/>
      <c r="P1159" s="820"/>
      <c r="Q1159" s="820"/>
      <c r="R1159" s="866"/>
      <c r="S1159" s="866"/>
      <c r="T1159" s="839"/>
      <c r="U1159" s="580"/>
      <c r="V1159" s="581"/>
      <c r="W1159" s="581"/>
      <c r="X1159" s="578"/>
      <c r="Y1159" s="582"/>
      <c r="Z1159" s="582"/>
      <c r="AA1159" s="582"/>
      <c r="AB1159" s="582"/>
      <c r="AC1159" s="582"/>
      <c r="AD1159" s="582"/>
      <c r="AE1159" s="582"/>
      <c r="AF1159" s="582"/>
      <c r="AG1159" s="582"/>
      <c r="AH1159" s="582"/>
      <c r="AI1159" s="582"/>
      <c r="AJ1159" s="582"/>
      <c r="AK1159" s="582"/>
      <c r="AL1159" s="582"/>
      <c r="AM1159" s="582"/>
      <c r="AN1159" s="582"/>
      <c r="AO1159" s="582"/>
      <c r="AP1159" s="582"/>
      <c r="AQ1159" s="582"/>
      <c r="AR1159" s="582"/>
      <c r="AS1159" s="582"/>
      <c r="AT1159" s="582"/>
      <c r="AU1159" s="582"/>
      <c r="AV1159" s="582"/>
      <c r="AW1159" s="582"/>
      <c r="AX1159" s="582"/>
      <c r="AY1159" s="582"/>
      <c r="AZ1159" s="582"/>
      <c r="BA1159" s="582"/>
      <c r="BB1159" s="582"/>
      <c r="BC1159" s="582"/>
      <c r="BD1159" s="582"/>
      <c r="BE1159" s="582"/>
      <c r="BF1159" s="582"/>
      <c r="BG1159" s="582"/>
      <c r="BH1159" s="582"/>
      <c r="BI1159" s="582"/>
      <c r="BJ1159" s="582"/>
      <c r="BK1159" s="582"/>
      <c r="BL1159" s="582"/>
      <c r="BM1159" s="582"/>
      <c r="BN1159" s="582"/>
      <c r="BO1159" s="582"/>
      <c r="BP1159" s="582"/>
      <c r="BQ1159" s="582"/>
      <c r="BR1159" s="582"/>
      <c r="BS1159" s="582"/>
      <c r="BT1159" s="582"/>
      <c r="BU1159" s="582"/>
      <c r="BV1159" s="582"/>
      <c r="BW1159" s="582"/>
      <c r="BX1159" s="582"/>
      <c r="BY1159" s="582"/>
      <c r="BZ1159" s="582"/>
      <c r="CA1159" s="582"/>
      <c r="CB1159" s="582"/>
      <c r="CC1159" s="582"/>
      <c r="CD1159" s="582"/>
      <c r="CE1159" s="582"/>
      <c r="CF1159" s="582"/>
      <c r="CG1159" s="582"/>
      <c r="CH1159" s="582"/>
      <c r="CI1159" s="582"/>
      <c r="CJ1159" s="582"/>
      <c r="CK1159" s="582"/>
      <c r="CL1159" s="582"/>
      <c r="CM1159" s="582"/>
      <c r="CN1159" s="582"/>
      <c r="CO1159" s="582"/>
      <c r="CP1159" s="582"/>
      <c r="CQ1159" s="582"/>
      <c r="CR1159" s="582"/>
      <c r="CS1159" s="582"/>
      <c r="CT1159" s="582"/>
      <c r="CU1159" s="582"/>
      <c r="CV1159" s="582"/>
      <c r="CW1159" s="582"/>
      <c r="CX1159" s="582"/>
      <c r="CY1159" s="582"/>
      <c r="CZ1159" s="582"/>
      <c r="DA1159" s="582"/>
      <c r="DB1159" s="582"/>
      <c r="DC1159" s="582"/>
      <c r="DD1159" s="582"/>
      <c r="DE1159" s="582"/>
      <c r="DF1159" s="582"/>
      <c r="DG1159" s="582"/>
      <c r="DH1159" s="582"/>
      <c r="DI1159" s="582"/>
      <c r="DJ1159" s="582"/>
      <c r="DK1159" s="582"/>
      <c r="DL1159" s="582"/>
      <c r="DM1159" s="582"/>
      <c r="DN1159" s="582"/>
      <c r="DO1159" s="582"/>
      <c r="DP1159" s="582"/>
      <c r="DQ1159" s="582"/>
      <c r="DR1159" s="582"/>
      <c r="DS1159" s="582"/>
      <c r="DT1159" s="582"/>
      <c r="DU1159" s="582"/>
      <c r="DV1159" s="582"/>
      <c r="DW1159" s="582"/>
      <c r="DX1159" s="582"/>
      <c r="DY1159" s="582"/>
      <c r="DZ1159" s="582"/>
      <c r="EA1159" s="582"/>
      <c r="EB1159" s="582"/>
      <c r="EC1159" s="582"/>
      <c r="ED1159" s="582"/>
      <c r="EE1159" s="582"/>
      <c r="EF1159" s="582"/>
      <c r="EG1159" s="582"/>
      <c r="EH1159" s="582"/>
      <c r="EI1159" s="582"/>
      <c r="EJ1159" s="582"/>
      <c r="EK1159" s="582"/>
      <c r="EL1159" s="582"/>
      <c r="EM1159" s="582"/>
      <c r="EN1159" s="582"/>
      <c r="EO1159" s="582"/>
      <c r="EP1159" s="582"/>
      <c r="EQ1159" s="582"/>
      <c r="ER1159" s="582"/>
      <c r="ES1159" s="582"/>
      <c r="ET1159" s="582"/>
      <c r="EU1159" s="582"/>
      <c r="EV1159" s="582"/>
      <c r="EW1159" s="582"/>
      <c r="EX1159" s="582"/>
      <c r="EY1159" s="582"/>
      <c r="EZ1159" s="582"/>
      <c r="FA1159" s="582"/>
      <c r="FB1159" s="582"/>
      <c r="FC1159" s="582"/>
      <c r="FD1159" s="582"/>
      <c r="FE1159" s="582"/>
      <c r="FF1159" s="582"/>
      <c r="FG1159" s="582"/>
      <c r="FH1159" s="582"/>
      <c r="FI1159" s="582"/>
      <c r="FJ1159" s="582"/>
      <c r="FK1159" s="582"/>
      <c r="FL1159" s="582"/>
      <c r="FM1159" s="582"/>
      <c r="FN1159" s="582"/>
      <c r="FO1159" s="582"/>
      <c r="FP1159" s="582"/>
      <c r="FQ1159" s="582"/>
      <c r="FR1159" s="582"/>
      <c r="FS1159" s="582"/>
      <c r="FT1159" s="582"/>
      <c r="FU1159" s="582"/>
      <c r="FV1159" s="582"/>
      <c r="FW1159" s="582"/>
      <c r="FX1159" s="582"/>
      <c r="FY1159" s="582"/>
      <c r="FZ1159" s="582"/>
      <c r="GA1159" s="582"/>
      <c r="GB1159" s="582"/>
      <c r="GC1159" s="582"/>
      <c r="GD1159" s="582"/>
      <c r="GE1159" s="582"/>
      <c r="GF1159" s="582"/>
      <c r="GG1159" s="582"/>
      <c r="GH1159" s="582"/>
      <c r="GI1159" s="582"/>
      <c r="GJ1159" s="582"/>
      <c r="GK1159" s="582"/>
      <c r="GL1159" s="582"/>
      <c r="GM1159" s="582"/>
      <c r="GN1159" s="582"/>
      <c r="GO1159" s="582"/>
      <c r="GP1159" s="582"/>
      <c r="GQ1159" s="582"/>
      <c r="GR1159" s="582"/>
      <c r="GS1159" s="582"/>
      <c r="GT1159" s="582"/>
      <c r="GU1159" s="582"/>
      <c r="GV1159" s="582"/>
      <c r="GW1159" s="582"/>
      <c r="GX1159" s="582"/>
      <c r="GY1159" s="582"/>
      <c r="GZ1159" s="582"/>
      <c r="HA1159" s="582"/>
      <c r="HB1159" s="582"/>
      <c r="HC1159" s="582"/>
      <c r="HD1159" s="582"/>
      <c r="HE1159" s="582"/>
      <c r="HF1159" s="582"/>
      <c r="HG1159" s="582"/>
      <c r="HH1159" s="582"/>
      <c r="HI1159" s="582"/>
      <c r="HJ1159" s="582"/>
      <c r="HK1159" s="582"/>
      <c r="HL1159" s="582"/>
      <c r="HM1159" s="582"/>
      <c r="HN1159" s="582"/>
      <c r="HO1159" s="582"/>
      <c r="HP1159" s="582"/>
      <c r="HQ1159" s="582"/>
      <c r="HR1159" s="582"/>
      <c r="HS1159" s="582"/>
      <c r="HT1159" s="582"/>
      <c r="HU1159" s="582"/>
      <c r="HV1159" s="582"/>
      <c r="HW1159" s="582"/>
      <c r="HX1159" s="582"/>
      <c r="HY1159" s="582"/>
      <c r="HZ1159" s="582"/>
      <c r="IA1159" s="582"/>
      <c r="IB1159" s="582"/>
      <c r="IC1159" s="582"/>
      <c r="ID1159" s="582"/>
      <c r="IE1159" s="582"/>
      <c r="IF1159" s="582"/>
      <c r="IG1159" s="582"/>
      <c r="IH1159" s="582"/>
      <c r="II1159" s="582"/>
      <c r="IJ1159" s="582"/>
      <c r="IK1159" s="582"/>
      <c r="IL1159" s="582"/>
      <c r="IM1159" s="582"/>
      <c r="IN1159" s="582"/>
      <c r="IO1159" s="582"/>
      <c r="IP1159" s="582"/>
      <c r="IQ1159" s="582"/>
      <c r="IR1159" s="582"/>
      <c r="IS1159" s="582"/>
      <c r="IT1159" s="582"/>
      <c r="IU1159" s="582"/>
      <c r="IV1159" s="582"/>
      <c r="IW1159" s="582"/>
    </row>
    <row r="1160" spans="1:257" s="682" customFormat="1" ht="15.75" hidden="1" customHeight="1">
      <c r="A1160" s="699"/>
      <c r="B1160" s="696" t="s">
        <v>763</v>
      </c>
      <c r="C1160" s="699"/>
      <c r="D1160" s="699"/>
      <c r="E1160" s="781"/>
      <c r="F1160" s="700"/>
      <c r="G1160" s="700"/>
      <c r="H1160" s="700"/>
      <c r="I1160" s="700"/>
      <c r="J1160" s="700">
        <v>50000000</v>
      </c>
      <c r="K1160" s="700"/>
      <c r="L1160" s="1315"/>
      <c r="M1160" s="651"/>
      <c r="N1160" s="820"/>
      <c r="O1160" s="820"/>
      <c r="P1160" s="820"/>
      <c r="Q1160" s="820"/>
      <c r="R1160" s="866"/>
      <c r="S1160" s="866"/>
      <c r="T1160" s="839"/>
      <c r="U1160" s="580"/>
      <c r="V1160" s="581"/>
      <c r="W1160" s="581"/>
      <c r="X1160" s="578"/>
      <c r="Y1160" s="582"/>
      <c r="Z1160" s="582"/>
      <c r="AA1160" s="582"/>
      <c r="AB1160" s="582"/>
      <c r="AC1160" s="582"/>
      <c r="AD1160" s="582"/>
      <c r="AE1160" s="582"/>
      <c r="AF1160" s="582"/>
      <c r="AG1160" s="582"/>
      <c r="AH1160" s="582"/>
      <c r="AI1160" s="582"/>
      <c r="AJ1160" s="582"/>
      <c r="AK1160" s="582"/>
      <c r="AL1160" s="582"/>
      <c r="AM1160" s="582"/>
      <c r="AN1160" s="582"/>
      <c r="AO1160" s="582"/>
      <c r="AP1160" s="582"/>
      <c r="AQ1160" s="582"/>
      <c r="AR1160" s="582"/>
      <c r="AS1160" s="582"/>
      <c r="AT1160" s="582"/>
      <c r="AU1160" s="582"/>
      <c r="AV1160" s="582"/>
      <c r="AW1160" s="582"/>
      <c r="AX1160" s="582"/>
      <c r="AY1160" s="582"/>
      <c r="AZ1160" s="582"/>
      <c r="BA1160" s="582"/>
      <c r="BB1160" s="582"/>
      <c r="BC1160" s="582"/>
      <c r="BD1160" s="582"/>
      <c r="BE1160" s="582"/>
      <c r="BF1160" s="582"/>
      <c r="BG1160" s="582"/>
      <c r="BH1160" s="582"/>
      <c r="BI1160" s="582"/>
      <c r="BJ1160" s="582"/>
      <c r="BK1160" s="582"/>
      <c r="BL1160" s="582"/>
      <c r="BM1160" s="582"/>
      <c r="BN1160" s="582"/>
      <c r="BO1160" s="582"/>
      <c r="BP1160" s="582"/>
      <c r="BQ1160" s="582"/>
      <c r="BR1160" s="582"/>
      <c r="BS1160" s="582"/>
      <c r="BT1160" s="582"/>
      <c r="BU1160" s="582"/>
      <c r="BV1160" s="582"/>
      <c r="BW1160" s="582"/>
      <c r="BX1160" s="582"/>
      <c r="BY1160" s="582"/>
      <c r="BZ1160" s="582"/>
      <c r="CA1160" s="582"/>
      <c r="CB1160" s="582"/>
      <c r="CC1160" s="582"/>
      <c r="CD1160" s="582"/>
      <c r="CE1160" s="582"/>
      <c r="CF1160" s="582"/>
      <c r="CG1160" s="582"/>
      <c r="CH1160" s="582"/>
      <c r="CI1160" s="582"/>
      <c r="CJ1160" s="582"/>
      <c r="CK1160" s="582"/>
      <c r="CL1160" s="582"/>
      <c r="CM1160" s="582"/>
      <c r="CN1160" s="582"/>
      <c r="CO1160" s="582"/>
      <c r="CP1160" s="582"/>
      <c r="CQ1160" s="582"/>
      <c r="CR1160" s="582"/>
      <c r="CS1160" s="582"/>
      <c r="CT1160" s="582"/>
      <c r="CU1160" s="582"/>
      <c r="CV1160" s="582"/>
      <c r="CW1160" s="582"/>
      <c r="CX1160" s="582"/>
      <c r="CY1160" s="582"/>
      <c r="CZ1160" s="582"/>
      <c r="DA1160" s="582"/>
      <c r="DB1160" s="582"/>
      <c r="DC1160" s="582"/>
      <c r="DD1160" s="582"/>
      <c r="DE1160" s="582"/>
      <c r="DF1160" s="582"/>
      <c r="DG1160" s="582"/>
      <c r="DH1160" s="582"/>
      <c r="DI1160" s="582"/>
      <c r="DJ1160" s="582"/>
      <c r="DK1160" s="582"/>
      <c r="DL1160" s="582"/>
      <c r="DM1160" s="582"/>
      <c r="DN1160" s="582"/>
      <c r="DO1160" s="582"/>
      <c r="DP1160" s="582"/>
      <c r="DQ1160" s="582"/>
      <c r="DR1160" s="582"/>
      <c r="DS1160" s="582"/>
      <c r="DT1160" s="582"/>
      <c r="DU1160" s="582"/>
      <c r="DV1160" s="582"/>
      <c r="DW1160" s="582"/>
      <c r="DX1160" s="582"/>
      <c r="DY1160" s="582"/>
      <c r="DZ1160" s="582"/>
      <c r="EA1160" s="582"/>
      <c r="EB1160" s="582"/>
      <c r="EC1160" s="582"/>
      <c r="ED1160" s="582"/>
      <c r="EE1160" s="582"/>
      <c r="EF1160" s="582"/>
      <c r="EG1160" s="582"/>
      <c r="EH1160" s="582"/>
      <c r="EI1160" s="582"/>
      <c r="EJ1160" s="582"/>
      <c r="EK1160" s="582"/>
      <c r="EL1160" s="582"/>
      <c r="EM1160" s="582"/>
      <c r="EN1160" s="582"/>
      <c r="EO1160" s="582"/>
      <c r="EP1160" s="582"/>
      <c r="EQ1160" s="582"/>
      <c r="ER1160" s="582"/>
      <c r="ES1160" s="582"/>
      <c r="ET1160" s="582"/>
      <c r="EU1160" s="582"/>
      <c r="EV1160" s="582"/>
      <c r="EW1160" s="582"/>
      <c r="EX1160" s="582"/>
      <c r="EY1160" s="582"/>
      <c r="EZ1160" s="582"/>
      <c r="FA1160" s="582"/>
      <c r="FB1160" s="582"/>
      <c r="FC1160" s="582"/>
      <c r="FD1160" s="582"/>
      <c r="FE1160" s="582"/>
      <c r="FF1160" s="582"/>
      <c r="FG1160" s="582"/>
      <c r="FH1160" s="582"/>
      <c r="FI1160" s="582"/>
      <c r="FJ1160" s="582"/>
      <c r="FK1160" s="582"/>
      <c r="FL1160" s="582"/>
      <c r="FM1160" s="582"/>
      <c r="FN1160" s="582"/>
      <c r="FO1160" s="582"/>
      <c r="FP1160" s="582"/>
      <c r="FQ1160" s="582"/>
      <c r="FR1160" s="582"/>
      <c r="FS1160" s="582"/>
      <c r="FT1160" s="582"/>
      <c r="FU1160" s="582"/>
      <c r="FV1160" s="582"/>
      <c r="FW1160" s="582"/>
      <c r="FX1160" s="582"/>
      <c r="FY1160" s="582"/>
      <c r="FZ1160" s="582"/>
      <c r="GA1160" s="582"/>
      <c r="GB1160" s="582"/>
      <c r="GC1160" s="582"/>
      <c r="GD1160" s="582"/>
      <c r="GE1160" s="582"/>
      <c r="GF1160" s="582"/>
      <c r="GG1160" s="582"/>
      <c r="GH1160" s="582"/>
      <c r="GI1160" s="582"/>
      <c r="GJ1160" s="582"/>
      <c r="GK1160" s="582"/>
      <c r="GL1160" s="582"/>
      <c r="GM1160" s="582"/>
      <c r="GN1160" s="582"/>
      <c r="GO1160" s="582"/>
      <c r="GP1160" s="582"/>
      <c r="GQ1160" s="582"/>
      <c r="GR1160" s="582"/>
      <c r="GS1160" s="582"/>
      <c r="GT1160" s="582"/>
      <c r="GU1160" s="582"/>
      <c r="GV1160" s="582"/>
      <c r="GW1160" s="582"/>
      <c r="GX1160" s="582"/>
      <c r="GY1160" s="582"/>
      <c r="GZ1160" s="582"/>
      <c r="HA1160" s="582"/>
      <c r="HB1160" s="582"/>
      <c r="HC1160" s="582"/>
      <c r="HD1160" s="582"/>
      <c r="HE1160" s="582"/>
      <c r="HF1160" s="582"/>
      <c r="HG1160" s="582"/>
      <c r="HH1160" s="582"/>
      <c r="HI1160" s="582"/>
      <c r="HJ1160" s="582"/>
      <c r="HK1160" s="582"/>
      <c r="HL1160" s="582"/>
      <c r="HM1160" s="582"/>
      <c r="HN1160" s="582"/>
      <c r="HO1160" s="582"/>
      <c r="HP1160" s="582"/>
      <c r="HQ1160" s="582"/>
      <c r="HR1160" s="582"/>
      <c r="HS1160" s="582"/>
      <c r="HT1160" s="582"/>
      <c r="HU1160" s="582"/>
      <c r="HV1160" s="582"/>
      <c r="HW1160" s="582"/>
      <c r="HX1160" s="582"/>
      <c r="HY1160" s="582"/>
      <c r="HZ1160" s="582"/>
      <c r="IA1160" s="582"/>
      <c r="IB1160" s="582"/>
      <c r="IC1160" s="582"/>
      <c r="ID1160" s="582"/>
      <c r="IE1160" s="582"/>
      <c r="IF1160" s="582"/>
      <c r="IG1160" s="582"/>
      <c r="IH1160" s="582"/>
      <c r="II1160" s="582"/>
      <c r="IJ1160" s="582"/>
      <c r="IK1160" s="582"/>
      <c r="IL1160" s="582"/>
      <c r="IM1160" s="582"/>
      <c r="IN1160" s="582"/>
      <c r="IO1160" s="582"/>
      <c r="IP1160" s="582"/>
      <c r="IQ1160" s="582"/>
      <c r="IR1160" s="582"/>
      <c r="IS1160" s="582"/>
      <c r="IT1160" s="582"/>
      <c r="IU1160" s="582"/>
      <c r="IV1160" s="582"/>
      <c r="IW1160" s="582"/>
    </row>
    <row r="1161" spans="1:257" s="682" customFormat="1" ht="31.5" hidden="1" customHeight="1">
      <c r="A1161" s="699" t="s">
        <v>91</v>
      </c>
      <c r="B1161" s="813" t="s">
        <v>601</v>
      </c>
      <c r="C1161" s="699"/>
      <c r="D1161" s="699"/>
      <c r="E1161" s="781"/>
      <c r="F1161" s="700">
        <v>400000000</v>
      </c>
      <c r="G1161" s="642"/>
      <c r="H1161" s="642"/>
      <c r="I1161" s="642"/>
      <c r="J1161" s="700">
        <v>240000000</v>
      </c>
      <c r="K1161" s="700"/>
      <c r="L1161" s="1315"/>
      <c r="M1161" s="651"/>
      <c r="N1161" s="820"/>
      <c r="O1161" s="820"/>
      <c r="P1161" s="1165"/>
      <c r="Q1161" s="1165"/>
      <c r="R1161" s="866"/>
      <c r="S1161" s="866"/>
      <c r="T1161" s="839"/>
      <c r="U1161" s="580"/>
      <c r="V1161" s="581"/>
      <c r="W1161" s="581"/>
      <c r="X1161" s="578"/>
      <c r="Y1161" s="582"/>
      <c r="Z1161" s="582"/>
      <c r="AA1161" s="582"/>
      <c r="AB1161" s="582"/>
      <c r="AC1161" s="582"/>
      <c r="AD1161" s="582"/>
      <c r="AE1161" s="582"/>
      <c r="AF1161" s="582"/>
      <c r="AG1161" s="582"/>
      <c r="AH1161" s="582"/>
      <c r="AI1161" s="582"/>
      <c r="AJ1161" s="582"/>
      <c r="AK1161" s="582"/>
      <c r="AL1161" s="582"/>
      <c r="AM1161" s="582"/>
      <c r="AN1161" s="582"/>
      <c r="AO1161" s="582"/>
      <c r="AP1161" s="582"/>
      <c r="AQ1161" s="582"/>
      <c r="AR1161" s="582"/>
      <c r="AS1161" s="582"/>
      <c r="AT1161" s="582"/>
      <c r="AU1161" s="582"/>
      <c r="AV1161" s="582"/>
      <c r="AW1161" s="582"/>
      <c r="AX1161" s="582"/>
      <c r="AY1161" s="582"/>
      <c r="AZ1161" s="582"/>
      <c r="BA1161" s="582"/>
      <c r="BB1161" s="582"/>
      <c r="BC1161" s="582"/>
      <c r="BD1161" s="582"/>
      <c r="BE1161" s="582"/>
      <c r="BF1161" s="582"/>
      <c r="BG1161" s="582"/>
      <c r="BH1161" s="582"/>
      <c r="BI1161" s="582"/>
      <c r="BJ1161" s="582"/>
      <c r="BK1161" s="582"/>
      <c r="BL1161" s="582"/>
      <c r="BM1161" s="582"/>
      <c r="BN1161" s="582"/>
      <c r="BO1161" s="582"/>
      <c r="BP1161" s="582"/>
      <c r="BQ1161" s="582"/>
      <c r="BR1161" s="582"/>
      <c r="BS1161" s="582"/>
      <c r="BT1161" s="582"/>
      <c r="BU1161" s="582"/>
      <c r="BV1161" s="582"/>
      <c r="BW1161" s="582"/>
      <c r="BX1161" s="582"/>
      <c r="BY1161" s="582"/>
      <c r="BZ1161" s="582"/>
      <c r="CA1161" s="582"/>
      <c r="CB1161" s="582"/>
      <c r="CC1161" s="582"/>
      <c r="CD1161" s="582"/>
      <c r="CE1161" s="582"/>
      <c r="CF1161" s="582"/>
      <c r="CG1161" s="582"/>
      <c r="CH1161" s="582"/>
      <c r="CI1161" s="582"/>
      <c r="CJ1161" s="582"/>
      <c r="CK1161" s="582"/>
      <c r="CL1161" s="582"/>
      <c r="CM1161" s="582"/>
      <c r="CN1161" s="582"/>
      <c r="CO1161" s="582"/>
      <c r="CP1161" s="582"/>
      <c r="CQ1161" s="582"/>
      <c r="CR1161" s="582"/>
      <c r="CS1161" s="582"/>
      <c r="CT1161" s="582"/>
      <c r="CU1161" s="582"/>
      <c r="CV1161" s="582"/>
      <c r="CW1161" s="582"/>
      <c r="CX1161" s="582"/>
      <c r="CY1161" s="582"/>
      <c r="CZ1161" s="582"/>
      <c r="DA1161" s="582"/>
      <c r="DB1161" s="582"/>
      <c r="DC1161" s="582"/>
      <c r="DD1161" s="582"/>
      <c r="DE1161" s="582"/>
      <c r="DF1161" s="582"/>
      <c r="DG1161" s="582"/>
      <c r="DH1161" s="582"/>
      <c r="DI1161" s="582"/>
      <c r="DJ1161" s="582"/>
      <c r="DK1161" s="582"/>
      <c r="DL1161" s="582"/>
      <c r="DM1161" s="582"/>
      <c r="DN1161" s="582"/>
      <c r="DO1161" s="582"/>
      <c r="DP1161" s="582"/>
      <c r="DQ1161" s="582"/>
      <c r="DR1161" s="582"/>
      <c r="DS1161" s="582"/>
      <c r="DT1161" s="582"/>
      <c r="DU1161" s="582"/>
      <c r="DV1161" s="582"/>
      <c r="DW1161" s="582"/>
      <c r="DX1161" s="582"/>
      <c r="DY1161" s="582"/>
      <c r="DZ1161" s="582"/>
      <c r="EA1161" s="582"/>
      <c r="EB1161" s="582"/>
      <c r="EC1161" s="582"/>
      <c r="ED1161" s="582"/>
      <c r="EE1161" s="582"/>
      <c r="EF1161" s="582"/>
      <c r="EG1161" s="582"/>
      <c r="EH1161" s="582"/>
      <c r="EI1161" s="582"/>
      <c r="EJ1161" s="582"/>
      <c r="EK1161" s="582"/>
      <c r="EL1161" s="582"/>
      <c r="EM1161" s="582"/>
      <c r="EN1161" s="582"/>
      <c r="EO1161" s="582"/>
      <c r="EP1161" s="582"/>
      <c r="EQ1161" s="582"/>
      <c r="ER1161" s="582"/>
      <c r="ES1161" s="582"/>
      <c r="ET1161" s="582"/>
      <c r="EU1161" s="582"/>
      <c r="EV1161" s="582"/>
      <c r="EW1161" s="582"/>
      <c r="EX1161" s="582"/>
      <c r="EY1161" s="582"/>
      <c r="EZ1161" s="582"/>
      <c r="FA1161" s="582"/>
      <c r="FB1161" s="582"/>
      <c r="FC1161" s="582"/>
      <c r="FD1161" s="582"/>
      <c r="FE1161" s="582"/>
      <c r="FF1161" s="582"/>
      <c r="FG1161" s="582"/>
      <c r="FH1161" s="582"/>
      <c r="FI1161" s="582"/>
      <c r="FJ1161" s="582"/>
      <c r="FK1161" s="582"/>
      <c r="FL1161" s="582"/>
      <c r="FM1161" s="582"/>
      <c r="FN1161" s="582"/>
      <c r="FO1161" s="582"/>
      <c r="FP1161" s="582"/>
      <c r="FQ1161" s="582"/>
      <c r="FR1161" s="582"/>
      <c r="FS1161" s="582"/>
      <c r="FT1161" s="582"/>
      <c r="FU1161" s="582"/>
      <c r="FV1161" s="582"/>
      <c r="FW1161" s="582"/>
      <c r="FX1161" s="582"/>
      <c r="FY1161" s="582"/>
      <c r="FZ1161" s="582"/>
      <c r="GA1161" s="582"/>
      <c r="GB1161" s="582"/>
      <c r="GC1161" s="582"/>
      <c r="GD1161" s="582"/>
      <c r="GE1161" s="582"/>
      <c r="GF1161" s="582"/>
      <c r="GG1161" s="582"/>
      <c r="GH1161" s="582"/>
      <c r="GI1161" s="582"/>
      <c r="GJ1161" s="582"/>
      <c r="GK1161" s="582"/>
      <c r="GL1161" s="582"/>
      <c r="GM1161" s="582"/>
      <c r="GN1161" s="582"/>
      <c r="GO1161" s="582"/>
      <c r="GP1161" s="582"/>
      <c r="GQ1161" s="582"/>
      <c r="GR1161" s="582"/>
      <c r="GS1161" s="582"/>
      <c r="GT1161" s="582"/>
      <c r="GU1161" s="582"/>
      <c r="GV1161" s="582"/>
      <c r="GW1161" s="582"/>
      <c r="GX1161" s="582"/>
      <c r="GY1161" s="582"/>
      <c r="GZ1161" s="582"/>
      <c r="HA1161" s="582"/>
      <c r="HB1161" s="582"/>
      <c r="HC1161" s="582"/>
      <c r="HD1161" s="582"/>
      <c r="HE1161" s="582"/>
      <c r="HF1161" s="582"/>
      <c r="HG1161" s="582"/>
      <c r="HH1161" s="582"/>
      <c r="HI1161" s="582"/>
      <c r="HJ1161" s="582"/>
      <c r="HK1161" s="582"/>
      <c r="HL1161" s="582"/>
      <c r="HM1161" s="582"/>
      <c r="HN1161" s="582"/>
      <c r="HO1161" s="582"/>
      <c r="HP1161" s="582"/>
      <c r="HQ1161" s="582"/>
      <c r="HR1161" s="582"/>
      <c r="HS1161" s="582"/>
      <c r="HT1161" s="582"/>
      <c r="HU1161" s="582"/>
      <c r="HV1161" s="582"/>
      <c r="HW1161" s="582"/>
      <c r="HX1161" s="582"/>
      <c r="HY1161" s="582"/>
      <c r="HZ1161" s="582"/>
      <c r="IA1161" s="582"/>
      <c r="IB1161" s="582"/>
      <c r="IC1161" s="582"/>
      <c r="ID1161" s="582"/>
      <c r="IE1161" s="582"/>
      <c r="IF1161" s="582"/>
      <c r="IG1161" s="582"/>
      <c r="IH1161" s="582"/>
      <c r="II1161" s="582"/>
      <c r="IJ1161" s="582"/>
      <c r="IK1161" s="582"/>
      <c r="IL1161" s="582"/>
      <c r="IM1161" s="582"/>
      <c r="IN1161" s="582"/>
      <c r="IO1161" s="582"/>
      <c r="IP1161" s="582"/>
      <c r="IQ1161" s="582"/>
      <c r="IR1161" s="582"/>
      <c r="IS1161" s="582"/>
      <c r="IT1161" s="582"/>
      <c r="IU1161" s="582"/>
      <c r="IV1161" s="582"/>
      <c r="IW1161" s="582"/>
    </row>
    <row r="1162" spans="1:257" s="724" customFormat="1" ht="17.25" customHeight="1">
      <c r="A1162" s="809" t="s">
        <v>91</v>
      </c>
      <c r="B1162" s="808" t="s">
        <v>262</v>
      </c>
      <c r="C1162" s="699"/>
      <c r="D1162" s="699"/>
      <c r="E1162" s="781"/>
      <c r="F1162" s="700">
        <f>F1163+F1164</f>
        <v>761640000</v>
      </c>
      <c r="G1162" s="700"/>
      <c r="H1162" s="700"/>
      <c r="I1162" s="700"/>
      <c r="J1162" s="700"/>
      <c r="K1162" s="700">
        <f>K1133*10%</f>
        <v>361900000</v>
      </c>
      <c r="L1162" s="1315">
        <f>L1133*10%</f>
        <v>329914000</v>
      </c>
      <c r="M1162" s="651"/>
      <c r="N1162" s="820"/>
      <c r="O1162" s="820"/>
      <c r="P1162" s="820"/>
      <c r="Q1162" s="820"/>
      <c r="R1162" s="871"/>
      <c r="S1162" s="900"/>
      <c r="T1162" s="822"/>
      <c r="U1162" s="637"/>
      <c r="V1162" s="701"/>
      <c r="W1162" s="701"/>
      <c r="X1162" s="702"/>
      <c r="Y1162" s="703"/>
      <c r="Z1162" s="703"/>
      <c r="AA1162" s="703"/>
      <c r="AB1162" s="703"/>
      <c r="AC1162" s="703"/>
      <c r="AD1162" s="703"/>
      <c r="AE1162" s="703"/>
      <c r="AF1162" s="703"/>
      <c r="AG1162" s="703"/>
      <c r="AH1162" s="703"/>
      <c r="AI1162" s="703"/>
      <c r="AJ1162" s="703"/>
      <c r="AK1162" s="703"/>
      <c r="AL1162" s="703"/>
      <c r="AM1162" s="703"/>
      <c r="AN1162" s="703"/>
      <c r="AO1162" s="703"/>
      <c r="AP1162" s="703"/>
      <c r="AQ1162" s="703"/>
      <c r="AR1162" s="703"/>
      <c r="AS1162" s="703"/>
      <c r="AT1162" s="703"/>
      <c r="AU1162" s="703"/>
      <c r="AV1162" s="703"/>
      <c r="AW1162" s="703"/>
      <c r="AX1162" s="703"/>
      <c r="AY1162" s="703"/>
      <c r="AZ1162" s="703"/>
      <c r="BA1162" s="703"/>
      <c r="BB1162" s="703"/>
      <c r="BC1162" s="703"/>
      <c r="BD1162" s="703"/>
      <c r="BE1162" s="703"/>
      <c r="BF1162" s="703"/>
      <c r="BG1162" s="703"/>
      <c r="BH1162" s="703"/>
      <c r="BI1162" s="703"/>
      <c r="BJ1162" s="703"/>
      <c r="BK1162" s="703"/>
      <c r="BL1162" s="703"/>
      <c r="BM1162" s="703"/>
      <c r="BN1162" s="703"/>
      <c r="BO1162" s="703"/>
      <c r="BP1162" s="703"/>
      <c r="BQ1162" s="703"/>
      <c r="BR1162" s="703"/>
      <c r="BS1162" s="703"/>
      <c r="BT1162" s="703"/>
      <c r="BU1162" s="703"/>
      <c r="BV1162" s="703"/>
      <c r="BW1162" s="703"/>
      <c r="BX1162" s="703"/>
      <c r="BY1162" s="703"/>
      <c r="BZ1162" s="703"/>
      <c r="CA1162" s="703"/>
      <c r="CB1162" s="703"/>
      <c r="CC1162" s="703"/>
      <c r="CD1162" s="703"/>
      <c r="CE1162" s="703"/>
      <c r="CF1162" s="703"/>
      <c r="CG1162" s="703"/>
      <c r="CH1162" s="703"/>
      <c r="CI1162" s="703"/>
      <c r="CJ1162" s="703"/>
      <c r="CK1162" s="703"/>
      <c r="CL1162" s="703"/>
      <c r="CM1162" s="703"/>
      <c r="CN1162" s="703"/>
      <c r="CO1162" s="703"/>
      <c r="CP1162" s="703"/>
      <c r="CQ1162" s="703"/>
      <c r="CR1162" s="703"/>
      <c r="CS1162" s="703"/>
      <c r="CT1162" s="703"/>
      <c r="CU1162" s="703"/>
      <c r="CV1162" s="703"/>
      <c r="CW1162" s="703"/>
      <c r="CX1162" s="703"/>
      <c r="CY1162" s="703"/>
      <c r="CZ1162" s="703"/>
      <c r="DA1162" s="703"/>
      <c r="DB1162" s="703"/>
      <c r="DC1162" s="703"/>
      <c r="DD1162" s="703"/>
      <c r="DE1162" s="703"/>
      <c r="DF1162" s="703"/>
      <c r="DG1162" s="703"/>
      <c r="DH1162" s="703"/>
      <c r="DI1162" s="703"/>
      <c r="DJ1162" s="703"/>
      <c r="DK1162" s="703"/>
      <c r="DL1162" s="703"/>
      <c r="DM1162" s="703"/>
      <c r="DN1162" s="703"/>
      <c r="DO1162" s="703"/>
      <c r="DP1162" s="703"/>
      <c r="DQ1162" s="703"/>
      <c r="DR1162" s="703"/>
      <c r="DS1162" s="703"/>
      <c r="DT1162" s="703"/>
      <c r="DU1162" s="703"/>
      <c r="DV1162" s="703"/>
      <c r="DW1162" s="703"/>
      <c r="DX1162" s="703"/>
      <c r="DY1162" s="703"/>
      <c r="DZ1162" s="703"/>
      <c r="EA1162" s="703"/>
      <c r="EB1162" s="703"/>
      <c r="EC1162" s="703"/>
      <c r="ED1162" s="703"/>
      <c r="EE1162" s="703"/>
      <c r="EF1162" s="703"/>
      <c r="EG1162" s="703"/>
      <c r="EH1162" s="703"/>
      <c r="EI1162" s="703"/>
      <c r="EJ1162" s="703"/>
      <c r="EK1162" s="703"/>
      <c r="EL1162" s="703"/>
      <c r="EM1162" s="703"/>
      <c r="EN1162" s="703"/>
      <c r="EO1162" s="703"/>
      <c r="EP1162" s="703"/>
      <c r="EQ1162" s="703"/>
      <c r="ER1162" s="703"/>
      <c r="ES1162" s="703"/>
      <c r="ET1162" s="703"/>
      <c r="EU1162" s="703"/>
      <c r="EV1162" s="703"/>
      <c r="EW1162" s="703"/>
      <c r="EX1162" s="703"/>
      <c r="EY1162" s="703"/>
      <c r="EZ1162" s="703"/>
      <c r="FA1162" s="703"/>
      <c r="FB1162" s="703"/>
      <c r="FC1162" s="703"/>
      <c r="FD1162" s="703"/>
      <c r="FE1162" s="703"/>
      <c r="FF1162" s="703"/>
      <c r="FG1162" s="703"/>
      <c r="FH1162" s="703"/>
      <c r="FI1162" s="703"/>
      <c r="FJ1162" s="703"/>
      <c r="FK1162" s="703"/>
      <c r="FL1162" s="703"/>
      <c r="FM1162" s="703"/>
      <c r="FN1162" s="703"/>
      <c r="FO1162" s="703"/>
      <c r="FP1162" s="703"/>
      <c r="FQ1162" s="703"/>
      <c r="FR1162" s="703"/>
      <c r="FS1162" s="703"/>
      <c r="FT1162" s="703"/>
      <c r="FU1162" s="703"/>
      <c r="FV1162" s="703"/>
      <c r="FW1162" s="703"/>
      <c r="FX1162" s="703"/>
      <c r="FY1162" s="703"/>
      <c r="FZ1162" s="703"/>
      <c r="GA1162" s="703"/>
      <c r="GB1162" s="703"/>
      <c r="GC1162" s="703"/>
      <c r="GD1162" s="703"/>
      <c r="GE1162" s="703"/>
      <c r="GF1162" s="703"/>
      <c r="GG1162" s="703"/>
      <c r="GH1162" s="703"/>
      <c r="GI1162" s="703"/>
      <c r="GJ1162" s="703"/>
      <c r="GK1162" s="703"/>
      <c r="GL1162" s="703"/>
      <c r="GM1162" s="703"/>
      <c r="GN1162" s="703"/>
      <c r="GO1162" s="703"/>
      <c r="GP1162" s="703"/>
      <c r="GQ1162" s="703"/>
      <c r="GR1162" s="703"/>
      <c r="GS1162" s="703"/>
      <c r="GT1162" s="703"/>
      <c r="GU1162" s="703"/>
      <c r="GV1162" s="703"/>
      <c r="GW1162" s="703"/>
      <c r="GX1162" s="703"/>
      <c r="GY1162" s="703"/>
      <c r="GZ1162" s="703"/>
      <c r="HA1162" s="703"/>
      <c r="HB1162" s="703"/>
      <c r="HC1162" s="703"/>
      <c r="HD1162" s="703"/>
      <c r="HE1162" s="703"/>
      <c r="HF1162" s="703"/>
      <c r="HG1162" s="703"/>
      <c r="HH1162" s="703"/>
      <c r="HI1162" s="703"/>
      <c r="HJ1162" s="703"/>
      <c r="HK1162" s="703"/>
      <c r="HL1162" s="703"/>
      <c r="HM1162" s="703"/>
      <c r="HN1162" s="703"/>
      <c r="HO1162" s="703"/>
      <c r="HP1162" s="703"/>
      <c r="HQ1162" s="703"/>
      <c r="HR1162" s="703"/>
      <c r="HS1162" s="703"/>
      <c r="HT1162" s="703"/>
      <c r="HU1162" s="703"/>
      <c r="HV1162" s="703"/>
      <c r="HW1162" s="703"/>
      <c r="HX1162" s="703"/>
      <c r="HY1162" s="703"/>
      <c r="HZ1162" s="703"/>
      <c r="IA1162" s="703"/>
      <c r="IB1162" s="703"/>
      <c r="IC1162" s="703"/>
      <c r="ID1162" s="703"/>
      <c r="IE1162" s="703"/>
      <c r="IF1162" s="703"/>
      <c r="IG1162" s="703"/>
      <c r="IH1162" s="703"/>
      <c r="II1162" s="703"/>
      <c r="IJ1162" s="703"/>
      <c r="IK1162" s="703"/>
      <c r="IL1162" s="703"/>
      <c r="IM1162" s="703"/>
      <c r="IN1162" s="703"/>
      <c r="IO1162" s="703"/>
      <c r="IP1162" s="703"/>
      <c r="IQ1162" s="703"/>
      <c r="IR1162" s="703"/>
      <c r="IS1162" s="703"/>
      <c r="IT1162" s="703"/>
      <c r="IU1162" s="703"/>
      <c r="IV1162" s="703"/>
      <c r="IW1162" s="703"/>
    </row>
    <row r="1163" spans="1:257" s="724" customFormat="1" ht="17.25" hidden="1" customHeight="1">
      <c r="A1163" s="713"/>
      <c r="B1163" s="813" t="s">
        <v>263</v>
      </c>
      <c r="C1163" s="713"/>
      <c r="D1163" s="713"/>
      <c r="E1163" s="926"/>
      <c r="F1163" s="725">
        <f>(F1133)*10%</f>
        <v>692400000</v>
      </c>
      <c r="G1163" s="700" t="s">
        <v>1254</v>
      </c>
      <c r="H1163" s="700"/>
      <c r="I1163" s="700"/>
      <c r="J1163" s="725"/>
      <c r="K1163" s="725"/>
      <c r="L1163" s="1311"/>
      <c r="M1163" s="669"/>
      <c r="N1163" s="868"/>
      <c r="O1163" s="868"/>
      <c r="P1163" s="820"/>
      <c r="Q1163" s="820"/>
      <c r="R1163" s="866"/>
      <c r="S1163" s="900"/>
      <c r="T1163" s="822"/>
      <c r="U1163" s="637"/>
      <c r="V1163" s="701"/>
      <c r="W1163" s="701"/>
      <c r="X1163" s="702"/>
      <c r="Y1163" s="703"/>
      <c r="Z1163" s="703"/>
      <c r="AA1163" s="703"/>
      <c r="AB1163" s="703"/>
      <c r="AC1163" s="703"/>
      <c r="AD1163" s="703"/>
      <c r="AE1163" s="703"/>
      <c r="AF1163" s="703"/>
      <c r="AG1163" s="703"/>
      <c r="AH1163" s="703"/>
      <c r="AI1163" s="703"/>
      <c r="AJ1163" s="703"/>
      <c r="AK1163" s="703"/>
      <c r="AL1163" s="703"/>
      <c r="AM1163" s="703"/>
      <c r="AN1163" s="703"/>
      <c r="AO1163" s="703"/>
      <c r="AP1163" s="703"/>
      <c r="AQ1163" s="703"/>
      <c r="AR1163" s="703"/>
      <c r="AS1163" s="703"/>
      <c r="AT1163" s="703"/>
      <c r="AU1163" s="703"/>
      <c r="AV1163" s="703"/>
      <c r="AW1163" s="703"/>
      <c r="AX1163" s="703"/>
      <c r="AY1163" s="703"/>
      <c r="AZ1163" s="703"/>
      <c r="BA1163" s="703"/>
      <c r="BB1163" s="703"/>
      <c r="BC1163" s="703"/>
      <c r="BD1163" s="703"/>
      <c r="BE1163" s="703"/>
      <c r="BF1163" s="703"/>
      <c r="BG1163" s="703"/>
      <c r="BH1163" s="703"/>
      <c r="BI1163" s="703"/>
      <c r="BJ1163" s="703"/>
      <c r="BK1163" s="703"/>
      <c r="BL1163" s="703"/>
      <c r="BM1163" s="703"/>
      <c r="BN1163" s="703"/>
      <c r="BO1163" s="703"/>
      <c r="BP1163" s="703"/>
      <c r="BQ1163" s="703"/>
      <c r="BR1163" s="703"/>
      <c r="BS1163" s="703"/>
      <c r="BT1163" s="703"/>
      <c r="BU1163" s="703"/>
      <c r="BV1163" s="703"/>
      <c r="BW1163" s="703"/>
      <c r="BX1163" s="703"/>
      <c r="BY1163" s="703"/>
      <c r="BZ1163" s="703"/>
      <c r="CA1163" s="703"/>
      <c r="CB1163" s="703"/>
      <c r="CC1163" s="703"/>
      <c r="CD1163" s="703"/>
      <c r="CE1163" s="703"/>
      <c r="CF1163" s="703"/>
      <c r="CG1163" s="703"/>
      <c r="CH1163" s="703"/>
      <c r="CI1163" s="703"/>
      <c r="CJ1163" s="703"/>
      <c r="CK1163" s="703"/>
      <c r="CL1163" s="703"/>
      <c r="CM1163" s="703"/>
      <c r="CN1163" s="703"/>
      <c r="CO1163" s="703"/>
      <c r="CP1163" s="703"/>
      <c r="CQ1163" s="703"/>
      <c r="CR1163" s="703"/>
      <c r="CS1163" s="703"/>
      <c r="CT1163" s="703"/>
      <c r="CU1163" s="703"/>
      <c r="CV1163" s="703"/>
      <c r="CW1163" s="703"/>
      <c r="CX1163" s="703"/>
      <c r="CY1163" s="703"/>
      <c r="CZ1163" s="703"/>
      <c r="DA1163" s="703"/>
      <c r="DB1163" s="703"/>
      <c r="DC1163" s="703"/>
      <c r="DD1163" s="703"/>
      <c r="DE1163" s="703"/>
      <c r="DF1163" s="703"/>
      <c r="DG1163" s="703"/>
      <c r="DH1163" s="703"/>
      <c r="DI1163" s="703"/>
      <c r="DJ1163" s="703"/>
      <c r="DK1163" s="703"/>
      <c r="DL1163" s="703"/>
      <c r="DM1163" s="703"/>
      <c r="DN1163" s="703"/>
      <c r="DO1163" s="703"/>
      <c r="DP1163" s="703"/>
      <c r="DQ1163" s="703"/>
      <c r="DR1163" s="703"/>
      <c r="DS1163" s="703"/>
      <c r="DT1163" s="703"/>
      <c r="DU1163" s="703"/>
      <c r="DV1163" s="703"/>
      <c r="DW1163" s="703"/>
      <c r="DX1163" s="703"/>
      <c r="DY1163" s="703"/>
      <c r="DZ1163" s="703"/>
      <c r="EA1163" s="703"/>
      <c r="EB1163" s="703"/>
      <c r="EC1163" s="703"/>
      <c r="ED1163" s="703"/>
      <c r="EE1163" s="703"/>
      <c r="EF1163" s="703"/>
      <c r="EG1163" s="703"/>
      <c r="EH1163" s="703"/>
      <c r="EI1163" s="703"/>
      <c r="EJ1163" s="703"/>
      <c r="EK1163" s="703"/>
      <c r="EL1163" s="703"/>
      <c r="EM1163" s="703"/>
      <c r="EN1163" s="703"/>
      <c r="EO1163" s="703"/>
      <c r="EP1163" s="703"/>
      <c r="EQ1163" s="703"/>
      <c r="ER1163" s="703"/>
      <c r="ES1163" s="703"/>
      <c r="ET1163" s="703"/>
      <c r="EU1163" s="703"/>
      <c r="EV1163" s="703"/>
      <c r="EW1163" s="703"/>
      <c r="EX1163" s="703"/>
      <c r="EY1163" s="703"/>
      <c r="EZ1163" s="703"/>
      <c r="FA1163" s="703"/>
      <c r="FB1163" s="703"/>
      <c r="FC1163" s="703"/>
      <c r="FD1163" s="703"/>
      <c r="FE1163" s="703"/>
      <c r="FF1163" s="703"/>
      <c r="FG1163" s="703"/>
      <c r="FH1163" s="703"/>
      <c r="FI1163" s="703"/>
      <c r="FJ1163" s="703"/>
      <c r="FK1163" s="703"/>
      <c r="FL1163" s="703"/>
      <c r="FM1163" s="703"/>
      <c r="FN1163" s="703"/>
      <c r="FO1163" s="703"/>
      <c r="FP1163" s="703"/>
      <c r="FQ1163" s="703"/>
      <c r="FR1163" s="703"/>
      <c r="FS1163" s="703"/>
      <c r="FT1163" s="703"/>
      <c r="FU1163" s="703"/>
      <c r="FV1163" s="703"/>
      <c r="FW1163" s="703"/>
      <c r="FX1163" s="703"/>
      <c r="FY1163" s="703"/>
      <c r="FZ1163" s="703"/>
      <c r="GA1163" s="703"/>
      <c r="GB1163" s="703"/>
      <c r="GC1163" s="703"/>
      <c r="GD1163" s="703"/>
      <c r="GE1163" s="703"/>
      <c r="GF1163" s="703"/>
      <c r="GG1163" s="703"/>
      <c r="GH1163" s="703"/>
      <c r="GI1163" s="703"/>
      <c r="GJ1163" s="703"/>
      <c r="GK1163" s="703"/>
      <c r="GL1163" s="703"/>
      <c r="GM1163" s="703"/>
      <c r="GN1163" s="703"/>
      <c r="GO1163" s="703"/>
      <c r="GP1163" s="703"/>
      <c r="GQ1163" s="703"/>
      <c r="GR1163" s="703"/>
      <c r="GS1163" s="703"/>
      <c r="GT1163" s="703"/>
      <c r="GU1163" s="703"/>
      <c r="GV1163" s="703"/>
      <c r="GW1163" s="703"/>
      <c r="GX1163" s="703"/>
      <c r="GY1163" s="703"/>
      <c r="GZ1163" s="703"/>
      <c r="HA1163" s="703"/>
      <c r="HB1163" s="703"/>
      <c r="HC1163" s="703"/>
      <c r="HD1163" s="703"/>
      <c r="HE1163" s="703"/>
      <c r="HF1163" s="703"/>
      <c r="HG1163" s="703"/>
      <c r="HH1163" s="703"/>
      <c r="HI1163" s="703"/>
      <c r="HJ1163" s="703"/>
      <c r="HK1163" s="703"/>
      <c r="HL1163" s="703"/>
      <c r="HM1163" s="703"/>
      <c r="HN1163" s="703"/>
      <c r="HO1163" s="703"/>
      <c r="HP1163" s="703"/>
      <c r="HQ1163" s="703"/>
      <c r="HR1163" s="703"/>
      <c r="HS1163" s="703"/>
      <c r="HT1163" s="703"/>
      <c r="HU1163" s="703"/>
      <c r="HV1163" s="703"/>
      <c r="HW1163" s="703"/>
      <c r="HX1163" s="703"/>
      <c r="HY1163" s="703"/>
      <c r="HZ1163" s="703"/>
      <c r="IA1163" s="703"/>
      <c r="IB1163" s="703"/>
      <c r="IC1163" s="703"/>
      <c r="ID1163" s="703"/>
      <c r="IE1163" s="703"/>
      <c r="IF1163" s="703"/>
      <c r="IG1163" s="703"/>
      <c r="IH1163" s="703"/>
      <c r="II1163" s="703"/>
      <c r="IJ1163" s="703"/>
      <c r="IK1163" s="703"/>
      <c r="IL1163" s="703"/>
      <c r="IM1163" s="703"/>
      <c r="IN1163" s="703"/>
      <c r="IO1163" s="703"/>
      <c r="IP1163" s="703"/>
      <c r="IQ1163" s="703"/>
      <c r="IR1163" s="703"/>
      <c r="IS1163" s="703"/>
      <c r="IT1163" s="703"/>
      <c r="IU1163" s="703"/>
      <c r="IV1163" s="703"/>
      <c r="IW1163" s="703"/>
    </row>
    <row r="1164" spans="1:257" s="724" customFormat="1" ht="17.25" hidden="1" customHeight="1">
      <c r="A1164" s="699"/>
      <c r="B1164" s="813" t="s">
        <v>1255</v>
      </c>
      <c r="C1164" s="699"/>
      <c r="D1164" s="699"/>
      <c r="E1164" s="781"/>
      <c r="F1164" s="725">
        <f>F1133*1%</f>
        <v>69240000</v>
      </c>
      <c r="G1164" s="817"/>
      <c r="H1164" s="817"/>
      <c r="I1164" s="817"/>
      <c r="J1164" s="725"/>
      <c r="K1164" s="725"/>
      <c r="L1164" s="1311"/>
      <c r="M1164" s="669"/>
      <c r="N1164" s="868"/>
      <c r="O1164" s="868"/>
      <c r="P1164" s="819"/>
      <c r="Q1164" s="819"/>
      <c r="R1164" s="945"/>
      <c r="S1164" s="900"/>
      <c r="T1164" s="822"/>
      <c r="U1164" s="577"/>
      <c r="V1164" s="701"/>
      <c r="W1164" s="701"/>
      <c r="X1164" s="702"/>
      <c r="Y1164" s="703"/>
      <c r="Z1164" s="703"/>
      <c r="AA1164" s="703"/>
      <c r="AB1164" s="703"/>
      <c r="AC1164" s="703"/>
      <c r="AD1164" s="703"/>
      <c r="AE1164" s="703"/>
      <c r="AF1164" s="703"/>
      <c r="AG1164" s="703"/>
      <c r="AH1164" s="703"/>
      <c r="AI1164" s="703"/>
      <c r="AJ1164" s="703"/>
      <c r="AK1164" s="703"/>
      <c r="AL1164" s="703"/>
      <c r="AM1164" s="703"/>
      <c r="AN1164" s="703"/>
      <c r="AO1164" s="703"/>
      <c r="AP1164" s="703"/>
      <c r="AQ1164" s="703"/>
      <c r="AR1164" s="703"/>
      <c r="AS1164" s="703"/>
      <c r="AT1164" s="703"/>
      <c r="AU1164" s="703"/>
      <c r="AV1164" s="703"/>
      <c r="AW1164" s="703"/>
      <c r="AX1164" s="703"/>
      <c r="AY1164" s="703"/>
      <c r="AZ1164" s="703"/>
      <c r="BA1164" s="703"/>
      <c r="BB1164" s="703"/>
      <c r="BC1164" s="703"/>
      <c r="BD1164" s="703"/>
      <c r="BE1164" s="703"/>
      <c r="BF1164" s="703"/>
      <c r="BG1164" s="703"/>
      <c r="BH1164" s="703"/>
      <c r="BI1164" s="703"/>
      <c r="BJ1164" s="703"/>
      <c r="BK1164" s="703"/>
      <c r="BL1164" s="703"/>
      <c r="BM1164" s="703"/>
      <c r="BN1164" s="703"/>
      <c r="BO1164" s="703"/>
      <c r="BP1164" s="703"/>
      <c r="BQ1164" s="703"/>
      <c r="BR1164" s="703"/>
      <c r="BS1164" s="703"/>
      <c r="BT1164" s="703"/>
      <c r="BU1164" s="703"/>
      <c r="BV1164" s="703"/>
      <c r="BW1164" s="703"/>
      <c r="BX1164" s="703"/>
      <c r="BY1164" s="703"/>
      <c r="BZ1164" s="703"/>
      <c r="CA1164" s="703"/>
      <c r="CB1164" s="703"/>
      <c r="CC1164" s="703"/>
      <c r="CD1164" s="703"/>
      <c r="CE1164" s="703"/>
      <c r="CF1164" s="703"/>
      <c r="CG1164" s="703"/>
      <c r="CH1164" s="703"/>
      <c r="CI1164" s="703"/>
      <c r="CJ1164" s="703"/>
      <c r="CK1164" s="703"/>
      <c r="CL1164" s="703"/>
      <c r="CM1164" s="703"/>
      <c r="CN1164" s="703"/>
      <c r="CO1164" s="703"/>
      <c r="CP1164" s="703"/>
      <c r="CQ1164" s="703"/>
      <c r="CR1164" s="703"/>
      <c r="CS1164" s="703"/>
      <c r="CT1164" s="703"/>
      <c r="CU1164" s="703"/>
      <c r="CV1164" s="703"/>
      <c r="CW1164" s="703"/>
      <c r="CX1164" s="703"/>
      <c r="CY1164" s="703"/>
      <c r="CZ1164" s="703"/>
      <c r="DA1164" s="703"/>
      <c r="DB1164" s="703"/>
      <c r="DC1164" s="703"/>
      <c r="DD1164" s="703"/>
      <c r="DE1164" s="703"/>
      <c r="DF1164" s="703"/>
      <c r="DG1164" s="703"/>
      <c r="DH1164" s="703"/>
      <c r="DI1164" s="703"/>
      <c r="DJ1164" s="703"/>
      <c r="DK1164" s="703"/>
      <c r="DL1164" s="703"/>
      <c r="DM1164" s="703"/>
      <c r="DN1164" s="703"/>
      <c r="DO1164" s="703"/>
      <c r="DP1164" s="703"/>
      <c r="DQ1164" s="703"/>
      <c r="DR1164" s="703"/>
      <c r="DS1164" s="703"/>
      <c r="DT1164" s="703"/>
      <c r="DU1164" s="703"/>
      <c r="DV1164" s="703"/>
      <c r="DW1164" s="703"/>
      <c r="DX1164" s="703"/>
      <c r="DY1164" s="703"/>
      <c r="DZ1164" s="703"/>
      <c r="EA1164" s="703"/>
      <c r="EB1164" s="703"/>
      <c r="EC1164" s="703"/>
      <c r="ED1164" s="703"/>
      <c r="EE1164" s="703"/>
      <c r="EF1164" s="703"/>
      <c r="EG1164" s="703"/>
      <c r="EH1164" s="703"/>
      <c r="EI1164" s="703"/>
      <c r="EJ1164" s="703"/>
      <c r="EK1164" s="703"/>
      <c r="EL1164" s="703"/>
      <c r="EM1164" s="703"/>
      <c r="EN1164" s="703"/>
      <c r="EO1164" s="703"/>
      <c r="EP1164" s="703"/>
      <c r="EQ1164" s="703"/>
      <c r="ER1164" s="703"/>
      <c r="ES1164" s="703"/>
      <c r="ET1164" s="703"/>
      <c r="EU1164" s="703"/>
      <c r="EV1164" s="703"/>
      <c r="EW1164" s="703"/>
      <c r="EX1164" s="703"/>
      <c r="EY1164" s="703"/>
      <c r="EZ1164" s="703"/>
      <c r="FA1164" s="703"/>
      <c r="FB1164" s="703"/>
      <c r="FC1164" s="703"/>
      <c r="FD1164" s="703"/>
      <c r="FE1164" s="703"/>
      <c r="FF1164" s="703"/>
      <c r="FG1164" s="703"/>
      <c r="FH1164" s="703"/>
      <c r="FI1164" s="703"/>
      <c r="FJ1164" s="703"/>
      <c r="FK1164" s="703"/>
      <c r="FL1164" s="703"/>
      <c r="FM1164" s="703"/>
      <c r="FN1164" s="703"/>
      <c r="FO1164" s="703"/>
      <c r="FP1164" s="703"/>
      <c r="FQ1164" s="703"/>
      <c r="FR1164" s="703"/>
      <c r="FS1164" s="703"/>
      <c r="FT1164" s="703"/>
      <c r="FU1164" s="703"/>
      <c r="FV1164" s="703"/>
      <c r="FW1164" s="703"/>
      <c r="FX1164" s="703"/>
      <c r="FY1164" s="703"/>
      <c r="FZ1164" s="703"/>
      <c r="GA1164" s="703"/>
      <c r="GB1164" s="703"/>
      <c r="GC1164" s="703"/>
      <c r="GD1164" s="703"/>
      <c r="GE1164" s="703"/>
      <c r="GF1164" s="703"/>
      <c r="GG1164" s="703"/>
      <c r="GH1164" s="703"/>
      <c r="GI1164" s="703"/>
      <c r="GJ1164" s="703"/>
      <c r="GK1164" s="703"/>
      <c r="GL1164" s="703"/>
      <c r="GM1164" s="703"/>
      <c r="GN1164" s="703"/>
      <c r="GO1164" s="703"/>
      <c r="GP1164" s="703"/>
      <c r="GQ1164" s="703"/>
      <c r="GR1164" s="703"/>
      <c r="GS1164" s="703"/>
      <c r="GT1164" s="703"/>
      <c r="GU1164" s="703"/>
      <c r="GV1164" s="703"/>
      <c r="GW1164" s="703"/>
      <c r="GX1164" s="703"/>
      <c r="GY1164" s="703"/>
      <c r="GZ1164" s="703"/>
      <c r="HA1164" s="703"/>
      <c r="HB1164" s="703"/>
      <c r="HC1164" s="703"/>
      <c r="HD1164" s="703"/>
      <c r="HE1164" s="703"/>
      <c r="HF1164" s="703"/>
      <c r="HG1164" s="703"/>
      <c r="HH1164" s="703"/>
      <c r="HI1164" s="703"/>
      <c r="HJ1164" s="703"/>
      <c r="HK1164" s="703"/>
      <c r="HL1164" s="703"/>
      <c r="HM1164" s="703"/>
      <c r="HN1164" s="703"/>
      <c r="HO1164" s="703"/>
      <c r="HP1164" s="703"/>
      <c r="HQ1164" s="703"/>
      <c r="HR1164" s="703"/>
      <c r="HS1164" s="703"/>
      <c r="HT1164" s="703"/>
      <c r="HU1164" s="703"/>
      <c r="HV1164" s="703"/>
      <c r="HW1164" s="703"/>
      <c r="HX1164" s="703"/>
      <c r="HY1164" s="703"/>
      <c r="HZ1164" s="703"/>
      <c r="IA1164" s="703"/>
      <c r="IB1164" s="703"/>
      <c r="IC1164" s="703"/>
      <c r="ID1164" s="703"/>
      <c r="IE1164" s="703"/>
      <c r="IF1164" s="703"/>
      <c r="IG1164" s="703"/>
      <c r="IH1164" s="703"/>
      <c r="II1164" s="703"/>
      <c r="IJ1164" s="703"/>
      <c r="IK1164" s="703"/>
      <c r="IL1164" s="703"/>
      <c r="IM1164" s="703"/>
      <c r="IN1164" s="703"/>
      <c r="IO1164" s="703"/>
      <c r="IP1164" s="703"/>
      <c r="IQ1164" s="703"/>
      <c r="IR1164" s="703"/>
      <c r="IS1164" s="703"/>
      <c r="IT1164" s="703"/>
      <c r="IU1164" s="703"/>
      <c r="IV1164" s="703"/>
      <c r="IW1164" s="703"/>
    </row>
    <row r="1165" spans="1:257" s="724" customFormat="1" ht="73.5" customHeight="1">
      <c r="A1165" s="729">
        <v>3</v>
      </c>
      <c r="B1165" s="983" t="s">
        <v>1256</v>
      </c>
      <c r="C1165" s="729"/>
      <c r="D1165" s="729"/>
      <c r="E1165" s="883"/>
      <c r="F1165" s="882">
        <f>F1166+F1167</f>
        <v>470000000</v>
      </c>
      <c r="G1165" s="1166"/>
      <c r="H1165" s="1166"/>
      <c r="I1165" s="1166"/>
      <c r="J1165" s="882">
        <v>470000000</v>
      </c>
      <c r="K1165" s="882">
        <v>600000000</v>
      </c>
      <c r="L1165" s="1316">
        <v>600000000</v>
      </c>
      <c r="M1165" s="625"/>
      <c r="N1165" s="890"/>
      <c r="O1165" s="890"/>
      <c r="P1165" s="899"/>
      <c r="Q1165" s="899"/>
      <c r="R1165" s="945"/>
      <c r="S1165" s="900"/>
      <c r="T1165" s="822"/>
      <c r="U1165" s="577"/>
      <c r="V1165" s="701"/>
      <c r="W1165" s="701"/>
      <c r="X1165" s="702"/>
      <c r="Y1165" s="703"/>
      <c r="Z1165" s="703"/>
      <c r="AA1165" s="703"/>
      <c r="AB1165" s="703"/>
      <c r="AC1165" s="703"/>
      <c r="AD1165" s="703"/>
      <c r="AE1165" s="703"/>
      <c r="AF1165" s="703"/>
      <c r="AG1165" s="703"/>
      <c r="AH1165" s="703"/>
      <c r="AI1165" s="703"/>
      <c r="AJ1165" s="703"/>
      <c r="AK1165" s="703"/>
      <c r="AL1165" s="703"/>
      <c r="AM1165" s="703"/>
      <c r="AN1165" s="703"/>
      <c r="AO1165" s="703"/>
      <c r="AP1165" s="703"/>
      <c r="AQ1165" s="703"/>
      <c r="AR1165" s="703"/>
      <c r="AS1165" s="703"/>
      <c r="AT1165" s="703"/>
      <c r="AU1165" s="703"/>
      <c r="AV1165" s="703"/>
      <c r="AW1165" s="703"/>
      <c r="AX1165" s="703"/>
      <c r="AY1165" s="703"/>
      <c r="AZ1165" s="703"/>
      <c r="BA1165" s="703"/>
      <c r="BB1165" s="703"/>
      <c r="BC1165" s="703"/>
      <c r="BD1165" s="703"/>
      <c r="BE1165" s="703"/>
      <c r="BF1165" s="703"/>
      <c r="BG1165" s="703"/>
      <c r="BH1165" s="703"/>
      <c r="BI1165" s="703"/>
      <c r="BJ1165" s="703"/>
      <c r="BK1165" s="703"/>
      <c r="BL1165" s="703"/>
      <c r="BM1165" s="703"/>
      <c r="BN1165" s="703"/>
      <c r="BO1165" s="703"/>
      <c r="BP1165" s="703"/>
      <c r="BQ1165" s="703"/>
      <c r="BR1165" s="703"/>
      <c r="BS1165" s="703"/>
      <c r="BT1165" s="703"/>
      <c r="BU1165" s="703"/>
      <c r="BV1165" s="703"/>
      <c r="BW1165" s="703"/>
      <c r="BX1165" s="703"/>
      <c r="BY1165" s="703"/>
      <c r="BZ1165" s="703"/>
      <c r="CA1165" s="703"/>
      <c r="CB1165" s="703"/>
      <c r="CC1165" s="703"/>
      <c r="CD1165" s="703"/>
      <c r="CE1165" s="703"/>
      <c r="CF1165" s="703"/>
      <c r="CG1165" s="703"/>
      <c r="CH1165" s="703"/>
      <c r="CI1165" s="703"/>
      <c r="CJ1165" s="703"/>
      <c r="CK1165" s="703"/>
      <c r="CL1165" s="703"/>
      <c r="CM1165" s="703"/>
      <c r="CN1165" s="703"/>
      <c r="CO1165" s="703"/>
      <c r="CP1165" s="703"/>
      <c r="CQ1165" s="703"/>
      <c r="CR1165" s="703"/>
      <c r="CS1165" s="703"/>
      <c r="CT1165" s="703"/>
      <c r="CU1165" s="703"/>
      <c r="CV1165" s="703"/>
      <c r="CW1165" s="703"/>
      <c r="CX1165" s="703"/>
      <c r="CY1165" s="703"/>
      <c r="CZ1165" s="703"/>
      <c r="DA1165" s="703"/>
      <c r="DB1165" s="703"/>
      <c r="DC1165" s="703"/>
      <c r="DD1165" s="703"/>
      <c r="DE1165" s="703"/>
      <c r="DF1165" s="703"/>
      <c r="DG1165" s="703"/>
      <c r="DH1165" s="703"/>
      <c r="DI1165" s="703"/>
      <c r="DJ1165" s="703"/>
      <c r="DK1165" s="703"/>
      <c r="DL1165" s="703"/>
      <c r="DM1165" s="703"/>
      <c r="DN1165" s="703"/>
      <c r="DO1165" s="703"/>
      <c r="DP1165" s="703"/>
      <c r="DQ1165" s="703"/>
      <c r="DR1165" s="703"/>
      <c r="DS1165" s="703"/>
      <c r="DT1165" s="703"/>
      <c r="DU1165" s="703"/>
      <c r="DV1165" s="703"/>
      <c r="DW1165" s="703"/>
      <c r="DX1165" s="703"/>
      <c r="DY1165" s="703"/>
      <c r="DZ1165" s="703"/>
      <c r="EA1165" s="703"/>
      <c r="EB1165" s="703"/>
      <c r="EC1165" s="703"/>
      <c r="ED1165" s="703"/>
      <c r="EE1165" s="703"/>
      <c r="EF1165" s="703"/>
      <c r="EG1165" s="703"/>
      <c r="EH1165" s="703"/>
      <c r="EI1165" s="703"/>
      <c r="EJ1165" s="703"/>
      <c r="EK1165" s="703"/>
      <c r="EL1165" s="703"/>
      <c r="EM1165" s="703"/>
      <c r="EN1165" s="703"/>
      <c r="EO1165" s="703"/>
      <c r="EP1165" s="703"/>
      <c r="EQ1165" s="703"/>
      <c r="ER1165" s="703"/>
      <c r="ES1165" s="703"/>
      <c r="ET1165" s="703"/>
      <c r="EU1165" s="703"/>
      <c r="EV1165" s="703"/>
      <c r="EW1165" s="703"/>
      <c r="EX1165" s="703"/>
      <c r="EY1165" s="703"/>
      <c r="EZ1165" s="703"/>
      <c r="FA1165" s="703"/>
      <c r="FB1165" s="703"/>
      <c r="FC1165" s="703"/>
      <c r="FD1165" s="703"/>
      <c r="FE1165" s="703"/>
      <c r="FF1165" s="703"/>
      <c r="FG1165" s="703"/>
      <c r="FH1165" s="703"/>
      <c r="FI1165" s="703"/>
      <c r="FJ1165" s="703"/>
      <c r="FK1165" s="703"/>
      <c r="FL1165" s="703"/>
      <c r="FM1165" s="703"/>
      <c r="FN1165" s="703"/>
      <c r="FO1165" s="703"/>
      <c r="FP1165" s="703"/>
      <c r="FQ1165" s="703"/>
      <c r="FR1165" s="703"/>
      <c r="FS1165" s="703"/>
      <c r="FT1165" s="703"/>
      <c r="FU1165" s="703"/>
      <c r="FV1165" s="703"/>
      <c r="FW1165" s="703"/>
      <c r="FX1165" s="703"/>
      <c r="FY1165" s="703"/>
      <c r="FZ1165" s="703"/>
      <c r="GA1165" s="703"/>
      <c r="GB1165" s="703"/>
      <c r="GC1165" s="703"/>
      <c r="GD1165" s="703"/>
      <c r="GE1165" s="703"/>
      <c r="GF1165" s="703"/>
      <c r="GG1165" s="703"/>
      <c r="GH1165" s="703"/>
      <c r="GI1165" s="703"/>
      <c r="GJ1165" s="703"/>
      <c r="GK1165" s="703"/>
      <c r="GL1165" s="703"/>
      <c r="GM1165" s="703"/>
      <c r="GN1165" s="703"/>
      <c r="GO1165" s="703"/>
      <c r="GP1165" s="703"/>
      <c r="GQ1165" s="703"/>
      <c r="GR1165" s="703"/>
      <c r="GS1165" s="703"/>
      <c r="GT1165" s="703"/>
      <c r="GU1165" s="703"/>
      <c r="GV1165" s="703"/>
      <c r="GW1165" s="703"/>
      <c r="GX1165" s="703"/>
      <c r="GY1165" s="703"/>
      <c r="GZ1165" s="703"/>
      <c r="HA1165" s="703"/>
      <c r="HB1165" s="703"/>
      <c r="HC1165" s="703"/>
      <c r="HD1165" s="703"/>
      <c r="HE1165" s="703"/>
      <c r="HF1165" s="703"/>
      <c r="HG1165" s="703"/>
      <c r="HH1165" s="703"/>
      <c r="HI1165" s="703"/>
      <c r="HJ1165" s="703"/>
      <c r="HK1165" s="703"/>
      <c r="HL1165" s="703"/>
      <c r="HM1165" s="703"/>
      <c r="HN1165" s="703"/>
      <c r="HO1165" s="703"/>
      <c r="HP1165" s="703"/>
      <c r="HQ1165" s="703"/>
      <c r="HR1165" s="703"/>
      <c r="HS1165" s="703"/>
      <c r="HT1165" s="703"/>
      <c r="HU1165" s="703"/>
      <c r="HV1165" s="703"/>
      <c r="HW1165" s="703"/>
      <c r="HX1165" s="703"/>
      <c r="HY1165" s="703"/>
      <c r="HZ1165" s="703"/>
      <c r="IA1165" s="703"/>
      <c r="IB1165" s="703"/>
      <c r="IC1165" s="703"/>
      <c r="ID1165" s="703"/>
      <c r="IE1165" s="703"/>
      <c r="IF1165" s="703"/>
      <c r="IG1165" s="703"/>
      <c r="IH1165" s="703"/>
      <c r="II1165" s="703"/>
      <c r="IJ1165" s="703"/>
      <c r="IK1165" s="703"/>
      <c r="IL1165" s="703"/>
      <c r="IM1165" s="703"/>
      <c r="IN1165" s="703"/>
      <c r="IO1165" s="703"/>
      <c r="IP1165" s="703"/>
      <c r="IQ1165" s="703"/>
      <c r="IR1165" s="703"/>
      <c r="IS1165" s="703"/>
      <c r="IT1165" s="703"/>
      <c r="IU1165" s="703"/>
      <c r="IV1165" s="703"/>
      <c r="IW1165" s="703"/>
    </row>
    <row r="1166" spans="1:257" s="724" customFormat="1" ht="31.5" hidden="1" customHeight="1">
      <c r="A1166" s="699"/>
      <c r="B1166" s="813" t="s">
        <v>603</v>
      </c>
      <c r="C1166" s="699"/>
      <c r="D1166" s="699"/>
      <c r="E1166" s="781"/>
      <c r="F1166" s="725">
        <v>70000000</v>
      </c>
      <c r="G1166" s="817"/>
      <c r="H1166" s="817"/>
      <c r="I1166" s="817"/>
      <c r="J1166" s="725">
        <v>70000000</v>
      </c>
      <c r="K1166" s="725"/>
      <c r="L1166" s="1311"/>
      <c r="M1166" s="669"/>
      <c r="N1166" s="868"/>
      <c r="O1166" s="868"/>
      <c r="P1166" s="819"/>
      <c r="Q1166" s="819"/>
      <c r="R1166" s="945"/>
      <c r="S1166" s="900"/>
      <c r="T1166" s="822"/>
      <c r="U1166" s="577"/>
      <c r="V1166" s="701"/>
      <c r="W1166" s="701"/>
      <c r="X1166" s="702"/>
      <c r="Y1166" s="703"/>
      <c r="Z1166" s="703"/>
      <c r="AA1166" s="703"/>
      <c r="AB1166" s="703"/>
      <c r="AC1166" s="703"/>
      <c r="AD1166" s="703"/>
      <c r="AE1166" s="703"/>
      <c r="AF1166" s="703"/>
      <c r="AG1166" s="703"/>
      <c r="AH1166" s="703"/>
      <c r="AI1166" s="703"/>
      <c r="AJ1166" s="703"/>
      <c r="AK1166" s="703"/>
      <c r="AL1166" s="703"/>
      <c r="AM1166" s="703"/>
      <c r="AN1166" s="703"/>
      <c r="AO1166" s="703"/>
      <c r="AP1166" s="703"/>
      <c r="AQ1166" s="703"/>
      <c r="AR1166" s="703"/>
      <c r="AS1166" s="703"/>
      <c r="AT1166" s="703"/>
      <c r="AU1166" s="703"/>
      <c r="AV1166" s="703"/>
      <c r="AW1166" s="703"/>
      <c r="AX1166" s="703"/>
      <c r="AY1166" s="703"/>
      <c r="AZ1166" s="703"/>
      <c r="BA1166" s="703"/>
      <c r="BB1166" s="703"/>
      <c r="BC1166" s="703"/>
      <c r="BD1166" s="703"/>
      <c r="BE1166" s="703"/>
      <c r="BF1166" s="703"/>
      <c r="BG1166" s="703"/>
      <c r="BH1166" s="703"/>
      <c r="BI1166" s="703"/>
      <c r="BJ1166" s="703"/>
      <c r="BK1166" s="703"/>
      <c r="BL1166" s="703"/>
      <c r="BM1166" s="703"/>
      <c r="BN1166" s="703"/>
      <c r="BO1166" s="703"/>
      <c r="BP1166" s="703"/>
      <c r="BQ1166" s="703"/>
      <c r="BR1166" s="703"/>
      <c r="BS1166" s="703"/>
      <c r="BT1166" s="703"/>
      <c r="BU1166" s="703"/>
      <c r="BV1166" s="703"/>
      <c r="BW1166" s="703"/>
      <c r="BX1166" s="703"/>
      <c r="BY1166" s="703"/>
      <c r="BZ1166" s="703"/>
      <c r="CA1166" s="703"/>
      <c r="CB1166" s="703"/>
      <c r="CC1166" s="703"/>
      <c r="CD1166" s="703"/>
      <c r="CE1166" s="703"/>
      <c r="CF1166" s="703"/>
      <c r="CG1166" s="703"/>
      <c r="CH1166" s="703"/>
      <c r="CI1166" s="703"/>
      <c r="CJ1166" s="703"/>
      <c r="CK1166" s="703"/>
      <c r="CL1166" s="703"/>
      <c r="CM1166" s="703"/>
      <c r="CN1166" s="703"/>
      <c r="CO1166" s="703"/>
      <c r="CP1166" s="703"/>
      <c r="CQ1166" s="703"/>
      <c r="CR1166" s="703"/>
      <c r="CS1166" s="703"/>
      <c r="CT1166" s="703"/>
      <c r="CU1166" s="703"/>
      <c r="CV1166" s="703"/>
      <c r="CW1166" s="703"/>
      <c r="CX1166" s="703"/>
      <c r="CY1166" s="703"/>
      <c r="CZ1166" s="703"/>
      <c r="DA1166" s="703"/>
      <c r="DB1166" s="703"/>
      <c r="DC1166" s="703"/>
      <c r="DD1166" s="703"/>
      <c r="DE1166" s="703"/>
      <c r="DF1166" s="703"/>
      <c r="DG1166" s="703"/>
      <c r="DH1166" s="703"/>
      <c r="DI1166" s="703"/>
      <c r="DJ1166" s="703"/>
      <c r="DK1166" s="703"/>
      <c r="DL1166" s="703"/>
      <c r="DM1166" s="703"/>
      <c r="DN1166" s="703"/>
      <c r="DO1166" s="703"/>
      <c r="DP1166" s="703"/>
      <c r="DQ1166" s="703"/>
      <c r="DR1166" s="703"/>
      <c r="DS1166" s="703"/>
      <c r="DT1166" s="703"/>
      <c r="DU1166" s="703"/>
      <c r="DV1166" s="703"/>
      <c r="DW1166" s="703"/>
      <c r="DX1166" s="703"/>
      <c r="DY1166" s="703"/>
      <c r="DZ1166" s="703"/>
      <c r="EA1166" s="703"/>
      <c r="EB1166" s="703"/>
      <c r="EC1166" s="703"/>
      <c r="ED1166" s="703"/>
      <c r="EE1166" s="703"/>
      <c r="EF1166" s="703"/>
      <c r="EG1166" s="703"/>
      <c r="EH1166" s="703"/>
      <c r="EI1166" s="703"/>
      <c r="EJ1166" s="703"/>
      <c r="EK1166" s="703"/>
      <c r="EL1166" s="703"/>
      <c r="EM1166" s="703"/>
      <c r="EN1166" s="703"/>
      <c r="EO1166" s="703"/>
      <c r="EP1166" s="703"/>
      <c r="EQ1166" s="703"/>
      <c r="ER1166" s="703"/>
      <c r="ES1166" s="703"/>
      <c r="ET1166" s="703"/>
      <c r="EU1166" s="703"/>
      <c r="EV1166" s="703"/>
      <c r="EW1166" s="703"/>
      <c r="EX1166" s="703"/>
      <c r="EY1166" s="703"/>
      <c r="EZ1166" s="703"/>
      <c r="FA1166" s="703"/>
      <c r="FB1166" s="703"/>
      <c r="FC1166" s="703"/>
      <c r="FD1166" s="703"/>
      <c r="FE1166" s="703"/>
      <c r="FF1166" s="703"/>
      <c r="FG1166" s="703"/>
      <c r="FH1166" s="703"/>
      <c r="FI1166" s="703"/>
      <c r="FJ1166" s="703"/>
      <c r="FK1166" s="703"/>
      <c r="FL1166" s="703"/>
      <c r="FM1166" s="703"/>
      <c r="FN1166" s="703"/>
      <c r="FO1166" s="703"/>
      <c r="FP1166" s="703"/>
      <c r="FQ1166" s="703"/>
      <c r="FR1166" s="703"/>
      <c r="FS1166" s="703"/>
      <c r="FT1166" s="703"/>
      <c r="FU1166" s="703"/>
      <c r="FV1166" s="703"/>
      <c r="FW1166" s="703"/>
      <c r="FX1166" s="703"/>
      <c r="FY1166" s="703"/>
      <c r="FZ1166" s="703"/>
      <c r="GA1166" s="703"/>
      <c r="GB1166" s="703"/>
      <c r="GC1166" s="703"/>
      <c r="GD1166" s="703"/>
      <c r="GE1166" s="703"/>
      <c r="GF1166" s="703"/>
      <c r="GG1166" s="703"/>
      <c r="GH1166" s="703"/>
      <c r="GI1166" s="703"/>
      <c r="GJ1166" s="703"/>
      <c r="GK1166" s="703"/>
      <c r="GL1166" s="703"/>
      <c r="GM1166" s="703"/>
      <c r="GN1166" s="703"/>
      <c r="GO1166" s="703"/>
      <c r="GP1166" s="703"/>
      <c r="GQ1166" s="703"/>
      <c r="GR1166" s="703"/>
      <c r="GS1166" s="703"/>
      <c r="GT1166" s="703"/>
      <c r="GU1166" s="703"/>
      <c r="GV1166" s="703"/>
      <c r="GW1166" s="703"/>
      <c r="GX1166" s="703"/>
      <c r="GY1166" s="703"/>
      <c r="GZ1166" s="703"/>
      <c r="HA1166" s="703"/>
      <c r="HB1166" s="703"/>
      <c r="HC1166" s="703"/>
      <c r="HD1166" s="703"/>
      <c r="HE1166" s="703"/>
      <c r="HF1166" s="703"/>
      <c r="HG1166" s="703"/>
      <c r="HH1166" s="703"/>
      <c r="HI1166" s="703"/>
      <c r="HJ1166" s="703"/>
      <c r="HK1166" s="703"/>
      <c r="HL1166" s="703"/>
      <c r="HM1166" s="703"/>
      <c r="HN1166" s="703"/>
      <c r="HO1166" s="703"/>
      <c r="HP1166" s="703"/>
      <c r="HQ1166" s="703"/>
      <c r="HR1166" s="703"/>
      <c r="HS1166" s="703"/>
      <c r="HT1166" s="703"/>
      <c r="HU1166" s="703"/>
      <c r="HV1166" s="703"/>
      <c r="HW1166" s="703"/>
      <c r="HX1166" s="703"/>
      <c r="HY1166" s="703"/>
      <c r="HZ1166" s="703"/>
      <c r="IA1166" s="703"/>
      <c r="IB1166" s="703"/>
      <c r="IC1166" s="703"/>
      <c r="ID1166" s="703"/>
      <c r="IE1166" s="703"/>
      <c r="IF1166" s="703"/>
      <c r="IG1166" s="703"/>
      <c r="IH1166" s="703"/>
      <c r="II1166" s="703"/>
      <c r="IJ1166" s="703"/>
      <c r="IK1166" s="703"/>
      <c r="IL1166" s="703"/>
      <c r="IM1166" s="703"/>
      <c r="IN1166" s="703"/>
      <c r="IO1166" s="703"/>
      <c r="IP1166" s="703"/>
      <c r="IQ1166" s="703"/>
      <c r="IR1166" s="703"/>
      <c r="IS1166" s="703"/>
      <c r="IT1166" s="703"/>
      <c r="IU1166" s="703"/>
      <c r="IV1166" s="703"/>
      <c r="IW1166" s="703"/>
    </row>
    <row r="1167" spans="1:257" s="724" customFormat="1" ht="31.5" hidden="1" customHeight="1">
      <c r="A1167" s="699"/>
      <c r="B1167" s="813" t="s">
        <v>604</v>
      </c>
      <c r="C1167" s="699"/>
      <c r="D1167" s="699"/>
      <c r="E1167" s="781"/>
      <c r="F1167" s="725">
        <v>400000000</v>
      </c>
      <c r="G1167" s="817"/>
      <c r="H1167" s="817"/>
      <c r="I1167" s="817"/>
      <c r="J1167" s="725">
        <v>400000000</v>
      </c>
      <c r="K1167" s="725"/>
      <c r="L1167" s="1311"/>
      <c r="M1167" s="669"/>
      <c r="N1167" s="868"/>
      <c r="O1167" s="868"/>
      <c r="P1167" s="819"/>
      <c r="Q1167" s="819"/>
      <c r="R1167" s="945"/>
      <c r="S1167" s="900"/>
      <c r="T1167" s="822"/>
      <c r="U1167" s="577"/>
      <c r="V1167" s="701"/>
      <c r="W1167" s="701"/>
      <c r="X1167" s="702"/>
      <c r="Y1167" s="703"/>
      <c r="Z1167" s="703"/>
      <c r="AA1167" s="703"/>
      <c r="AB1167" s="703"/>
      <c r="AC1167" s="703"/>
      <c r="AD1167" s="703"/>
      <c r="AE1167" s="703"/>
      <c r="AF1167" s="703"/>
      <c r="AG1167" s="703"/>
      <c r="AH1167" s="703"/>
      <c r="AI1167" s="703"/>
      <c r="AJ1167" s="703"/>
      <c r="AK1167" s="703"/>
      <c r="AL1167" s="703"/>
      <c r="AM1167" s="703"/>
      <c r="AN1167" s="703"/>
      <c r="AO1167" s="703"/>
      <c r="AP1167" s="703"/>
      <c r="AQ1167" s="703"/>
      <c r="AR1167" s="703"/>
      <c r="AS1167" s="703"/>
      <c r="AT1167" s="703"/>
      <c r="AU1167" s="703"/>
      <c r="AV1167" s="703"/>
      <c r="AW1167" s="703"/>
      <c r="AX1167" s="703"/>
      <c r="AY1167" s="703"/>
      <c r="AZ1167" s="703"/>
      <c r="BA1167" s="703"/>
      <c r="BB1167" s="703"/>
      <c r="BC1167" s="703"/>
      <c r="BD1167" s="703"/>
      <c r="BE1167" s="703"/>
      <c r="BF1167" s="703"/>
      <c r="BG1167" s="703"/>
      <c r="BH1167" s="703"/>
      <c r="BI1167" s="703"/>
      <c r="BJ1167" s="703"/>
      <c r="BK1167" s="703"/>
      <c r="BL1167" s="703"/>
      <c r="BM1167" s="703"/>
      <c r="BN1167" s="703"/>
      <c r="BO1167" s="703"/>
      <c r="BP1167" s="703"/>
      <c r="BQ1167" s="703"/>
      <c r="BR1167" s="703"/>
      <c r="BS1167" s="703"/>
      <c r="BT1167" s="703"/>
      <c r="BU1167" s="703"/>
      <c r="BV1167" s="703"/>
      <c r="BW1167" s="703"/>
      <c r="BX1167" s="703"/>
      <c r="BY1167" s="703"/>
      <c r="BZ1167" s="703"/>
      <c r="CA1167" s="703"/>
      <c r="CB1167" s="703"/>
      <c r="CC1167" s="703"/>
      <c r="CD1167" s="703"/>
      <c r="CE1167" s="703"/>
      <c r="CF1167" s="703"/>
      <c r="CG1167" s="703"/>
      <c r="CH1167" s="703"/>
      <c r="CI1167" s="703"/>
      <c r="CJ1167" s="703"/>
      <c r="CK1167" s="703"/>
      <c r="CL1167" s="703"/>
      <c r="CM1167" s="703"/>
      <c r="CN1167" s="703"/>
      <c r="CO1167" s="703"/>
      <c r="CP1167" s="703"/>
      <c r="CQ1167" s="703"/>
      <c r="CR1167" s="703"/>
      <c r="CS1167" s="703"/>
      <c r="CT1167" s="703"/>
      <c r="CU1167" s="703"/>
      <c r="CV1167" s="703"/>
      <c r="CW1167" s="703"/>
      <c r="CX1167" s="703"/>
      <c r="CY1167" s="703"/>
      <c r="CZ1167" s="703"/>
      <c r="DA1167" s="703"/>
      <c r="DB1167" s="703"/>
      <c r="DC1167" s="703"/>
      <c r="DD1167" s="703"/>
      <c r="DE1167" s="703"/>
      <c r="DF1167" s="703"/>
      <c r="DG1167" s="703"/>
      <c r="DH1167" s="703"/>
      <c r="DI1167" s="703"/>
      <c r="DJ1167" s="703"/>
      <c r="DK1167" s="703"/>
      <c r="DL1167" s="703"/>
      <c r="DM1167" s="703"/>
      <c r="DN1167" s="703"/>
      <c r="DO1167" s="703"/>
      <c r="DP1167" s="703"/>
      <c r="DQ1167" s="703"/>
      <c r="DR1167" s="703"/>
      <c r="DS1167" s="703"/>
      <c r="DT1167" s="703"/>
      <c r="DU1167" s="703"/>
      <c r="DV1167" s="703"/>
      <c r="DW1167" s="703"/>
      <c r="DX1167" s="703"/>
      <c r="DY1167" s="703"/>
      <c r="DZ1167" s="703"/>
      <c r="EA1167" s="703"/>
      <c r="EB1167" s="703"/>
      <c r="EC1167" s="703"/>
      <c r="ED1167" s="703"/>
      <c r="EE1167" s="703"/>
      <c r="EF1167" s="703"/>
      <c r="EG1167" s="703"/>
      <c r="EH1167" s="703"/>
      <c r="EI1167" s="703"/>
      <c r="EJ1167" s="703"/>
      <c r="EK1167" s="703"/>
      <c r="EL1167" s="703"/>
      <c r="EM1167" s="703"/>
      <c r="EN1167" s="703"/>
      <c r="EO1167" s="703"/>
      <c r="EP1167" s="703"/>
      <c r="EQ1167" s="703"/>
      <c r="ER1167" s="703"/>
      <c r="ES1167" s="703"/>
      <c r="ET1167" s="703"/>
      <c r="EU1167" s="703"/>
      <c r="EV1167" s="703"/>
      <c r="EW1167" s="703"/>
      <c r="EX1167" s="703"/>
      <c r="EY1167" s="703"/>
      <c r="EZ1167" s="703"/>
      <c r="FA1167" s="703"/>
      <c r="FB1167" s="703"/>
      <c r="FC1167" s="703"/>
      <c r="FD1167" s="703"/>
      <c r="FE1167" s="703"/>
      <c r="FF1167" s="703"/>
      <c r="FG1167" s="703"/>
      <c r="FH1167" s="703"/>
      <c r="FI1167" s="703"/>
      <c r="FJ1167" s="703"/>
      <c r="FK1167" s="703"/>
      <c r="FL1167" s="703"/>
      <c r="FM1167" s="703"/>
      <c r="FN1167" s="703"/>
      <c r="FO1167" s="703"/>
      <c r="FP1167" s="703"/>
      <c r="FQ1167" s="703"/>
      <c r="FR1167" s="703"/>
      <c r="FS1167" s="703"/>
      <c r="FT1167" s="703"/>
      <c r="FU1167" s="703"/>
      <c r="FV1167" s="703"/>
      <c r="FW1167" s="703"/>
      <c r="FX1167" s="703"/>
      <c r="FY1167" s="703"/>
      <c r="FZ1167" s="703"/>
      <c r="GA1167" s="703"/>
      <c r="GB1167" s="703"/>
      <c r="GC1167" s="703"/>
      <c r="GD1167" s="703"/>
      <c r="GE1167" s="703"/>
      <c r="GF1167" s="703"/>
      <c r="GG1167" s="703"/>
      <c r="GH1167" s="703"/>
      <c r="GI1167" s="703"/>
      <c r="GJ1167" s="703"/>
      <c r="GK1167" s="703"/>
      <c r="GL1167" s="703"/>
      <c r="GM1167" s="703"/>
      <c r="GN1167" s="703"/>
      <c r="GO1167" s="703"/>
      <c r="GP1167" s="703"/>
      <c r="GQ1167" s="703"/>
      <c r="GR1167" s="703"/>
      <c r="GS1167" s="703"/>
      <c r="GT1167" s="703"/>
      <c r="GU1167" s="703"/>
      <c r="GV1167" s="703"/>
      <c r="GW1167" s="703"/>
      <c r="GX1167" s="703"/>
      <c r="GY1167" s="703"/>
      <c r="GZ1167" s="703"/>
      <c r="HA1167" s="703"/>
      <c r="HB1167" s="703"/>
      <c r="HC1167" s="703"/>
      <c r="HD1167" s="703"/>
      <c r="HE1167" s="703"/>
      <c r="HF1167" s="703"/>
      <c r="HG1167" s="703"/>
      <c r="HH1167" s="703"/>
      <c r="HI1167" s="703"/>
      <c r="HJ1167" s="703"/>
      <c r="HK1167" s="703"/>
      <c r="HL1167" s="703"/>
      <c r="HM1167" s="703"/>
      <c r="HN1167" s="703"/>
      <c r="HO1167" s="703"/>
      <c r="HP1167" s="703"/>
      <c r="HQ1167" s="703"/>
      <c r="HR1167" s="703"/>
      <c r="HS1167" s="703"/>
      <c r="HT1167" s="703"/>
      <c r="HU1167" s="703"/>
      <c r="HV1167" s="703"/>
      <c r="HW1167" s="703"/>
      <c r="HX1167" s="703"/>
      <c r="HY1167" s="703"/>
      <c r="HZ1167" s="703"/>
      <c r="IA1167" s="703"/>
      <c r="IB1167" s="703"/>
      <c r="IC1167" s="703"/>
      <c r="ID1167" s="703"/>
      <c r="IE1167" s="703"/>
      <c r="IF1167" s="703"/>
      <c r="IG1167" s="703"/>
      <c r="IH1167" s="703"/>
      <c r="II1167" s="703"/>
      <c r="IJ1167" s="703"/>
      <c r="IK1167" s="703"/>
      <c r="IL1167" s="703"/>
      <c r="IM1167" s="703"/>
      <c r="IN1167" s="703"/>
      <c r="IO1167" s="703"/>
      <c r="IP1167" s="703"/>
      <c r="IQ1167" s="703"/>
      <c r="IR1167" s="703"/>
      <c r="IS1167" s="703"/>
      <c r="IT1167" s="703"/>
      <c r="IU1167" s="703"/>
      <c r="IV1167" s="703"/>
      <c r="IW1167" s="703"/>
    </row>
    <row r="1168" spans="1:257" s="724" customFormat="1" ht="15.75" hidden="1" customHeight="1">
      <c r="A1168" s="699"/>
      <c r="B1168" s="813" t="s">
        <v>605</v>
      </c>
      <c r="C1168" s="699"/>
      <c r="D1168" s="699"/>
      <c r="E1168" s="781"/>
      <c r="F1168" s="725"/>
      <c r="G1168" s="817"/>
      <c r="H1168" s="817"/>
      <c r="I1168" s="817"/>
      <c r="J1168" s="725"/>
      <c r="K1168" s="725"/>
      <c r="L1168" s="1311"/>
      <c r="M1168" s="669"/>
      <c r="N1168" s="868"/>
      <c r="O1168" s="868"/>
      <c r="P1168" s="819"/>
      <c r="Q1168" s="819"/>
      <c r="R1168" s="945"/>
      <c r="S1168" s="900"/>
      <c r="T1168" s="822"/>
      <c r="U1168" s="577"/>
      <c r="V1168" s="701"/>
      <c r="W1168" s="701"/>
      <c r="X1168" s="702"/>
      <c r="Y1168" s="703"/>
      <c r="Z1168" s="703"/>
      <c r="AA1168" s="703"/>
      <c r="AB1168" s="703"/>
      <c r="AC1168" s="703"/>
      <c r="AD1168" s="703"/>
      <c r="AE1168" s="703"/>
      <c r="AF1168" s="703"/>
      <c r="AG1168" s="703"/>
      <c r="AH1168" s="703"/>
      <c r="AI1168" s="703"/>
      <c r="AJ1168" s="703"/>
      <c r="AK1168" s="703"/>
      <c r="AL1168" s="703"/>
      <c r="AM1168" s="703"/>
      <c r="AN1168" s="703"/>
      <c r="AO1168" s="703"/>
      <c r="AP1168" s="703"/>
      <c r="AQ1168" s="703"/>
      <c r="AR1168" s="703"/>
      <c r="AS1168" s="703"/>
      <c r="AT1168" s="703"/>
      <c r="AU1168" s="703"/>
      <c r="AV1168" s="703"/>
      <c r="AW1168" s="703"/>
      <c r="AX1168" s="703"/>
      <c r="AY1168" s="703"/>
      <c r="AZ1168" s="703"/>
      <c r="BA1168" s="703"/>
      <c r="BB1168" s="703"/>
      <c r="BC1168" s="703"/>
      <c r="BD1168" s="703"/>
      <c r="BE1168" s="703"/>
      <c r="BF1168" s="703"/>
      <c r="BG1168" s="703"/>
      <c r="BH1168" s="703"/>
      <c r="BI1168" s="703"/>
      <c r="BJ1168" s="703"/>
      <c r="BK1168" s="703"/>
      <c r="BL1168" s="703"/>
      <c r="BM1168" s="703"/>
      <c r="BN1168" s="703"/>
      <c r="BO1168" s="703"/>
      <c r="BP1168" s="703"/>
      <c r="BQ1168" s="703"/>
      <c r="BR1168" s="703"/>
      <c r="BS1168" s="703"/>
      <c r="BT1168" s="703"/>
      <c r="BU1168" s="703"/>
      <c r="BV1168" s="703"/>
      <c r="BW1168" s="703"/>
      <c r="BX1168" s="703"/>
      <c r="BY1168" s="703"/>
      <c r="BZ1168" s="703"/>
      <c r="CA1168" s="703"/>
      <c r="CB1168" s="703"/>
      <c r="CC1168" s="703"/>
      <c r="CD1168" s="703"/>
      <c r="CE1168" s="703"/>
      <c r="CF1168" s="703"/>
      <c r="CG1168" s="703"/>
      <c r="CH1168" s="703"/>
      <c r="CI1168" s="703"/>
      <c r="CJ1168" s="703"/>
      <c r="CK1168" s="703"/>
      <c r="CL1168" s="703"/>
      <c r="CM1168" s="703"/>
      <c r="CN1168" s="703"/>
      <c r="CO1168" s="703"/>
      <c r="CP1168" s="703"/>
      <c r="CQ1168" s="703"/>
      <c r="CR1168" s="703"/>
      <c r="CS1168" s="703"/>
      <c r="CT1168" s="703"/>
      <c r="CU1168" s="703"/>
      <c r="CV1168" s="703"/>
      <c r="CW1168" s="703"/>
      <c r="CX1168" s="703"/>
      <c r="CY1168" s="703"/>
      <c r="CZ1168" s="703"/>
      <c r="DA1168" s="703"/>
      <c r="DB1168" s="703"/>
      <c r="DC1168" s="703"/>
      <c r="DD1168" s="703"/>
      <c r="DE1168" s="703"/>
      <c r="DF1168" s="703"/>
      <c r="DG1168" s="703"/>
      <c r="DH1168" s="703"/>
      <c r="DI1168" s="703"/>
      <c r="DJ1168" s="703"/>
      <c r="DK1168" s="703"/>
      <c r="DL1168" s="703"/>
      <c r="DM1168" s="703"/>
      <c r="DN1168" s="703"/>
      <c r="DO1168" s="703"/>
      <c r="DP1168" s="703"/>
      <c r="DQ1168" s="703"/>
      <c r="DR1168" s="703"/>
      <c r="DS1168" s="703"/>
      <c r="DT1168" s="703"/>
      <c r="DU1168" s="703"/>
      <c r="DV1168" s="703"/>
      <c r="DW1168" s="703"/>
      <c r="DX1168" s="703"/>
      <c r="DY1168" s="703"/>
      <c r="DZ1168" s="703"/>
      <c r="EA1168" s="703"/>
      <c r="EB1168" s="703"/>
      <c r="EC1168" s="703"/>
      <c r="ED1168" s="703"/>
      <c r="EE1168" s="703"/>
      <c r="EF1168" s="703"/>
      <c r="EG1168" s="703"/>
      <c r="EH1168" s="703"/>
      <c r="EI1168" s="703"/>
      <c r="EJ1168" s="703"/>
      <c r="EK1168" s="703"/>
      <c r="EL1168" s="703"/>
      <c r="EM1168" s="703"/>
      <c r="EN1168" s="703"/>
      <c r="EO1168" s="703"/>
      <c r="EP1168" s="703"/>
      <c r="EQ1168" s="703"/>
      <c r="ER1168" s="703"/>
      <c r="ES1168" s="703"/>
      <c r="ET1168" s="703"/>
      <c r="EU1168" s="703"/>
      <c r="EV1168" s="703"/>
      <c r="EW1168" s="703"/>
      <c r="EX1168" s="703"/>
      <c r="EY1168" s="703"/>
      <c r="EZ1168" s="703"/>
      <c r="FA1168" s="703"/>
      <c r="FB1168" s="703"/>
      <c r="FC1168" s="703"/>
      <c r="FD1168" s="703"/>
      <c r="FE1168" s="703"/>
      <c r="FF1168" s="703"/>
      <c r="FG1168" s="703"/>
      <c r="FH1168" s="703"/>
      <c r="FI1168" s="703"/>
      <c r="FJ1168" s="703"/>
      <c r="FK1168" s="703"/>
      <c r="FL1168" s="703"/>
      <c r="FM1168" s="703"/>
      <c r="FN1168" s="703"/>
      <c r="FO1168" s="703"/>
      <c r="FP1168" s="703"/>
      <c r="FQ1168" s="703"/>
      <c r="FR1168" s="703"/>
      <c r="FS1168" s="703"/>
      <c r="FT1168" s="703"/>
      <c r="FU1168" s="703"/>
      <c r="FV1168" s="703"/>
      <c r="FW1168" s="703"/>
      <c r="FX1168" s="703"/>
      <c r="FY1168" s="703"/>
      <c r="FZ1168" s="703"/>
      <c r="GA1168" s="703"/>
      <c r="GB1168" s="703"/>
      <c r="GC1168" s="703"/>
      <c r="GD1168" s="703"/>
      <c r="GE1168" s="703"/>
      <c r="GF1168" s="703"/>
      <c r="GG1168" s="703"/>
      <c r="GH1168" s="703"/>
      <c r="GI1168" s="703"/>
      <c r="GJ1168" s="703"/>
      <c r="GK1168" s="703"/>
      <c r="GL1168" s="703"/>
      <c r="GM1168" s="703"/>
      <c r="GN1168" s="703"/>
      <c r="GO1168" s="703"/>
      <c r="GP1168" s="703"/>
      <c r="GQ1168" s="703"/>
      <c r="GR1168" s="703"/>
      <c r="GS1168" s="703"/>
      <c r="GT1168" s="703"/>
      <c r="GU1168" s="703"/>
      <c r="GV1168" s="703"/>
      <c r="GW1168" s="703"/>
      <c r="GX1168" s="703"/>
      <c r="GY1168" s="703"/>
      <c r="GZ1168" s="703"/>
      <c r="HA1168" s="703"/>
      <c r="HB1168" s="703"/>
      <c r="HC1168" s="703"/>
      <c r="HD1168" s="703"/>
      <c r="HE1168" s="703"/>
      <c r="HF1168" s="703"/>
      <c r="HG1168" s="703"/>
      <c r="HH1168" s="703"/>
      <c r="HI1168" s="703"/>
      <c r="HJ1168" s="703"/>
      <c r="HK1168" s="703"/>
      <c r="HL1168" s="703"/>
      <c r="HM1168" s="703"/>
      <c r="HN1168" s="703"/>
      <c r="HO1168" s="703"/>
      <c r="HP1168" s="703"/>
      <c r="HQ1168" s="703"/>
      <c r="HR1168" s="703"/>
      <c r="HS1168" s="703"/>
      <c r="HT1168" s="703"/>
      <c r="HU1168" s="703"/>
      <c r="HV1168" s="703"/>
      <c r="HW1168" s="703"/>
      <c r="HX1168" s="703"/>
      <c r="HY1168" s="703"/>
      <c r="HZ1168" s="703"/>
      <c r="IA1168" s="703"/>
      <c r="IB1168" s="703"/>
      <c r="IC1168" s="703"/>
      <c r="ID1168" s="703"/>
      <c r="IE1168" s="703"/>
      <c r="IF1168" s="703"/>
      <c r="IG1168" s="703"/>
      <c r="IH1168" s="703"/>
      <c r="II1168" s="703"/>
      <c r="IJ1168" s="703"/>
      <c r="IK1168" s="703"/>
      <c r="IL1168" s="703"/>
      <c r="IM1168" s="703"/>
      <c r="IN1168" s="703"/>
      <c r="IO1168" s="703"/>
      <c r="IP1168" s="703"/>
      <c r="IQ1168" s="703"/>
      <c r="IR1168" s="703"/>
      <c r="IS1168" s="703"/>
      <c r="IT1168" s="703"/>
      <c r="IU1168" s="703"/>
      <c r="IV1168" s="703"/>
      <c r="IW1168" s="703"/>
    </row>
    <row r="1169" spans="1:257" s="724" customFormat="1">
      <c r="A1169" s="809" t="s">
        <v>91</v>
      </c>
      <c r="B1169" s="808" t="s">
        <v>262</v>
      </c>
      <c r="C1169" s="699"/>
      <c r="D1169" s="699"/>
      <c r="E1169" s="781"/>
      <c r="F1169" s="700">
        <f t="shared" ref="F1169:L1169" si="100">F1170</f>
        <v>47000000</v>
      </c>
      <c r="G1169" s="700">
        <f t="shared" si="100"/>
        <v>0</v>
      </c>
      <c r="H1169" s="700">
        <f t="shared" si="100"/>
        <v>0</v>
      </c>
      <c r="I1169" s="700">
        <f t="shared" si="100"/>
        <v>0</v>
      </c>
      <c r="J1169" s="700">
        <f t="shared" si="100"/>
        <v>47000000</v>
      </c>
      <c r="K1169" s="700">
        <f t="shared" si="100"/>
        <v>60000000</v>
      </c>
      <c r="L1169" s="1315">
        <f t="shared" si="100"/>
        <v>60000000</v>
      </c>
      <c r="M1169" s="651"/>
      <c r="N1169" s="820"/>
      <c r="O1169" s="820"/>
      <c r="P1169" s="820"/>
      <c r="Q1169" s="820"/>
      <c r="R1169" s="945"/>
      <c r="S1169" s="900"/>
      <c r="T1169" s="822"/>
      <c r="U1169" s="577"/>
      <c r="V1169" s="701"/>
      <c r="W1169" s="701"/>
      <c r="X1169" s="702"/>
      <c r="Y1169" s="703"/>
      <c r="Z1169" s="703"/>
      <c r="AA1169" s="703"/>
      <c r="AB1169" s="703"/>
      <c r="AC1169" s="703"/>
      <c r="AD1169" s="703"/>
      <c r="AE1169" s="703"/>
      <c r="AF1169" s="703"/>
      <c r="AG1169" s="703"/>
      <c r="AH1169" s="703"/>
      <c r="AI1169" s="703"/>
      <c r="AJ1169" s="703"/>
      <c r="AK1169" s="703"/>
      <c r="AL1169" s="703"/>
      <c r="AM1169" s="703"/>
      <c r="AN1169" s="703"/>
      <c r="AO1169" s="703"/>
      <c r="AP1169" s="703"/>
      <c r="AQ1169" s="703"/>
      <c r="AR1169" s="703"/>
      <c r="AS1169" s="703"/>
      <c r="AT1169" s="703"/>
      <c r="AU1169" s="703"/>
      <c r="AV1169" s="703"/>
      <c r="AW1169" s="703"/>
      <c r="AX1169" s="703"/>
      <c r="AY1169" s="703"/>
      <c r="AZ1169" s="703"/>
      <c r="BA1169" s="703"/>
      <c r="BB1169" s="703"/>
      <c r="BC1169" s="703"/>
      <c r="BD1169" s="703"/>
      <c r="BE1169" s="703"/>
      <c r="BF1169" s="703"/>
      <c r="BG1169" s="703"/>
      <c r="BH1169" s="703"/>
      <c r="BI1169" s="703"/>
      <c r="BJ1169" s="703"/>
      <c r="BK1169" s="703"/>
      <c r="BL1169" s="703"/>
      <c r="BM1169" s="703"/>
      <c r="BN1169" s="703"/>
      <c r="BO1169" s="703"/>
      <c r="BP1169" s="703"/>
      <c r="BQ1169" s="703"/>
      <c r="BR1169" s="703"/>
      <c r="BS1169" s="703"/>
      <c r="BT1169" s="703"/>
      <c r="BU1169" s="703"/>
      <c r="BV1169" s="703"/>
      <c r="BW1169" s="703"/>
      <c r="BX1169" s="703"/>
      <c r="BY1169" s="703"/>
      <c r="BZ1169" s="703"/>
      <c r="CA1169" s="703"/>
      <c r="CB1169" s="703"/>
      <c r="CC1169" s="703"/>
      <c r="CD1169" s="703"/>
      <c r="CE1169" s="703"/>
      <c r="CF1169" s="703"/>
      <c r="CG1169" s="703"/>
      <c r="CH1169" s="703"/>
      <c r="CI1169" s="703"/>
      <c r="CJ1169" s="703"/>
      <c r="CK1169" s="703"/>
      <c r="CL1169" s="703"/>
      <c r="CM1169" s="703"/>
      <c r="CN1169" s="703"/>
      <c r="CO1169" s="703"/>
      <c r="CP1169" s="703"/>
      <c r="CQ1169" s="703"/>
      <c r="CR1169" s="703"/>
      <c r="CS1169" s="703"/>
      <c r="CT1169" s="703"/>
      <c r="CU1169" s="703"/>
      <c r="CV1169" s="703"/>
      <c r="CW1169" s="703"/>
      <c r="CX1169" s="703"/>
      <c r="CY1169" s="703"/>
      <c r="CZ1169" s="703"/>
      <c r="DA1169" s="703"/>
      <c r="DB1169" s="703"/>
      <c r="DC1169" s="703"/>
      <c r="DD1169" s="703"/>
      <c r="DE1169" s="703"/>
      <c r="DF1169" s="703"/>
      <c r="DG1169" s="703"/>
      <c r="DH1169" s="703"/>
      <c r="DI1169" s="703"/>
      <c r="DJ1169" s="703"/>
      <c r="DK1169" s="703"/>
      <c r="DL1169" s="703"/>
      <c r="DM1169" s="703"/>
      <c r="DN1169" s="703"/>
      <c r="DO1169" s="703"/>
      <c r="DP1169" s="703"/>
      <c r="DQ1169" s="703"/>
      <c r="DR1169" s="703"/>
      <c r="DS1169" s="703"/>
      <c r="DT1169" s="703"/>
      <c r="DU1169" s="703"/>
      <c r="DV1169" s="703"/>
      <c r="DW1169" s="703"/>
      <c r="DX1169" s="703"/>
      <c r="DY1169" s="703"/>
      <c r="DZ1169" s="703"/>
      <c r="EA1169" s="703"/>
      <c r="EB1169" s="703"/>
      <c r="EC1169" s="703"/>
      <c r="ED1169" s="703"/>
      <c r="EE1169" s="703"/>
      <c r="EF1169" s="703"/>
      <c r="EG1169" s="703"/>
      <c r="EH1169" s="703"/>
      <c r="EI1169" s="703"/>
      <c r="EJ1169" s="703"/>
      <c r="EK1169" s="703"/>
      <c r="EL1169" s="703"/>
      <c r="EM1169" s="703"/>
      <c r="EN1169" s="703"/>
      <c r="EO1169" s="703"/>
      <c r="EP1169" s="703"/>
      <c r="EQ1169" s="703"/>
      <c r="ER1169" s="703"/>
      <c r="ES1169" s="703"/>
      <c r="ET1169" s="703"/>
      <c r="EU1169" s="703"/>
      <c r="EV1169" s="703"/>
      <c r="EW1169" s="703"/>
      <c r="EX1169" s="703"/>
      <c r="EY1169" s="703"/>
      <c r="EZ1169" s="703"/>
      <c r="FA1169" s="703"/>
      <c r="FB1169" s="703"/>
      <c r="FC1169" s="703"/>
      <c r="FD1169" s="703"/>
      <c r="FE1169" s="703"/>
      <c r="FF1169" s="703"/>
      <c r="FG1169" s="703"/>
      <c r="FH1169" s="703"/>
      <c r="FI1169" s="703"/>
      <c r="FJ1169" s="703"/>
      <c r="FK1169" s="703"/>
      <c r="FL1169" s="703"/>
      <c r="FM1169" s="703"/>
      <c r="FN1169" s="703"/>
      <c r="FO1169" s="703"/>
      <c r="FP1169" s="703"/>
      <c r="FQ1169" s="703"/>
      <c r="FR1169" s="703"/>
      <c r="FS1169" s="703"/>
      <c r="FT1169" s="703"/>
      <c r="FU1169" s="703"/>
      <c r="FV1169" s="703"/>
      <c r="FW1169" s="703"/>
      <c r="FX1169" s="703"/>
      <c r="FY1169" s="703"/>
      <c r="FZ1169" s="703"/>
      <c r="GA1169" s="703"/>
      <c r="GB1169" s="703"/>
      <c r="GC1169" s="703"/>
      <c r="GD1169" s="703"/>
      <c r="GE1169" s="703"/>
      <c r="GF1169" s="703"/>
      <c r="GG1169" s="703"/>
      <c r="GH1169" s="703"/>
      <c r="GI1169" s="703"/>
      <c r="GJ1169" s="703"/>
      <c r="GK1169" s="703"/>
      <c r="GL1169" s="703"/>
      <c r="GM1169" s="703"/>
      <c r="GN1169" s="703"/>
      <c r="GO1169" s="703"/>
      <c r="GP1169" s="703"/>
      <c r="GQ1169" s="703"/>
      <c r="GR1169" s="703"/>
      <c r="GS1169" s="703"/>
      <c r="GT1169" s="703"/>
      <c r="GU1169" s="703"/>
      <c r="GV1169" s="703"/>
      <c r="GW1169" s="703"/>
      <c r="GX1169" s="703"/>
      <c r="GY1169" s="703"/>
      <c r="GZ1169" s="703"/>
      <c r="HA1169" s="703"/>
      <c r="HB1169" s="703"/>
      <c r="HC1169" s="703"/>
      <c r="HD1169" s="703"/>
      <c r="HE1169" s="703"/>
      <c r="HF1169" s="703"/>
      <c r="HG1169" s="703"/>
      <c r="HH1169" s="703"/>
      <c r="HI1169" s="703"/>
      <c r="HJ1169" s="703"/>
      <c r="HK1169" s="703"/>
      <c r="HL1169" s="703"/>
      <c r="HM1169" s="703"/>
      <c r="HN1169" s="703"/>
      <c r="HO1169" s="703"/>
      <c r="HP1169" s="703"/>
      <c r="HQ1169" s="703"/>
      <c r="HR1169" s="703"/>
      <c r="HS1169" s="703"/>
      <c r="HT1169" s="703"/>
      <c r="HU1169" s="703"/>
      <c r="HV1169" s="703"/>
      <c r="HW1169" s="703"/>
      <c r="HX1169" s="703"/>
      <c r="HY1169" s="703"/>
      <c r="HZ1169" s="703"/>
      <c r="IA1169" s="703"/>
      <c r="IB1169" s="703"/>
      <c r="IC1169" s="703"/>
      <c r="ID1169" s="703"/>
      <c r="IE1169" s="703"/>
      <c r="IF1169" s="703"/>
      <c r="IG1169" s="703"/>
      <c r="IH1169" s="703"/>
      <c r="II1169" s="703"/>
      <c r="IJ1169" s="703"/>
      <c r="IK1169" s="703"/>
      <c r="IL1169" s="703"/>
      <c r="IM1169" s="703"/>
      <c r="IN1169" s="703"/>
      <c r="IO1169" s="703"/>
      <c r="IP1169" s="703"/>
      <c r="IQ1169" s="703"/>
      <c r="IR1169" s="703"/>
      <c r="IS1169" s="703"/>
      <c r="IT1169" s="703"/>
      <c r="IU1169" s="703"/>
      <c r="IV1169" s="703"/>
      <c r="IW1169" s="703"/>
    </row>
    <row r="1170" spans="1:257" s="724" customFormat="1" ht="15.75" hidden="1" customHeight="1">
      <c r="A1170" s="699"/>
      <c r="B1170" s="813" t="s">
        <v>263</v>
      </c>
      <c r="C1170" s="713"/>
      <c r="D1170" s="713"/>
      <c r="E1170" s="926"/>
      <c r="F1170" s="725">
        <f t="shared" ref="F1170:L1170" si="101">F1165*10%</f>
        <v>47000000</v>
      </c>
      <c r="G1170" s="725">
        <f t="shared" si="101"/>
        <v>0</v>
      </c>
      <c r="H1170" s="725">
        <f t="shared" si="101"/>
        <v>0</v>
      </c>
      <c r="I1170" s="725">
        <f t="shared" si="101"/>
        <v>0</v>
      </c>
      <c r="J1170" s="725">
        <f t="shared" si="101"/>
        <v>47000000</v>
      </c>
      <c r="K1170" s="725">
        <f>K1165*10%</f>
        <v>60000000</v>
      </c>
      <c r="L1170" s="1311">
        <f t="shared" si="101"/>
        <v>60000000</v>
      </c>
      <c r="M1170" s="669"/>
      <c r="N1170" s="868"/>
      <c r="O1170" s="868"/>
      <c r="P1170" s="819"/>
      <c r="Q1170" s="819"/>
      <c r="R1170" s="945"/>
      <c r="S1170" s="900"/>
      <c r="T1170" s="822"/>
      <c r="U1170" s="577"/>
      <c r="V1170" s="701"/>
      <c r="W1170" s="701"/>
      <c r="X1170" s="702"/>
      <c r="Y1170" s="703"/>
      <c r="Z1170" s="703"/>
      <c r="AA1170" s="703"/>
      <c r="AB1170" s="703"/>
      <c r="AC1170" s="703"/>
      <c r="AD1170" s="703"/>
      <c r="AE1170" s="703"/>
      <c r="AF1170" s="703"/>
      <c r="AG1170" s="703"/>
      <c r="AH1170" s="703"/>
      <c r="AI1170" s="703"/>
      <c r="AJ1170" s="703"/>
      <c r="AK1170" s="703"/>
      <c r="AL1170" s="703"/>
      <c r="AM1170" s="703"/>
      <c r="AN1170" s="703"/>
      <c r="AO1170" s="703"/>
      <c r="AP1170" s="703"/>
      <c r="AQ1170" s="703"/>
      <c r="AR1170" s="703"/>
      <c r="AS1170" s="703"/>
      <c r="AT1170" s="703"/>
      <c r="AU1170" s="703"/>
      <c r="AV1170" s="703"/>
      <c r="AW1170" s="703"/>
      <c r="AX1170" s="703"/>
      <c r="AY1170" s="703"/>
      <c r="AZ1170" s="703"/>
      <c r="BA1170" s="703"/>
      <c r="BB1170" s="703"/>
      <c r="BC1170" s="703"/>
      <c r="BD1170" s="703"/>
      <c r="BE1170" s="703"/>
      <c r="BF1170" s="703"/>
      <c r="BG1170" s="703"/>
      <c r="BH1170" s="703"/>
      <c r="BI1170" s="703"/>
      <c r="BJ1170" s="703"/>
      <c r="BK1170" s="703"/>
      <c r="BL1170" s="703"/>
      <c r="BM1170" s="703"/>
      <c r="BN1170" s="703"/>
      <c r="BO1170" s="703"/>
      <c r="BP1170" s="703"/>
      <c r="BQ1170" s="703"/>
      <c r="BR1170" s="703"/>
      <c r="BS1170" s="703"/>
      <c r="BT1170" s="703"/>
      <c r="BU1170" s="703"/>
      <c r="BV1170" s="703"/>
      <c r="BW1170" s="703"/>
      <c r="BX1170" s="703"/>
      <c r="BY1170" s="703"/>
      <c r="BZ1170" s="703"/>
      <c r="CA1170" s="703"/>
      <c r="CB1170" s="703"/>
      <c r="CC1170" s="703"/>
      <c r="CD1170" s="703"/>
      <c r="CE1170" s="703"/>
      <c r="CF1170" s="703"/>
      <c r="CG1170" s="703"/>
      <c r="CH1170" s="703"/>
      <c r="CI1170" s="703"/>
      <c r="CJ1170" s="703"/>
      <c r="CK1170" s="703"/>
      <c r="CL1170" s="703"/>
      <c r="CM1170" s="703"/>
      <c r="CN1170" s="703"/>
      <c r="CO1170" s="703"/>
      <c r="CP1170" s="703"/>
      <c r="CQ1170" s="703"/>
      <c r="CR1170" s="703"/>
      <c r="CS1170" s="703"/>
      <c r="CT1170" s="703"/>
      <c r="CU1170" s="703"/>
      <c r="CV1170" s="703"/>
      <c r="CW1170" s="703"/>
      <c r="CX1170" s="703"/>
      <c r="CY1170" s="703"/>
      <c r="CZ1170" s="703"/>
      <c r="DA1170" s="703"/>
      <c r="DB1170" s="703"/>
      <c r="DC1170" s="703"/>
      <c r="DD1170" s="703"/>
      <c r="DE1170" s="703"/>
      <c r="DF1170" s="703"/>
      <c r="DG1170" s="703"/>
      <c r="DH1170" s="703"/>
      <c r="DI1170" s="703"/>
      <c r="DJ1170" s="703"/>
      <c r="DK1170" s="703"/>
      <c r="DL1170" s="703"/>
      <c r="DM1170" s="703"/>
      <c r="DN1170" s="703"/>
      <c r="DO1170" s="703"/>
      <c r="DP1170" s="703"/>
      <c r="DQ1170" s="703"/>
      <c r="DR1170" s="703"/>
      <c r="DS1170" s="703"/>
      <c r="DT1170" s="703"/>
      <c r="DU1170" s="703"/>
      <c r="DV1170" s="703"/>
      <c r="DW1170" s="703"/>
      <c r="DX1170" s="703"/>
      <c r="DY1170" s="703"/>
      <c r="DZ1170" s="703"/>
      <c r="EA1170" s="703"/>
      <c r="EB1170" s="703"/>
      <c r="EC1170" s="703"/>
      <c r="ED1170" s="703"/>
      <c r="EE1170" s="703"/>
      <c r="EF1170" s="703"/>
      <c r="EG1170" s="703"/>
      <c r="EH1170" s="703"/>
      <c r="EI1170" s="703"/>
      <c r="EJ1170" s="703"/>
      <c r="EK1170" s="703"/>
      <c r="EL1170" s="703"/>
      <c r="EM1170" s="703"/>
      <c r="EN1170" s="703"/>
      <c r="EO1170" s="703"/>
      <c r="EP1170" s="703"/>
      <c r="EQ1170" s="703"/>
      <c r="ER1170" s="703"/>
      <c r="ES1170" s="703"/>
      <c r="ET1170" s="703"/>
      <c r="EU1170" s="703"/>
      <c r="EV1170" s="703"/>
      <c r="EW1170" s="703"/>
      <c r="EX1170" s="703"/>
      <c r="EY1170" s="703"/>
      <c r="EZ1170" s="703"/>
      <c r="FA1170" s="703"/>
      <c r="FB1170" s="703"/>
      <c r="FC1170" s="703"/>
      <c r="FD1170" s="703"/>
      <c r="FE1170" s="703"/>
      <c r="FF1170" s="703"/>
      <c r="FG1170" s="703"/>
      <c r="FH1170" s="703"/>
      <c r="FI1170" s="703"/>
      <c r="FJ1170" s="703"/>
      <c r="FK1170" s="703"/>
      <c r="FL1170" s="703"/>
      <c r="FM1170" s="703"/>
      <c r="FN1170" s="703"/>
      <c r="FO1170" s="703"/>
      <c r="FP1170" s="703"/>
      <c r="FQ1170" s="703"/>
      <c r="FR1170" s="703"/>
      <c r="FS1170" s="703"/>
      <c r="FT1170" s="703"/>
      <c r="FU1170" s="703"/>
      <c r="FV1170" s="703"/>
      <c r="FW1170" s="703"/>
      <c r="FX1170" s="703"/>
      <c r="FY1170" s="703"/>
      <c r="FZ1170" s="703"/>
      <c r="GA1170" s="703"/>
      <c r="GB1170" s="703"/>
      <c r="GC1170" s="703"/>
      <c r="GD1170" s="703"/>
      <c r="GE1170" s="703"/>
      <c r="GF1170" s="703"/>
      <c r="GG1170" s="703"/>
      <c r="GH1170" s="703"/>
      <c r="GI1170" s="703"/>
      <c r="GJ1170" s="703"/>
      <c r="GK1170" s="703"/>
      <c r="GL1170" s="703"/>
      <c r="GM1170" s="703"/>
      <c r="GN1170" s="703"/>
      <c r="GO1170" s="703"/>
      <c r="GP1170" s="703"/>
      <c r="GQ1170" s="703"/>
      <c r="GR1170" s="703"/>
      <c r="GS1170" s="703"/>
      <c r="GT1170" s="703"/>
      <c r="GU1170" s="703"/>
      <c r="GV1170" s="703"/>
      <c r="GW1170" s="703"/>
      <c r="GX1170" s="703"/>
      <c r="GY1170" s="703"/>
      <c r="GZ1170" s="703"/>
      <c r="HA1170" s="703"/>
      <c r="HB1170" s="703"/>
      <c r="HC1170" s="703"/>
      <c r="HD1170" s="703"/>
      <c r="HE1170" s="703"/>
      <c r="HF1170" s="703"/>
      <c r="HG1170" s="703"/>
      <c r="HH1170" s="703"/>
      <c r="HI1170" s="703"/>
      <c r="HJ1170" s="703"/>
      <c r="HK1170" s="703"/>
      <c r="HL1170" s="703"/>
      <c r="HM1170" s="703"/>
      <c r="HN1170" s="703"/>
      <c r="HO1170" s="703"/>
      <c r="HP1170" s="703"/>
      <c r="HQ1170" s="703"/>
      <c r="HR1170" s="703"/>
      <c r="HS1170" s="703"/>
      <c r="HT1170" s="703"/>
      <c r="HU1170" s="703"/>
      <c r="HV1170" s="703"/>
      <c r="HW1170" s="703"/>
      <c r="HX1170" s="703"/>
      <c r="HY1170" s="703"/>
      <c r="HZ1170" s="703"/>
      <c r="IA1170" s="703"/>
      <c r="IB1170" s="703"/>
      <c r="IC1170" s="703"/>
      <c r="ID1170" s="703"/>
      <c r="IE1170" s="703"/>
      <c r="IF1170" s="703"/>
      <c r="IG1170" s="703"/>
      <c r="IH1170" s="703"/>
      <c r="II1170" s="703"/>
      <c r="IJ1170" s="703"/>
      <c r="IK1170" s="703"/>
      <c r="IL1170" s="703"/>
      <c r="IM1170" s="703"/>
      <c r="IN1170" s="703"/>
      <c r="IO1170" s="703"/>
      <c r="IP1170" s="703"/>
      <c r="IQ1170" s="703"/>
      <c r="IR1170" s="703"/>
      <c r="IS1170" s="703"/>
      <c r="IT1170" s="703"/>
      <c r="IU1170" s="703"/>
      <c r="IV1170" s="703"/>
      <c r="IW1170" s="703"/>
    </row>
    <row r="1171" spans="1:257" s="1289" customFormat="1" ht="17.25" customHeight="1">
      <c r="A1171" s="1278">
        <v>4</v>
      </c>
      <c r="B1171" s="1279" t="s">
        <v>606</v>
      </c>
      <c r="C1171" s="1278"/>
      <c r="D1171" s="1278"/>
      <c r="E1171" s="1280"/>
      <c r="F1171" s="1280">
        <f>F1172</f>
        <v>4063000000</v>
      </c>
      <c r="G1171" s="1280" t="e">
        <f>G1172</f>
        <v>#VALUE!</v>
      </c>
      <c r="H1171" s="1280">
        <f>H1172</f>
        <v>41000000</v>
      </c>
      <c r="I1171" s="1280">
        <f>I1172</f>
        <v>41000000</v>
      </c>
      <c r="J1171" s="1280">
        <f>J1172</f>
        <v>4833000000</v>
      </c>
      <c r="K1171" s="1280">
        <f>ROUND((K35+K249+K256+K492+K1093+K1133+K1165+K1175+K1176)*0.5%,-6)</f>
        <v>4786000000</v>
      </c>
      <c r="L1171" s="1303">
        <f>ROUND((L35+L249+L256+L492+L1093+L1133+L1165+L1175+L1176)*0.5%,-6)</f>
        <v>5664000000</v>
      </c>
      <c r="M1171" s="1280"/>
      <c r="N1171" s="1281">
        <v>6267000000</v>
      </c>
      <c r="O1171" s="1281" t="s">
        <v>1977</v>
      </c>
      <c r="P1171" s="1281"/>
      <c r="Q1171" s="1281"/>
      <c r="R1171" s="1282">
        <v>5540000000</v>
      </c>
      <c r="S1171" s="1283"/>
      <c r="T1171" s="1284"/>
      <c r="U1171" s="1285"/>
      <c r="V1171" s="1286"/>
      <c r="W1171" s="1286"/>
      <c r="X1171" s="1287"/>
      <c r="Y1171" s="1288"/>
      <c r="Z1171" s="1288"/>
      <c r="AA1171" s="1288"/>
      <c r="AB1171" s="1288"/>
      <c r="AC1171" s="1288"/>
      <c r="AD1171" s="1288"/>
      <c r="AE1171" s="1288"/>
      <c r="AF1171" s="1288"/>
      <c r="AG1171" s="1288"/>
      <c r="AH1171" s="1288"/>
      <c r="AI1171" s="1288"/>
      <c r="AJ1171" s="1288"/>
      <c r="AK1171" s="1288"/>
      <c r="AL1171" s="1288"/>
      <c r="AM1171" s="1288"/>
      <c r="AN1171" s="1288"/>
      <c r="AO1171" s="1288"/>
      <c r="AP1171" s="1288"/>
      <c r="AQ1171" s="1288"/>
      <c r="AR1171" s="1288"/>
      <c r="AS1171" s="1288"/>
      <c r="AT1171" s="1288"/>
      <c r="AU1171" s="1288"/>
      <c r="AV1171" s="1288"/>
      <c r="AW1171" s="1288"/>
      <c r="AX1171" s="1288"/>
      <c r="AY1171" s="1288"/>
      <c r="AZ1171" s="1288"/>
      <c r="BA1171" s="1288"/>
      <c r="BB1171" s="1288"/>
      <c r="BC1171" s="1288"/>
      <c r="BD1171" s="1288"/>
      <c r="BE1171" s="1288"/>
      <c r="BF1171" s="1288"/>
      <c r="BG1171" s="1288"/>
      <c r="BH1171" s="1288"/>
      <c r="BI1171" s="1288"/>
      <c r="BJ1171" s="1288"/>
      <c r="BK1171" s="1288"/>
      <c r="BL1171" s="1288"/>
      <c r="BM1171" s="1288"/>
      <c r="BN1171" s="1288"/>
      <c r="BO1171" s="1288"/>
      <c r="BP1171" s="1288"/>
      <c r="BQ1171" s="1288"/>
      <c r="BR1171" s="1288"/>
      <c r="BS1171" s="1288"/>
      <c r="BT1171" s="1288"/>
      <c r="BU1171" s="1288"/>
      <c r="BV1171" s="1288"/>
      <c r="BW1171" s="1288"/>
      <c r="BX1171" s="1288"/>
      <c r="BY1171" s="1288"/>
      <c r="BZ1171" s="1288"/>
      <c r="CA1171" s="1288"/>
      <c r="CB1171" s="1288"/>
      <c r="CC1171" s="1288"/>
      <c r="CD1171" s="1288"/>
      <c r="CE1171" s="1288"/>
      <c r="CF1171" s="1288"/>
      <c r="CG1171" s="1288"/>
      <c r="CH1171" s="1288"/>
      <c r="CI1171" s="1288"/>
      <c r="CJ1171" s="1288"/>
      <c r="CK1171" s="1288"/>
      <c r="CL1171" s="1288"/>
      <c r="CM1171" s="1288"/>
      <c r="CN1171" s="1288"/>
      <c r="CO1171" s="1288"/>
      <c r="CP1171" s="1288"/>
      <c r="CQ1171" s="1288"/>
      <c r="CR1171" s="1288"/>
      <c r="CS1171" s="1288"/>
      <c r="CT1171" s="1288"/>
      <c r="CU1171" s="1288"/>
      <c r="CV1171" s="1288"/>
      <c r="CW1171" s="1288"/>
      <c r="CX1171" s="1288"/>
      <c r="CY1171" s="1288"/>
      <c r="CZ1171" s="1288"/>
      <c r="DA1171" s="1288"/>
      <c r="DB1171" s="1288"/>
      <c r="DC1171" s="1288"/>
      <c r="DD1171" s="1288"/>
      <c r="DE1171" s="1288"/>
      <c r="DF1171" s="1288"/>
      <c r="DG1171" s="1288"/>
      <c r="DH1171" s="1288"/>
      <c r="DI1171" s="1288"/>
      <c r="DJ1171" s="1288"/>
      <c r="DK1171" s="1288"/>
      <c r="DL1171" s="1288"/>
      <c r="DM1171" s="1288"/>
      <c r="DN1171" s="1288"/>
      <c r="DO1171" s="1288"/>
      <c r="DP1171" s="1288"/>
      <c r="DQ1171" s="1288"/>
      <c r="DR1171" s="1288"/>
      <c r="DS1171" s="1288"/>
      <c r="DT1171" s="1288"/>
      <c r="DU1171" s="1288"/>
      <c r="DV1171" s="1288"/>
      <c r="DW1171" s="1288"/>
      <c r="DX1171" s="1288"/>
      <c r="DY1171" s="1288"/>
      <c r="DZ1171" s="1288"/>
      <c r="EA1171" s="1288"/>
      <c r="EB1171" s="1288"/>
      <c r="EC1171" s="1288"/>
      <c r="ED1171" s="1288"/>
      <c r="EE1171" s="1288"/>
      <c r="EF1171" s="1288"/>
      <c r="EG1171" s="1288"/>
      <c r="EH1171" s="1288"/>
      <c r="EI1171" s="1288"/>
      <c r="EJ1171" s="1288"/>
      <c r="EK1171" s="1288"/>
      <c r="EL1171" s="1288"/>
      <c r="EM1171" s="1288"/>
      <c r="EN1171" s="1288"/>
      <c r="EO1171" s="1288"/>
      <c r="EP1171" s="1288"/>
      <c r="EQ1171" s="1288"/>
      <c r="ER1171" s="1288"/>
      <c r="ES1171" s="1288"/>
      <c r="ET1171" s="1288"/>
      <c r="EU1171" s="1288"/>
      <c r="EV1171" s="1288"/>
      <c r="EW1171" s="1288"/>
      <c r="EX1171" s="1288"/>
      <c r="EY1171" s="1288"/>
      <c r="EZ1171" s="1288"/>
      <c r="FA1171" s="1288"/>
      <c r="FB1171" s="1288"/>
      <c r="FC1171" s="1288"/>
      <c r="FD1171" s="1288"/>
      <c r="FE1171" s="1288"/>
      <c r="FF1171" s="1288"/>
      <c r="FG1171" s="1288"/>
      <c r="FH1171" s="1288"/>
      <c r="FI1171" s="1288"/>
      <c r="FJ1171" s="1288"/>
      <c r="FK1171" s="1288"/>
      <c r="FL1171" s="1288"/>
      <c r="FM1171" s="1288"/>
      <c r="FN1171" s="1288"/>
      <c r="FO1171" s="1288"/>
      <c r="FP1171" s="1288"/>
      <c r="FQ1171" s="1288"/>
      <c r="FR1171" s="1288"/>
      <c r="FS1171" s="1288"/>
      <c r="FT1171" s="1288"/>
      <c r="FU1171" s="1288"/>
      <c r="FV1171" s="1288"/>
      <c r="FW1171" s="1288"/>
      <c r="FX1171" s="1288"/>
      <c r="FY1171" s="1288"/>
      <c r="FZ1171" s="1288"/>
      <c r="GA1171" s="1288"/>
      <c r="GB1171" s="1288"/>
      <c r="GC1171" s="1288"/>
      <c r="GD1171" s="1288"/>
      <c r="GE1171" s="1288"/>
      <c r="GF1171" s="1288"/>
      <c r="GG1171" s="1288"/>
      <c r="GH1171" s="1288"/>
      <c r="GI1171" s="1288"/>
      <c r="GJ1171" s="1288"/>
      <c r="GK1171" s="1288"/>
      <c r="GL1171" s="1288"/>
      <c r="GM1171" s="1288"/>
      <c r="GN1171" s="1288"/>
      <c r="GO1171" s="1288"/>
      <c r="GP1171" s="1288"/>
      <c r="GQ1171" s="1288"/>
      <c r="GR1171" s="1288"/>
      <c r="GS1171" s="1288"/>
      <c r="GT1171" s="1288"/>
      <c r="GU1171" s="1288"/>
      <c r="GV1171" s="1288"/>
      <c r="GW1171" s="1288"/>
      <c r="GX1171" s="1288"/>
      <c r="GY1171" s="1288"/>
      <c r="GZ1171" s="1288"/>
      <c r="HA1171" s="1288"/>
      <c r="HB1171" s="1288"/>
      <c r="HC1171" s="1288"/>
      <c r="HD1171" s="1288"/>
      <c r="HE1171" s="1288"/>
      <c r="HF1171" s="1288"/>
      <c r="HG1171" s="1288"/>
      <c r="HH1171" s="1288"/>
      <c r="HI1171" s="1288"/>
      <c r="HJ1171" s="1288"/>
      <c r="HK1171" s="1288"/>
      <c r="HL1171" s="1288"/>
      <c r="HM1171" s="1288"/>
      <c r="HN1171" s="1288"/>
      <c r="HO1171" s="1288"/>
      <c r="HP1171" s="1288"/>
      <c r="HQ1171" s="1288"/>
      <c r="HR1171" s="1288"/>
      <c r="HS1171" s="1288"/>
      <c r="HT1171" s="1288"/>
      <c r="HU1171" s="1288"/>
      <c r="HV1171" s="1288"/>
      <c r="HW1171" s="1288"/>
      <c r="HX1171" s="1288"/>
      <c r="HY1171" s="1288"/>
      <c r="HZ1171" s="1288"/>
      <c r="IA1171" s="1288"/>
      <c r="IB1171" s="1288"/>
      <c r="IC1171" s="1288"/>
      <c r="ID1171" s="1288"/>
      <c r="IE1171" s="1288"/>
      <c r="IF1171" s="1288"/>
      <c r="IG1171" s="1288"/>
      <c r="IH1171" s="1288"/>
      <c r="II1171" s="1288"/>
      <c r="IJ1171" s="1288"/>
      <c r="IK1171" s="1288"/>
      <c r="IL1171" s="1288"/>
      <c r="IM1171" s="1288"/>
      <c r="IN1171" s="1288"/>
      <c r="IO1171" s="1288"/>
      <c r="IP1171" s="1288"/>
      <c r="IQ1171" s="1288"/>
      <c r="IR1171" s="1288"/>
      <c r="IS1171" s="1288"/>
      <c r="IT1171" s="1288"/>
      <c r="IU1171" s="1288"/>
      <c r="IV1171" s="1288"/>
      <c r="IW1171" s="1288"/>
    </row>
    <row r="1172" spans="1:257" s="1289" customFormat="1" ht="28.5" hidden="1" customHeight="1">
      <c r="A1172" s="1279" t="s">
        <v>607</v>
      </c>
      <c r="B1172" s="1279" t="s">
        <v>608</v>
      </c>
      <c r="C1172" s="1279"/>
      <c r="D1172" s="1279"/>
      <c r="E1172" s="1280"/>
      <c r="F1172" s="1280">
        <f>ROUND((F35+F249+F256+F492)*0.5%,-6)</f>
        <v>4063000000</v>
      </c>
      <c r="G1172" s="1280" t="e">
        <f>ROUND((G35+G249+G256+G492)*0.5%,-6)</f>
        <v>#VALUE!</v>
      </c>
      <c r="H1172" s="1280">
        <f>ROUND((H35+H249+H256+H492)*0.5%,-6)</f>
        <v>41000000</v>
      </c>
      <c r="I1172" s="1280">
        <f>ROUND((I35+I249+I256+I492)*0.5%,-6)</f>
        <v>41000000</v>
      </c>
      <c r="J1172" s="1280">
        <f>ROUND((J35+J249+J256+J492)*0.5%,-6)</f>
        <v>4833000000</v>
      </c>
      <c r="K1172" s="1280"/>
      <c r="L1172" s="1303"/>
      <c r="M1172" s="1280"/>
      <c r="N1172" s="1281"/>
      <c r="O1172" s="1281"/>
      <c r="P1172" s="1281"/>
      <c r="Q1172" s="1281"/>
      <c r="R1172" s="1283"/>
      <c r="S1172" s="1283"/>
      <c r="T1172" s="1284"/>
      <c r="U1172" s="1285"/>
      <c r="V1172" s="1286"/>
      <c r="W1172" s="1286"/>
      <c r="X1172" s="1287"/>
      <c r="Y1172" s="1288"/>
      <c r="Z1172" s="1288"/>
      <c r="AA1172" s="1288"/>
      <c r="AB1172" s="1288"/>
      <c r="AC1172" s="1288"/>
      <c r="AD1172" s="1288"/>
      <c r="AE1172" s="1288"/>
      <c r="AF1172" s="1288"/>
      <c r="AG1172" s="1288"/>
      <c r="AH1172" s="1288"/>
      <c r="AI1172" s="1288"/>
      <c r="AJ1172" s="1288"/>
      <c r="AK1172" s="1288"/>
      <c r="AL1172" s="1288"/>
      <c r="AM1172" s="1288"/>
      <c r="AN1172" s="1288"/>
      <c r="AO1172" s="1288"/>
      <c r="AP1172" s="1288"/>
      <c r="AQ1172" s="1288"/>
      <c r="AR1172" s="1288"/>
      <c r="AS1172" s="1288"/>
      <c r="AT1172" s="1288"/>
      <c r="AU1172" s="1288"/>
      <c r="AV1172" s="1288"/>
      <c r="AW1172" s="1288"/>
      <c r="AX1172" s="1288"/>
      <c r="AY1172" s="1288"/>
      <c r="AZ1172" s="1288"/>
      <c r="BA1172" s="1288"/>
      <c r="BB1172" s="1288"/>
      <c r="BC1172" s="1288"/>
      <c r="BD1172" s="1288"/>
      <c r="BE1172" s="1288"/>
      <c r="BF1172" s="1288"/>
      <c r="BG1172" s="1288"/>
      <c r="BH1172" s="1288"/>
      <c r="BI1172" s="1288"/>
      <c r="BJ1172" s="1288"/>
      <c r="BK1172" s="1288"/>
      <c r="BL1172" s="1288"/>
      <c r="BM1172" s="1288"/>
      <c r="BN1172" s="1288"/>
      <c r="BO1172" s="1288"/>
      <c r="BP1172" s="1288"/>
      <c r="BQ1172" s="1288"/>
      <c r="BR1172" s="1288"/>
      <c r="BS1172" s="1288"/>
      <c r="BT1172" s="1288"/>
      <c r="BU1172" s="1288"/>
      <c r="BV1172" s="1288"/>
      <c r="BW1172" s="1288"/>
      <c r="BX1172" s="1288"/>
      <c r="BY1172" s="1288"/>
      <c r="BZ1172" s="1288"/>
      <c r="CA1172" s="1288"/>
      <c r="CB1172" s="1288"/>
      <c r="CC1172" s="1288"/>
      <c r="CD1172" s="1288"/>
      <c r="CE1172" s="1288"/>
      <c r="CF1172" s="1288"/>
      <c r="CG1172" s="1288"/>
      <c r="CH1172" s="1288"/>
      <c r="CI1172" s="1288"/>
      <c r="CJ1172" s="1288"/>
      <c r="CK1172" s="1288"/>
      <c r="CL1172" s="1288"/>
      <c r="CM1172" s="1288"/>
      <c r="CN1172" s="1288"/>
      <c r="CO1172" s="1288"/>
      <c r="CP1172" s="1288"/>
      <c r="CQ1172" s="1288"/>
      <c r="CR1172" s="1288"/>
      <c r="CS1172" s="1288"/>
      <c r="CT1172" s="1288"/>
      <c r="CU1172" s="1288"/>
      <c r="CV1172" s="1288"/>
      <c r="CW1172" s="1288"/>
      <c r="CX1172" s="1288"/>
      <c r="CY1172" s="1288"/>
      <c r="CZ1172" s="1288"/>
      <c r="DA1172" s="1288"/>
      <c r="DB1172" s="1288"/>
      <c r="DC1172" s="1288"/>
      <c r="DD1172" s="1288"/>
      <c r="DE1172" s="1288"/>
      <c r="DF1172" s="1288"/>
      <c r="DG1172" s="1288"/>
      <c r="DH1172" s="1288"/>
      <c r="DI1172" s="1288"/>
      <c r="DJ1172" s="1288"/>
      <c r="DK1172" s="1288"/>
      <c r="DL1172" s="1288"/>
      <c r="DM1172" s="1288"/>
      <c r="DN1172" s="1288"/>
      <c r="DO1172" s="1288"/>
      <c r="DP1172" s="1288"/>
      <c r="DQ1172" s="1288"/>
      <c r="DR1172" s="1288"/>
      <c r="DS1172" s="1288"/>
      <c r="DT1172" s="1288"/>
      <c r="DU1172" s="1288"/>
      <c r="DV1172" s="1288"/>
      <c r="DW1172" s="1288"/>
      <c r="DX1172" s="1288"/>
      <c r="DY1172" s="1288"/>
      <c r="DZ1172" s="1288"/>
      <c r="EA1172" s="1288"/>
      <c r="EB1172" s="1288"/>
      <c r="EC1172" s="1288"/>
      <c r="ED1172" s="1288"/>
      <c r="EE1172" s="1288"/>
      <c r="EF1172" s="1288"/>
      <c r="EG1172" s="1288"/>
      <c r="EH1172" s="1288"/>
      <c r="EI1172" s="1288"/>
      <c r="EJ1172" s="1288"/>
      <c r="EK1172" s="1288"/>
      <c r="EL1172" s="1288"/>
      <c r="EM1172" s="1288"/>
      <c r="EN1172" s="1288"/>
      <c r="EO1172" s="1288"/>
      <c r="EP1172" s="1288"/>
      <c r="EQ1172" s="1288"/>
      <c r="ER1172" s="1288"/>
      <c r="ES1172" s="1288"/>
      <c r="ET1172" s="1288"/>
      <c r="EU1172" s="1288"/>
      <c r="EV1172" s="1288"/>
      <c r="EW1172" s="1288"/>
      <c r="EX1172" s="1288"/>
      <c r="EY1172" s="1288"/>
      <c r="EZ1172" s="1288"/>
      <c r="FA1172" s="1288"/>
      <c r="FB1172" s="1288"/>
      <c r="FC1172" s="1288"/>
      <c r="FD1172" s="1288"/>
      <c r="FE1172" s="1288"/>
      <c r="FF1172" s="1288"/>
      <c r="FG1172" s="1288"/>
      <c r="FH1172" s="1288"/>
      <c r="FI1172" s="1288"/>
      <c r="FJ1172" s="1288"/>
      <c r="FK1172" s="1288"/>
      <c r="FL1172" s="1288"/>
      <c r="FM1172" s="1288"/>
      <c r="FN1172" s="1288"/>
      <c r="FO1172" s="1288"/>
      <c r="FP1172" s="1288"/>
      <c r="FQ1172" s="1288"/>
      <c r="FR1172" s="1288"/>
      <c r="FS1172" s="1288"/>
      <c r="FT1172" s="1288"/>
      <c r="FU1172" s="1288"/>
      <c r="FV1172" s="1288"/>
      <c r="FW1172" s="1288"/>
      <c r="FX1172" s="1288"/>
      <c r="FY1172" s="1288"/>
      <c r="FZ1172" s="1288"/>
      <c r="GA1172" s="1288"/>
      <c r="GB1172" s="1288"/>
      <c r="GC1172" s="1288"/>
      <c r="GD1172" s="1288"/>
      <c r="GE1172" s="1288"/>
      <c r="GF1172" s="1288"/>
      <c r="GG1172" s="1288"/>
      <c r="GH1172" s="1288"/>
      <c r="GI1172" s="1288"/>
      <c r="GJ1172" s="1288"/>
      <c r="GK1172" s="1288"/>
      <c r="GL1172" s="1288"/>
      <c r="GM1172" s="1288"/>
      <c r="GN1172" s="1288"/>
      <c r="GO1172" s="1288"/>
      <c r="GP1172" s="1288"/>
      <c r="GQ1172" s="1288"/>
      <c r="GR1172" s="1288"/>
      <c r="GS1172" s="1288"/>
      <c r="GT1172" s="1288"/>
      <c r="GU1172" s="1288"/>
      <c r="GV1172" s="1288"/>
      <c r="GW1172" s="1288"/>
      <c r="GX1172" s="1288"/>
      <c r="GY1172" s="1288"/>
      <c r="GZ1172" s="1288"/>
      <c r="HA1172" s="1288"/>
      <c r="HB1172" s="1288"/>
      <c r="HC1172" s="1288"/>
      <c r="HD1172" s="1288"/>
      <c r="HE1172" s="1288"/>
      <c r="HF1172" s="1288"/>
      <c r="HG1172" s="1288"/>
      <c r="HH1172" s="1288"/>
      <c r="HI1172" s="1288"/>
      <c r="HJ1172" s="1288"/>
      <c r="HK1172" s="1288"/>
      <c r="HL1172" s="1288"/>
      <c r="HM1172" s="1288"/>
      <c r="HN1172" s="1288"/>
      <c r="HO1172" s="1288"/>
      <c r="HP1172" s="1288"/>
      <c r="HQ1172" s="1288"/>
      <c r="HR1172" s="1288"/>
      <c r="HS1172" s="1288"/>
      <c r="HT1172" s="1288"/>
      <c r="HU1172" s="1288"/>
      <c r="HV1172" s="1288"/>
      <c r="HW1172" s="1288"/>
      <c r="HX1172" s="1288"/>
      <c r="HY1172" s="1288"/>
      <c r="HZ1172" s="1288"/>
      <c r="IA1172" s="1288"/>
      <c r="IB1172" s="1288"/>
      <c r="IC1172" s="1288"/>
      <c r="ID1172" s="1288"/>
      <c r="IE1172" s="1288"/>
      <c r="IF1172" s="1288"/>
      <c r="IG1172" s="1288"/>
      <c r="IH1172" s="1288"/>
      <c r="II1172" s="1288"/>
      <c r="IJ1172" s="1288"/>
      <c r="IK1172" s="1288"/>
      <c r="IL1172" s="1288"/>
      <c r="IM1172" s="1288"/>
      <c r="IN1172" s="1288"/>
      <c r="IO1172" s="1288"/>
      <c r="IP1172" s="1288"/>
      <c r="IQ1172" s="1288"/>
      <c r="IR1172" s="1288"/>
      <c r="IS1172" s="1288"/>
      <c r="IT1172" s="1288"/>
      <c r="IU1172" s="1288"/>
      <c r="IV1172" s="1288"/>
      <c r="IW1172" s="1288"/>
    </row>
    <row r="1173" spans="1:257" s="1289" customFormat="1" ht="17.25" customHeight="1">
      <c r="A1173" s="1290"/>
      <c r="B1173" s="1291" t="s">
        <v>263</v>
      </c>
      <c r="C1173" s="1292"/>
      <c r="D1173" s="1292"/>
      <c r="E1173" s="1293"/>
      <c r="F1173" s="1294">
        <f>F1172*10%</f>
        <v>406300000</v>
      </c>
      <c r="G1173" s="1295"/>
      <c r="H1173" s="1295"/>
      <c r="I1173" s="1295"/>
      <c r="J1173" s="1294"/>
      <c r="K1173" s="1294">
        <f>K1171*10%</f>
        <v>478600000</v>
      </c>
      <c r="L1173" s="1311">
        <f>L1171*10%</f>
        <v>566400000</v>
      </c>
      <c r="M1173" s="1296"/>
      <c r="N1173" s="1297">
        <f>L1171+Sheet2!BH15*1000</f>
        <v>8220115014.5</v>
      </c>
      <c r="O1173" s="1297" t="s">
        <v>1976</v>
      </c>
      <c r="P1173" s="1298"/>
      <c r="Q1173" s="1298"/>
      <c r="R1173" s="1283"/>
      <c r="S1173" s="1283"/>
      <c r="T1173" s="1284"/>
      <c r="U1173" s="1299"/>
      <c r="V1173" s="1286"/>
      <c r="W1173" s="1286"/>
      <c r="X1173" s="1287"/>
      <c r="Y1173" s="1288"/>
      <c r="Z1173" s="1288"/>
      <c r="AA1173" s="1288"/>
      <c r="AB1173" s="1288"/>
      <c r="AC1173" s="1288"/>
      <c r="AD1173" s="1288"/>
      <c r="AE1173" s="1288"/>
      <c r="AF1173" s="1288"/>
      <c r="AG1173" s="1288"/>
      <c r="AH1173" s="1288"/>
      <c r="AI1173" s="1288"/>
      <c r="AJ1173" s="1288"/>
      <c r="AK1173" s="1288"/>
      <c r="AL1173" s="1288"/>
      <c r="AM1173" s="1288"/>
      <c r="AN1173" s="1288"/>
      <c r="AO1173" s="1288"/>
      <c r="AP1173" s="1288"/>
      <c r="AQ1173" s="1288"/>
      <c r="AR1173" s="1288"/>
      <c r="AS1173" s="1288"/>
      <c r="AT1173" s="1288"/>
      <c r="AU1173" s="1288"/>
      <c r="AV1173" s="1288"/>
      <c r="AW1173" s="1288"/>
      <c r="AX1173" s="1288"/>
      <c r="AY1173" s="1288"/>
      <c r="AZ1173" s="1288"/>
      <c r="BA1173" s="1288"/>
      <c r="BB1173" s="1288"/>
      <c r="BC1173" s="1288"/>
      <c r="BD1173" s="1288"/>
      <c r="BE1173" s="1288"/>
      <c r="BF1173" s="1288"/>
      <c r="BG1173" s="1288"/>
      <c r="BH1173" s="1288"/>
      <c r="BI1173" s="1288"/>
      <c r="BJ1173" s="1288"/>
      <c r="BK1173" s="1288"/>
      <c r="BL1173" s="1288"/>
      <c r="BM1173" s="1288"/>
      <c r="BN1173" s="1288"/>
      <c r="BO1173" s="1288"/>
      <c r="BP1173" s="1288"/>
      <c r="BQ1173" s="1288"/>
      <c r="BR1173" s="1288"/>
      <c r="BS1173" s="1288"/>
      <c r="BT1173" s="1288"/>
      <c r="BU1173" s="1288"/>
      <c r="BV1173" s="1288"/>
      <c r="BW1173" s="1288"/>
      <c r="BX1173" s="1288"/>
      <c r="BY1173" s="1288"/>
      <c r="BZ1173" s="1288"/>
      <c r="CA1173" s="1288"/>
      <c r="CB1173" s="1288"/>
      <c r="CC1173" s="1288"/>
      <c r="CD1173" s="1288"/>
      <c r="CE1173" s="1288"/>
      <c r="CF1173" s="1288"/>
      <c r="CG1173" s="1288"/>
      <c r="CH1173" s="1288"/>
      <c r="CI1173" s="1288"/>
      <c r="CJ1173" s="1288"/>
      <c r="CK1173" s="1288"/>
      <c r="CL1173" s="1288"/>
      <c r="CM1173" s="1288"/>
      <c r="CN1173" s="1288"/>
      <c r="CO1173" s="1288"/>
      <c r="CP1173" s="1288"/>
      <c r="CQ1173" s="1288"/>
      <c r="CR1173" s="1288"/>
      <c r="CS1173" s="1288"/>
      <c r="CT1173" s="1288"/>
      <c r="CU1173" s="1288"/>
      <c r="CV1173" s="1288"/>
      <c r="CW1173" s="1288"/>
      <c r="CX1173" s="1288"/>
      <c r="CY1173" s="1288"/>
      <c r="CZ1173" s="1288"/>
      <c r="DA1173" s="1288"/>
      <c r="DB1173" s="1288"/>
      <c r="DC1173" s="1288"/>
      <c r="DD1173" s="1288"/>
      <c r="DE1173" s="1288"/>
      <c r="DF1173" s="1288"/>
      <c r="DG1173" s="1288"/>
      <c r="DH1173" s="1288"/>
      <c r="DI1173" s="1288"/>
      <c r="DJ1173" s="1288"/>
      <c r="DK1173" s="1288"/>
      <c r="DL1173" s="1288"/>
      <c r="DM1173" s="1288"/>
      <c r="DN1173" s="1288"/>
      <c r="DO1173" s="1288"/>
      <c r="DP1173" s="1288"/>
      <c r="DQ1173" s="1288"/>
      <c r="DR1173" s="1288"/>
      <c r="DS1173" s="1288"/>
      <c r="DT1173" s="1288"/>
      <c r="DU1173" s="1288"/>
      <c r="DV1173" s="1288"/>
      <c r="DW1173" s="1288"/>
      <c r="DX1173" s="1288"/>
      <c r="DY1173" s="1288"/>
      <c r="DZ1173" s="1288"/>
      <c r="EA1173" s="1288"/>
      <c r="EB1173" s="1288"/>
      <c r="EC1173" s="1288"/>
      <c r="ED1173" s="1288"/>
      <c r="EE1173" s="1288"/>
      <c r="EF1173" s="1288"/>
      <c r="EG1173" s="1288"/>
      <c r="EH1173" s="1288"/>
      <c r="EI1173" s="1288"/>
      <c r="EJ1173" s="1288"/>
      <c r="EK1173" s="1288"/>
      <c r="EL1173" s="1288"/>
      <c r="EM1173" s="1288"/>
      <c r="EN1173" s="1288"/>
      <c r="EO1173" s="1288"/>
      <c r="EP1173" s="1288"/>
      <c r="EQ1173" s="1288"/>
      <c r="ER1173" s="1288"/>
      <c r="ES1173" s="1288"/>
      <c r="ET1173" s="1288"/>
      <c r="EU1173" s="1288"/>
      <c r="EV1173" s="1288"/>
      <c r="EW1173" s="1288"/>
      <c r="EX1173" s="1288"/>
      <c r="EY1173" s="1288"/>
      <c r="EZ1173" s="1288"/>
      <c r="FA1173" s="1288"/>
      <c r="FB1173" s="1288"/>
      <c r="FC1173" s="1288"/>
      <c r="FD1173" s="1288"/>
      <c r="FE1173" s="1288"/>
      <c r="FF1173" s="1288"/>
      <c r="FG1173" s="1288"/>
      <c r="FH1173" s="1288"/>
      <c r="FI1173" s="1288"/>
      <c r="FJ1173" s="1288"/>
      <c r="FK1173" s="1288"/>
      <c r="FL1173" s="1288"/>
      <c r="FM1173" s="1288"/>
      <c r="FN1173" s="1288"/>
      <c r="FO1173" s="1288"/>
      <c r="FP1173" s="1288"/>
      <c r="FQ1173" s="1288"/>
      <c r="FR1173" s="1288"/>
      <c r="FS1173" s="1288"/>
      <c r="FT1173" s="1288"/>
      <c r="FU1173" s="1288"/>
      <c r="FV1173" s="1288"/>
      <c r="FW1173" s="1288"/>
      <c r="FX1173" s="1288"/>
      <c r="FY1173" s="1288"/>
      <c r="FZ1173" s="1288"/>
      <c r="GA1173" s="1288"/>
      <c r="GB1173" s="1288"/>
      <c r="GC1173" s="1288"/>
      <c r="GD1173" s="1288"/>
      <c r="GE1173" s="1288"/>
      <c r="GF1173" s="1288"/>
      <c r="GG1173" s="1288"/>
      <c r="GH1173" s="1288"/>
      <c r="GI1173" s="1288"/>
      <c r="GJ1173" s="1288"/>
      <c r="GK1173" s="1288"/>
      <c r="GL1173" s="1288"/>
      <c r="GM1173" s="1288"/>
      <c r="GN1173" s="1288"/>
      <c r="GO1173" s="1288"/>
      <c r="GP1173" s="1288"/>
      <c r="GQ1173" s="1288"/>
      <c r="GR1173" s="1288"/>
      <c r="GS1173" s="1288"/>
      <c r="GT1173" s="1288"/>
      <c r="GU1173" s="1288"/>
      <c r="GV1173" s="1288"/>
      <c r="GW1173" s="1288"/>
      <c r="GX1173" s="1288"/>
      <c r="GY1173" s="1288"/>
      <c r="GZ1173" s="1288"/>
      <c r="HA1173" s="1288"/>
      <c r="HB1173" s="1288"/>
      <c r="HC1173" s="1288"/>
      <c r="HD1173" s="1288"/>
      <c r="HE1173" s="1288"/>
      <c r="HF1173" s="1288"/>
      <c r="HG1173" s="1288"/>
      <c r="HH1173" s="1288"/>
      <c r="HI1173" s="1288"/>
      <c r="HJ1173" s="1288"/>
      <c r="HK1173" s="1288"/>
      <c r="HL1173" s="1288"/>
      <c r="HM1173" s="1288"/>
      <c r="HN1173" s="1288"/>
      <c r="HO1173" s="1288"/>
      <c r="HP1173" s="1288"/>
      <c r="HQ1173" s="1288"/>
      <c r="HR1173" s="1288"/>
      <c r="HS1173" s="1288"/>
      <c r="HT1173" s="1288"/>
      <c r="HU1173" s="1288"/>
      <c r="HV1173" s="1288"/>
      <c r="HW1173" s="1288"/>
      <c r="HX1173" s="1288"/>
      <c r="HY1173" s="1288"/>
      <c r="HZ1173" s="1288"/>
      <c r="IA1173" s="1288"/>
      <c r="IB1173" s="1288"/>
      <c r="IC1173" s="1288"/>
      <c r="ID1173" s="1288"/>
      <c r="IE1173" s="1288"/>
      <c r="IF1173" s="1288"/>
      <c r="IG1173" s="1288"/>
      <c r="IH1173" s="1288"/>
      <c r="II1173" s="1288"/>
      <c r="IJ1173" s="1288"/>
      <c r="IK1173" s="1288"/>
      <c r="IL1173" s="1288"/>
      <c r="IM1173" s="1288"/>
      <c r="IN1173" s="1288"/>
      <c r="IO1173" s="1288"/>
      <c r="IP1173" s="1288"/>
      <c r="IQ1173" s="1288"/>
      <c r="IR1173" s="1288"/>
      <c r="IS1173" s="1288"/>
      <c r="IT1173" s="1288"/>
      <c r="IU1173" s="1288"/>
      <c r="IV1173" s="1288"/>
      <c r="IW1173" s="1288"/>
    </row>
    <row r="1174" spans="1:257" s="724" customFormat="1" ht="29.25" hidden="1" customHeight="1">
      <c r="A1174" s="589"/>
      <c r="B1174" s="813"/>
      <c r="C1174" s="699"/>
      <c r="D1174" s="699"/>
      <c r="E1174" s="781"/>
      <c r="F1174" s="725"/>
      <c r="G1174" s="704"/>
      <c r="H1174" s="704"/>
      <c r="I1174" s="704"/>
      <c r="J1174" s="725"/>
      <c r="K1174" s="725"/>
      <c r="L1174" s="1311"/>
      <c r="M1174" s="669"/>
      <c r="N1174" s="868"/>
      <c r="O1174" s="868"/>
      <c r="P1174" s="829"/>
      <c r="Q1174" s="829"/>
      <c r="R1174" s="900"/>
      <c r="S1174" s="900"/>
      <c r="T1174" s="822"/>
      <c r="U1174" s="580"/>
      <c r="V1174" s="701"/>
      <c r="W1174" s="701"/>
      <c r="X1174" s="702"/>
      <c r="Y1174" s="703"/>
      <c r="Z1174" s="703"/>
      <c r="AA1174" s="703"/>
      <c r="AB1174" s="703"/>
      <c r="AC1174" s="703"/>
      <c r="AD1174" s="703"/>
      <c r="AE1174" s="703"/>
      <c r="AF1174" s="703"/>
      <c r="AG1174" s="703"/>
      <c r="AH1174" s="703"/>
      <c r="AI1174" s="703"/>
      <c r="AJ1174" s="703"/>
      <c r="AK1174" s="703"/>
      <c r="AL1174" s="703"/>
      <c r="AM1174" s="703"/>
      <c r="AN1174" s="703"/>
      <c r="AO1174" s="703"/>
      <c r="AP1174" s="703"/>
      <c r="AQ1174" s="703"/>
      <c r="AR1174" s="703"/>
      <c r="AS1174" s="703"/>
      <c r="AT1174" s="703"/>
      <c r="AU1174" s="703"/>
      <c r="AV1174" s="703"/>
      <c r="AW1174" s="703"/>
      <c r="AX1174" s="703"/>
      <c r="AY1174" s="703"/>
      <c r="AZ1174" s="703"/>
      <c r="BA1174" s="703"/>
      <c r="BB1174" s="703"/>
      <c r="BC1174" s="703"/>
      <c r="BD1174" s="703"/>
      <c r="BE1174" s="703"/>
      <c r="BF1174" s="703"/>
      <c r="BG1174" s="703"/>
      <c r="BH1174" s="703"/>
      <c r="BI1174" s="703"/>
      <c r="BJ1174" s="703"/>
      <c r="BK1174" s="703"/>
      <c r="BL1174" s="703"/>
      <c r="BM1174" s="703"/>
      <c r="BN1174" s="703"/>
      <c r="BO1174" s="703"/>
      <c r="BP1174" s="703"/>
      <c r="BQ1174" s="703"/>
      <c r="BR1174" s="703"/>
      <c r="BS1174" s="703"/>
      <c r="BT1174" s="703"/>
      <c r="BU1174" s="703"/>
      <c r="BV1174" s="703"/>
      <c r="BW1174" s="703"/>
      <c r="BX1174" s="703"/>
      <c r="BY1174" s="703"/>
      <c r="BZ1174" s="703"/>
      <c r="CA1174" s="703"/>
      <c r="CB1174" s="703"/>
      <c r="CC1174" s="703"/>
      <c r="CD1174" s="703"/>
      <c r="CE1174" s="703"/>
      <c r="CF1174" s="703"/>
      <c r="CG1174" s="703"/>
      <c r="CH1174" s="703"/>
      <c r="CI1174" s="703"/>
      <c r="CJ1174" s="703"/>
      <c r="CK1174" s="703"/>
      <c r="CL1174" s="703"/>
      <c r="CM1174" s="703"/>
      <c r="CN1174" s="703"/>
      <c r="CO1174" s="703"/>
      <c r="CP1174" s="703"/>
      <c r="CQ1174" s="703"/>
      <c r="CR1174" s="703"/>
      <c r="CS1174" s="703"/>
      <c r="CT1174" s="703"/>
      <c r="CU1174" s="703"/>
      <c r="CV1174" s="703"/>
      <c r="CW1174" s="703"/>
      <c r="CX1174" s="703"/>
      <c r="CY1174" s="703"/>
      <c r="CZ1174" s="703"/>
      <c r="DA1174" s="703"/>
      <c r="DB1174" s="703"/>
      <c r="DC1174" s="703"/>
      <c r="DD1174" s="703"/>
      <c r="DE1174" s="703"/>
      <c r="DF1174" s="703"/>
      <c r="DG1174" s="703"/>
      <c r="DH1174" s="703"/>
      <c r="DI1174" s="703"/>
      <c r="DJ1174" s="703"/>
      <c r="DK1174" s="703"/>
      <c r="DL1174" s="703"/>
      <c r="DM1174" s="703"/>
      <c r="DN1174" s="703"/>
      <c r="DO1174" s="703"/>
      <c r="DP1174" s="703"/>
      <c r="DQ1174" s="703"/>
      <c r="DR1174" s="703"/>
      <c r="DS1174" s="703"/>
      <c r="DT1174" s="703"/>
      <c r="DU1174" s="703"/>
      <c r="DV1174" s="703"/>
      <c r="DW1174" s="703"/>
      <c r="DX1174" s="703"/>
      <c r="DY1174" s="703"/>
      <c r="DZ1174" s="703"/>
      <c r="EA1174" s="703"/>
      <c r="EB1174" s="703"/>
      <c r="EC1174" s="703"/>
      <c r="ED1174" s="703"/>
      <c r="EE1174" s="703"/>
      <c r="EF1174" s="703"/>
      <c r="EG1174" s="703"/>
      <c r="EH1174" s="703"/>
      <c r="EI1174" s="703"/>
      <c r="EJ1174" s="703"/>
      <c r="EK1174" s="703"/>
      <c r="EL1174" s="703"/>
      <c r="EM1174" s="703"/>
      <c r="EN1174" s="703"/>
      <c r="EO1174" s="703"/>
      <c r="EP1174" s="703"/>
      <c r="EQ1174" s="703"/>
      <c r="ER1174" s="703"/>
      <c r="ES1174" s="703"/>
      <c r="ET1174" s="703"/>
      <c r="EU1174" s="703"/>
      <c r="EV1174" s="703"/>
      <c r="EW1174" s="703"/>
      <c r="EX1174" s="703"/>
      <c r="EY1174" s="703"/>
      <c r="EZ1174" s="703"/>
      <c r="FA1174" s="703"/>
      <c r="FB1174" s="703"/>
      <c r="FC1174" s="703"/>
      <c r="FD1174" s="703"/>
      <c r="FE1174" s="703"/>
      <c r="FF1174" s="703"/>
      <c r="FG1174" s="703"/>
      <c r="FH1174" s="703"/>
      <c r="FI1174" s="703"/>
      <c r="FJ1174" s="703"/>
      <c r="FK1174" s="703"/>
      <c r="FL1174" s="703"/>
      <c r="FM1174" s="703"/>
      <c r="FN1174" s="703"/>
      <c r="FO1174" s="703"/>
      <c r="FP1174" s="703"/>
      <c r="FQ1174" s="703"/>
      <c r="FR1174" s="703"/>
      <c r="FS1174" s="703"/>
      <c r="FT1174" s="703"/>
      <c r="FU1174" s="703"/>
      <c r="FV1174" s="703"/>
      <c r="FW1174" s="703"/>
      <c r="FX1174" s="703"/>
      <c r="FY1174" s="703"/>
      <c r="FZ1174" s="703"/>
      <c r="GA1174" s="703"/>
      <c r="GB1174" s="703"/>
      <c r="GC1174" s="703"/>
      <c r="GD1174" s="703"/>
      <c r="GE1174" s="703"/>
      <c r="GF1174" s="703"/>
      <c r="GG1174" s="703"/>
      <c r="GH1174" s="703"/>
      <c r="GI1174" s="703"/>
      <c r="GJ1174" s="703"/>
      <c r="GK1174" s="703"/>
      <c r="GL1174" s="703"/>
      <c r="GM1174" s="703"/>
      <c r="GN1174" s="703"/>
      <c r="GO1174" s="703"/>
      <c r="GP1174" s="703"/>
      <c r="GQ1174" s="703"/>
      <c r="GR1174" s="703"/>
      <c r="GS1174" s="703"/>
      <c r="GT1174" s="703"/>
      <c r="GU1174" s="703"/>
      <c r="GV1174" s="703"/>
      <c r="GW1174" s="703"/>
      <c r="GX1174" s="703"/>
      <c r="GY1174" s="703"/>
      <c r="GZ1174" s="703"/>
      <c r="HA1174" s="703"/>
      <c r="HB1174" s="703"/>
      <c r="HC1174" s="703"/>
      <c r="HD1174" s="703"/>
      <c r="HE1174" s="703"/>
      <c r="HF1174" s="703"/>
      <c r="HG1174" s="703"/>
      <c r="HH1174" s="703"/>
      <c r="HI1174" s="703"/>
      <c r="HJ1174" s="703"/>
      <c r="HK1174" s="703"/>
      <c r="HL1174" s="703"/>
      <c r="HM1174" s="703"/>
      <c r="HN1174" s="703"/>
      <c r="HO1174" s="703"/>
      <c r="HP1174" s="703"/>
      <c r="HQ1174" s="703"/>
      <c r="HR1174" s="703"/>
      <c r="HS1174" s="703"/>
      <c r="HT1174" s="703"/>
      <c r="HU1174" s="703"/>
      <c r="HV1174" s="703"/>
      <c r="HW1174" s="703"/>
      <c r="HX1174" s="703"/>
      <c r="HY1174" s="703"/>
      <c r="HZ1174" s="703"/>
      <c r="IA1174" s="703"/>
      <c r="IB1174" s="703"/>
      <c r="IC1174" s="703"/>
      <c r="ID1174" s="703"/>
      <c r="IE1174" s="703"/>
      <c r="IF1174" s="703"/>
      <c r="IG1174" s="703"/>
      <c r="IH1174" s="703"/>
      <c r="II1174" s="703"/>
      <c r="IJ1174" s="703"/>
      <c r="IK1174" s="703"/>
      <c r="IL1174" s="703"/>
      <c r="IM1174" s="703"/>
      <c r="IN1174" s="703"/>
      <c r="IO1174" s="703"/>
      <c r="IP1174" s="703"/>
      <c r="IQ1174" s="703"/>
      <c r="IR1174" s="703"/>
      <c r="IS1174" s="703"/>
      <c r="IT1174" s="703"/>
      <c r="IU1174" s="703"/>
      <c r="IV1174" s="703"/>
      <c r="IW1174" s="703"/>
    </row>
    <row r="1175" spans="1:257" s="724" customFormat="1" ht="29.25" customHeight="1">
      <c r="A1175" s="589">
        <v>5</v>
      </c>
      <c r="B1175" s="607" t="s">
        <v>609</v>
      </c>
      <c r="C1175" s="699"/>
      <c r="D1175" s="699"/>
      <c r="E1175" s="781"/>
      <c r="F1175" s="704">
        <v>560000000</v>
      </c>
      <c r="G1175" s="704">
        <f>6*(2.7+2.4)*1490000*12</f>
        <v>547128000</v>
      </c>
      <c r="H1175" s="704"/>
      <c r="I1175" s="704"/>
      <c r="J1175" s="704">
        <v>1560000000</v>
      </c>
      <c r="K1175" s="704">
        <f>1610000000+200000000</f>
        <v>1810000000</v>
      </c>
      <c r="L1175" s="1310">
        <v>1874153000</v>
      </c>
      <c r="M1175" s="609" t="s">
        <v>1544</v>
      </c>
      <c r="N1175" s="829">
        <f>N1173-N1171</f>
        <v>1953115014.5</v>
      </c>
      <c r="O1175" s="829"/>
      <c r="P1175" s="829"/>
      <c r="Q1175" s="829"/>
      <c r="R1175" s="900"/>
      <c r="S1175" s="900"/>
      <c r="T1175" s="822"/>
      <c r="U1175" s="580"/>
      <c r="V1175" s="701"/>
      <c r="W1175" s="701"/>
      <c r="X1175" s="702"/>
      <c r="Y1175" s="703"/>
      <c r="Z1175" s="703"/>
      <c r="AA1175" s="703"/>
      <c r="AB1175" s="703"/>
      <c r="AC1175" s="703"/>
      <c r="AD1175" s="703"/>
      <c r="AE1175" s="703"/>
      <c r="AF1175" s="703"/>
      <c r="AG1175" s="703"/>
      <c r="AH1175" s="703"/>
      <c r="AI1175" s="703"/>
      <c r="AJ1175" s="703"/>
      <c r="AK1175" s="703"/>
      <c r="AL1175" s="703"/>
      <c r="AM1175" s="703"/>
      <c r="AN1175" s="703"/>
      <c r="AO1175" s="703"/>
      <c r="AP1175" s="703"/>
      <c r="AQ1175" s="703"/>
      <c r="AR1175" s="703"/>
      <c r="AS1175" s="703"/>
      <c r="AT1175" s="703"/>
      <c r="AU1175" s="703"/>
      <c r="AV1175" s="703"/>
      <c r="AW1175" s="703"/>
      <c r="AX1175" s="703"/>
      <c r="AY1175" s="703"/>
      <c r="AZ1175" s="703"/>
      <c r="BA1175" s="703"/>
      <c r="BB1175" s="703"/>
      <c r="BC1175" s="703"/>
      <c r="BD1175" s="703"/>
      <c r="BE1175" s="703"/>
      <c r="BF1175" s="703"/>
      <c r="BG1175" s="703"/>
      <c r="BH1175" s="703"/>
      <c r="BI1175" s="703"/>
      <c r="BJ1175" s="703"/>
      <c r="BK1175" s="703"/>
      <c r="BL1175" s="703"/>
      <c r="BM1175" s="703"/>
      <c r="BN1175" s="703"/>
      <c r="BO1175" s="703"/>
      <c r="BP1175" s="703"/>
      <c r="BQ1175" s="703"/>
      <c r="BR1175" s="703"/>
      <c r="BS1175" s="703"/>
      <c r="BT1175" s="703"/>
      <c r="BU1175" s="703"/>
      <c r="BV1175" s="703"/>
      <c r="BW1175" s="703"/>
      <c r="BX1175" s="703"/>
      <c r="BY1175" s="703"/>
      <c r="BZ1175" s="703"/>
      <c r="CA1175" s="703"/>
      <c r="CB1175" s="703"/>
      <c r="CC1175" s="703"/>
      <c r="CD1175" s="703"/>
      <c r="CE1175" s="703"/>
      <c r="CF1175" s="703"/>
      <c r="CG1175" s="703"/>
      <c r="CH1175" s="703"/>
      <c r="CI1175" s="703"/>
      <c r="CJ1175" s="703"/>
      <c r="CK1175" s="703"/>
      <c r="CL1175" s="703"/>
      <c r="CM1175" s="703"/>
      <c r="CN1175" s="703"/>
      <c r="CO1175" s="703"/>
      <c r="CP1175" s="703"/>
      <c r="CQ1175" s="703"/>
      <c r="CR1175" s="703"/>
      <c r="CS1175" s="703"/>
      <c r="CT1175" s="703"/>
      <c r="CU1175" s="703"/>
      <c r="CV1175" s="703"/>
      <c r="CW1175" s="703"/>
      <c r="CX1175" s="703"/>
      <c r="CY1175" s="703"/>
      <c r="CZ1175" s="703"/>
      <c r="DA1175" s="703"/>
      <c r="DB1175" s="703"/>
      <c r="DC1175" s="703"/>
      <c r="DD1175" s="703"/>
      <c r="DE1175" s="703"/>
      <c r="DF1175" s="703"/>
      <c r="DG1175" s="703"/>
      <c r="DH1175" s="703"/>
      <c r="DI1175" s="703"/>
      <c r="DJ1175" s="703"/>
      <c r="DK1175" s="703"/>
      <c r="DL1175" s="703"/>
      <c r="DM1175" s="703"/>
      <c r="DN1175" s="703"/>
      <c r="DO1175" s="703"/>
      <c r="DP1175" s="703"/>
      <c r="DQ1175" s="703"/>
      <c r="DR1175" s="703"/>
      <c r="DS1175" s="703"/>
      <c r="DT1175" s="703"/>
      <c r="DU1175" s="703"/>
      <c r="DV1175" s="703"/>
      <c r="DW1175" s="703"/>
      <c r="DX1175" s="703"/>
      <c r="DY1175" s="703"/>
      <c r="DZ1175" s="703"/>
      <c r="EA1175" s="703"/>
      <c r="EB1175" s="703"/>
      <c r="EC1175" s="703"/>
      <c r="ED1175" s="703"/>
      <c r="EE1175" s="703"/>
      <c r="EF1175" s="703"/>
      <c r="EG1175" s="703"/>
      <c r="EH1175" s="703"/>
      <c r="EI1175" s="703"/>
      <c r="EJ1175" s="703"/>
      <c r="EK1175" s="703"/>
      <c r="EL1175" s="703"/>
      <c r="EM1175" s="703"/>
      <c r="EN1175" s="703"/>
      <c r="EO1175" s="703"/>
      <c r="EP1175" s="703"/>
      <c r="EQ1175" s="703"/>
      <c r="ER1175" s="703"/>
      <c r="ES1175" s="703"/>
      <c r="ET1175" s="703"/>
      <c r="EU1175" s="703"/>
      <c r="EV1175" s="703"/>
      <c r="EW1175" s="703"/>
      <c r="EX1175" s="703"/>
      <c r="EY1175" s="703"/>
      <c r="EZ1175" s="703"/>
      <c r="FA1175" s="703"/>
      <c r="FB1175" s="703"/>
      <c r="FC1175" s="703"/>
      <c r="FD1175" s="703"/>
      <c r="FE1175" s="703"/>
      <c r="FF1175" s="703"/>
      <c r="FG1175" s="703"/>
      <c r="FH1175" s="703"/>
      <c r="FI1175" s="703"/>
      <c r="FJ1175" s="703"/>
      <c r="FK1175" s="703"/>
      <c r="FL1175" s="703"/>
      <c r="FM1175" s="703"/>
      <c r="FN1175" s="703"/>
      <c r="FO1175" s="703"/>
      <c r="FP1175" s="703"/>
      <c r="FQ1175" s="703"/>
      <c r="FR1175" s="703"/>
      <c r="FS1175" s="703"/>
      <c r="FT1175" s="703"/>
      <c r="FU1175" s="703"/>
      <c r="FV1175" s="703"/>
      <c r="FW1175" s="703"/>
      <c r="FX1175" s="703"/>
      <c r="FY1175" s="703"/>
      <c r="FZ1175" s="703"/>
      <c r="GA1175" s="703"/>
      <c r="GB1175" s="703"/>
      <c r="GC1175" s="703"/>
      <c r="GD1175" s="703"/>
      <c r="GE1175" s="703"/>
      <c r="GF1175" s="703"/>
      <c r="GG1175" s="703"/>
      <c r="GH1175" s="703"/>
      <c r="GI1175" s="703"/>
      <c r="GJ1175" s="703"/>
      <c r="GK1175" s="703"/>
      <c r="GL1175" s="703"/>
      <c r="GM1175" s="703"/>
      <c r="GN1175" s="703"/>
      <c r="GO1175" s="703"/>
      <c r="GP1175" s="703"/>
      <c r="GQ1175" s="703"/>
      <c r="GR1175" s="703"/>
      <c r="GS1175" s="703"/>
      <c r="GT1175" s="703"/>
      <c r="GU1175" s="703"/>
      <c r="GV1175" s="703"/>
      <c r="GW1175" s="703"/>
      <c r="GX1175" s="703"/>
      <c r="GY1175" s="703"/>
      <c r="GZ1175" s="703"/>
      <c r="HA1175" s="703"/>
      <c r="HB1175" s="703"/>
      <c r="HC1175" s="703"/>
      <c r="HD1175" s="703"/>
      <c r="HE1175" s="703"/>
      <c r="HF1175" s="703"/>
      <c r="HG1175" s="703"/>
      <c r="HH1175" s="703"/>
      <c r="HI1175" s="703"/>
      <c r="HJ1175" s="703"/>
      <c r="HK1175" s="703"/>
      <c r="HL1175" s="703"/>
      <c r="HM1175" s="703"/>
      <c r="HN1175" s="703"/>
      <c r="HO1175" s="703"/>
      <c r="HP1175" s="703"/>
      <c r="HQ1175" s="703"/>
      <c r="HR1175" s="703"/>
      <c r="HS1175" s="703"/>
      <c r="HT1175" s="703"/>
      <c r="HU1175" s="703"/>
      <c r="HV1175" s="703"/>
      <c r="HW1175" s="703"/>
      <c r="HX1175" s="703"/>
      <c r="HY1175" s="703"/>
      <c r="HZ1175" s="703"/>
      <c r="IA1175" s="703"/>
      <c r="IB1175" s="703"/>
      <c r="IC1175" s="703"/>
      <c r="ID1175" s="703"/>
      <c r="IE1175" s="703"/>
      <c r="IF1175" s="703"/>
      <c r="IG1175" s="703"/>
      <c r="IH1175" s="703"/>
      <c r="II1175" s="703"/>
      <c r="IJ1175" s="703"/>
      <c r="IK1175" s="703"/>
      <c r="IL1175" s="703"/>
      <c r="IM1175" s="703"/>
      <c r="IN1175" s="703"/>
      <c r="IO1175" s="703"/>
      <c r="IP1175" s="703"/>
      <c r="IQ1175" s="703"/>
      <c r="IR1175" s="703"/>
      <c r="IS1175" s="703"/>
      <c r="IT1175" s="703"/>
      <c r="IU1175" s="703"/>
      <c r="IV1175" s="703"/>
      <c r="IW1175" s="703"/>
    </row>
    <row r="1176" spans="1:257" s="1169" customFormat="1">
      <c r="A1176" s="590" t="s">
        <v>610</v>
      </c>
      <c r="B1176" s="607" t="s">
        <v>611</v>
      </c>
      <c r="C1176" s="699"/>
      <c r="D1176" s="699"/>
      <c r="E1176" s="781"/>
      <c r="F1176" s="609">
        <v>3000000000</v>
      </c>
      <c r="G1176" s="817"/>
      <c r="H1176" s="817"/>
      <c r="I1176" s="817"/>
      <c r="J1176" s="609">
        <v>3000000000</v>
      </c>
      <c r="K1176" s="609">
        <v>3000000000</v>
      </c>
      <c r="L1176" s="1303">
        <v>4500000000</v>
      </c>
      <c r="M1176" s="609" t="s">
        <v>1487</v>
      </c>
      <c r="N1176" s="830"/>
      <c r="O1176" s="830"/>
      <c r="P1176" s="819"/>
      <c r="Q1176" s="819"/>
      <c r="R1176" s="1161">
        <v>1000000000</v>
      </c>
      <c r="S1176" s="945"/>
      <c r="T1176" s="852"/>
      <c r="U1176" s="637"/>
      <c r="V1176" s="1167"/>
      <c r="W1176" s="1167"/>
      <c r="X1176" s="1168"/>
    </row>
    <row r="1177" spans="1:257" s="1169" customFormat="1">
      <c r="A1177" s="590" t="s">
        <v>70</v>
      </c>
      <c r="B1177" s="607" t="s">
        <v>1680</v>
      </c>
      <c r="C1177" s="699"/>
      <c r="D1177" s="699"/>
      <c r="E1177" s="781"/>
      <c r="F1177" s="609">
        <v>6188000000</v>
      </c>
      <c r="G1177" s="817"/>
      <c r="H1177" s="817"/>
      <c r="I1177" s="817"/>
      <c r="J1177" s="609"/>
      <c r="K1177" s="609">
        <v>20790000000</v>
      </c>
      <c r="L1177" s="1303">
        <f>L1178+L1179</f>
        <v>20279000000</v>
      </c>
      <c r="M1177" s="609"/>
      <c r="N1177" s="830"/>
      <c r="O1177" s="830"/>
      <c r="P1177" s="819"/>
      <c r="Q1177" s="819"/>
      <c r="R1177" s="1170"/>
      <c r="S1177" s="945"/>
      <c r="T1177" s="852"/>
      <c r="U1177" s="637"/>
      <c r="V1177" s="1167"/>
      <c r="W1177" s="1167"/>
      <c r="X1177" s="1168"/>
    </row>
    <row r="1178" spans="1:257" s="582" customFormat="1" ht="57" customHeight="1">
      <c r="A1178" s="697" t="s">
        <v>91</v>
      </c>
      <c r="B1178" s="668" t="s">
        <v>1681</v>
      </c>
      <c r="C1178" s="683"/>
      <c r="D1178" s="683"/>
      <c r="E1178" s="686"/>
      <c r="F1178" s="1038">
        <f>S19*1000000*70%</f>
        <v>0</v>
      </c>
      <c r="G1178" s="686"/>
      <c r="H1178" s="686"/>
      <c r="I1178" s="686"/>
      <c r="J1178" s="1038"/>
      <c r="K1178" s="1038"/>
      <c r="L1178" s="1328">
        <v>14000000000</v>
      </c>
      <c r="M1178" s="709" t="s">
        <v>1985</v>
      </c>
      <c r="N1178" s="1171"/>
      <c r="O1178" s="1171"/>
      <c r="P1178" s="688"/>
      <c r="Q1178" s="688"/>
      <c r="R1178" s="688" t="e">
        <f>#REF!+#REF!</f>
        <v>#REF!</v>
      </c>
      <c r="S1178" s="674"/>
      <c r="T1178" s="674"/>
      <c r="U1178" s="655"/>
      <c r="V1178" s="581"/>
      <c r="W1178" s="581"/>
      <c r="X1178" s="578"/>
    </row>
    <row r="1179" spans="1:257" s="582" customFormat="1" ht="15.75" customHeight="1">
      <c r="A1179" s="697"/>
      <c r="B1179" s="668" t="s">
        <v>1696</v>
      </c>
      <c r="C1179" s="683"/>
      <c r="D1179" s="683"/>
      <c r="E1179" s="686"/>
      <c r="F1179" s="1038"/>
      <c r="G1179" s="686"/>
      <c r="H1179" s="686"/>
      <c r="I1179" s="686"/>
      <c r="J1179" s="1038"/>
      <c r="K1179" s="1038"/>
      <c r="L1179" s="1328">
        <v>6279000000</v>
      </c>
      <c r="M1179" s="686"/>
      <c r="N1179" s="1171"/>
      <c r="O1179" s="1171"/>
      <c r="P1179" s="688"/>
      <c r="Q1179" s="688"/>
      <c r="R1179" s="688"/>
      <c r="S1179" s="674"/>
      <c r="T1179" s="674"/>
      <c r="U1179" s="655"/>
      <c r="V1179" s="581"/>
      <c r="W1179" s="581"/>
      <c r="X1179" s="578"/>
    </row>
    <row r="1180" spans="1:257" s="614" customFormat="1" ht="30.75" customHeight="1">
      <c r="A1180" s="622" t="s">
        <v>614</v>
      </c>
      <c r="B1180" s="623" t="s">
        <v>615</v>
      </c>
      <c r="C1180" s="622"/>
      <c r="D1180" s="622"/>
      <c r="E1180" s="660"/>
      <c r="F1180" s="660">
        <v>27085000000</v>
      </c>
      <c r="G1180" s="742" t="s">
        <v>1257</v>
      </c>
      <c r="H1180" s="742"/>
      <c r="I1180" s="742"/>
      <c r="J1180" s="660">
        <v>28205000000</v>
      </c>
      <c r="K1180" s="660">
        <f>ROUND((K6+K34+K1177)*2.5%,-6)</f>
        <v>33168000000</v>
      </c>
      <c r="L1180" s="1303">
        <v>29314111000</v>
      </c>
      <c r="M1180" s="660"/>
      <c r="N1180" s="830"/>
      <c r="O1180" s="830"/>
      <c r="P1180" s="937"/>
      <c r="Q1180" s="937"/>
      <c r="R1180" s="869">
        <f>S4*2%</f>
        <v>30661.577999999998</v>
      </c>
      <c r="S1180" s="869"/>
      <c r="T1180" s="850"/>
      <c r="U1180" s="637"/>
      <c r="V1180" s="1167"/>
      <c r="W1180" s="613"/>
      <c r="X1180" s="611"/>
    </row>
    <row r="1181" spans="1:257" s="641" customFormat="1" hidden="1">
      <c r="A1181" s="635">
        <v>1</v>
      </c>
      <c r="B1181" s="696" t="s">
        <v>616</v>
      </c>
      <c r="C1181" s="635"/>
      <c r="D1181" s="635"/>
      <c r="E1181" s="651"/>
      <c r="F1181" s="651">
        <v>300000000</v>
      </c>
      <c r="G1181" s="651" t="s">
        <v>1015</v>
      </c>
      <c r="H1181" s="651"/>
      <c r="I1181" s="651"/>
      <c r="J1181" s="651"/>
      <c r="K1181" s="651">
        <v>300000000</v>
      </c>
      <c r="L1181" s="1305">
        <v>300000000</v>
      </c>
      <c r="M1181" s="651" t="s">
        <v>617</v>
      </c>
      <c r="N1181" s="826" t="s">
        <v>617</v>
      </c>
      <c r="O1181" s="826"/>
      <c r="P1181" s="826"/>
      <c r="Q1181" s="826"/>
      <c r="R1181" s="945">
        <v>2646</v>
      </c>
      <c r="S1181" s="869"/>
      <c r="T1181" s="850"/>
      <c r="U1181" s="637"/>
      <c r="V1181" s="1167"/>
      <c r="W1181" s="639"/>
      <c r="X1181" s="640"/>
    </row>
    <row r="1182" spans="1:257" s="749" customFormat="1" ht="31.5" hidden="1">
      <c r="A1182" s="774">
        <v>2</v>
      </c>
      <c r="B1182" s="759" t="s">
        <v>1258</v>
      </c>
      <c r="C1182" s="774"/>
      <c r="D1182" s="774"/>
      <c r="E1182" s="676"/>
      <c r="F1182" s="676"/>
      <c r="G1182" s="676"/>
      <c r="H1182" s="676"/>
      <c r="I1182" s="676"/>
      <c r="J1182" s="676"/>
      <c r="K1182" s="676">
        <v>1000000000</v>
      </c>
      <c r="L1182" s="1305">
        <v>1000000000</v>
      </c>
      <c r="M1182" s="676" t="s">
        <v>1259</v>
      </c>
      <c r="N1182" s="1172"/>
      <c r="O1182" s="1172"/>
      <c r="P1182" s="1172"/>
      <c r="Q1182" s="1172"/>
      <c r="R1182" s="1173">
        <f>R1180-R1181</f>
        <v>28015.577999999998</v>
      </c>
      <c r="S1182" s="1174"/>
      <c r="T1182" s="1175">
        <f>29.7-20.79</f>
        <v>8.91</v>
      </c>
      <c r="U1182" s="648"/>
      <c r="V1182" s="1176"/>
      <c r="W1182" s="784"/>
      <c r="X1182" s="663"/>
    </row>
    <row r="1183" spans="1:257" s="641" customFormat="1" hidden="1">
      <c r="A1183" s="635">
        <v>3</v>
      </c>
      <c r="B1183" s="668" t="s">
        <v>619</v>
      </c>
      <c r="C1183" s="635"/>
      <c r="D1183" s="635"/>
      <c r="E1183" s="651"/>
      <c r="F1183" s="651"/>
      <c r="G1183" s="651"/>
      <c r="H1183" s="651"/>
      <c r="I1183" s="651"/>
      <c r="J1183" s="651"/>
      <c r="K1183" s="651">
        <v>400000000</v>
      </c>
      <c r="L1183" s="1305">
        <v>400000000</v>
      </c>
      <c r="M1183" s="651" t="s">
        <v>1260</v>
      </c>
      <c r="N1183" s="1177"/>
      <c r="O1183" s="1177"/>
      <c r="P1183" s="1177"/>
      <c r="Q1183" s="1177"/>
      <c r="R1183" s="1178"/>
      <c r="S1183" s="1179"/>
      <c r="T1183" s="1180"/>
      <c r="U1183" s="637"/>
      <c r="V1183" s="1167"/>
      <c r="W1183" s="639"/>
      <c r="X1183" s="640"/>
    </row>
    <row r="1184" spans="1:257" s="749" customFormat="1" hidden="1">
      <c r="A1184" s="774">
        <v>4</v>
      </c>
      <c r="B1184" s="902" t="s">
        <v>1261</v>
      </c>
      <c r="C1184" s="774"/>
      <c r="D1184" s="774"/>
      <c r="E1184" s="676"/>
      <c r="F1184" s="676">
        <v>450000000</v>
      </c>
      <c r="G1184" s="676" t="s">
        <v>209</v>
      </c>
      <c r="H1184" s="676"/>
      <c r="I1184" s="676"/>
      <c r="J1184" s="676"/>
      <c r="K1184" s="676"/>
      <c r="L1184" s="1305"/>
      <c r="M1184" s="676"/>
      <c r="N1184" s="1172"/>
      <c r="O1184" s="1172"/>
      <c r="P1184" s="1172"/>
      <c r="Q1184" s="1172"/>
      <c r="R1184" s="1173" t="s">
        <v>1262</v>
      </c>
      <c r="S1184" s="1174"/>
      <c r="T1184" s="1175"/>
      <c r="U1184" s="648"/>
      <c r="V1184" s="1176"/>
      <c r="W1184" s="784"/>
      <c r="X1184" s="663"/>
    </row>
    <row r="1185" spans="1:24" s="749" customFormat="1" ht="31.5" hidden="1">
      <c r="A1185" s="774">
        <v>5</v>
      </c>
      <c r="B1185" s="902" t="s">
        <v>1263</v>
      </c>
      <c r="C1185" s="774"/>
      <c r="D1185" s="774"/>
      <c r="E1185" s="676"/>
      <c r="F1185" s="676">
        <v>248000000</v>
      </c>
      <c r="G1185" s="676" t="s">
        <v>1264</v>
      </c>
      <c r="H1185" s="676"/>
      <c r="I1185" s="676"/>
      <c r="J1185" s="676"/>
      <c r="K1185" s="676"/>
      <c r="L1185" s="1305"/>
      <c r="M1185" s="676"/>
      <c r="N1185" s="1172"/>
      <c r="O1185" s="1172"/>
      <c r="P1185" s="1172"/>
      <c r="Q1185" s="1172"/>
      <c r="R1185" s="1173"/>
      <c r="S1185" s="1174"/>
      <c r="T1185" s="1175"/>
      <c r="U1185" s="648"/>
      <c r="V1185" s="1176"/>
      <c r="W1185" s="784"/>
      <c r="X1185" s="663"/>
    </row>
    <row r="1186" spans="1:24" s="749" customFormat="1" ht="45.75" hidden="1" customHeight="1">
      <c r="A1186" s="774">
        <v>6</v>
      </c>
      <c r="B1186" s="902" t="s">
        <v>1265</v>
      </c>
      <c r="C1186" s="774"/>
      <c r="D1186" s="774"/>
      <c r="E1186" s="676"/>
      <c r="F1186" s="676">
        <v>1025000000</v>
      </c>
      <c r="G1186" s="676" t="s">
        <v>1266</v>
      </c>
      <c r="H1186" s="676"/>
      <c r="I1186" s="676"/>
      <c r="J1186" s="676"/>
      <c r="K1186" s="676">
        <v>1000000000</v>
      </c>
      <c r="L1186" s="1305">
        <v>1000000000</v>
      </c>
      <c r="M1186" s="676" t="s">
        <v>1259</v>
      </c>
      <c r="N1186" s="1172" t="s">
        <v>617</v>
      </c>
      <c r="O1186" s="1172"/>
      <c r="P1186" s="1172"/>
      <c r="Q1186" s="1172"/>
      <c r="R1186" s="1173">
        <v>2647</v>
      </c>
      <c r="S1186" s="1174"/>
      <c r="T1186" s="1175"/>
      <c r="U1186" s="648"/>
      <c r="V1186" s="1176"/>
      <c r="W1186" s="784"/>
      <c r="X1186" s="663"/>
    </row>
    <row r="1187" spans="1:24" s="641" customFormat="1" ht="56.25" hidden="1" customHeight="1">
      <c r="A1187" s="635">
        <v>7</v>
      </c>
      <c r="B1187" s="696" t="s">
        <v>1695</v>
      </c>
      <c r="C1187" s="635"/>
      <c r="D1187" s="635"/>
      <c r="E1187" s="651"/>
      <c r="F1187" s="651">
        <v>2330000000</v>
      </c>
      <c r="G1187" s="651" t="s">
        <v>1267</v>
      </c>
      <c r="H1187" s="651"/>
      <c r="I1187" s="651"/>
      <c r="J1187" s="651"/>
      <c r="K1187" s="651">
        <v>2706000000</v>
      </c>
      <c r="L1187" s="1305">
        <v>2706000000</v>
      </c>
      <c r="M1187" s="651" t="s">
        <v>1521</v>
      </c>
      <c r="N1187" s="1177" t="s">
        <v>617</v>
      </c>
      <c r="O1187" s="1177"/>
      <c r="P1187" s="1177"/>
      <c r="Q1187" s="1177"/>
      <c r="R1187" s="1178">
        <f>R1180-R1186</f>
        <v>28014.577999999998</v>
      </c>
      <c r="S1187" s="1179"/>
      <c r="T1187" s="1180"/>
      <c r="U1187" s="637"/>
      <c r="V1187" s="1167"/>
      <c r="W1187" s="639"/>
      <c r="X1187" s="640"/>
    </row>
    <row r="1188" spans="1:24" s="582" customFormat="1">
      <c r="A1188" s="590" t="s">
        <v>621</v>
      </c>
      <c r="B1188" s="607" t="s">
        <v>622</v>
      </c>
      <c r="C1188" s="617"/>
      <c r="D1188" s="617"/>
      <c r="E1188" s="618"/>
      <c r="F1188" s="609">
        <f t="shared" ref="F1188:J1188" si="102">F1189+F1190</f>
        <v>116563000000</v>
      </c>
      <c r="G1188" s="609">
        <f t="shared" si="102"/>
        <v>0</v>
      </c>
      <c r="H1188" s="609">
        <f t="shared" si="102"/>
        <v>0</v>
      </c>
      <c r="I1188" s="609">
        <f t="shared" si="102"/>
        <v>0</v>
      </c>
      <c r="J1188" s="609">
        <f t="shared" si="102"/>
        <v>130000000000</v>
      </c>
      <c r="K1188" s="609">
        <f>K1189+K1190</f>
        <v>132451000000</v>
      </c>
      <c r="L1188" s="1303">
        <f>L1189+L1190</f>
        <v>185075141568</v>
      </c>
      <c r="M1188" s="609">
        <f>L1188-K1188</f>
        <v>52624141568</v>
      </c>
      <c r="N1188" s="1181"/>
      <c r="O1188" s="1181"/>
      <c r="P1188" s="1182"/>
      <c r="Q1188" s="1182"/>
      <c r="R1188" s="1179"/>
      <c r="S1188" s="1183"/>
      <c r="T1188" s="1184"/>
      <c r="U1188" s="655"/>
      <c r="V1188" s="639"/>
      <c r="W1188" s="581"/>
      <c r="X1188" s="578"/>
    </row>
    <row r="1189" spans="1:24" s="582" customFormat="1">
      <c r="A1189" s="635">
        <v>1</v>
      </c>
      <c r="B1189" s="696" t="s">
        <v>623</v>
      </c>
      <c r="C1189" s="635"/>
      <c r="D1189" s="635"/>
      <c r="E1189" s="651"/>
      <c r="F1189" s="651">
        <f>ROUND(86636650000,-6)</f>
        <v>86637000000</v>
      </c>
      <c r="G1189" s="705"/>
      <c r="H1189" s="705"/>
      <c r="I1189" s="705"/>
      <c r="J1189" s="651">
        <v>95000000000</v>
      </c>
      <c r="K1189" s="651">
        <v>112215000000</v>
      </c>
      <c r="L1189" s="1305">
        <v>132937996775</v>
      </c>
      <c r="M1189" s="651">
        <f>L1189-K1189</f>
        <v>20722996775</v>
      </c>
      <c r="N1189" s="655"/>
      <c r="O1189" s="655"/>
      <c r="P1189" s="706"/>
      <c r="Q1189" s="706"/>
      <c r="R1189" s="706"/>
      <c r="S1189" s="640"/>
      <c r="T1189" s="584"/>
      <c r="U1189" s="1185"/>
      <c r="V1189" s="1167"/>
      <c r="W1189" s="581"/>
      <c r="X1189" s="578"/>
    </row>
    <row r="1190" spans="1:24" s="582" customFormat="1" ht="46.5" customHeight="1">
      <c r="A1190" s="635">
        <v>2</v>
      </c>
      <c r="B1190" s="696" t="s">
        <v>624</v>
      </c>
      <c r="C1190" s="635"/>
      <c r="D1190" s="635"/>
      <c r="E1190" s="651"/>
      <c r="F1190" s="651">
        <v>29926000000</v>
      </c>
      <c r="G1190" s="705"/>
      <c r="H1190" s="705"/>
      <c r="I1190" s="705"/>
      <c r="J1190" s="651">
        <v>35000000000</v>
      </c>
      <c r="K1190" s="651">
        <v>20236000000</v>
      </c>
      <c r="L1190" s="1305">
        <v>52137144793</v>
      </c>
      <c r="M1190" s="651">
        <f>L1190-K1190</f>
        <v>31901144793</v>
      </c>
      <c r="N1190" s="655"/>
      <c r="O1190" s="655"/>
      <c r="P1190" s="706"/>
      <c r="Q1190" s="706"/>
      <c r="R1190" s="674">
        <f>K1178/0.7*0.3</f>
        <v>0</v>
      </c>
      <c r="S1190" s="640"/>
      <c r="T1190" s="584"/>
      <c r="U1190" s="1185"/>
      <c r="V1190" s="581"/>
      <c r="W1190" s="581"/>
      <c r="X1190" s="578"/>
    </row>
    <row r="1191" spans="1:24" s="582" customFormat="1">
      <c r="A1191" s="590" t="s">
        <v>1268</v>
      </c>
      <c r="B1191" s="671" t="s">
        <v>1269</v>
      </c>
      <c r="C1191" s="590"/>
      <c r="D1191" s="590"/>
      <c r="E1191" s="609"/>
      <c r="F1191" s="609">
        <v>25000000000</v>
      </c>
      <c r="G1191" s="705" t="s">
        <v>1270</v>
      </c>
      <c r="H1191" s="705"/>
      <c r="I1191" s="705"/>
      <c r="J1191" s="609"/>
      <c r="K1191" s="609"/>
      <c r="L1191" s="1303"/>
      <c r="M1191" s="609"/>
      <c r="N1191" s="637"/>
      <c r="O1191" s="637"/>
      <c r="P1191" s="706"/>
      <c r="Q1191" s="706"/>
      <c r="R1191" s="1185"/>
      <c r="S1191" s="706"/>
      <c r="T1191" s="706"/>
      <c r="U1191" s="593"/>
      <c r="V1191" s="581"/>
      <c r="W1191" s="581"/>
      <c r="X1191" s="578"/>
    </row>
    <row r="1192" spans="1:24" s="582" customFormat="1" ht="31.5" customHeight="1">
      <c r="A1192" s="590" t="s">
        <v>625</v>
      </c>
      <c r="B1192" s="607" t="s">
        <v>626</v>
      </c>
      <c r="C1192" s="671"/>
      <c r="D1192" s="635"/>
      <c r="E1192" s="609"/>
      <c r="F1192" s="609">
        <v>158756000000</v>
      </c>
      <c r="G1192" s="592" t="s">
        <v>1271</v>
      </c>
      <c r="H1192" s="592"/>
      <c r="I1192" s="592"/>
      <c r="J1192" s="609">
        <v>165000000000</v>
      </c>
      <c r="K1192" s="609">
        <v>173186000000</v>
      </c>
      <c r="L1192" s="1303">
        <v>232162626568</v>
      </c>
      <c r="M1192" s="609">
        <f>L1192-L1188</f>
        <v>47087485000</v>
      </c>
      <c r="N1192" s="637"/>
      <c r="O1192" s="637"/>
      <c r="P1192" s="593"/>
      <c r="Q1192" s="593"/>
      <c r="R1192" s="674">
        <f>L1188+40735000000</f>
        <v>225810141568</v>
      </c>
      <c r="S1192" s="637"/>
      <c r="T1192" s="579"/>
      <c r="U1192" s="637"/>
      <c r="V1192" s="581"/>
      <c r="W1192" s="581"/>
      <c r="X1192" s="578"/>
    </row>
    <row r="1193" spans="1:24" s="582" customFormat="1" ht="31.5" hidden="1" customHeight="1">
      <c r="A1193" s="590" t="s">
        <v>627</v>
      </c>
      <c r="B1193" s="607" t="s">
        <v>628</v>
      </c>
      <c r="C1193" s="590"/>
      <c r="D1193" s="590"/>
      <c r="E1193" s="609"/>
      <c r="F1193" s="609">
        <f>F1194</f>
        <v>0</v>
      </c>
      <c r="G1193" s="645"/>
      <c r="H1193" s="645"/>
      <c r="I1193" s="645"/>
      <c r="J1193" s="609"/>
      <c r="K1193" s="609"/>
      <c r="L1193" s="1303"/>
      <c r="M1193" s="609"/>
      <c r="N1193" s="637"/>
      <c r="O1193" s="637"/>
      <c r="P1193" s="674"/>
      <c r="Q1193" s="674"/>
      <c r="R1193" s="706"/>
      <c r="S1193" s="578"/>
      <c r="T1193" s="579"/>
      <c r="U1193" s="1185"/>
      <c r="V1193" s="581"/>
      <c r="W1193" s="581"/>
      <c r="X1193" s="578"/>
    </row>
    <row r="1194" spans="1:24" s="582" customFormat="1" ht="15.75" hidden="1" customHeight="1">
      <c r="A1194" s="590"/>
      <c r="B1194" s="696" t="s">
        <v>1272</v>
      </c>
      <c r="C1194" s="590"/>
      <c r="D1194" s="590"/>
      <c r="E1194" s="609"/>
      <c r="F1194" s="651"/>
      <c r="G1194" s="651"/>
      <c r="H1194" s="651"/>
      <c r="I1194" s="651"/>
      <c r="J1194" s="651"/>
      <c r="K1194" s="651"/>
      <c r="L1194" s="1305"/>
      <c r="M1194" s="651"/>
      <c r="N1194" s="655"/>
      <c r="O1194" s="655"/>
      <c r="P1194" s="655"/>
      <c r="Q1194" s="655"/>
      <c r="R1194" s="593"/>
      <c r="S1194" s="578"/>
      <c r="T1194" s="579"/>
      <c r="U1194" s="579"/>
      <c r="V1194" s="581"/>
      <c r="W1194" s="581"/>
      <c r="X1194" s="578"/>
    </row>
    <row r="1195" spans="1:24" s="582" customFormat="1" ht="30.75" customHeight="1">
      <c r="A1195" s="635" t="s">
        <v>192</v>
      </c>
      <c r="B1195" s="607" t="s">
        <v>1273</v>
      </c>
      <c r="C1195" s="590"/>
      <c r="D1195" s="590"/>
      <c r="E1195" s="609"/>
      <c r="F1195" s="609">
        <f>ROUND(2567524000,-6)</f>
        <v>2568000000</v>
      </c>
      <c r="G1195" s="609" t="s">
        <v>1274</v>
      </c>
      <c r="H1195" s="609"/>
      <c r="I1195" s="609"/>
      <c r="J1195" s="609"/>
      <c r="K1195" s="609">
        <v>4412000000</v>
      </c>
      <c r="L1195" s="1303">
        <v>4552209000</v>
      </c>
      <c r="M1195" s="609"/>
      <c r="N1195" s="1186"/>
      <c r="O1195" s="1186"/>
      <c r="P1195" s="1186"/>
      <c r="Q1195" s="1186"/>
      <c r="R1195" s="1187"/>
      <c r="S1195" s="753"/>
      <c r="T1195" s="579"/>
      <c r="U1195" s="579"/>
      <c r="V1195" s="581"/>
      <c r="W1195" s="581"/>
      <c r="X1195" s="578"/>
    </row>
    <row r="1196" spans="1:24" s="582" customFormat="1">
      <c r="A1196" s="617" t="s">
        <v>629</v>
      </c>
      <c r="B1196" s="714" t="s">
        <v>1694</v>
      </c>
      <c r="C1196" s="617"/>
      <c r="D1196" s="617"/>
      <c r="E1196" s="1188"/>
      <c r="F1196" s="1189">
        <f>ROUND(3449849000,-6)</f>
        <v>3450000000</v>
      </c>
      <c r="G1196" s="1188"/>
      <c r="H1196" s="1188"/>
      <c r="I1196" s="1188"/>
      <c r="J1196" s="1189"/>
      <c r="K1196" s="1189">
        <v>5484967000</v>
      </c>
      <c r="L1196" s="1330">
        <v>3867085000</v>
      </c>
      <c r="M1196" s="1189"/>
      <c r="N1196" s="849"/>
      <c r="O1196" s="849"/>
      <c r="P1196" s="1185"/>
      <c r="Q1196" s="1185"/>
      <c r="R1196" s="578"/>
      <c r="S1196" s="578"/>
      <c r="T1196" s="579"/>
      <c r="U1196" s="579"/>
      <c r="V1196" s="581"/>
      <c r="W1196" s="581"/>
      <c r="X1196" s="578"/>
    </row>
    <row r="1197" spans="1:24" s="582" customFormat="1">
      <c r="A1197" s="583"/>
      <c r="B1197" s="584"/>
      <c r="C1197" s="583"/>
      <c r="D1197" s="583"/>
      <c r="E1197" s="585"/>
      <c r="F1197" s="585"/>
      <c r="G1197" s="585"/>
      <c r="H1197" s="585"/>
      <c r="I1197" s="585"/>
      <c r="J1197" s="585"/>
      <c r="K1197" s="585"/>
      <c r="L1197" s="1300"/>
      <c r="M1197" s="585"/>
      <c r="N1197" s="585"/>
      <c r="O1197" s="585"/>
      <c r="P1197" s="585"/>
      <c r="Q1197" s="585"/>
      <c r="R1197" s="578"/>
      <c r="S1197" s="578"/>
      <c r="T1197" s="579"/>
      <c r="U1197" s="579"/>
      <c r="V1197" s="581"/>
      <c r="W1197" s="581"/>
      <c r="X1197" s="578"/>
    </row>
    <row r="1198" spans="1:24" s="582" customFormat="1">
      <c r="A1198" s="583"/>
      <c r="B1198" s="584"/>
      <c r="C1198" s="583"/>
      <c r="D1198" s="583"/>
      <c r="E1198" s="585"/>
      <c r="F1198" s="770"/>
      <c r="G1198" s="770"/>
      <c r="H1198" s="770"/>
      <c r="I1198" s="770"/>
      <c r="J1198" s="770"/>
      <c r="K1198" s="770">
        <f>151+35</f>
        <v>186</v>
      </c>
      <c r="L1198" s="1331"/>
      <c r="M1198" s="770"/>
      <c r="N1198" s="770"/>
      <c r="O1198" s="770"/>
      <c r="P1198" s="770"/>
      <c r="Q1198" s="770"/>
      <c r="R1198" s="578"/>
      <c r="S1198" s="578"/>
      <c r="T1198" s="579"/>
      <c r="U1198" s="579"/>
      <c r="V1198" s="581"/>
      <c r="W1198" s="581"/>
      <c r="X1198" s="578"/>
    </row>
    <row r="1199" spans="1:24" s="582" customFormat="1">
      <c r="A1199" s="583"/>
      <c r="B1199" s="584"/>
      <c r="C1199" s="583"/>
      <c r="D1199" s="583"/>
      <c r="E1199" s="585"/>
      <c r="F1199" s="585"/>
      <c r="G1199" s="585"/>
      <c r="H1199" s="585"/>
      <c r="I1199" s="585"/>
      <c r="J1199" s="585"/>
      <c r="K1199" s="585">
        <f>K1198-165</f>
        <v>21</v>
      </c>
      <c r="L1199" s="1300"/>
      <c r="M1199" s="585"/>
      <c r="N1199" s="585"/>
      <c r="O1199" s="585"/>
      <c r="P1199" s="585"/>
      <c r="Q1199" s="585"/>
      <c r="R1199" s="578"/>
      <c r="S1199" s="578"/>
      <c r="T1199" s="579"/>
      <c r="U1199" s="579"/>
      <c r="V1199" s="581"/>
      <c r="W1199" s="581"/>
      <c r="X1199" s="578"/>
    </row>
    <row r="1200" spans="1:24" s="582" customFormat="1">
      <c r="A1200" s="583"/>
      <c r="B1200" s="584"/>
      <c r="C1200" s="583"/>
      <c r="D1200" s="583"/>
      <c r="E1200" s="585"/>
      <c r="F1200" s="585"/>
      <c r="G1200" s="585"/>
      <c r="H1200" s="585"/>
      <c r="I1200" s="585"/>
      <c r="J1200" s="585"/>
      <c r="K1200" s="585"/>
      <c r="L1200" s="1300"/>
      <c r="M1200" s="585"/>
      <c r="N1200" s="585"/>
      <c r="O1200" s="585"/>
      <c r="P1200" s="585"/>
      <c r="Q1200" s="585"/>
      <c r="R1200" s="581">
        <f>110*2.5%</f>
        <v>2.75</v>
      </c>
      <c r="S1200" s="578"/>
      <c r="T1200" s="579"/>
      <c r="U1200" s="579"/>
      <c r="V1200" s="581"/>
      <c r="W1200" s="581"/>
      <c r="X1200" s="578"/>
    </row>
    <row r="1201" spans="1:24" s="582" customFormat="1">
      <c r="A1201" s="583"/>
      <c r="B1201" s="584"/>
      <c r="C1201" s="583"/>
      <c r="D1201" s="583"/>
      <c r="E1201" s="585"/>
      <c r="F1201" s="644"/>
      <c r="G1201" s="585"/>
      <c r="H1201" s="585"/>
      <c r="I1201" s="585"/>
      <c r="J1201" s="644"/>
      <c r="K1201" s="644"/>
      <c r="L1201" s="1332"/>
      <c r="M1201" s="644"/>
      <c r="N1201" s="644"/>
      <c r="O1201" s="644"/>
      <c r="P1201" s="585"/>
      <c r="Q1201" s="585"/>
      <c r="R1201" s="578"/>
      <c r="S1201" s="578"/>
      <c r="T1201" s="579"/>
      <c r="U1201" s="579"/>
      <c r="V1201" s="581"/>
      <c r="W1201" s="581"/>
      <c r="X1201" s="578"/>
    </row>
    <row r="1202" spans="1:24" s="582" customFormat="1">
      <c r="A1202" s="583"/>
      <c r="B1202" s="584"/>
      <c r="C1202" s="583"/>
      <c r="D1202" s="583"/>
      <c r="E1202" s="585"/>
      <c r="F1202" s="585"/>
      <c r="G1202" s="585"/>
      <c r="H1202" s="585"/>
      <c r="I1202" s="585"/>
      <c r="J1202" s="585"/>
      <c r="K1202" s="585"/>
      <c r="L1202" s="1300"/>
      <c r="M1202" s="585"/>
      <c r="N1202" s="585"/>
      <c r="O1202" s="585"/>
      <c r="P1202" s="585"/>
      <c r="Q1202" s="585"/>
      <c r="R1202" s="578"/>
      <c r="S1202" s="578"/>
      <c r="T1202" s="579"/>
      <c r="U1202" s="579"/>
      <c r="V1202" s="581"/>
      <c r="W1202" s="581"/>
      <c r="X1202" s="578"/>
    </row>
    <row r="1203" spans="1:24" s="582" customFormat="1">
      <c r="A1203" s="583"/>
      <c r="B1203" s="584"/>
      <c r="C1203" s="583"/>
      <c r="D1203" s="583"/>
      <c r="E1203" s="585"/>
      <c r="F1203" s="585"/>
      <c r="G1203" s="585"/>
      <c r="H1203" s="585"/>
      <c r="I1203" s="585"/>
      <c r="J1203" s="585"/>
      <c r="K1203" s="585"/>
      <c r="L1203" s="1300"/>
      <c r="M1203" s="585"/>
      <c r="N1203" s="585"/>
      <c r="O1203" s="585"/>
      <c r="P1203" s="585"/>
      <c r="Q1203" s="585"/>
      <c r="R1203" s="578"/>
      <c r="S1203" s="578"/>
      <c r="T1203" s="579"/>
      <c r="U1203" s="579"/>
      <c r="V1203" s="581"/>
      <c r="W1203" s="581"/>
      <c r="X1203" s="578"/>
    </row>
    <row r="1204" spans="1:24" s="582" customFormat="1">
      <c r="A1204" s="583"/>
      <c r="B1204" s="584"/>
      <c r="C1204" s="583"/>
      <c r="D1204" s="583"/>
      <c r="E1204" s="585"/>
      <c r="F1204" s="585"/>
      <c r="G1204" s="585"/>
      <c r="H1204" s="585"/>
      <c r="I1204" s="585"/>
      <c r="J1204" s="585"/>
      <c r="K1204" s="585"/>
      <c r="L1204" s="1300"/>
      <c r="M1204" s="585"/>
      <c r="N1204" s="585"/>
      <c r="O1204" s="585"/>
      <c r="P1204" s="585"/>
      <c r="Q1204" s="585"/>
      <c r="R1204" s="578"/>
      <c r="S1204" s="578"/>
      <c r="T1204" s="579"/>
      <c r="U1204" s="579"/>
      <c r="V1204" s="581"/>
      <c r="W1204" s="581"/>
      <c r="X1204" s="578"/>
    </row>
    <row r="1205" spans="1:24" s="582" customFormat="1">
      <c r="A1205" s="583"/>
      <c r="B1205" s="584"/>
      <c r="C1205" s="583"/>
      <c r="D1205" s="583"/>
      <c r="E1205" s="585"/>
      <c r="F1205" s="585"/>
      <c r="G1205" s="585"/>
      <c r="H1205" s="585"/>
      <c r="I1205" s="585"/>
      <c r="J1205" s="585"/>
      <c r="K1205" s="585"/>
      <c r="L1205" s="1300"/>
      <c r="M1205" s="585"/>
      <c r="N1205" s="585"/>
      <c r="O1205" s="585"/>
      <c r="P1205" s="585"/>
      <c r="Q1205" s="585"/>
      <c r="R1205" s="578"/>
      <c r="S1205" s="578"/>
      <c r="T1205" s="579"/>
      <c r="U1205" s="579"/>
      <c r="V1205" s="581"/>
      <c r="W1205" s="581"/>
      <c r="X1205" s="578"/>
    </row>
    <row r="1206" spans="1:24" s="582" customFormat="1">
      <c r="A1206" s="583"/>
      <c r="B1206" s="584"/>
      <c r="C1206" s="583"/>
      <c r="D1206" s="583"/>
      <c r="E1206" s="585"/>
      <c r="F1206" s="585"/>
      <c r="G1206" s="585"/>
      <c r="H1206" s="585"/>
      <c r="I1206" s="585"/>
      <c r="J1206" s="585"/>
      <c r="K1206" s="585"/>
      <c r="L1206" s="1300"/>
      <c r="M1206" s="585">
        <v>113462000000</v>
      </c>
      <c r="N1206" s="585"/>
      <c r="O1206" s="585"/>
      <c r="P1206" s="585"/>
      <c r="Q1206" s="585"/>
      <c r="R1206" s="578"/>
      <c r="S1206" s="578"/>
      <c r="T1206" s="579"/>
      <c r="U1206" s="579"/>
      <c r="V1206" s="581"/>
      <c r="W1206" s="581"/>
      <c r="X1206" s="578"/>
    </row>
    <row r="1207" spans="1:24" s="582" customFormat="1">
      <c r="A1207" s="583"/>
      <c r="B1207" s="584"/>
      <c r="C1207" s="583"/>
      <c r="D1207" s="583"/>
      <c r="E1207" s="585"/>
      <c r="F1207" s="585"/>
      <c r="G1207" s="585"/>
      <c r="H1207" s="585"/>
      <c r="I1207" s="585"/>
      <c r="J1207" s="585"/>
      <c r="K1207" s="585"/>
      <c r="L1207" s="1300"/>
      <c r="M1207" s="585">
        <f>M1206-L1189</f>
        <v>-19475996775</v>
      </c>
      <c r="N1207" s="585"/>
      <c r="O1207" s="585"/>
      <c r="P1207" s="585"/>
      <c r="Q1207" s="585"/>
      <c r="R1207" s="578"/>
      <c r="S1207" s="578"/>
      <c r="T1207" s="579"/>
      <c r="U1207" s="579"/>
      <c r="V1207" s="581"/>
      <c r="W1207" s="581"/>
      <c r="X1207" s="578"/>
    </row>
    <row r="1208" spans="1:24" s="582" customFormat="1">
      <c r="A1208" s="583"/>
      <c r="B1208" s="584"/>
      <c r="C1208" s="583"/>
      <c r="D1208" s="583"/>
      <c r="E1208" s="585"/>
      <c r="F1208" s="585"/>
      <c r="G1208" s="585"/>
      <c r="H1208" s="585"/>
      <c r="I1208" s="585"/>
      <c r="J1208" s="585"/>
      <c r="K1208" s="585"/>
      <c r="L1208" s="1300"/>
      <c r="M1208" s="585"/>
      <c r="N1208" s="585"/>
      <c r="O1208" s="585"/>
      <c r="P1208" s="585"/>
      <c r="Q1208" s="585"/>
      <c r="R1208" s="578"/>
      <c r="S1208" s="578"/>
      <c r="T1208" s="579"/>
      <c r="U1208" s="579"/>
      <c r="V1208" s="581"/>
      <c r="W1208" s="581"/>
      <c r="X1208" s="578"/>
    </row>
    <row r="1209" spans="1:24" s="582" customFormat="1">
      <c r="A1209" s="583"/>
      <c r="B1209" s="584"/>
      <c r="C1209" s="583"/>
      <c r="D1209" s="583"/>
      <c r="E1209" s="585"/>
      <c r="F1209" s="585"/>
      <c r="G1209" s="585"/>
      <c r="H1209" s="585"/>
      <c r="I1209" s="585"/>
      <c r="J1209" s="585"/>
      <c r="K1209" s="585"/>
      <c r="L1209" s="1300"/>
      <c r="M1209" s="585"/>
      <c r="N1209" s="585"/>
      <c r="O1209" s="585"/>
      <c r="P1209" s="585"/>
      <c r="Q1209" s="585"/>
      <c r="R1209" s="578"/>
      <c r="S1209" s="578"/>
      <c r="T1209" s="579"/>
      <c r="U1209" s="579"/>
      <c r="V1209" s="581"/>
      <c r="W1209" s="581"/>
      <c r="X1209" s="578"/>
    </row>
    <row r="1210" spans="1:24" s="582" customFormat="1">
      <c r="A1210" s="583"/>
      <c r="B1210" s="584"/>
      <c r="C1210" s="583"/>
      <c r="D1210" s="583"/>
      <c r="E1210" s="585"/>
      <c r="F1210" s="585"/>
      <c r="G1210" s="585"/>
      <c r="H1210" s="585"/>
      <c r="I1210" s="585"/>
      <c r="J1210" s="585"/>
      <c r="K1210" s="585"/>
      <c r="L1210" s="1300"/>
      <c r="M1210" s="585"/>
      <c r="N1210" s="585"/>
      <c r="O1210" s="585"/>
      <c r="P1210" s="585"/>
      <c r="Q1210" s="585"/>
      <c r="R1210" s="578"/>
      <c r="S1210" s="578"/>
      <c r="T1210" s="579"/>
      <c r="U1210" s="579"/>
      <c r="V1210" s="581"/>
      <c r="W1210" s="581"/>
      <c r="X1210" s="578"/>
    </row>
    <row r="1211" spans="1:24" s="582" customFormat="1">
      <c r="A1211" s="583"/>
      <c r="B1211" s="584"/>
      <c r="C1211" s="583"/>
      <c r="D1211" s="583"/>
      <c r="E1211" s="585"/>
      <c r="F1211" s="585"/>
      <c r="G1211" s="585"/>
      <c r="H1211" s="585"/>
      <c r="I1211" s="585"/>
      <c r="J1211" s="585"/>
      <c r="K1211" s="585"/>
      <c r="L1211" s="1300"/>
      <c r="M1211" s="585"/>
      <c r="N1211" s="585"/>
      <c r="O1211" s="585"/>
      <c r="P1211" s="585"/>
      <c r="Q1211" s="585"/>
      <c r="R1211" s="578"/>
      <c r="S1211" s="578"/>
      <c r="T1211" s="579"/>
      <c r="U1211" s="579"/>
      <c r="V1211" s="581"/>
      <c r="W1211" s="581"/>
      <c r="X1211" s="578"/>
    </row>
    <row r="1212" spans="1:24" s="582" customFormat="1">
      <c r="A1212" s="583"/>
      <c r="B1212" s="584"/>
      <c r="C1212" s="583"/>
      <c r="D1212" s="583"/>
      <c r="E1212" s="585"/>
      <c r="F1212" s="585"/>
      <c r="G1212" s="585"/>
      <c r="H1212" s="585"/>
      <c r="I1212" s="585"/>
      <c r="J1212" s="585"/>
      <c r="K1212" s="585"/>
      <c r="L1212" s="1300"/>
      <c r="M1212" s="585"/>
      <c r="N1212" s="585"/>
      <c r="O1212" s="585"/>
      <c r="P1212" s="585"/>
      <c r="Q1212" s="585"/>
      <c r="R1212" s="578"/>
      <c r="S1212" s="578"/>
      <c r="T1212" s="579"/>
      <c r="U1212" s="579"/>
      <c r="V1212" s="581"/>
      <c r="W1212" s="581"/>
      <c r="X1212" s="578"/>
    </row>
    <row r="1213" spans="1:24" s="582" customFormat="1">
      <c r="A1213" s="583"/>
      <c r="B1213" s="584"/>
      <c r="C1213" s="583"/>
      <c r="D1213" s="583"/>
      <c r="E1213" s="585"/>
      <c r="F1213" s="585"/>
      <c r="G1213" s="585"/>
      <c r="H1213" s="585"/>
      <c r="I1213" s="585"/>
      <c r="J1213" s="585"/>
      <c r="K1213" s="585"/>
      <c r="L1213" s="1300"/>
      <c r="M1213" s="585"/>
      <c r="N1213" s="585"/>
      <c r="O1213" s="585"/>
      <c r="P1213" s="585"/>
      <c r="Q1213" s="585"/>
      <c r="R1213" s="578"/>
      <c r="S1213" s="578"/>
      <c r="T1213" s="579"/>
      <c r="U1213" s="579"/>
      <c r="V1213" s="581"/>
      <c r="W1213" s="581"/>
      <c r="X1213" s="578"/>
    </row>
    <row r="1214" spans="1:24" s="582" customFormat="1">
      <c r="A1214" s="583"/>
      <c r="B1214" s="584"/>
      <c r="C1214" s="583"/>
      <c r="D1214" s="583"/>
      <c r="E1214" s="585"/>
      <c r="F1214" s="585"/>
      <c r="G1214" s="585"/>
      <c r="H1214" s="585"/>
      <c r="I1214" s="585"/>
      <c r="J1214" s="585"/>
      <c r="K1214" s="585"/>
      <c r="L1214" s="1300"/>
      <c r="M1214" s="585"/>
      <c r="N1214" s="585"/>
      <c r="O1214" s="585"/>
      <c r="P1214" s="585"/>
      <c r="Q1214" s="585"/>
      <c r="R1214" s="578"/>
      <c r="S1214" s="578"/>
      <c r="T1214" s="579"/>
      <c r="U1214" s="579"/>
      <c r="V1214" s="581"/>
      <c r="W1214" s="581"/>
      <c r="X1214" s="578"/>
    </row>
    <row r="1215" spans="1:24" s="582" customFormat="1">
      <c r="A1215" s="583"/>
      <c r="B1215" s="584"/>
      <c r="C1215" s="583"/>
      <c r="D1215" s="583"/>
      <c r="E1215" s="585"/>
      <c r="F1215" s="585"/>
      <c r="G1215" s="585"/>
      <c r="H1215" s="585"/>
      <c r="I1215" s="585"/>
      <c r="J1215" s="585"/>
      <c r="K1215" s="585"/>
      <c r="L1215" s="1300"/>
      <c r="M1215" s="585"/>
      <c r="N1215" s="585"/>
      <c r="O1215" s="585"/>
      <c r="P1215" s="585"/>
      <c r="Q1215" s="585"/>
      <c r="R1215" s="578"/>
      <c r="S1215" s="578"/>
      <c r="T1215" s="579"/>
      <c r="U1215" s="579"/>
      <c r="V1215" s="581"/>
      <c r="W1215" s="581"/>
      <c r="X1215" s="578"/>
    </row>
    <row r="1216" spans="1:24" s="582" customFormat="1">
      <c r="A1216" s="583"/>
      <c r="B1216" s="584"/>
      <c r="C1216" s="583"/>
      <c r="D1216" s="583"/>
      <c r="E1216" s="585"/>
      <c r="F1216" s="585"/>
      <c r="G1216" s="585"/>
      <c r="H1216" s="585"/>
      <c r="I1216" s="585"/>
      <c r="J1216" s="585"/>
      <c r="K1216" s="585"/>
      <c r="L1216" s="1300"/>
      <c r="M1216" s="585"/>
      <c r="N1216" s="585"/>
      <c r="O1216" s="585"/>
      <c r="P1216" s="585"/>
      <c r="Q1216" s="585"/>
      <c r="R1216" s="578"/>
      <c r="S1216" s="578"/>
      <c r="T1216" s="579"/>
      <c r="U1216" s="579"/>
      <c r="V1216" s="581"/>
      <c r="W1216" s="581"/>
      <c r="X1216" s="578"/>
    </row>
    <row r="1217" spans="1:24" s="582" customFormat="1">
      <c r="A1217" s="583"/>
      <c r="B1217" s="584"/>
      <c r="C1217" s="583"/>
      <c r="D1217" s="583"/>
      <c r="E1217" s="585"/>
      <c r="F1217" s="585"/>
      <c r="G1217" s="585"/>
      <c r="H1217" s="585"/>
      <c r="I1217" s="585"/>
      <c r="J1217" s="585"/>
      <c r="K1217" s="585"/>
      <c r="L1217" s="1300"/>
      <c r="M1217" s="585"/>
      <c r="N1217" s="585"/>
      <c r="O1217" s="585"/>
      <c r="P1217" s="585"/>
      <c r="Q1217" s="585"/>
      <c r="R1217" s="578"/>
      <c r="S1217" s="578"/>
      <c r="T1217" s="579"/>
      <c r="U1217" s="579"/>
      <c r="V1217" s="581"/>
      <c r="W1217" s="581"/>
      <c r="X1217" s="578"/>
    </row>
    <row r="1218" spans="1:24" s="582" customFormat="1">
      <c r="A1218" s="583"/>
      <c r="B1218" s="584"/>
      <c r="C1218" s="583"/>
      <c r="D1218" s="583"/>
      <c r="E1218" s="585"/>
      <c r="F1218" s="585"/>
      <c r="G1218" s="585"/>
      <c r="H1218" s="585"/>
      <c r="I1218" s="585"/>
      <c r="J1218" s="585"/>
      <c r="K1218" s="585"/>
      <c r="L1218" s="1300"/>
      <c r="M1218" s="585"/>
      <c r="N1218" s="585"/>
      <c r="O1218" s="585"/>
      <c r="P1218" s="585"/>
      <c r="Q1218" s="585"/>
      <c r="R1218" s="578"/>
      <c r="S1218" s="578"/>
      <c r="T1218" s="579"/>
      <c r="U1218" s="579"/>
      <c r="V1218" s="581"/>
      <c r="W1218" s="581"/>
      <c r="X1218" s="578"/>
    </row>
    <row r="1219" spans="1:24" s="582" customFormat="1">
      <c r="A1219" s="583"/>
      <c r="B1219" s="584"/>
      <c r="C1219" s="583"/>
      <c r="D1219" s="583"/>
      <c r="E1219" s="585"/>
      <c r="F1219" s="585"/>
      <c r="G1219" s="585"/>
      <c r="H1219" s="585"/>
      <c r="I1219" s="585"/>
      <c r="J1219" s="585"/>
      <c r="K1219" s="585"/>
      <c r="L1219" s="1300"/>
      <c r="M1219" s="585"/>
      <c r="N1219" s="585"/>
      <c r="O1219" s="585"/>
      <c r="P1219" s="585"/>
      <c r="Q1219" s="585"/>
      <c r="R1219" s="578"/>
      <c r="S1219" s="578"/>
      <c r="T1219" s="579"/>
      <c r="U1219" s="579"/>
      <c r="V1219" s="581"/>
      <c r="W1219" s="581"/>
      <c r="X1219" s="578"/>
    </row>
    <row r="1220" spans="1:24" s="582" customFormat="1">
      <c r="A1220" s="583"/>
      <c r="B1220" s="584"/>
      <c r="C1220" s="583"/>
      <c r="D1220" s="583"/>
      <c r="E1220" s="585"/>
      <c r="F1220" s="585"/>
      <c r="G1220" s="585"/>
      <c r="H1220" s="585"/>
      <c r="I1220" s="585"/>
      <c r="J1220" s="585"/>
      <c r="K1220" s="585"/>
      <c r="L1220" s="1300"/>
      <c r="M1220" s="585"/>
      <c r="N1220" s="585"/>
      <c r="O1220" s="585"/>
      <c r="P1220" s="585"/>
      <c r="Q1220" s="585"/>
      <c r="R1220" s="578"/>
      <c r="S1220" s="578"/>
      <c r="T1220" s="579"/>
      <c r="U1220" s="579"/>
      <c r="V1220" s="581"/>
      <c r="W1220" s="581"/>
      <c r="X1220" s="578"/>
    </row>
    <row r="1221" spans="1:24" s="582" customFormat="1">
      <c r="A1221" s="583"/>
      <c r="B1221" s="584"/>
      <c r="C1221" s="583"/>
      <c r="D1221" s="583"/>
      <c r="E1221" s="585"/>
      <c r="F1221" s="644">
        <f>1299817*0.5%</f>
        <v>6499.085</v>
      </c>
      <c r="G1221" s="585"/>
      <c r="H1221" s="585"/>
      <c r="I1221" s="585"/>
      <c r="J1221" s="644"/>
      <c r="K1221" s="644"/>
      <c r="L1221" s="1332"/>
      <c r="M1221" s="644"/>
      <c r="N1221" s="644"/>
      <c r="O1221" s="644"/>
      <c r="P1221" s="585"/>
      <c r="Q1221" s="585"/>
      <c r="R1221" s="578"/>
      <c r="S1221" s="578"/>
      <c r="T1221" s="579"/>
      <c r="U1221" s="579"/>
      <c r="V1221" s="581"/>
      <c r="W1221" s="581"/>
      <c r="X1221" s="578"/>
    </row>
    <row r="1222" spans="1:24" s="582" customFormat="1">
      <c r="A1222" s="583"/>
      <c r="B1222" s="584"/>
      <c r="C1222" s="583"/>
      <c r="D1222" s="583"/>
      <c r="E1222" s="585"/>
      <c r="F1222" s="585"/>
      <c r="G1222" s="585"/>
      <c r="H1222" s="585"/>
      <c r="I1222" s="585"/>
      <c r="J1222" s="585"/>
      <c r="K1222" s="585"/>
      <c r="L1222" s="1300"/>
      <c r="M1222" s="585"/>
      <c r="N1222" s="585"/>
      <c r="O1222" s="585"/>
      <c r="P1222" s="585"/>
      <c r="Q1222" s="585"/>
      <c r="R1222" s="578"/>
      <c r="S1222" s="578"/>
      <c r="T1222" s="579"/>
      <c r="U1222" s="579"/>
      <c r="V1222" s="581"/>
      <c r="W1222" s="581"/>
      <c r="X1222" s="578"/>
    </row>
    <row r="1223" spans="1:24" s="582" customFormat="1">
      <c r="A1223" s="583"/>
      <c r="B1223" s="584"/>
      <c r="C1223" s="583"/>
      <c r="D1223" s="583"/>
      <c r="E1223" s="585"/>
      <c r="F1223" s="585"/>
      <c r="G1223" s="585"/>
      <c r="H1223" s="585"/>
      <c r="I1223" s="585"/>
      <c r="J1223" s="585"/>
      <c r="K1223" s="585"/>
      <c r="L1223" s="1300"/>
      <c r="M1223" s="585"/>
      <c r="N1223" s="585"/>
      <c r="O1223" s="585"/>
      <c r="P1223" s="585"/>
      <c r="Q1223" s="585"/>
      <c r="R1223" s="578"/>
      <c r="S1223" s="578"/>
      <c r="T1223" s="579"/>
      <c r="U1223" s="579"/>
      <c r="V1223" s="581"/>
      <c r="W1223" s="581"/>
      <c r="X1223" s="578"/>
    </row>
    <row r="1224" spans="1:24" s="582" customFormat="1">
      <c r="A1224" s="583"/>
      <c r="B1224" s="584"/>
      <c r="C1224" s="583"/>
      <c r="D1224" s="583"/>
      <c r="E1224" s="585"/>
      <c r="F1224" s="585"/>
      <c r="G1224" s="585"/>
      <c r="H1224" s="585"/>
      <c r="I1224" s="585"/>
      <c r="J1224" s="585"/>
      <c r="K1224" s="585"/>
      <c r="L1224" s="1300"/>
      <c r="M1224" s="585"/>
      <c r="N1224" s="585"/>
      <c r="O1224" s="585"/>
      <c r="P1224" s="585"/>
      <c r="Q1224" s="585"/>
      <c r="R1224" s="578"/>
      <c r="S1224" s="578"/>
      <c r="T1224" s="579"/>
      <c r="U1224" s="579"/>
      <c r="V1224" s="581"/>
      <c r="W1224" s="581"/>
      <c r="X1224" s="578"/>
    </row>
    <row r="1225" spans="1:24" s="582" customFormat="1">
      <c r="A1225" s="583"/>
      <c r="B1225" s="584"/>
      <c r="C1225" s="583"/>
      <c r="D1225" s="583"/>
      <c r="E1225" s="585"/>
      <c r="F1225" s="585"/>
      <c r="G1225" s="585"/>
      <c r="H1225" s="585"/>
      <c r="I1225" s="585"/>
      <c r="J1225" s="585"/>
      <c r="K1225" s="585"/>
      <c r="L1225" s="1300"/>
      <c r="M1225" s="585"/>
      <c r="N1225" s="585"/>
      <c r="O1225" s="585"/>
      <c r="P1225" s="585"/>
      <c r="Q1225" s="585"/>
      <c r="R1225" s="578"/>
      <c r="S1225" s="578"/>
      <c r="T1225" s="579"/>
      <c r="U1225" s="579"/>
      <c r="V1225" s="581"/>
      <c r="W1225" s="581"/>
      <c r="X1225" s="578"/>
    </row>
    <row r="1226" spans="1:24" s="582" customFormat="1">
      <c r="A1226" s="583"/>
      <c r="B1226" s="584"/>
      <c r="C1226" s="583"/>
      <c r="D1226" s="583"/>
      <c r="E1226" s="585"/>
      <c r="F1226" s="585"/>
      <c r="G1226" s="585"/>
      <c r="H1226" s="585"/>
      <c r="I1226" s="585"/>
      <c r="J1226" s="585"/>
      <c r="K1226" s="585"/>
      <c r="L1226" s="1300"/>
      <c r="M1226" s="585"/>
      <c r="N1226" s="585"/>
      <c r="O1226" s="585"/>
      <c r="P1226" s="585"/>
      <c r="Q1226" s="585"/>
      <c r="R1226" s="578"/>
      <c r="S1226" s="578"/>
      <c r="T1226" s="579"/>
      <c r="U1226" s="579"/>
      <c r="V1226" s="581"/>
      <c r="W1226" s="581"/>
      <c r="X1226" s="578"/>
    </row>
    <row r="1227" spans="1:24" s="582" customFormat="1">
      <c r="A1227" s="583"/>
      <c r="B1227" s="584"/>
      <c r="C1227" s="583"/>
      <c r="D1227" s="583"/>
      <c r="E1227" s="585"/>
      <c r="F1227" s="585"/>
      <c r="G1227" s="585"/>
      <c r="H1227" s="585"/>
      <c r="I1227" s="585"/>
      <c r="J1227" s="585"/>
      <c r="K1227" s="585"/>
      <c r="L1227" s="1300"/>
      <c r="M1227" s="585"/>
      <c r="N1227" s="585"/>
      <c r="O1227" s="585"/>
      <c r="P1227" s="585"/>
      <c r="Q1227" s="585"/>
      <c r="R1227" s="578"/>
      <c r="S1227" s="578"/>
      <c r="T1227" s="579"/>
      <c r="U1227" s="579"/>
      <c r="V1227" s="581"/>
      <c r="W1227" s="581"/>
      <c r="X1227" s="578"/>
    </row>
    <row r="1228" spans="1:24" s="582" customFormat="1">
      <c r="A1228" s="583"/>
      <c r="B1228" s="584"/>
      <c r="C1228" s="583"/>
      <c r="D1228" s="583"/>
      <c r="E1228" s="585"/>
      <c r="F1228" s="585"/>
      <c r="G1228" s="585"/>
      <c r="H1228" s="585"/>
      <c r="I1228" s="585"/>
      <c r="J1228" s="585"/>
      <c r="K1228" s="585"/>
      <c r="L1228" s="1300"/>
      <c r="M1228" s="585"/>
      <c r="N1228" s="585"/>
      <c r="O1228" s="585"/>
      <c r="P1228" s="585"/>
      <c r="Q1228" s="585"/>
      <c r="R1228" s="578"/>
      <c r="S1228" s="578"/>
      <c r="T1228" s="579"/>
      <c r="U1228" s="579"/>
      <c r="V1228" s="581"/>
      <c r="W1228" s="581"/>
      <c r="X1228" s="578"/>
    </row>
    <row r="1229" spans="1:24" s="582" customFormat="1">
      <c r="A1229" s="583"/>
      <c r="B1229" s="584"/>
      <c r="C1229" s="583"/>
      <c r="D1229" s="583"/>
      <c r="E1229" s="585"/>
      <c r="F1229" s="585"/>
      <c r="G1229" s="585"/>
      <c r="H1229" s="585"/>
      <c r="I1229" s="585"/>
      <c r="J1229" s="585"/>
      <c r="K1229" s="585"/>
      <c r="L1229" s="1300"/>
      <c r="M1229" s="585"/>
      <c r="N1229" s="585"/>
      <c r="O1229" s="585"/>
      <c r="P1229" s="585"/>
      <c r="Q1229" s="585"/>
      <c r="R1229" s="578"/>
      <c r="S1229" s="578"/>
      <c r="T1229" s="579"/>
      <c r="U1229" s="579"/>
      <c r="V1229" s="581"/>
      <c r="W1229" s="581"/>
      <c r="X1229" s="578"/>
    </row>
    <row r="1230" spans="1:24" s="582" customFormat="1">
      <c r="A1230" s="583"/>
      <c r="B1230" s="584"/>
      <c r="C1230" s="583"/>
      <c r="D1230" s="583"/>
      <c r="E1230" s="585"/>
      <c r="F1230" s="585"/>
      <c r="G1230" s="585"/>
      <c r="H1230" s="585"/>
      <c r="I1230" s="585"/>
      <c r="J1230" s="585"/>
      <c r="K1230" s="585"/>
      <c r="L1230" s="1300"/>
      <c r="M1230" s="585"/>
      <c r="N1230" s="585"/>
      <c r="O1230" s="585"/>
      <c r="P1230" s="585"/>
      <c r="Q1230" s="585"/>
      <c r="R1230" s="578"/>
      <c r="S1230" s="578"/>
      <c r="T1230" s="579"/>
      <c r="U1230" s="579"/>
      <c r="V1230" s="581"/>
      <c r="W1230" s="581"/>
      <c r="X1230" s="578"/>
    </row>
    <row r="1231" spans="1:24" s="582" customFormat="1">
      <c r="A1231" s="583"/>
      <c r="B1231" s="584"/>
      <c r="C1231" s="583"/>
      <c r="D1231" s="583"/>
      <c r="E1231" s="585"/>
      <c r="F1231" s="585"/>
      <c r="G1231" s="585"/>
      <c r="H1231" s="585"/>
      <c r="I1231" s="585"/>
      <c r="J1231" s="585"/>
      <c r="K1231" s="585"/>
      <c r="L1231" s="1300"/>
      <c r="M1231" s="585"/>
      <c r="N1231" s="585"/>
      <c r="O1231" s="585"/>
      <c r="P1231" s="585"/>
      <c r="Q1231" s="585"/>
      <c r="R1231" s="578"/>
      <c r="S1231" s="578"/>
      <c r="T1231" s="579"/>
      <c r="U1231" s="579"/>
      <c r="V1231" s="581"/>
      <c r="W1231" s="581"/>
      <c r="X1231" s="578"/>
    </row>
    <row r="1232" spans="1:24" s="582" customFormat="1">
      <c r="A1232" s="583"/>
      <c r="B1232" s="584"/>
      <c r="C1232" s="583"/>
      <c r="D1232" s="583"/>
      <c r="E1232" s="585"/>
      <c r="F1232" s="585"/>
      <c r="G1232" s="585"/>
      <c r="H1232" s="585"/>
      <c r="I1232" s="585"/>
      <c r="J1232" s="585"/>
      <c r="K1232" s="585"/>
      <c r="L1232" s="1300"/>
      <c r="M1232" s="585"/>
      <c r="N1232" s="585"/>
      <c r="O1232" s="585"/>
      <c r="P1232" s="585"/>
      <c r="Q1232" s="585"/>
      <c r="R1232" s="578"/>
      <c r="S1232" s="578"/>
      <c r="T1232" s="579"/>
      <c r="U1232" s="579"/>
      <c r="V1232" s="581"/>
      <c r="W1232" s="581"/>
      <c r="X1232" s="578"/>
    </row>
    <row r="1233" spans="1:24" s="582" customFormat="1">
      <c r="A1233" s="583"/>
      <c r="B1233" s="584"/>
      <c r="C1233" s="583"/>
      <c r="D1233" s="583"/>
      <c r="E1233" s="585"/>
      <c r="F1233" s="585"/>
      <c r="G1233" s="585"/>
      <c r="H1233" s="585"/>
      <c r="I1233" s="585"/>
      <c r="J1233" s="585"/>
      <c r="K1233" s="585"/>
      <c r="L1233" s="1300"/>
      <c r="M1233" s="585"/>
      <c r="N1233" s="585"/>
      <c r="O1233" s="585"/>
      <c r="P1233" s="585"/>
      <c r="Q1233" s="585"/>
      <c r="R1233" s="578"/>
      <c r="S1233" s="578"/>
      <c r="T1233" s="579"/>
      <c r="U1233" s="579"/>
      <c r="V1233" s="581"/>
      <c r="W1233" s="581"/>
      <c r="X1233" s="578"/>
    </row>
    <row r="1234" spans="1:24" s="582" customFormat="1">
      <c r="A1234" s="583"/>
      <c r="B1234" s="584"/>
      <c r="C1234" s="583"/>
      <c r="D1234" s="583"/>
      <c r="E1234" s="585"/>
      <c r="F1234" s="585"/>
      <c r="G1234" s="585"/>
      <c r="H1234" s="585"/>
      <c r="I1234" s="585"/>
      <c r="J1234" s="585"/>
      <c r="K1234" s="585"/>
      <c r="L1234" s="1300"/>
      <c r="M1234" s="585"/>
      <c r="N1234" s="585"/>
      <c r="O1234" s="585"/>
      <c r="P1234" s="585"/>
      <c r="Q1234" s="585"/>
      <c r="R1234" s="578"/>
      <c r="S1234" s="578"/>
      <c r="T1234" s="579"/>
      <c r="U1234" s="579"/>
      <c r="V1234" s="581"/>
      <c r="W1234" s="581"/>
      <c r="X1234" s="578"/>
    </row>
    <row r="1235" spans="1:24" s="582" customFormat="1">
      <c r="A1235" s="583"/>
      <c r="B1235" s="584">
        <f>151599-1334-2666</f>
        <v>147599</v>
      </c>
      <c r="C1235" s="583"/>
      <c r="D1235" s="583"/>
      <c r="E1235" s="585"/>
      <c r="F1235" s="585"/>
      <c r="G1235" s="585"/>
      <c r="H1235" s="585"/>
      <c r="I1235" s="585"/>
      <c r="J1235" s="585"/>
      <c r="K1235" s="585"/>
      <c r="L1235" s="1300"/>
      <c r="M1235" s="585"/>
      <c r="N1235" s="585"/>
      <c r="O1235" s="585"/>
      <c r="P1235" s="585"/>
      <c r="Q1235" s="585"/>
      <c r="R1235" s="578"/>
      <c r="S1235" s="578"/>
      <c r="T1235" s="579"/>
      <c r="U1235" s="579"/>
      <c r="V1235" s="581"/>
      <c r="W1235" s="581"/>
      <c r="X1235" s="578"/>
    </row>
    <row r="1236" spans="1:24" s="582" customFormat="1">
      <c r="A1236" s="583"/>
      <c r="B1236" s="584">
        <f>B1235-16850</f>
        <v>130749</v>
      </c>
      <c r="C1236" s="583"/>
      <c r="D1236" s="583"/>
      <c r="E1236" s="585"/>
      <c r="F1236" s="585"/>
      <c r="G1236" s="585"/>
      <c r="H1236" s="585"/>
      <c r="I1236" s="585"/>
      <c r="J1236" s="585"/>
      <c r="K1236" s="585"/>
      <c r="L1236" s="1300"/>
      <c r="M1236" s="585"/>
      <c r="N1236" s="585"/>
      <c r="O1236" s="585"/>
      <c r="P1236" s="585"/>
      <c r="Q1236" s="585"/>
      <c r="R1236" s="578"/>
      <c r="S1236" s="578"/>
      <c r="T1236" s="579"/>
      <c r="U1236" s="579"/>
      <c r="V1236" s="581"/>
      <c r="W1236" s="581"/>
      <c r="X1236" s="578"/>
    </row>
    <row r="1237" spans="1:24" s="582" customFormat="1">
      <c r="A1237" s="583"/>
      <c r="B1237" s="584"/>
      <c r="C1237" s="583"/>
      <c r="D1237" s="583"/>
      <c r="E1237" s="585"/>
      <c r="F1237" s="585"/>
      <c r="G1237" s="585"/>
      <c r="H1237" s="585"/>
      <c r="I1237" s="585"/>
      <c r="J1237" s="585"/>
      <c r="K1237" s="585"/>
      <c r="L1237" s="1300"/>
      <c r="M1237" s="585"/>
      <c r="N1237" s="585"/>
      <c r="O1237" s="585"/>
      <c r="P1237" s="585"/>
      <c r="Q1237" s="585"/>
      <c r="R1237" s="578"/>
      <c r="S1237" s="578"/>
      <c r="T1237" s="579"/>
      <c r="U1237" s="579"/>
      <c r="V1237" s="581"/>
      <c r="W1237" s="581"/>
      <c r="X1237" s="578"/>
    </row>
    <row r="1238" spans="1:24" s="582" customFormat="1">
      <c r="A1238" s="583"/>
      <c r="B1238" s="584"/>
      <c r="C1238" s="583"/>
      <c r="D1238" s="583"/>
      <c r="E1238" s="585"/>
      <c r="F1238" s="585"/>
      <c r="G1238" s="585"/>
      <c r="H1238" s="585"/>
      <c r="I1238" s="585"/>
      <c r="J1238" s="585"/>
      <c r="K1238" s="585"/>
      <c r="L1238" s="1300"/>
      <c r="M1238" s="585"/>
      <c r="N1238" s="585"/>
      <c r="O1238" s="585"/>
      <c r="P1238" s="585"/>
      <c r="Q1238" s="585"/>
      <c r="R1238" s="578"/>
      <c r="S1238" s="578"/>
      <c r="T1238" s="579"/>
      <c r="U1238" s="579"/>
      <c r="V1238" s="581"/>
      <c r="W1238" s="581"/>
      <c r="X1238" s="578"/>
    </row>
    <row r="1239" spans="1:24" s="582" customFormat="1">
      <c r="A1239" s="583"/>
      <c r="B1239" s="584"/>
      <c r="C1239" s="583"/>
      <c r="D1239" s="583"/>
      <c r="E1239" s="585"/>
      <c r="F1239" s="585"/>
      <c r="G1239" s="585"/>
      <c r="H1239" s="585"/>
      <c r="I1239" s="585"/>
      <c r="J1239" s="585"/>
      <c r="K1239" s="585"/>
      <c r="L1239" s="1300"/>
      <c r="M1239" s="585"/>
      <c r="N1239" s="585"/>
      <c r="O1239" s="585"/>
      <c r="P1239" s="585"/>
      <c r="Q1239" s="585"/>
      <c r="R1239" s="578"/>
      <c r="S1239" s="578"/>
      <c r="T1239" s="579"/>
      <c r="U1239" s="579"/>
      <c r="V1239" s="581"/>
      <c r="W1239" s="581"/>
      <c r="X1239" s="578"/>
    </row>
    <row r="1240" spans="1:24" s="582" customFormat="1">
      <c r="A1240" s="583"/>
      <c r="B1240" s="584"/>
      <c r="C1240" s="583"/>
      <c r="D1240" s="583"/>
      <c r="E1240" s="585"/>
      <c r="F1240" s="585"/>
      <c r="G1240" s="585"/>
      <c r="H1240" s="585"/>
      <c r="I1240" s="585"/>
      <c r="J1240" s="585"/>
      <c r="K1240" s="585"/>
      <c r="L1240" s="1300"/>
      <c r="M1240" s="585"/>
      <c r="N1240" s="585"/>
      <c r="O1240" s="585"/>
      <c r="P1240" s="585"/>
      <c r="Q1240" s="585"/>
      <c r="R1240" s="578"/>
      <c r="S1240" s="578"/>
      <c r="T1240" s="579"/>
      <c r="U1240" s="579"/>
      <c r="V1240" s="581"/>
      <c r="W1240" s="581"/>
      <c r="X1240" s="578"/>
    </row>
    <row r="1241" spans="1:24" s="582" customFormat="1">
      <c r="A1241" s="583"/>
      <c r="B1241" s="584"/>
      <c r="C1241" s="583"/>
      <c r="D1241" s="583"/>
      <c r="E1241" s="585"/>
      <c r="F1241" s="585"/>
      <c r="G1241" s="585"/>
      <c r="H1241" s="585"/>
      <c r="I1241" s="585"/>
      <c r="J1241" s="585"/>
      <c r="K1241" s="585"/>
      <c r="L1241" s="1300"/>
      <c r="M1241" s="585"/>
      <c r="N1241" s="585"/>
      <c r="O1241" s="585"/>
      <c r="P1241" s="585"/>
      <c r="Q1241" s="585"/>
      <c r="R1241" s="578"/>
      <c r="S1241" s="578"/>
      <c r="T1241" s="579"/>
      <c r="U1241" s="579"/>
      <c r="V1241" s="581"/>
      <c r="W1241" s="581"/>
      <c r="X1241" s="578"/>
    </row>
    <row r="1242" spans="1:24" s="582" customFormat="1">
      <c r="A1242" s="583"/>
      <c r="B1242" s="584"/>
      <c r="C1242" s="583"/>
      <c r="D1242" s="583"/>
      <c r="E1242" s="585"/>
      <c r="F1242" s="585"/>
      <c r="G1242" s="585"/>
      <c r="H1242" s="585"/>
      <c r="I1242" s="585"/>
      <c r="J1242" s="585"/>
      <c r="K1242" s="585"/>
      <c r="L1242" s="1300"/>
      <c r="M1242" s="585"/>
      <c r="N1242" s="585"/>
      <c r="O1242" s="585"/>
      <c r="P1242" s="585"/>
      <c r="Q1242" s="585"/>
      <c r="R1242" s="578"/>
      <c r="S1242" s="578"/>
      <c r="T1242" s="579"/>
      <c r="U1242" s="579"/>
      <c r="V1242" s="581"/>
      <c r="W1242" s="581"/>
      <c r="X1242" s="578"/>
    </row>
    <row r="1243" spans="1:24" s="582" customFormat="1">
      <c r="A1243" s="583"/>
      <c r="B1243" s="584"/>
      <c r="C1243" s="583"/>
      <c r="D1243" s="583"/>
      <c r="E1243" s="585"/>
      <c r="F1243" s="585"/>
      <c r="G1243" s="585"/>
      <c r="H1243" s="585"/>
      <c r="I1243" s="585"/>
      <c r="J1243" s="585"/>
      <c r="K1243" s="585"/>
      <c r="L1243" s="1300"/>
      <c r="M1243" s="585"/>
      <c r="N1243" s="585"/>
      <c r="O1243" s="585"/>
      <c r="P1243" s="585"/>
      <c r="Q1243" s="585"/>
      <c r="R1243" s="578"/>
      <c r="S1243" s="578"/>
      <c r="T1243" s="579"/>
      <c r="U1243" s="579"/>
      <c r="V1243" s="581"/>
      <c r="W1243" s="581"/>
      <c r="X1243" s="578"/>
    </row>
    <row r="1244" spans="1:24" s="582" customFormat="1">
      <c r="A1244" s="583"/>
      <c r="B1244" s="584"/>
      <c r="C1244" s="583"/>
      <c r="D1244" s="583"/>
      <c r="E1244" s="585"/>
      <c r="F1244" s="585"/>
      <c r="G1244" s="585"/>
      <c r="H1244" s="585"/>
      <c r="I1244" s="585"/>
      <c r="J1244" s="585"/>
      <c r="K1244" s="585"/>
      <c r="L1244" s="1300"/>
      <c r="M1244" s="585"/>
      <c r="N1244" s="585"/>
      <c r="O1244" s="585"/>
      <c r="P1244" s="585"/>
      <c r="Q1244" s="585"/>
      <c r="R1244" s="578"/>
      <c r="S1244" s="578"/>
      <c r="T1244" s="579"/>
      <c r="U1244" s="579"/>
      <c r="V1244" s="581"/>
      <c r="W1244" s="581"/>
      <c r="X1244" s="578"/>
    </row>
    <row r="1245" spans="1:24" s="582" customFormat="1">
      <c r="A1245" s="583"/>
      <c r="B1245" s="584"/>
      <c r="C1245" s="583"/>
      <c r="D1245" s="583"/>
      <c r="E1245" s="585"/>
      <c r="F1245" s="585"/>
      <c r="G1245" s="585"/>
      <c r="H1245" s="585"/>
      <c r="I1245" s="585"/>
      <c r="J1245" s="585"/>
      <c r="K1245" s="585"/>
      <c r="L1245" s="1300"/>
      <c r="M1245" s="585"/>
      <c r="N1245" s="585"/>
      <c r="O1245" s="585"/>
      <c r="P1245" s="585"/>
      <c r="Q1245" s="585"/>
      <c r="R1245" s="578"/>
      <c r="S1245" s="578"/>
      <c r="T1245" s="579"/>
      <c r="U1245" s="579"/>
      <c r="V1245" s="581"/>
      <c r="W1245" s="581"/>
      <c r="X1245" s="578"/>
    </row>
    <row r="1246" spans="1:24" s="582" customFormat="1">
      <c r="A1246" s="583"/>
      <c r="B1246" s="584"/>
      <c r="C1246" s="583"/>
      <c r="D1246" s="583"/>
      <c r="E1246" s="585"/>
      <c r="F1246" s="585"/>
      <c r="G1246" s="585"/>
      <c r="H1246" s="585"/>
      <c r="I1246" s="585"/>
      <c r="J1246" s="585"/>
      <c r="K1246" s="585"/>
      <c r="L1246" s="1300"/>
      <c r="M1246" s="585"/>
      <c r="N1246" s="585"/>
      <c r="O1246" s="585"/>
      <c r="P1246" s="585"/>
      <c r="Q1246" s="585"/>
      <c r="R1246" s="578"/>
      <c r="S1246" s="578"/>
      <c r="T1246" s="579"/>
      <c r="U1246" s="579"/>
      <c r="V1246" s="581"/>
      <c r="W1246" s="581"/>
      <c r="X1246" s="578"/>
    </row>
    <row r="1247" spans="1:24" s="582" customFormat="1">
      <c r="A1247" s="583"/>
      <c r="B1247" s="584"/>
      <c r="C1247" s="583"/>
      <c r="D1247" s="583"/>
      <c r="E1247" s="585"/>
      <c r="F1247" s="585"/>
      <c r="G1247" s="585"/>
      <c r="H1247" s="585"/>
      <c r="I1247" s="585"/>
      <c r="J1247" s="585"/>
      <c r="K1247" s="585"/>
      <c r="L1247" s="1300"/>
      <c r="M1247" s="585"/>
      <c r="N1247" s="585"/>
      <c r="O1247" s="585"/>
      <c r="P1247" s="585"/>
      <c r="Q1247" s="585"/>
      <c r="R1247" s="578"/>
      <c r="S1247" s="578"/>
      <c r="T1247" s="579"/>
      <c r="U1247" s="579"/>
      <c r="V1247" s="581"/>
      <c r="W1247" s="581"/>
      <c r="X1247" s="578"/>
    </row>
    <row r="1248" spans="1:24" s="582" customFormat="1">
      <c r="A1248" s="583"/>
      <c r="B1248" s="584"/>
      <c r="C1248" s="583"/>
      <c r="D1248" s="583"/>
      <c r="E1248" s="585"/>
      <c r="F1248" s="585"/>
      <c r="G1248" s="585"/>
      <c r="H1248" s="585"/>
      <c r="I1248" s="585"/>
      <c r="J1248" s="585"/>
      <c r="K1248" s="585"/>
      <c r="L1248" s="1300"/>
      <c r="M1248" s="585"/>
      <c r="N1248" s="585"/>
      <c r="O1248" s="585"/>
      <c r="P1248" s="585"/>
      <c r="Q1248" s="585"/>
      <c r="R1248" s="578"/>
      <c r="S1248" s="578"/>
      <c r="T1248" s="579"/>
      <c r="U1248" s="579"/>
      <c r="V1248" s="581"/>
      <c r="W1248" s="581"/>
      <c r="X1248" s="578"/>
    </row>
    <row r="1249" spans="1:24" s="582" customFormat="1">
      <c r="A1249" s="583"/>
      <c r="B1249" s="584"/>
      <c r="C1249" s="583"/>
      <c r="D1249" s="583"/>
      <c r="E1249" s="585"/>
      <c r="F1249" s="585"/>
      <c r="G1249" s="585"/>
      <c r="H1249" s="585"/>
      <c r="I1249" s="585"/>
      <c r="J1249" s="585"/>
      <c r="K1249" s="585"/>
      <c r="L1249" s="1300"/>
      <c r="M1249" s="585"/>
      <c r="N1249" s="585"/>
      <c r="O1249" s="585"/>
      <c r="P1249" s="585"/>
      <c r="Q1249" s="585"/>
      <c r="R1249" s="578"/>
      <c r="S1249" s="578"/>
      <c r="T1249" s="579"/>
      <c r="U1249" s="579"/>
      <c r="V1249" s="581"/>
      <c r="W1249" s="581"/>
      <c r="X1249" s="578"/>
    </row>
    <row r="1250" spans="1:24" s="582" customFormat="1">
      <c r="A1250" s="583"/>
      <c r="B1250" s="584"/>
      <c r="C1250" s="583"/>
      <c r="D1250" s="583"/>
      <c r="E1250" s="585"/>
      <c r="F1250" s="585"/>
      <c r="G1250" s="585"/>
      <c r="H1250" s="585"/>
      <c r="I1250" s="585"/>
      <c r="J1250" s="585"/>
      <c r="K1250" s="585"/>
      <c r="L1250" s="1300"/>
      <c r="M1250" s="585"/>
      <c r="N1250" s="585"/>
      <c r="O1250" s="585"/>
      <c r="P1250" s="585"/>
      <c r="Q1250" s="585"/>
      <c r="R1250" s="578"/>
      <c r="S1250" s="578"/>
      <c r="T1250" s="579"/>
      <c r="U1250" s="579"/>
      <c r="V1250" s="581"/>
      <c r="W1250" s="581"/>
      <c r="X1250" s="578"/>
    </row>
    <row r="1251" spans="1:24" s="582" customFormat="1">
      <c r="A1251" s="583"/>
      <c r="B1251" s="584"/>
      <c r="C1251" s="583"/>
      <c r="D1251" s="583"/>
      <c r="E1251" s="585"/>
      <c r="F1251" s="585"/>
      <c r="G1251" s="585"/>
      <c r="H1251" s="585"/>
      <c r="I1251" s="585"/>
      <c r="J1251" s="585"/>
      <c r="K1251" s="585"/>
      <c r="L1251" s="1300"/>
      <c r="M1251" s="585"/>
      <c r="N1251" s="585"/>
      <c r="O1251" s="585"/>
      <c r="P1251" s="585"/>
      <c r="Q1251" s="585"/>
      <c r="R1251" s="578"/>
      <c r="S1251" s="578"/>
      <c r="T1251" s="579"/>
      <c r="U1251" s="579"/>
      <c r="V1251" s="581"/>
      <c r="W1251" s="581"/>
      <c r="X1251" s="578"/>
    </row>
    <row r="1252" spans="1:24" s="582" customFormat="1">
      <c r="A1252" s="583"/>
      <c r="B1252" s="584"/>
      <c r="C1252" s="583"/>
      <c r="D1252" s="583"/>
      <c r="E1252" s="585"/>
      <c r="F1252" s="585"/>
      <c r="G1252" s="585"/>
      <c r="H1252" s="585"/>
      <c r="I1252" s="585"/>
      <c r="J1252" s="585"/>
      <c r="K1252" s="585"/>
      <c r="L1252" s="1300"/>
      <c r="M1252" s="585"/>
      <c r="N1252" s="585"/>
      <c r="O1252" s="585"/>
      <c r="P1252" s="585"/>
      <c r="Q1252" s="585"/>
      <c r="R1252" s="578"/>
      <c r="S1252" s="578"/>
      <c r="T1252" s="579"/>
      <c r="U1252" s="579"/>
      <c r="V1252" s="581"/>
      <c r="W1252" s="581"/>
      <c r="X1252" s="578"/>
    </row>
    <row r="1253" spans="1:24" s="582" customFormat="1">
      <c r="A1253" s="583"/>
      <c r="B1253" s="584"/>
      <c r="C1253" s="583"/>
      <c r="D1253" s="583"/>
      <c r="E1253" s="585"/>
      <c r="F1253" s="585"/>
      <c r="G1253" s="585"/>
      <c r="H1253" s="585"/>
      <c r="I1253" s="585"/>
      <c r="J1253" s="585"/>
      <c r="K1253" s="585"/>
      <c r="L1253" s="1300"/>
      <c r="M1253" s="585"/>
      <c r="N1253" s="585"/>
      <c r="O1253" s="585"/>
      <c r="P1253" s="585"/>
      <c r="Q1253" s="585"/>
      <c r="R1253" s="578"/>
      <c r="S1253" s="578"/>
      <c r="T1253" s="579"/>
      <c r="U1253" s="579"/>
      <c r="V1253" s="581"/>
      <c r="W1253" s="581"/>
      <c r="X1253" s="578"/>
    </row>
    <row r="1254" spans="1:24" s="582" customFormat="1">
      <c r="A1254" s="583"/>
      <c r="B1254" s="584"/>
      <c r="C1254" s="583"/>
      <c r="D1254" s="583"/>
      <c r="E1254" s="585"/>
      <c r="F1254" s="585"/>
      <c r="G1254" s="585"/>
      <c r="H1254" s="585"/>
      <c r="I1254" s="585"/>
      <c r="J1254" s="585"/>
      <c r="K1254" s="585"/>
      <c r="L1254" s="1300"/>
      <c r="M1254" s="585"/>
      <c r="N1254" s="585"/>
      <c r="O1254" s="585"/>
      <c r="P1254" s="585"/>
      <c r="Q1254" s="585"/>
      <c r="R1254" s="578"/>
      <c r="S1254" s="578"/>
      <c r="T1254" s="579"/>
      <c r="U1254" s="579"/>
      <c r="V1254" s="581"/>
      <c r="W1254" s="581"/>
      <c r="X1254" s="578"/>
    </row>
    <row r="1255" spans="1:24" s="582" customFormat="1">
      <c r="A1255" s="583"/>
      <c r="B1255" s="584"/>
      <c r="C1255" s="583"/>
      <c r="D1255" s="583"/>
      <c r="E1255" s="585"/>
      <c r="F1255" s="585"/>
      <c r="G1255" s="585"/>
      <c r="H1255" s="585"/>
      <c r="I1255" s="585"/>
      <c r="J1255" s="585"/>
      <c r="K1255" s="585"/>
      <c r="L1255" s="1300"/>
      <c r="M1255" s="585"/>
      <c r="N1255" s="585"/>
      <c r="O1255" s="585"/>
      <c r="P1255" s="585"/>
      <c r="Q1255" s="585"/>
      <c r="R1255" s="578"/>
      <c r="S1255" s="578"/>
      <c r="T1255" s="579"/>
      <c r="U1255" s="579"/>
      <c r="V1255" s="581"/>
      <c r="W1255" s="581"/>
      <c r="X1255" s="578"/>
    </row>
    <row r="1256" spans="1:24" s="582" customFormat="1">
      <c r="A1256" s="583"/>
      <c r="B1256" s="584"/>
      <c r="C1256" s="583"/>
      <c r="D1256" s="583"/>
      <c r="E1256" s="585"/>
      <c r="F1256" s="585"/>
      <c r="G1256" s="585"/>
      <c r="H1256" s="585"/>
      <c r="I1256" s="585"/>
      <c r="J1256" s="585"/>
      <c r="K1256" s="585"/>
      <c r="L1256" s="1300"/>
      <c r="M1256" s="585"/>
      <c r="N1256" s="585"/>
      <c r="O1256" s="585"/>
      <c r="P1256" s="585"/>
      <c r="Q1256" s="585"/>
      <c r="R1256" s="578"/>
      <c r="S1256" s="578"/>
      <c r="T1256" s="579"/>
      <c r="U1256" s="579"/>
      <c r="V1256" s="581"/>
      <c r="W1256" s="581"/>
      <c r="X1256" s="578"/>
    </row>
    <row r="1257" spans="1:24" s="582" customFormat="1">
      <c r="A1257" s="583"/>
      <c r="B1257" s="584"/>
      <c r="C1257" s="583"/>
      <c r="D1257" s="583"/>
      <c r="E1257" s="585"/>
      <c r="F1257" s="585"/>
      <c r="G1257" s="585"/>
      <c r="H1257" s="585"/>
      <c r="I1257" s="585"/>
      <c r="J1257" s="585"/>
      <c r="K1257" s="585"/>
      <c r="L1257" s="1300"/>
      <c r="M1257" s="585"/>
      <c r="N1257" s="585"/>
      <c r="O1257" s="585"/>
      <c r="P1257" s="585"/>
      <c r="Q1257" s="585"/>
      <c r="R1257" s="578"/>
      <c r="S1257" s="578"/>
      <c r="T1257" s="579"/>
      <c r="U1257" s="579"/>
      <c r="V1257" s="581"/>
      <c r="W1257" s="581"/>
      <c r="X1257" s="578"/>
    </row>
    <row r="1258" spans="1:24" s="582" customFormat="1">
      <c r="A1258" s="583"/>
      <c r="B1258" s="584"/>
      <c r="C1258" s="583"/>
      <c r="D1258" s="583"/>
      <c r="E1258" s="585"/>
      <c r="F1258" s="585"/>
      <c r="G1258" s="585"/>
      <c r="H1258" s="585"/>
      <c r="I1258" s="585"/>
      <c r="J1258" s="585"/>
      <c r="K1258" s="585"/>
      <c r="L1258" s="1300"/>
      <c r="M1258" s="585"/>
      <c r="N1258" s="585"/>
      <c r="O1258" s="585"/>
      <c r="P1258" s="585"/>
      <c r="Q1258" s="585"/>
      <c r="R1258" s="578"/>
      <c r="S1258" s="578"/>
      <c r="T1258" s="579"/>
      <c r="U1258" s="579"/>
      <c r="V1258" s="581"/>
      <c r="W1258" s="581"/>
      <c r="X1258" s="578"/>
    </row>
    <row r="1259" spans="1:24" s="582" customFormat="1">
      <c r="A1259" s="583"/>
      <c r="B1259" s="584"/>
      <c r="C1259" s="583"/>
      <c r="D1259" s="583"/>
      <c r="E1259" s="585"/>
      <c r="F1259" s="585"/>
      <c r="G1259" s="585"/>
      <c r="H1259" s="585"/>
      <c r="I1259" s="585"/>
      <c r="J1259" s="585"/>
      <c r="K1259" s="585"/>
      <c r="L1259" s="1300"/>
      <c r="M1259" s="585"/>
      <c r="N1259" s="585"/>
      <c r="O1259" s="585"/>
      <c r="P1259" s="585"/>
      <c r="Q1259" s="585"/>
      <c r="R1259" s="578"/>
      <c r="S1259" s="578"/>
      <c r="T1259" s="579"/>
      <c r="U1259" s="579"/>
      <c r="V1259" s="581"/>
      <c r="W1259" s="581"/>
      <c r="X1259" s="578"/>
    </row>
    <row r="1260" spans="1:24" s="582" customFormat="1">
      <c r="A1260" s="583"/>
      <c r="B1260" s="584"/>
      <c r="C1260" s="583"/>
      <c r="D1260" s="583"/>
      <c r="E1260" s="585"/>
      <c r="F1260" s="585"/>
      <c r="G1260" s="585"/>
      <c r="H1260" s="585"/>
      <c r="I1260" s="585"/>
      <c r="J1260" s="585"/>
      <c r="K1260" s="585"/>
      <c r="L1260" s="1300"/>
      <c r="M1260" s="585"/>
      <c r="N1260" s="585"/>
      <c r="O1260" s="585"/>
      <c r="P1260" s="585"/>
      <c r="Q1260" s="585"/>
      <c r="R1260" s="578"/>
      <c r="S1260" s="578"/>
      <c r="T1260" s="579"/>
      <c r="U1260" s="579"/>
      <c r="V1260" s="581"/>
      <c r="W1260" s="581"/>
      <c r="X1260" s="578"/>
    </row>
    <row r="1261" spans="1:24" s="582" customFormat="1">
      <c r="A1261" s="583"/>
      <c r="B1261" s="584"/>
      <c r="C1261" s="583"/>
      <c r="D1261" s="583"/>
      <c r="E1261" s="585"/>
      <c r="F1261" s="585"/>
      <c r="G1261" s="585"/>
      <c r="H1261" s="585"/>
      <c r="I1261" s="585"/>
      <c r="J1261" s="585"/>
      <c r="K1261" s="585"/>
      <c r="L1261" s="1300"/>
      <c r="M1261" s="585"/>
      <c r="N1261" s="585"/>
      <c r="O1261" s="585"/>
      <c r="P1261" s="585"/>
      <c r="Q1261" s="585"/>
      <c r="R1261" s="578"/>
      <c r="S1261" s="578"/>
      <c r="T1261" s="579"/>
      <c r="U1261" s="579"/>
      <c r="V1261" s="581"/>
      <c r="W1261" s="581"/>
      <c r="X1261" s="578"/>
    </row>
    <row r="1262" spans="1:24" s="582" customFormat="1">
      <c r="A1262" s="583"/>
      <c r="B1262" s="584"/>
      <c r="C1262" s="583"/>
      <c r="D1262" s="583"/>
      <c r="E1262" s="585"/>
      <c r="F1262" s="585"/>
      <c r="G1262" s="585"/>
      <c r="H1262" s="585"/>
      <c r="I1262" s="585"/>
      <c r="J1262" s="585"/>
      <c r="K1262" s="585"/>
      <c r="L1262" s="1300"/>
      <c r="M1262" s="585"/>
      <c r="N1262" s="585"/>
      <c r="O1262" s="585"/>
      <c r="P1262" s="585"/>
      <c r="Q1262" s="585"/>
      <c r="R1262" s="578"/>
      <c r="S1262" s="578"/>
      <c r="T1262" s="579"/>
      <c r="U1262" s="579"/>
      <c r="V1262" s="581"/>
      <c r="W1262" s="581"/>
      <c r="X1262" s="578"/>
    </row>
    <row r="1263" spans="1:24" s="582" customFormat="1">
      <c r="A1263" s="583"/>
      <c r="B1263" s="584"/>
      <c r="C1263" s="583"/>
      <c r="D1263" s="583"/>
      <c r="E1263" s="585"/>
      <c r="F1263" s="585"/>
      <c r="G1263" s="585"/>
      <c r="H1263" s="585"/>
      <c r="I1263" s="585"/>
      <c r="J1263" s="585"/>
      <c r="K1263" s="585"/>
      <c r="L1263" s="1300"/>
      <c r="M1263" s="585"/>
      <c r="N1263" s="585"/>
      <c r="O1263" s="585"/>
      <c r="P1263" s="585"/>
      <c r="Q1263" s="585"/>
      <c r="R1263" s="578"/>
      <c r="S1263" s="578"/>
      <c r="T1263" s="579"/>
      <c r="U1263" s="579"/>
      <c r="V1263" s="581"/>
      <c r="W1263" s="581"/>
      <c r="X1263" s="578"/>
    </row>
    <row r="1264" spans="1:24" s="582" customFormat="1">
      <c r="A1264" s="583"/>
      <c r="B1264" s="584"/>
      <c r="C1264" s="583"/>
      <c r="D1264" s="583"/>
      <c r="E1264" s="585"/>
      <c r="F1264" s="585"/>
      <c r="G1264" s="585"/>
      <c r="H1264" s="585"/>
      <c r="I1264" s="585"/>
      <c r="J1264" s="585"/>
      <c r="K1264" s="585"/>
      <c r="L1264" s="1300"/>
      <c r="M1264" s="585"/>
      <c r="N1264" s="585"/>
      <c r="O1264" s="585"/>
      <c r="P1264" s="585"/>
      <c r="Q1264" s="585"/>
      <c r="R1264" s="578"/>
      <c r="S1264" s="578"/>
      <c r="T1264" s="579"/>
      <c r="U1264" s="579"/>
      <c r="V1264" s="581"/>
      <c r="W1264" s="581"/>
      <c r="X1264" s="578"/>
    </row>
    <row r="1265" spans="1:24" s="582" customFormat="1">
      <c r="A1265" s="583"/>
      <c r="B1265" s="584"/>
      <c r="C1265" s="583"/>
      <c r="D1265" s="583"/>
      <c r="E1265" s="585"/>
      <c r="F1265" s="585"/>
      <c r="G1265" s="585"/>
      <c r="H1265" s="585"/>
      <c r="I1265" s="585"/>
      <c r="J1265" s="585"/>
      <c r="K1265" s="585"/>
      <c r="L1265" s="1300"/>
      <c r="M1265" s="585"/>
      <c r="N1265" s="585"/>
      <c r="O1265" s="585"/>
      <c r="P1265" s="585"/>
      <c r="Q1265" s="585"/>
      <c r="R1265" s="578"/>
      <c r="S1265" s="578"/>
      <c r="T1265" s="579"/>
      <c r="U1265" s="579"/>
      <c r="V1265" s="581"/>
      <c r="W1265" s="581"/>
      <c r="X1265" s="578"/>
    </row>
    <row r="1266" spans="1:24">
      <c r="A1266" s="583"/>
      <c r="B1266" s="584"/>
      <c r="C1266" s="583"/>
      <c r="D1266" s="583"/>
      <c r="E1266" s="585"/>
      <c r="F1266" s="585"/>
      <c r="G1266" s="585"/>
      <c r="H1266" s="585"/>
      <c r="I1266" s="585"/>
      <c r="J1266" s="585"/>
      <c r="K1266" s="585"/>
      <c r="L1266" s="1300"/>
      <c r="M1266" s="585"/>
      <c r="N1266" s="585"/>
      <c r="O1266" s="585"/>
      <c r="P1266" s="585"/>
      <c r="Q1266" s="585"/>
      <c r="R1266" s="578"/>
      <c r="S1266" s="578"/>
      <c r="U1266" s="579"/>
      <c r="V1266" s="581"/>
    </row>
    <row r="1267" spans="1:24">
      <c r="A1267" s="583"/>
      <c r="B1267" s="584"/>
      <c r="C1267" s="583"/>
      <c r="D1267" s="583"/>
      <c r="E1267" s="585"/>
      <c r="F1267" s="585"/>
      <c r="G1267" s="585"/>
      <c r="H1267" s="585"/>
      <c r="I1267" s="585"/>
      <c r="J1267" s="585"/>
      <c r="K1267" s="585"/>
      <c r="L1267" s="1300"/>
      <c r="M1267" s="585"/>
      <c r="N1267" s="585"/>
      <c r="O1267" s="585"/>
      <c r="P1267" s="585"/>
      <c r="Q1267" s="585"/>
      <c r="R1267" s="578"/>
      <c r="S1267" s="578"/>
      <c r="U1267" s="579"/>
      <c r="V1267" s="581"/>
    </row>
    <row r="1268" spans="1:24">
      <c r="A1268" s="583"/>
      <c r="B1268" s="584"/>
      <c r="C1268" s="583"/>
      <c r="D1268" s="583"/>
      <c r="E1268" s="585"/>
      <c r="F1268" s="585"/>
      <c r="G1268" s="585"/>
      <c r="H1268" s="585"/>
      <c r="I1268" s="585"/>
      <c r="J1268" s="585"/>
      <c r="K1268" s="585"/>
      <c r="L1268" s="1300"/>
      <c r="M1268" s="585"/>
      <c r="N1268" s="585"/>
      <c r="O1268" s="585"/>
      <c r="P1268" s="585"/>
      <c r="Q1268" s="585"/>
      <c r="R1268" s="578"/>
      <c r="S1268" s="578"/>
      <c r="U1268" s="579"/>
    </row>
    <row r="1269" spans="1:24">
      <c r="A1269" s="583"/>
      <c r="B1269" s="584"/>
      <c r="C1269" s="583"/>
      <c r="D1269" s="583"/>
      <c r="E1269" s="585"/>
      <c r="F1269" s="585"/>
      <c r="G1269" s="585"/>
      <c r="H1269" s="585"/>
      <c r="I1269" s="585"/>
      <c r="J1269" s="585"/>
      <c r="K1269" s="585"/>
      <c r="L1269" s="1300"/>
      <c r="M1269" s="585"/>
      <c r="N1269" s="585"/>
      <c r="O1269" s="585"/>
      <c r="P1269" s="585"/>
      <c r="Q1269" s="585"/>
      <c r="R1269" s="578"/>
      <c r="S1269" s="578"/>
      <c r="U1269" s="579"/>
    </row>
    <row r="1270" spans="1:24">
      <c r="A1270" s="583"/>
      <c r="B1270" s="584"/>
      <c r="C1270" s="583"/>
      <c r="D1270" s="583"/>
      <c r="E1270" s="585"/>
      <c r="F1270" s="585"/>
      <c r="G1270" s="585"/>
      <c r="H1270" s="585"/>
      <c r="I1270" s="585"/>
      <c r="J1270" s="585"/>
      <c r="K1270" s="585"/>
      <c r="L1270" s="1300"/>
      <c r="M1270" s="585"/>
      <c r="N1270" s="585"/>
      <c r="O1270" s="585"/>
      <c r="P1270" s="585"/>
      <c r="Q1270" s="585"/>
      <c r="R1270" s="578"/>
      <c r="S1270" s="578"/>
      <c r="U1270" s="579"/>
    </row>
    <row r="1271" spans="1:24">
      <c r="A1271" s="583"/>
      <c r="B1271" s="584"/>
      <c r="C1271" s="583"/>
      <c r="D1271" s="583"/>
      <c r="E1271" s="585"/>
      <c r="F1271" s="585"/>
      <c r="G1271" s="585"/>
      <c r="H1271" s="585"/>
      <c r="I1271" s="585"/>
      <c r="J1271" s="585"/>
      <c r="K1271" s="585"/>
      <c r="L1271" s="1300"/>
      <c r="M1271" s="585"/>
      <c r="N1271" s="585"/>
      <c r="O1271" s="585"/>
      <c r="P1271" s="585"/>
      <c r="Q1271" s="585"/>
      <c r="R1271" s="578"/>
      <c r="U1271" s="579"/>
    </row>
    <row r="1272" spans="1:24">
      <c r="A1272" s="583"/>
      <c r="B1272" s="584"/>
      <c r="C1272" s="583"/>
      <c r="D1272" s="583"/>
      <c r="E1272" s="585"/>
      <c r="F1272" s="585"/>
      <c r="G1272" s="585"/>
      <c r="H1272" s="585"/>
      <c r="I1272" s="585"/>
      <c r="J1272" s="585"/>
      <c r="K1272" s="585"/>
      <c r="L1272" s="1300"/>
      <c r="M1272" s="585"/>
      <c r="N1272" s="585"/>
      <c r="O1272" s="585"/>
      <c r="P1272" s="585"/>
      <c r="Q1272" s="585"/>
      <c r="R1272" s="578"/>
      <c r="U1272" s="579"/>
    </row>
    <row r="1273" spans="1:24">
      <c r="A1273" s="583"/>
      <c r="B1273" s="584"/>
      <c r="C1273" s="583"/>
      <c r="D1273" s="583"/>
      <c r="E1273" s="585"/>
      <c r="F1273" s="585"/>
      <c r="G1273" s="585"/>
      <c r="H1273" s="585"/>
      <c r="I1273" s="585"/>
      <c r="J1273" s="585"/>
      <c r="K1273" s="585"/>
      <c r="L1273" s="1300"/>
      <c r="M1273" s="585"/>
      <c r="N1273" s="585"/>
      <c r="O1273" s="585"/>
      <c r="P1273" s="585"/>
      <c r="Q1273" s="585"/>
      <c r="R1273" s="578"/>
      <c r="U1273" s="579"/>
    </row>
    <row r="1274" spans="1:24">
      <c r="A1274" s="583"/>
      <c r="B1274" s="584"/>
      <c r="C1274" s="583"/>
      <c r="D1274" s="583"/>
      <c r="E1274" s="585"/>
      <c r="F1274" s="585"/>
      <c r="G1274" s="585"/>
      <c r="H1274" s="585"/>
      <c r="I1274" s="585"/>
      <c r="J1274" s="585"/>
      <c r="K1274" s="585"/>
      <c r="L1274" s="1300"/>
      <c r="M1274" s="585"/>
      <c r="N1274" s="585"/>
      <c r="O1274" s="585"/>
      <c r="P1274" s="585"/>
      <c r="Q1274" s="585"/>
      <c r="R1274" s="578"/>
    </row>
    <row r="1275" spans="1:24">
      <c r="A1275" s="583"/>
      <c r="B1275" s="584"/>
      <c r="C1275" s="583"/>
      <c r="D1275" s="583"/>
      <c r="E1275" s="585"/>
      <c r="F1275" s="585"/>
      <c r="G1275" s="585"/>
      <c r="H1275" s="585"/>
      <c r="I1275" s="585"/>
      <c r="J1275" s="585"/>
      <c r="K1275" s="585"/>
      <c r="L1275" s="1300"/>
      <c r="M1275" s="585"/>
      <c r="N1275" s="585"/>
      <c r="O1275" s="585"/>
      <c r="P1275" s="585"/>
      <c r="Q1275" s="585"/>
      <c r="R1275" s="578"/>
    </row>
    <row r="1276" spans="1:24">
      <c r="A1276" s="583"/>
      <c r="B1276" s="584"/>
      <c r="C1276" s="583"/>
      <c r="D1276" s="583"/>
      <c r="E1276" s="585"/>
      <c r="F1276" s="585"/>
      <c r="G1276" s="585"/>
      <c r="H1276" s="585"/>
      <c r="I1276" s="585"/>
      <c r="J1276" s="585"/>
      <c r="K1276" s="585"/>
      <c r="L1276" s="1300"/>
      <c r="M1276" s="585"/>
      <c r="N1276" s="585"/>
      <c r="O1276" s="585"/>
      <c r="P1276" s="585"/>
      <c r="Q1276" s="585"/>
    </row>
    <row r="1277" spans="1:24">
      <c r="A1277" s="583"/>
      <c r="B1277" s="584"/>
      <c r="C1277" s="583"/>
      <c r="D1277" s="583"/>
      <c r="E1277" s="585"/>
      <c r="F1277" s="585"/>
      <c r="G1277" s="585"/>
      <c r="H1277" s="585"/>
      <c r="I1277" s="585"/>
      <c r="J1277" s="585"/>
      <c r="K1277" s="585"/>
      <c r="L1277" s="1300"/>
      <c r="M1277" s="585"/>
      <c r="N1277" s="585"/>
      <c r="O1277" s="585"/>
      <c r="P1277" s="585"/>
      <c r="Q1277" s="585"/>
      <c r="R1277" s="578"/>
      <c r="U1277" s="579"/>
    </row>
    <row r="1278" spans="1:24">
      <c r="A1278" s="583"/>
      <c r="B1278" s="584"/>
      <c r="C1278" s="583"/>
      <c r="D1278" s="583"/>
      <c r="E1278" s="585"/>
      <c r="F1278" s="585"/>
      <c r="G1278" s="585"/>
      <c r="H1278" s="585"/>
      <c r="I1278" s="585"/>
      <c r="J1278" s="585"/>
      <c r="K1278" s="585"/>
      <c r="L1278" s="1300"/>
      <c r="M1278" s="585"/>
      <c r="N1278" s="585"/>
      <c r="O1278" s="585"/>
      <c r="P1278" s="585"/>
      <c r="Q1278" s="585"/>
      <c r="R1278" s="578"/>
      <c r="U1278" s="579"/>
    </row>
    <row r="1279" spans="1:24">
      <c r="A1279" s="583"/>
      <c r="B1279" s="584"/>
      <c r="C1279" s="583"/>
      <c r="D1279" s="583"/>
      <c r="E1279" s="585"/>
      <c r="F1279" s="585"/>
      <c r="G1279" s="585"/>
      <c r="H1279" s="585"/>
      <c r="I1279" s="585"/>
      <c r="J1279" s="585"/>
      <c r="K1279" s="585"/>
      <c r="L1279" s="1300"/>
      <c r="M1279" s="585"/>
      <c r="N1279" s="585"/>
      <c r="O1279" s="585"/>
      <c r="P1279" s="585"/>
      <c r="Q1279" s="585"/>
      <c r="R1279" s="578"/>
      <c r="U1279" s="579"/>
    </row>
    <row r="1283" spans="1:17">
      <c r="A1283" s="583"/>
      <c r="B1283" s="584"/>
      <c r="C1283" s="583"/>
      <c r="D1283" s="583"/>
      <c r="E1283" s="585"/>
      <c r="F1283" s="585"/>
      <c r="G1283" s="585"/>
      <c r="H1283" s="585"/>
      <c r="I1283" s="585"/>
      <c r="J1283" s="585"/>
      <c r="K1283" s="585"/>
      <c r="L1283" s="1300"/>
      <c r="M1283" s="585"/>
      <c r="N1283" s="585"/>
      <c r="O1283" s="585"/>
      <c r="P1283" s="585"/>
      <c r="Q1283" s="585"/>
    </row>
    <row r="1284" spans="1:17">
      <c r="A1284" s="583"/>
      <c r="B1284" s="584"/>
      <c r="C1284" s="583"/>
      <c r="D1284" s="583"/>
      <c r="E1284" s="585"/>
      <c r="F1284" s="585"/>
      <c r="G1284" s="585"/>
      <c r="H1284" s="585"/>
      <c r="I1284" s="585"/>
      <c r="J1284" s="585"/>
      <c r="K1284" s="585"/>
      <c r="L1284" s="1300"/>
      <c r="M1284" s="585"/>
      <c r="N1284" s="585"/>
      <c r="O1284" s="585"/>
      <c r="P1284" s="585"/>
      <c r="Q1284" s="585"/>
    </row>
    <row r="1285" spans="1:17">
      <c r="A1285" s="583"/>
      <c r="B1285" s="584"/>
      <c r="C1285" s="583"/>
      <c r="D1285" s="583"/>
      <c r="E1285" s="585"/>
      <c r="F1285" s="585"/>
      <c r="G1285" s="585"/>
      <c r="H1285" s="585"/>
      <c r="I1285" s="585"/>
      <c r="J1285" s="585"/>
      <c r="K1285" s="585"/>
      <c r="L1285" s="1300"/>
      <c r="M1285" s="585"/>
      <c r="N1285" s="585"/>
      <c r="O1285" s="585"/>
      <c r="P1285" s="585"/>
      <c r="Q1285" s="585"/>
    </row>
  </sheetData>
  <autoFilter ref="B1:B1285"/>
  <mergeCells count="20">
    <mergeCell ref="G139:G146"/>
    <mergeCell ref="G340:G341"/>
    <mergeCell ref="G777:G778"/>
    <mergeCell ref="M1135:M1137"/>
    <mergeCell ref="B17:C17"/>
    <mergeCell ref="R37:S37"/>
    <mergeCell ref="S123:T123"/>
    <mergeCell ref="L124:L125"/>
    <mergeCell ref="G136:G138"/>
    <mergeCell ref="R138:S138"/>
    <mergeCell ref="K124:K125"/>
    <mergeCell ref="A1:M1"/>
    <mergeCell ref="A9:A10"/>
    <mergeCell ref="B9:B10"/>
    <mergeCell ref="C9:C10"/>
    <mergeCell ref="D9:D10"/>
    <mergeCell ref="E9:E10"/>
    <mergeCell ref="F9:F10"/>
    <mergeCell ref="G9:G10"/>
    <mergeCell ref="J9:J10"/>
  </mergeCells>
  <pageMargins left="0.4" right="0.28000000000000003" top="0.35433070866141736" bottom="0.47244094488188981" header="0.31496062992125984" footer="0.19685039370078741"/>
  <pageSetup paperSize="9" scale="82" fitToHeight="0" orientation="landscape" verticalDpi="1200" r:id="rId1"/>
  <headerFooter>
    <oddFooter>&amp;C&amp;P/&amp;N&amp;R&amp;T/&amp;D</oddFooter>
  </headerFooter>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25"/>
  <sheetViews>
    <sheetView topLeftCell="A10" zoomScale="85" zoomScaleNormal="85" workbookViewId="0">
      <selection activeCell="K18" sqref="K18"/>
    </sheetView>
  </sheetViews>
  <sheetFormatPr defaultRowHeight="18.75"/>
  <cols>
    <col min="1" max="1" width="7.140625" style="27" customWidth="1"/>
    <col min="2" max="2" width="45.28515625" style="27" customWidth="1"/>
    <col min="3" max="3" width="19.28515625" style="27" customWidth="1"/>
    <col min="4" max="4" width="21.140625" style="27" customWidth="1"/>
    <col min="5" max="5" width="19.42578125" style="27" customWidth="1"/>
    <col min="6" max="6" width="26" style="27" customWidth="1"/>
    <col min="7" max="7" width="20" style="27" customWidth="1"/>
    <col min="8" max="8" width="16.7109375" style="27" bestFit="1" customWidth="1"/>
    <col min="9" max="259" width="9.140625" style="27"/>
    <col min="260" max="260" width="7.140625" style="27" customWidth="1"/>
    <col min="261" max="261" width="47.7109375" style="27" customWidth="1"/>
    <col min="262" max="262" width="19.28515625" style="27" customWidth="1"/>
    <col min="263" max="515" width="9.140625" style="27"/>
    <col min="516" max="516" width="7.140625" style="27" customWidth="1"/>
    <col min="517" max="517" width="47.7109375" style="27" customWidth="1"/>
    <col min="518" max="518" width="19.28515625" style="27" customWidth="1"/>
    <col min="519" max="771" width="9.140625" style="27"/>
    <col min="772" max="772" width="7.140625" style="27" customWidth="1"/>
    <col min="773" max="773" width="47.7109375" style="27" customWidth="1"/>
    <col min="774" max="774" width="19.28515625" style="27" customWidth="1"/>
    <col min="775" max="1027" width="9.140625" style="27"/>
    <col min="1028" max="1028" width="7.140625" style="27" customWidth="1"/>
    <col min="1029" max="1029" width="47.7109375" style="27" customWidth="1"/>
    <col min="1030" max="1030" width="19.28515625" style="27" customWidth="1"/>
    <col min="1031" max="1283" width="9.140625" style="27"/>
    <col min="1284" max="1284" width="7.140625" style="27" customWidth="1"/>
    <col min="1285" max="1285" width="47.7109375" style="27" customWidth="1"/>
    <col min="1286" max="1286" width="19.28515625" style="27" customWidth="1"/>
    <col min="1287" max="1539" width="9.140625" style="27"/>
    <col min="1540" max="1540" width="7.140625" style="27" customWidth="1"/>
    <col min="1541" max="1541" width="47.7109375" style="27" customWidth="1"/>
    <col min="1542" max="1542" width="19.28515625" style="27" customWidth="1"/>
    <col min="1543" max="1795" width="9.140625" style="27"/>
    <col min="1796" max="1796" width="7.140625" style="27" customWidth="1"/>
    <col min="1797" max="1797" width="47.7109375" style="27" customWidth="1"/>
    <col min="1798" max="1798" width="19.28515625" style="27" customWidth="1"/>
    <col min="1799" max="2051" width="9.140625" style="27"/>
    <col min="2052" max="2052" width="7.140625" style="27" customWidth="1"/>
    <col min="2053" max="2053" width="47.7109375" style="27" customWidth="1"/>
    <col min="2054" max="2054" width="19.28515625" style="27" customWidth="1"/>
    <col min="2055" max="2307" width="9.140625" style="27"/>
    <col min="2308" max="2308" width="7.140625" style="27" customWidth="1"/>
    <col min="2309" max="2309" width="47.7109375" style="27" customWidth="1"/>
    <col min="2310" max="2310" width="19.28515625" style="27" customWidth="1"/>
    <col min="2311" max="2563" width="9.140625" style="27"/>
    <col min="2564" max="2564" width="7.140625" style="27" customWidth="1"/>
    <col min="2565" max="2565" width="47.7109375" style="27" customWidth="1"/>
    <col min="2566" max="2566" width="19.28515625" style="27" customWidth="1"/>
    <col min="2567" max="2819" width="9.140625" style="27"/>
    <col min="2820" max="2820" width="7.140625" style="27" customWidth="1"/>
    <col min="2821" max="2821" width="47.7109375" style="27" customWidth="1"/>
    <col min="2822" max="2822" width="19.28515625" style="27" customWidth="1"/>
    <col min="2823" max="3075" width="9.140625" style="27"/>
    <col min="3076" max="3076" width="7.140625" style="27" customWidth="1"/>
    <col min="3077" max="3077" width="47.7109375" style="27" customWidth="1"/>
    <col min="3078" max="3078" width="19.28515625" style="27" customWidth="1"/>
    <col min="3079" max="3331" width="9.140625" style="27"/>
    <col min="3332" max="3332" width="7.140625" style="27" customWidth="1"/>
    <col min="3333" max="3333" width="47.7109375" style="27" customWidth="1"/>
    <col min="3334" max="3334" width="19.28515625" style="27" customWidth="1"/>
    <col min="3335" max="3587" width="9.140625" style="27"/>
    <col min="3588" max="3588" width="7.140625" style="27" customWidth="1"/>
    <col min="3589" max="3589" width="47.7109375" style="27" customWidth="1"/>
    <col min="3590" max="3590" width="19.28515625" style="27" customWidth="1"/>
    <col min="3591" max="3843" width="9.140625" style="27"/>
    <col min="3844" max="3844" width="7.140625" style="27" customWidth="1"/>
    <col min="3845" max="3845" width="47.7109375" style="27" customWidth="1"/>
    <col min="3846" max="3846" width="19.28515625" style="27" customWidth="1"/>
    <col min="3847" max="4099" width="9.140625" style="27"/>
    <col min="4100" max="4100" width="7.140625" style="27" customWidth="1"/>
    <col min="4101" max="4101" width="47.7109375" style="27" customWidth="1"/>
    <col min="4102" max="4102" width="19.28515625" style="27" customWidth="1"/>
    <col min="4103" max="4355" width="9.140625" style="27"/>
    <col min="4356" max="4356" width="7.140625" style="27" customWidth="1"/>
    <col min="4357" max="4357" width="47.7109375" style="27" customWidth="1"/>
    <col min="4358" max="4358" width="19.28515625" style="27" customWidth="1"/>
    <col min="4359" max="4611" width="9.140625" style="27"/>
    <col min="4612" max="4612" width="7.140625" style="27" customWidth="1"/>
    <col min="4613" max="4613" width="47.7109375" style="27" customWidth="1"/>
    <col min="4614" max="4614" width="19.28515625" style="27" customWidth="1"/>
    <col min="4615" max="4867" width="9.140625" style="27"/>
    <col min="4868" max="4868" width="7.140625" style="27" customWidth="1"/>
    <col min="4869" max="4869" width="47.7109375" style="27" customWidth="1"/>
    <col min="4870" max="4870" width="19.28515625" style="27" customWidth="1"/>
    <col min="4871" max="5123" width="9.140625" style="27"/>
    <col min="5124" max="5124" width="7.140625" style="27" customWidth="1"/>
    <col min="5125" max="5125" width="47.7109375" style="27" customWidth="1"/>
    <col min="5126" max="5126" width="19.28515625" style="27" customWidth="1"/>
    <col min="5127" max="5379" width="9.140625" style="27"/>
    <col min="5380" max="5380" width="7.140625" style="27" customWidth="1"/>
    <col min="5381" max="5381" width="47.7109375" style="27" customWidth="1"/>
    <col min="5382" max="5382" width="19.28515625" style="27" customWidth="1"/>
    <col min="5383" max="5635" width="9.140625" style="27"/>
    <col min="5636" max="5636" width="7.140625" style="27" customWidth="1"/>
    <col min="5637" max="5637" width="47.7109375" style="27" customWidth="1"/>
    <col min="5638" max="5638" width="19.28515625" style="27" customWidth="1"/>
    <col min="5639" max="5891" width="9.140625" style="27"/>
    <col min="5892" max="5892" width="7.140625" style="27" customWidth="1"/>
    <col min="5893" max="5893" width="47.7109375" style="27" customWidth="1"/>
    <col min="5894" max="5894" width="19.28515625" style="27" customWidth="1"/>
    <col min="5895" max="6147" width="9.140625" style="27"/>
    <col min="6148" max="6148" width="7.140625" style="27" customWidth="1"/>
    <col min="6149" max="6149" width="47.7109375" style="27" customWidth="1"/>
    <col min="6150" max="6150" width="19.28515625" style="27" customWidth="1"/>
    <col min="6151" max="6403" width="9.140625" style="27"/>
    <col min="6404" max="6404" width="7.140625" style="27" customWidth="1"/>
    <col min="6405" max="6405" width="47.7109375" style="27" customWidth="1"/>
    <col min="6406" max="6406" width="19.28515625" style="27" customWidth="1"/>
    <col min="6407" max="6659" width="9.140625" style="27"/>
    <col min="6660" max="6660" width="7.140625" style="27" customWidth="1"/>
    <col min="6661" max="6661" width="47.7109375" style="27" customWidth="1"/>
    <col min="6662" max="6662" width="19.28515625" style="27" customWidth="1"/>
    <col min="6663" max="6915" width="9.140625" style="27"/>
    <col min="6916" max="6916" width="7.140625" style="27" customWidth="1"/>
    <col min="6917" max="6917" width="47.7109375" style="27" customWidth="1"/>
    <col min="6918" max="6918" width="19.28515625" style="27" customWidth="1"/>
    <col min="6919" max="7171" width="9.140625" style="27"/>
    <col min="7172" max="7172" width="7.140625" style="27" customWidth="1"/>
    <col min="7173" max="7173" width="47.7109375" style="27" customWidth="1"/>
    <col min="7174" max="7174" width="19.28515625" style="27" customWidth="1"/>
    <col min="7175" max="7427" width="9.140625" style="27"/>
    <col min="7428" max="7428" width="7.140625" style="27" customWidth="1"/>
    <col min="7429" max="7429" width="47.7109375" style="27" customWidth="1"/>
    <col min="7430" max="7430" width="19.28515625" style="27" customWidth="1"/>
    <col min="7431" max="7683" width="9.140625" style="27"/>
    <col min="7684" max="7684" width="7.140625" style="27" customWidth="1"/>
    <col min="7685" max="7685" width="47.7109375" style="27" customWidth="1"/>
    <col min="7686" max="7686" width="19.28515625" style="27" customWidth="1"/>
    <col min="7687" max="7939" width="9.140625" style="27"/>
    <col min="7940" max="7940" width="7.140625" style="27" customWidth="1"/>
    <col min="7941" max="7941" width="47.7109375" style="27" customWidth="1"/>
    <col min="7942" max="7942" width="19.28515625" style="27" customWidth="1"/>
    <col min="7943" max="8195" width="9.140625" style="27"/>
    <col min="8196" max="8196" width="7.140625" style="27" customWidth="1"/>
    <col min="8197" max="8197" width="47.7109375" style="27" customWidth="1"/>
    <col min="8198" max="8198" width="19.28515625" style="27" customWidth="1"/>
    <col min="8199" max="8451" width="9.140625" style="27"/>
    <col min="8452" max="8452" width="7.140625" style="27" customWidth="1"/>
    <col min="8453" max="8453" width="47.7109375" style="27" customWidth="1"/>
    <col min="8454" max="8454" width="19.28515625" style="27" customWidth="1"/>
    <col min="8455" max="8707" width="9.140625" style="27"/>
    <col min="8708" max="8708" width="7.140625" style="27" customWidth="1"/>
    <col min="8709" max="8709" width="47.7109375" style="27" customWidth="1"/>
    <col min="8710" max="8710" width="19.28515625" style="27" customWidth="1"/>
    <col min="8711" max="8963" width="9.140625" style="27"/>
    <col min="8964" max="8964" width="7.140625" style="27" customWidth="1"/>
    <col min="8965" max="8965" width="47.7109375" style="27" customWidth="1"/>
    <col min="8966" max="8966" width="19.28515625" style="27" customWidth="1"/>
    <col min="8967" max="9219" width="9.140625" style="27"/>
    <col min="9220" max="9220" width="7.140625" style="27" customWidth="1"/>
    <col min="9221" max="9221" width="47.7109375" style="27" customWidth="1"/>
    <col min="9222" max="9222" width="19.28515625" style="27" customWidth="1"/>
    <col min="9223" max="9475" width="9.140625" style="27"/>
    <col min="9476" max="9476" width="7.140625" style="27" customWidth="1"/>
    <col min="9477" max="9477" width="47.7109375" style="27" customWidth="1"/>
    <col min="9478" max="9478" width="19.28515625" style="27" customWidth="1"/>
    <col min="9479" max="9731" width="9.140625" style="27"/>
    <col min="9732" max="9732" width="7.140625" style="27" customWidth="1"/>
    <col min="9733" max="9733" width="47.7109375" style="27" customWidth="1"/>
    <col min="9734" max="9734" width="19.28515625" style="27" customWidth="1"/>
    <col min="9735" max="9987" width="9.140625" style="27"/>
    <col min="9988" max="9988" width="7.140625" style="27" customWidth="1"/>
    <col min="9989" max="9989" width="47.7109375" style="27" customWidth="1"/>
    <col min="9990" max="9990" width="19.28515625" style="27" customWidth="1"/>
    <col min="9991" max="10243" width="9.140625" style="27"/>
    <col min="10244" max="10244" width="7.140625" style="27" customWidth="1"/>
    <col min="10245" max="10245" width="47.7109375" style="27" customWidth="1"/>
    <col min="10246" max="10246" width="19.28515625" style="27" customWidth="1"/>
    <col min="10247" max="10499" width="9.140625" style="27"/>
    <col min="10500" max="10500" width="7.140625" style="27" customWidth="1"/>
    <col min="10501" max="10501" width="47.7109375" style="27" customWidth="1"/>
    <col min="10502" max="10502" width="19.28515625" style="27" customWidth="1"/>
    <col min="10503" max="10755" width="9.140625" style="27"/>
    <col min="10756" max="10756" width="7.140625" style="27" customWidth="1"/>
    <col min="10757" max="10757" width="47.7109375" style="27" customWidth="1"/>
    <col min="10758" max="10758" width="19.28515625" style="27" customWidth="1"/>
    <col min="10759" max="11011" width="9.140625" style="27"/>
    <col min="11012" max="11012" width="7.140625" style="27" customWidth="1"/>
    <col min="11013" max="11013" width="47.7109375" style="27" customWidth="1"/>
    <col min="11014" max="11014" width="19.28515625" style="27" customWidth="1"/>
    <col min="11015" max="11267" width="9.140625" style="27"/>
    <col min="11268" max="11268" width="7.140625" style="27" customWidth="1"/>
    <col min="11269" max="11269" width="47.7109375" style="27" customWidth="1"/>
    <col min="11270" max="11270" width="19.28515625" style="27" customWidth="1"/>
    <col min="11271" max="11523" width="9.140625" style="27"/>
    <col min="11524" max="11524" width="7.140625" style="27" customWidth="1"/>
    <col min="11525" max="11525" width="47.7109375" style="27" customWidth="1"/>
    <col min="11526" max="11526" width="19.28515625" style="27" customWidth="1"/>
    <col min="11527" max="11779" width="9.140625" style="27"/>
    <col min="11780" max="11780" width="7.140625" style="27" customWidth="1"/>
    <col min="11781" max="11781" width="47.7109375" style="27" customWidth="1"/>
    <col min="11782" max="11782" width="19.28515625" style="27" customWidth="1"/>
    <col min="11783" max="12035" width="9.140625" style="27"/>
    <col min="12036" max="12036" width="7.140625" style="27" customWidth="1"/>
    <col min="12037" max="12037" width="47.7109375" style="27" customWidth="1"/>
    <col min="12038" max="12038" width="19.28515625" style="27" customWidth="1"/>
    <col min="12039" max="12291" width="9.140625" style="27"/>
    <col min="12292" max="12292" width="7.140625" style="27" customWidth="1"/>
    <col min="12293" max="12293" width="47.7109375" style="27" customWidth="1"/>
    <col min="12294" max="12294" width="19.28515625" style="27" customWidth="1"/>
    <col min="12295" max="12547" width="9.140625" style="27"/>
    <col min="12548" max="12548" width="7.140625" style="27" customWidth="1"/>
    <col min="12549" max="12549" width="47.7109375" style="27" customWidth="1"/>
    <col min="12550" max="12550" width="19.28515625" style="27" customWidth="1"/>
    <col min="12551" max="12803" width="9.140625" style="27"/>
    <col min="12804" max="12804" width="7.140625" style="27" customWidth="1"/>
    <col min="12805" max="12805" width="47.7109375" style="27" customWidth="1"/>
    <col min="12806" max="12806" width="19.28515625" style="27" customWidth="1"/>
    <col min="12807" max="13059" width="9.140625" style="27"/>
    <col min="13060" max="13060" width="7.140625" style="27" customWidth="1"/>
    <col min="13061" max="13061" width="47.7109375" style="27" customWidth="1"/>
    <col min="13062" max="13062" width="19.28515625" style="27" customWidth="1"/>
    <col min="13063" max="13315" width="9.140625" style="27"/>
    <col min="13316" max="13316" width="7.140625" style="27" customWidth="1"/>
    <col min="13317" max="13317" width="47.7109375" style="27" customWidth="1"/>
    <col min="13318" max="13318" width="19.28515625" style="27" customWidth="1"/>
    <col min="13319" max="13571" width="9.140625" style="27"/>
    <col min="13572" max="13572" width="7.140625" style="27" customWidth="1"/>
    <col min="13573" max="13573" width="47.7109375" style="27" customWidth="1"/>
    <col min="13574" max="13574" width="19.28515625" style="27" customWidth="1"/>
    <col min="13575" max="13827" width="9.140625" style="27"/>
    <col min="13828" max="13828" width="7.140625" style="27" customWidth="1"/>
    <col min="13829" max="13829" width="47.7109375" style="27" customWidth="1"/>
    <col min="13830" max="13830" width="19.28515625" style="27" customWidth="1"/>
    <col min="13831" max="14083" width="9.140625" style="27"/>
    <col min="14084" max="14084" width="7.140625" style="27" customWidth="1"/>
    <col min="14085" max="14085" width="47.7109375" style="27" customWidth="1"/>
    <col min="14086" max="14086" width="19.28515625" style="27" customWidth="1"/>
    <col min="14087" max="14339" width="9.140625" style="27"/>
    <col min="14340" max="14340" width="7.140625" style="27" customWidth="1"/>
    <col min="14341" max="14341" width="47.7109375" style="27" customWidth="1"/>
    <col min="14342" max="14342" width="19.28515625" style="27" customWidth="1"/>
    <col min="14343" max="14595" width="9.140625" style="27"/>
    <col min="14596" max="14596" width="7.140625" style="27" customWidth="1"/>
    <col min="14597" max="14597" width="47.7109375" style="27" customWidth="1"/>
    <col min="14598" max="14598" width="19.28515625" style="27" customWidth="1"/>
    <col min="14599" max="14851" width="9.140625" style="27"/>
    <col min="14852" max="14852" width="7.140625" style="27" customWidth="1"/>
    <col min="14853" max="14853" width="47.7109375" style="27" customWidth="1"/>
    <col min="14854" max="14854" width="19.28515625" style="27" customWidth="1"/>
    <col min="14855" max="15107" width="9.140625" style="27"/>
    <col min="15108" max="15108" width="7.140625" style="27" customWidth="1"/>
    <col min="15109" max="15109" width="47.7109375" style="27" customWidth="1"/>
    <col min="15110" max="15110" width="19.28515625" style="27" customWidth="1"/>
    <col min="15111" max="15363" width="9.140625" style="27"/>
    <col min="15364" max="15364" width="7.140625" style="27" customWidth="1"/>
    <col min="15365" max="15365" width="47.7109375" style="27" customWidth="1"/>
    <col min="15366" max="15366" width="19.28515625" style="27" customWidth="1"/>
    <col min="15367" max="15619" width="9.140625" style="27"/>
    <col min="15620" max="15620" width="7.140625" style="27" customWidth="1"/>
    <col min="15621" max="15621" width="47.7109375" style="27" customWidth="1"/>
    <col min="15622" max="15622" width="19.28515625" style="27" customWidth="1"/>
    <col min="15623" max="15875" width="9.140625" style="27"/>
    <col min="15876" max="15876" width="7.140625" style="27" customWidth="1"/>
    <col min="15877" max="15877" width="47.7109375" style="27" customWidth="1"/>
    <col min="15878" max="15878" width="19.28515625" style="27" customWidth="1"/>
    <col min="15879" max="16131" width="9.140625" style="27"/>
    <col min="16132" max="16132" width="7.140625" style="27" customWidth="1"/>
    <col min="16133" max="16133" width="47.7109375" style="27" customWidth="1"/>
    <col min="16134" max="16134" width="19.28515625" style="27" customWidth="1"/>
    <col min="16135" max="16384" width="9.140625" style="27"/>
  </cols>
  <sheetData>
    <row r="1" spans="1:6">
      <c r="A1" s="1838" t="s">
        <v>725</v>
      </c>
      <c r="B1" s="1838"/>
      <c r="C1" s="1838"/>
      <c r="F1" s="3"/>
    </row>
    <row r="2" spans="1:6">
      <c r="A2" s="1798" t="s">
        <v>726</v>
      </c>
      <c r="B2" s="1798"/>
      <c r="C2" s="1798"/>
      <c r="D2" s="4"/>
      <c r="E2" s="4"/>
    </row>
    <row r="3" spans="1:6">
      <c r="A3" s="5"/>
    </row>
    <row r="4" spans="1:6">
      <c r="A4" s="1798" t="s">
        <v>1450</v>
      </c>
      <c r="B4" s="1798"/>
      <c r="C4" s="1798"/>
      <c r="D4" s="1798"/>
      <c r="E4" s="1798"/>
      <c r="F4" s="1798"/>
    </row>
    <row r="5" spans="1:6">
      <c r="A5" s="1798" t="s">
        <v>727</v>
      </c>
      <c r="B5" s="1798"/>
      <c r="C5" s="1798"/>
      <c r="D5" s="1798"/>
      <c r="E5" s="1798"/>
      <c r="F5" s="1798"/>
    </row>
    <row r="6" spans="1:6">
      <c r="A6" s="1798" t="s">
        <v>728</v>
      </c>
      <c r="B6" s="1798"/>
      <c r="C6" s="1798"/>
      <c r="D6" s="1798"/>
      <c r="E6" s="1798"/>
      <c r="F6" s="1798"/>
    </row>
    <row r="7" spans="1:6">
      <c r="A7" s="1798" t="s">
        <v>17</v>
      </c>
      <c r="B7" s="1798"/>
      <c r="C7" s="1798"/>
      <c r="D7" s="1798"/>
      <c r="E7" s="1798"/>
      <c r="F7" s="1798"/>
    </row>
    <row r="8" spans="1:6">
      <c r="A8" s="1799">
        <f>'TTDVNN V '!A8:G8</f>
        <v>0</v>
      </c>
      <c r="B8" s="1799"/>
      <c r="C8" s="1799"/>
      <c r="D8" s="1799"/>
      <c r="E8" s="1799"/>
      <c r="F8" s="1799"/>
    </row>
    <row r="9" spans="1:6">
      <c r="A9" s="238"/>
      <c r="B9" s="238"/>
      <c r="C9" s="238"/>
      <c r="D9" s="238"/>
      <c r="E9" s="238"/>
      <c r="F9" s="238"/>
    </row>
    <row r="10" spans="1:6">
      <c r="F10" s="6" t="s">
        <v>43</v>
      </c>
    </row>
    <row r="11" spans="1:6" ht="117" customHeight="1">
      <c r="A11" s="7" t="s">
        <v>0</v>
      </c>
      <c r="B11" s="7" t="s">
        <v>1</v>
      </c>
      <c r="C11" s="7" t="str">
        <f>'Cựu chiến binh V'!C10</f>
        <v>Dự toán 
năm 2025</v>
      </c>
      <c r="D11" s="7" t="s">
        <v>18</v>
      </c>
      <c r="E11" s="7" t="s">
        <v>117</v>
      </c>
      <c r="F11" s="7" t="s">
        <v>19</v>
      </c>
    </row>
    <row r="12" spans="1:6">
      <c r="A12" s="8" t="s">
        <v>20</v>
      </c>
      <c r="B12" s="8" t="s">
        <v>21</v>
      </c>
      <c r="C12" s="8" t="s">
        <v>22</v>
      </c>
      <c r="D12" s="8" t="s">
        <v>23</v>
      </c>
      <c r="E12" s="8" t="s">
        <v>24</v>
      </c>
      <c r="F12" s="8" t="s">
        <v>25</v>
      </c>
    </row>
    <row r="13" spans="1:6" ht="37.5">
      <c r="A13" s="7"/>
      <c r="B13" s="9" t="s">
        <v>731</v>
      </c>
      <c r="C13" s="10">
        <f>C14</f>
        <v>500000000</v>
      </c>
      <c r="D13" s="10">
        <f>D14</f>
        <v>50000000</v>
      </c>
      <c r="E13" s="10">
        <f>E14</f>
        <v>450000000</v>
      </c>
      <c r="F13" s="11"/>
    </row>
    <row r="14" spans="1:6" s="88" customFormat="1" ht="39">
      <c r="A14" s="12"/>
      <c r="B14" s="13" t="s">
        <v>10</v>
      </c>
      <c r="C14" s="14">
        <f>SUM(C15:C15)</f>
        <v>500000000</v>
      </c>
      <c r="D14" s="14">
        <f>SUM(D15:D15)</f>
        <v>50000000</v>
      </c>
      <c r="E14" s="14">
        <f>SUM(E15:E15)</f>
        <v>450000000</v>
      </c>
      <c r="F14" s="15"/>
    </row>
    <row r="15" spans="1:6" s="62" customFormat="1" ht="131.25">
      <c r="A15" s="72"/>
      <c r="B15" s="228" t="s">
        <v>2040</v>
      </c>
      <c r="C15" s="91">
        <v>500000000</v>
      </c>
      <c r="D15" s="232">
        <f>C15*10%</f>
        <v>50000000</v>
      </c>
      <c r="E15" s="232">
        <f>C15-D15</f>
        <v>450000000</v>
      </c>
      <c r="F15" s="234" t="s">
        <v>730</v>
      </c>
    </row>
    <row r="20" spans="1:6">
      <c r="F20" s="27">
        <f>SUM(F21:F27)</f>
        <v>0</v>
      </c>
    </row>
    <row r="21" spans="1:6">
      <c r="A21" s="27" t="s">
        <v>91</v>
      </c>
    </row>
    <row r="23" spans="1:6">
      <c r="A23" s="27" t="s">
        <v>91</v>
      </c>
    </row>
    <row r="25" spans="1:6">
      <c r="A25" s="27" t="s">
        <v>91</v>
      </c>
    </row>
  </sheetData>
  <mergeCells count="7">
    <mergeCell ref="A8:F8"/>
    <mergeCell ref="A1:C1"/>
    <mergeCell ref="A2:C2"/>
    <mergeCell ref="A4:F4"/>
    <mergeCell ref="A5:F5"/>
    <mergeCell ref="A6:F6"/>
    <mergeCell ref="A7:F7"/>
  </mergeCells>
  <pageMargins left="0.57999999999999996" right="0.55000000000000004" top="0.6" bottom="0.74803149606299213" header="0.31496062992125984" footer="0.31496062992125984"/>
  <pageSetup paperSize="9" scale="65" fitToHeight="0"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40"/>
  <sheetViews>
    <sheetView topLeftCell="A16" zoomScale="85" zoomScaleNormal="85" workbookViewId="0">
      <selection activeCell="A65" sqref="A65"/>
    </sheetView>
  </sheetViews>
  <sheetFormatPr defaultRowHeight="18.75"/>
  <cols>
    <col min="1" max="1" width="7.140625" style="1381" customWidth="1"/>
    <col min="2" max="2" width="41.42578125" style="1381" customWidth="1"/>
    <col min="3" max="3" width="19.28515625" style="1381" customWidth="1"/>
    <col min="4" max="4" width="21.140625" style="1381" customWidth="1"/>
    <col min="5" max="5" width="19.42578125" style="1381" customWidth="1"/>
    <col min="6" max="6" width="16.85546875" style="1381" bestFit="1" customWidth="1"/>
    <col min="7" max="7" width="29.28515625" style="1381" hidden="1" customWidth="1"/>
    <col min="8" max="10" width="0" style="1381" hidden="1" customWidth="1"/>
    <col min="11" max="259" width="9.140625" style="1381"/>
    <col min="260" max="260" width="7.140625" style="1381" customWidth="1"/>
    <col min="261" max="261" width="47.7109375" style="1381" customWidth="1"/>
    <col min="262" max="262" width="19.28515625" style="1381" customWidth="1"/>
    <col min="263" max="515" width="9.140625" style="1381"/>
    <col min="516" max="516" width="7.140625" style="1381" customWidth="1"/>
    <col min="517" max="517" width="47.7109375" style="1381" customWidth="1"/>
    <col min="518" max="518" width="19.28515625" style="1381" customWidth="1"/>
    <col min="519" max="771" width="9.140625" style="1381"/>
    <col min="772" max="772" width="7.140625" style="1381" customWidth="1"/>
    <col min="773" max="773" width="47.7109375" style="1381" customWidth="1"/>
    <col min="774" max="774" width="19.28515625" style="1381" customWidth="1"/>
    <col min="775" max="1027" width="9.140625" style="1381"/>
    <col min="1028" max="1028" width="7.140625" style="1381" customWidth="1"/>
    <col min="1029" max="1029" width="47.7109375" style="1381" customWidth="1"/>
    <col min="1030" max="1030" width="19.28515625" style="1381" customWidth="1"/>
    <col min="1031" max="1283" width="9.140625" style="1381"/>
    <col min="1284" max="1284" width="7.140625" style="1381" customWidth="1"/>
    <col min="1285" max="1285" width="47.7109375" style="1381" customWidth="1"/>
    <col min="1286" max="1286" width="19.28515625" style="1381" customWidth="1"/>
    <col min="1287" max="1539" width="9.140625" style="1381"/>
    <col min="1540" max="1540" width="7.140625" style="1381" customWidth="1"/>
    <col min="1541" max="1541" width="47.7109375" style="1381" customWidth="1"/>
    <col min="1542" max="1542" width="19.28515625" style="1381" customWidth="1"/>
    <col min="1543" max="1795" width="9.140625" style="1381"/>
    <col min="1796" max="1796" width="7.140625" style="1381" customWidth="1"/>
    <col min="1797" max="1797" width="47.7109375" style="1381" customWidth="1"/>
    <col min="1798" max="1798" width="19.28515625" style="1381" customWidth="1"/>
    <col min="1799" max="2051" width="9.140625" style="1381"/>
    <col min="2052" max="2052" width="7.140625" style="1381" customWidth="1"/>
    <col min="2053" max="2053" width="47.7109375" style="1381" customWidth="1"/>
    <col min="2054" max="2054" width="19.28515625" style="1381" customWidth="1"/>
    <col min="2055" max="2307" width="9.140625" style="1381"/>
    <col min="2308" max="2308" width="7.140625" style="1381" customWidth="1"/>
    <col min="2309" max="2309" width="47.7109375" style="1381" customWidth="1"/>
    <col min="2310" max="2310" width="19.28515625" style="1381" customWidth="1"/>
    <col min="2311" max="2563" width="9.140625" style="1381"/>
    <col min="2564" max="2564" width="7.140625" style="1381" customWidth="1"/>
    <col min="2565" max="2565" width="47.7109375" style="1381" customWidth="1"/>
    <col min="2566" max="2566" width="19.28515625" style="1381" customWidth="1"/>
    <col min="2567" max="2819" width="9.140625" style="1381"/>
    <col min="2820" max="2820" width="7.140625" style="1381" customWidth="1"/>
    <col min="2821" max="2821" width="47.7109375" style="1381" customWidth="1"/>
    <col min="2822" max="2822" width="19.28515625" style="1381" customWidth="1"/>
    <col min="2823" max="3075" width="9.140625" style="1381"/>
    <col min="3076" max="3076" width="7.140625" style="1381" customWidth="1"/>
    <col min="3077" max="3077" width="47.7109375" style="1381" customWidth="1"/>
    <col min="3078" max="3078" width="19.28515625" style="1381" customWidth="1"/>
    <col min="3079" max="3331" width="9.140625" style="1381"/>
    <col min="3332" max="3332" width="7.140625" style="1381" customWidth="1"/>
    <col min="3333" max="3333" width="47.7109375" style="1381" customWidth="1"/>
    <col min="3334" max="3334" width="19.28515625" style="1381" customWidth="1"/>
    <col min="3335" max="3587" width="9.140625" style="1381"/>
    <col min="3588" max="3588" width="7.140625" style="1381" customWidth="1"/>
    <col min="3589" max="3589" width="47.7109375" style="1381" customWidth="1"/>
    <col min="3590" max="3590" width="19.28515625" style="1381" customWidth="1"/>
    <col min="3591" max="3843" width="9.140625" style="1381"/>
    <col min="3844" max="3844" width="7.140625" style="1381" customWidth="1"/>
    <col min="3845" max="3845" width="47.7109375" style="1381" customWidth="1"/>
    <col min="3846" max="3846" width="19.28515625" style="1381" customWidth="1"/>
    <col min="3847" max="4099" width="9.140625" style="1381"/>
    <col min="4100" max="4100" width="7.140625" style="1381" customWidth="1"/>
    <col min="4101" max="4101" width="47.7109375" style="1381" customWidth="1"/>
    <col min="4102" max="4102" width="19.28515625" style="1381" customWidth="1"/>
    <col min="4103" max="4355" width="9.140625" style="1381"/>
    <col min="4356" max="4356" width="7.140625" style="1381" customWidth="1"/>
    <col min="4357" max="4357" width="47.7109375" style="1381" customWidth="1"/>
    <col min="4358" max="4358" width="19.28515625" style="1381" customWidth="1"/>
    <col min="4359" max="4611" width="9.140625" style="1381"/>
    <col min="4612" max="4612" width="7.140625" style="1381" customWidth="1"/>
    <col min="4613" max="4613" width="47.7109375" style="1381" customWidth="1"/>
    <col min="4614" max="4614" width="19.28515625" style="1381" customWidth="1"/>
    <col min="4615" max="4867" width="9.140625" style="1381"/>
    <col min="4868" max="4868" width="7.140625" style="1381" customWidth="1"/>
    <col min="4869" max="4869" width="47.7109375" style="1381" customWidth="1"/>
    <col min="4870" max="4870" width="19.28515625" style="1381" customWidth="1"/>
    <col min="4871" max="5123" width="9.140625" style="1381"/>
    <col min="5124" max="5124" width="7.140625" style="1381" customWidth="1"/>
    <col min="5125" max="5125" width="47.7109375" style="1381" customWidth="1"/>
    <col min="5126" max="5126" width="19.28515625" style="1381" customWidth="1"/>
    <col min="5127" max="5379" width="9.140625" style="1381"/>
    <col min="5380" max="5380" width="7.140625" style="1381" customWidth="1"/>
    <col min="5381" max="5381" width="47.7109375" style="1381" customWidth="1"/>
    <col min="5382" max="5382" width="19.28515625" style="1381" customWidth="1"/>
    <col min="5383" max="5635" width="9.140625" style="1381"/>
    <col min="5636" max="5636" width="7.140625" style="1381" customWidth="1"/>
    <col min="5637" max="5637" width="47.7109375" style="1381" customWidth="1"/>
    <col min="5638" max="5638" width="19.28515625" style="1381" customWidth="1"/>
    <col min="5639" max="5891" width="9.140625" style="1381"/>
    <col min="5892" max="5892" width="7.140625" style="1381" customWidth="1"/>
    <col min="5893" max="5893" width="47.7109375" style="1381" customWidth="1"/>
    <col min="5894" max="5894" width="19.28515625" style="1381" customWidth="1"/>
    <col min="5895" max="6147" width="9.140625" style="1381"/>
    <col min="6148" max="6148" width="7.140625" style="1381" customWidth="1"/>
    <col min="6149" max="6149" width="47.7109375" style="1381" customWidth="1"/>
    <col min="6150" max="6150" width="19.28515625" style="1381" customWidth="1"/>
    <col min="6151" max="6403" width="9.140625" style="1381"/>
    <col min="6404" max="6404" width="7.140625" style="1381" customWidth="1"/>
    <col min="6405" max="6405" width="47.7109375" style="1381" customWidth="1"/>
    <col min="6406" max="6406" width="19.28515625" style="1381" customWidth="1"/>
    <col min="6407" max="6659" width="9.140625" style="1381"/>
    <col min="6660" max="6660" width="7.140625" style="1381" customWidth="1"/>
    <col min="6661" max="6661" width="47.7109375" style="1381" customWidth="1"/>
    <col min="6662" max="6662" width="19.28515625" style="1381" customWidth="1"/>
    <col min="6663" max="6915" width="9.140625" style="1381"/>
    <col min="6916" max="6916" width="7.140625" style="1381" customWidth="1"/>
    <col min="6917" max="6917" width="47.7109375" style="1381" customWidth="1"/>
    <col min="6918" max="6918" width="19.28515625" style="1381" customWidth="1"/>
    <col min="6919" max="7171" width="9.140625" style="1381"/>
    <col min="7172" max="7172" width="7.140625" style="1381" customWidth="1"/>
    <col min="7173" max="7173" width="47.7109375" style="1381" customWidth="1"/>
    <col min="7174" max="7174" width="19.28515625" style="1381" customWidth="1"/>
    <col min="7175" max="7427" width="9.140625" style="1381"/>
    <col min="7428" max="7428" width="7.140625" style="1381" customWidth="1"/>
    <col min="7429" max="7429" width="47.7109375" style="1381" customWidth="1"/>
    <col min="7430" max="7430" width="19.28515625" style="1381" customWidth="1"/>
    <col min="7431" max="7683" width="9.140625" style="1381"/>
    <col min="7684" max="7684" width="7.140625" style="1381" customWidth="1"/>
    <col min="7685" max="7685" width="47.7109375" style="1381" customWidth="1"/>
    <col min="7686" max="7686" width="19.28515625" style="1381" customWidth="1"/>
    <col min="7687" max="7939" width="9.140625" style="1381"/>
    <col min="7940" max="7940" width="7.140625" style="1381" customWidth="1"/>
    <col min="7941" max="7941" width="47.7109375" style="1381" customWidth="1"/>
    <col min="7942" max="7942" width="19.28515625" style="1381" customWidth="1"/>
    <col min="7943" max="8195" width="9.140625" style="1381"/>
    <col min="8196" max="8196" width="7.140625" style="1381" customWidth="1"/>
    <col min="8197" max="8197" width="47.7109375" style="1381" customWidth="1"/>
    <col min="8198" max="8198" width="19.28515625" style="1381" customWidth="1"/>
    <col min="8199" max="8451" width="9.140625" style="1381"/>
    <col min="8452" max="8452" width="7.140625" style="1381" customWidth="1"/>
    <col min="8453" max="8453" width="47.7109375" style="1381" customWidth="1"/>
    <col min="8454" max="8454" width="19.28515625" style="1381" customWidth="1"/>
    <col min="8455" max="8707" width="9.140625" style="1381"/>
    <col min="8708" max="8708" width="7.140625" style="1381" customWidth="1"/>
    <col min="8709" max="8709" width="47.7109375" style="1381" customWidth="1"/>
    <col min="8710" max="8710" width="19.28515625" style="1381" customWidth="1"/>
    <col min="8711" max="8963" width="9.140625" style="1381"/>
    <col min="8964" max="8964" width="7.140625" style="1381" customWidth="1"/>
    <col min="8965" max="8965" width="47.7109375" style="1381" customWidth="1"/>
    <col min="8966" max="8966" width="19.28515625" style="1381" customWidth="1"/>
    <col min="8967" max="9219" width="9.140625" style="1381"/>
    <col min="9220" max="9220" width="7.140625" style="1381" customWidth="1"/>
    <col min="9221" max="9221" width="47.7109375" style="1381" customWidth="1"/>
    <col min="9222" max="9222" width="19.28515625" style="1381" customWidth="1"/>
    <col min="9223" max="9475" width="9.140625" style="1381"/>
    <col min="9476" max="9476" width="7.140625" style="1381" customWidth="1"/>
    <col min="9477" max="9477" width="47.7109375" style="1381" customWidth="1"/>
    <col min="9478" max="9478" width="19.28515625" style="1381" customWidth="1"/>
    <col min="9479" max="9731" width="9.140625" style="1381"/>
    <col min="9732" max="9732" width="7.140625" style="1381" customWidth="1"/>
    <col min="9733" max="9733" width="47.7109375" style="1381" customWidth="1"/>
    <col min="9734" max="9734" width="19.28515625" style="1381" customWidth="1"/>
    <col min="9735" max="9987" width="9.140625" style="1381"/>
    <col min="9988" max="9988" width="7.140625" style="1381" customWidth="1"/>
    <col min="9989" max="9989" width="47.7109375" style="1381" customWidth="1"/>
    <col min="9990" max="9990" width="19.28515625" style="1381" customWidth="1"/>
    <col min="9991" max="10243" width="9.140625" style="1381"/>
    <col min="10244" max="10244" width="7.140625" style="1381" customWidth="1"/>
    <col min="10245" max="10245" width="47.7109375" style="1381" customWidth="1"/>
    <col min="10246" max="10246" width="19.28515625" style="1381" customWidth="1"/>
    <col min="10247" max="10499" width="9.140625" style="1381"/>
    <col min="10500" max="10500" width="7.140625" style="1381" customWidth="1"/>
    <col min="10501" max="10501" width="47.7109375" style="1381" customWidth="1"/>
    <col min="10502" max="10502" width="19.28515625" style="1381" customWidth="1"/>
    <col min="10503" max="10755" width="9.140625" style="1381"/>
    <col min="10756" max="10756" width="7.140625" style="1381" customWidth="1"/>
    <col min="10757" max="10757" width="47.7109375" style="1381" customWidth="1"/>
    <col min="10758" max="10758" width="19.28515625" style="1381" customWidth="1"/>
    <col min="10759" max="11011" width="9.140625" style="1381"/>
    <col min="11012" max="11012" width="7.140625" style="1381" customWidth="1"/>
    <col min="11013" max="11013" width="47.7109375" style="1381" customWidth="1"/>
    <col min="11014" max="11014" width="19.28515625" style="1381" customWidth="1"/>
    <col min="11015" max="11267" width="9.140625" style="1381"/>
    <col min="11268" max="11268" width="7.140625" style="1381" customWidth="1"/>
    <col min="11269" max="11269" width="47.7109375" style="1381" customWidth="1"/>
    <col min="11270" max="11270" width="19.28515625" style="1381" customWidth="1"/>
    <col min="11271" max="11523" width="9.140625" style="1381"/>
    <col min="11524" max="11524" width="7.140625" style="1381" customWidth="1"/>
    <col min="11525" max="11525" width="47.7109375" style="1381" customWidth="1"/>
    <col min="11526" max="11526" width="19.28515625" style="1381" customWidth="1"/>
    <col min="11527" max="11779" width="9.140625" style="1381"/>
    <col min="11780" max="11780" width="7.140625" style="1381" customWidth="1"/>
    <col min="11781" max="11781" width="47.7109375" style="1381" customWidth="1"/>
    <col min="11782" max="11782" width="19.28515625" style="1381" customWidth="1"/>
    <col min="11783" max="12035" width="9.140625" style="1381"/>
    <col min="12036" max="12036" width="7.140625" style="1381" customWidth="1"/>
    <col min="12037" max="12037" width="47.7109375" style="1381" customWidth="1"/>
    <col min="12038" max="12038" width="19.28515625" style="1381" customWidth="1"/>
    <col min="12039" max="12291" width="9.140625" style="1381"/>
    <col min="12292" max="12292" width="7.140625" style="1381" customWidth="1"/>
    <col min="12293" max="12293" width="47.7109375" style="1381" customWidth="1"/>
    <col min="12294" max="12294" width="19.28515625" style="1381" customWidth="1"/>
    <col min="12295" max="12547" width="9.140625" style="1381"/>
    <col min="12548" max="12548" width="7.140625" style="1381" customWidth="1"/>
    <col min="12549" max="12549" width="47.7109375" style="1381" customWidth="1"/>
    <col min="12550" max="12550" width="19.28515625" style="1381" customWidth="1"/>
    <col min="12551" max="12803" width="9.140625" style="1381"/>
    <col min="12804" max="12804" width="7.140625" style="1381" customWidth="1"/>
    <col min="12805" max="12805" width="47.7109375" style="1381" customWidth="1"/>
    <col min="12806" max="12806" width="19.28515625" style="1381" customWidth="1"/>
    <col min="12807" max="13059" width="9.140625" style="1381"/>
    <col min="13060" max="13060" width="7.140625" style="1381" customWidth="1"/>
    <col min="13061" max="13061" width="47.7109375" style="1381" customWidth="1"/>
    <col min="13062" max="13062" width="19.28515625" style="1381" customWidth="1"/>
    <col min="13063" max="13315" width="9.140625" style="1381"/>
    <col min="13316" max="13316" width="7.140625" style="1381" customWidth="1"/>
    <col min="13317" max="13317" width="47.7109375" style="1381" customWidth="1"/>
    <col min="13318" max="13318" width="19.28515625" style="1381" customWidth="1"/>
    <col min="13319" max="13571" width="9.140625" style="1381"/>
    <col min="13572" max="13572" width="7.140625" style="1381" customWidth="1"/>
    <col min="13573" max="13573" width="47.7109375" style="1381" customWidth="1"/>
    <col min="13574" max="13574" width="19.28515625" style="1381" customWidth="1"/>
    <col min="13575" max="13827" width="9.140625" style="1381"/>
    <col min="13828" max="13828" width="7.140625" style="1381" customWidth="1"/>
    <col min="13829" max="13829" width="47.7109375" style="1381" customWidth="1"/>
    <col min="13830" max="13830" width="19.28515625" style="1381" customWidth="1"/>
    <col min="13831" max="14083" width="9.140625" style="1381"/>
    <col min="14084" max="14084" width="7.140625" style="1381" customWidth="1"/>
    <col min="14085" max="14085" width="47.7109375" style="1381" customWidth="1"/>
    <col min="14086" max="14086" width="19.28515625" style="1381" customWidth="1"/>
    <col min="14087" max="14339" width="9.140625" style="1381"/>
    <col min="14340" max="14340" width="7.140625" style="1381" customWidth="1"/>
    <col min="14341" max="14341" width="47.7109375" style="1381" customWidth="1"/>
    <col min="14342" max="14342" width="19.28515625" style="1381" customWidth="1"/>
    <col min="14343" max="14595" width="9.140625" style="1381"/>
    <col min="14596" max="14596" width="7.140625" style="1381" customWidth="1"/>
    <col min="14597" max="14597" width="47.7109375" style="1381" customWidth="1"/>
    <col min="14598" max="14598" width="19.28515625" style="1381" customWidth="1"/>
    <col min="14599" max="14851" width="9.140625" style="1381"/>
    <col min="14852" max="14852" width="7.140625" style="1381" customWidth="1"/>
    <col min="14853" max="14853" width="47.7109375" style="1381" customWidth="1"/>
    <col min="14854" max="14854" width="19.28515625" style="1381" customWidth="1"/>
    <col min="14855" max="15107" width="9.140625" style="1381"/>
    <col min="15108" max="15108" width="7.140625" style="1381" customWidth="1"/>
    <col min="15109" max="15109" width="47.7109375" style="1381" customWidth="1"/>
    <col min="15110" max="15110" width="19.28515625" style="1381" customWidth="1"/>
    <col min="15111" max="15363" width="9.140625" style="1381"/>
    <col min="15364" max="15364" width="7.140625" style="1381" customWidth="1"/>
    <col min="15365" max="15365" width="47.7109375" style="1381" customWidth="1"/>
    <col min="15366" max="15366" width="19.28515625" style="1381" customWidth="1"/>
    <col min="15367" max="15619" width="9.140625" style="1381"/>
    <col min="15620" max="15620" width="7.140625" style="1381" customWidth="1"/>
    <col min="15621" max="15621" width="47.7109375" style="1381" customWidth="1"/>
    <col min="15622" max="15622" width="19.28515625" style="1381" customWidth="1"/>
    <col min="15623" max="15875" width="9.140625" style="1381"/>
    <col min="15876" max="15876" width="7.140625" style="1381" customWidth="1"/>
    <col min="15877" max="15877" width="47.7109375" style="1381" customWidth="1"/>
    <col min="15878" max="15878" width="19.28515625" style="1381" customWidth="1"/>
    <col min="15879" max="16131" width="9.140625" style="1381"/>
    <col min="16132" max="16132" width="7.140625" style="1381" customWidth="1"/>
    <col min="16133" max="16133" width="47.7109375" style="1381" customWidth="1"/>
    <col min="16134" max="16134" width="19.28515625" style="1381" customWidth="1"/>
    <col min="16135" max="16384" width="9.140625" style="1381"/>
  </cols>
  <sheetData>
    <row r="1" spans="1:7" ht="18.75" customHeight="1">
      <c r="A1" s="1801" t="s">
        <v>696</v>
      </c>
      <c r="B1" s="1801"/>
      <c r="C1" s="1380"/>
      <c r="F1" s="1334"/>
    </row>
    <row r="2" spans="1:7">
      <c r="A2" s="1802" t="s">
        <v>697</v>
      </c>
      <c r="B2" s="1802"/>
      <c r="C2" s="1382"/>
      <c r="D2" s="1335"/>
      <c r="E2" s="1335"/>
    </row>
    <row r="3" spans="1:7">
      <c r="A3" s="1336"/>
    </row>
    <row r="4" spans="1:7">
      <c r="A4" s="1802" t="s">
        <v>1450</v>
      </c>
      <c r="B4" s="1802"/>
      <c r="C4" s="1802"/>
      <c r="D4" s="1802"/>
      <c r="E4" s="1802"/>
      <c r="F4" s="1802"/>
      <c r="G4" s="1383">
        <f>G5-G6</f>
        <v>133433141774</v>
      </c>
    </row>
    <row r="5" spans="1:7">
      <c r="A5" s="1802" t="s">
        <v>698</v>
      </c>
      <c r="B5" s="1802"/>
      <c r="C5" s="1802"/>
      <c r="D5" s="1802"/>
      <c r="E5" s="1802"/>
      <c r="F5" s="1802"/>
      <c r="G5" s="1383">
        <v>2086661952077</v>
      </c>
    </row>
    <row r="6" spans="1:7">
      <c r="A6" s="1802" t="s">
        <v>699</v>
      </c>
      <c r="B6" s="1802"/>
      <c r="C6" s="1802"/>
      <c r="D6" s="1802"/>
      <c r="E6" s="1802"/>
      <c r="F6" s="1802"/>
      <c r="G6" s="1383">
        <f>G7+G9</f>
        <v>1953228810303</v>
      </c>
    </row>
    <row r="7" spans="1:7">
      <c r="A7" s="1802" t="s">
        <v>17</v>
      </c>
      <c r="B7" s="1802"/>
      <c r="C7" s="1802"/>
      <c r="D7" s="1802"/>
      <c r="E7" s="1802"/>
      <c r="F7" s="1802"/>
      <c r="G7" s="1383">
        <v>241523795689</v>
      </c>
    </row>
    <row r="8" spans="1:7">
      <c r="A8" s="1800">
        <f>'TTDVNN V '!A8:G8</f>
        <v>0</v>
      </c>
      <c r="B8" s="1800"/>
      <c r="C8" s="1800"/>
      <c r="D8" s="1800"/>
      <c r="E8" s="1800"/>
      <c r="F8" s="1800"/>
    </row>
    <row r="9" spans="1:7">
      <c r="F9" s="289" t="s">
        <v>43</v>
      </c>
      <c r="G9" s="1383">
        <f>G10-G11</f>
        <v>1711705014614</v>
      </c>
    </row>
    <row r="10" spans="1:7" ht="117" customHeight="1">
      <c r="A10" s="290" t="s">
        <v>0</v>
      </c>
      <c r="B10" s="290" t="s">
        <v>1</v>
      </c>
      <c r="C10" s="290" t="s">
        <v>1359</v>
      </c>
      <c r="D10" s="290" t="s">
        <v>18</v>
      </c>
      <c r="E10" s="290" t="s">
        <v>117</v>
      </c>
      <c r="F10" s="290" t="s">
        <v>19</v>
      </c>
      <c r="G10" s="1383">
        <v>1845138156388</v>
      </c>
    </row>
    <row r="11" spans="1:7">
      <c r="A11" s="291" t="s">
        <v>20</v>
      </c>
      <c r="B11" s="291" t="s">
        <v>21</v>
      </c>
      <c r="C11" s="291" t="s">
        <v>22</v>
      </c>
      <c r="D11" s="291" t="s">
        <v>23</v>
      </c>
      <c r="E11" s="291" t="s">
        <v>24</v>
      </c>
      <c r="F11" s="291" t="s">
        <v>25</v>
      </c>
      <c r="G11" s="1383">
        <v>133433141774</v>
      </c>
    </row>
    <row r="12" spans="1:7" ht="56.25">
      <c r="A12" s="290"/>
      <c r="B12" s="292" t="s">
        <v>729</v>
      </c>
      <c r="C12" s="293">
        <f>C13</f>
        <v>3294000000</v>
      </c>
      <c r="D12" s="293">
        <f>D13</f>
        <v>329400000</v>
      </c>
      <c r="E12" s="293">
        <f>E13</f>
        <v>2964600000</v>
      </c>
      <c r="F12" s="294"/>
      <c r="G12" s="1383">
        <f>G14-G13</f>
        <v>206000000</v>
      </c>
    </row>
    <row r="13" spans="1:7" s="1385" customFormat="1" ht="39">
      <c r="A13" s="299"/>
      <c r="B13" s="300" t="s">
        <v>10</v>
      </c>
      <c r="C13" s="301">
        <f>C14+C26</f>
        <v>3294000000</v>
      </c>
      <c r="D13" s="301">
        <f>D14+D26</f>
        <v>329400000</v>
      </c>
      <c r="E13" s="301">
        <f>E14+E26</f>
        <v>2964600000</v>
      </c>
      <c r="F13" s="302"/>
      <c r="G13" s="1384">
        <v>1582000000</v>
      </c>
    </row>
    <row r="14" spans="1:7" s="1387" customFormat="1" ht="187.5">
      <c r="A14" s="290" t="s">
        <v>2</v>
      </c>
      <c r="B14" s="1386" t="s">
        <v>1307</v>
      </c>
      <c r="C14" s="293">
        <f>SUM(C15:C25)</f>
        <v>1582000000</v>
      </c>
      <c r="D14" s="293">
        <f>SUM(D15:D25)</f>
        <v>158200000</v>
      </c>
      <c r="E14" s="293">
        <f>SUM(E15:E25)</f>
        <v>1423800000</v>
      </c>
      <c r="F14" s="1341"/>
      <c r="G14" s="1384">
        <v>1788000000</v>
      </c>
    </row>
    <row r="15" spans="1:7">
      <c r="A15" s="295">
        <v>1</v>
      </c>
      <c r="B15" s="303" t="s">
        <v>1326</v>
      </c>
      <c r="C15" s="297">
        <v>550000000</v>
      </c>
      <c r="D15" s="297">
        <f>C15*10%</f>
        <v>55000000</v>
      </c>
      <c r="E15" s="297">
        <f>C15-D15</f>
        <v>495000000</v>
      </c>
      <c r="F15" s="294"/>
      <c r="G15" s="1383">
        <f>G14-C14</f>
        <v>206000000</v>
      </c>
    </row>
    <row r="16" spans="1:7" ht="37.5">
      <c r="A16" s="295">
        <v>2</v>
      </c>
      <c r="B16" s="303" t="s">
        <v>1327</v>
      </c>
      <c r="C16" s="297">
        <v>180000000</v>
      </c>
      <c r="D16" s="297">
        <f t="shared" ref="D16:D25" si="0">C16*10%</f>
        <v>18000000</v>
      </c>
      <c r="E16" s="297">
        <f t="shared" ref="E16:E25" si="1">C16-D16</f>
        <v>162000000</v>
      </c>
      <c r="F16" s="294"/>
      <c r="G16" s="1383">
        <f>G6-G9</f>
        <v>241523795689</v>
      </c>
    </row>
    <row r="17" spans="1:7">
      <c r="A17" s="295">
        <v>3</v>
      </c>
      <c r="B17" s="303" t="s">
        <v>1225</v>
      </c>
      <c r="C17" s="297">
        <v>180000000</v>
      </c>
      <c r="D17" s="297">
        <f t="shared" si="0"/>
        <v>18000000</v>
      </c>
      <c r="E17" s="297">
        <f t="shared" si="1"/>
        <v>162000000</v>
      </c>
      <c r="F17" s="294"/>
      <c r="G17" s="1383">
        <f>C14-G13</f>
        <v>0</v>
      </c>
    </row>
    <row r="18" spans="1:7" ht="37.5">
      <c r="A18" s="295">
        <v>4</v>
      </c>
      <c r="B18" s="303" t="s">
        <v>1328</v>
      </c>
      <c r="C18" s="297">
        <v>150000000</v>
      </c>
      <c r="D18" s="297">
        <f t="shared" si="0"/>
        <v>15000000</v>
      </c>
      <c r="E18" s="297">
        <f t="shared" si="1"/>
        <v>135000000</v>
      </c>
      <c r="F18" s="294"/>
    </row>
    <row r="19" spans="1:7">
      <c r="A19" s="295">
        <v>5</v>
      </c>
      <c r="B19" s="303" t="s">
        <v>1226</v>
      </c>
      <c r="C19" s="297">
        <v>150000000</v>
      </c>
      <c r="D19" s="297">
        <f t="shared" si="0"/>
        <v>15000000</v>
      </c>
      <c r="E19" s="297">
        <f t="shared" si="1"/>
        <v>135000000</v>
      </c>
      <c r="F19" s="294"/>
    </row>
    <row r="20" spans="1:7">
      <c r="A20" s="295">
        <v>6</v>
      </c>
      <c r="B20" s="303" t="s">
        <v>1329</v>
      </c>
      <c r="C20" s="297">
        <v>112000000</v>
      </c>
      <c r="D20" s="297">
        <f t="shared" si="0"/>
        <v>11200000</v>
      </c>
      <c r="E20" s="297">
        <f t="shared" si="1"/>
        <v>100800000</v>
      </c>
      <c r="F20" s="294"/>
    </row>
    <row r="21" spans="1:7" ht="37.5">
      <c r="A21" s="295">
        <v>7</v>
      </c>
      <c r="B21" s="303" t="s">
        <v>1330</v>
      </c>
      <c r="C21" s="297">
        <v>70000000</v>
      </c>
      <c r="D21" s="297">
        <f t="shared" si="0"/>
        <v>7000000</v>
      </c>
      <c r="E21" s="297">
        <f t="shared" si="1"/>
        <v>63000000</v>
      </c>
      <c r="F21" s="294"/>
    </row>
    <row r="22" spans="1:7" ht="112.5">
      <c r="A22" s="295">
        <v>8</v>
      </c>
      <c r="B22" s="303" t="s">
        <v>1331</v>
      </c>
      <c r="C22" s="297">
        <v>30000000</v>
      </c>
      <c r="D22" s="297">
        <f t="shared" si="0"/>
        <v>3000000</v>
      </c>
      <c r="E22" s="297">
        <f t="shared" si="1"/>
        <v>27000000</v>
      </c>
      <c r="F22" s="294"/>
    </row>
    <row r="23" spans="1:7">
      <c r="A23" s="295">
        <v>9</v>
      </c>
      <c r="B23" s="303" t="s">
        <v>1332</v>
      </c>
      <c r="C23" s="297">
        <v>90000000</v>
      </c>
      <c r="D23" s="297">
        <f t="shared" si="0"/>
        <v>9000000</v>
      </c>
      <c r="E23" s="297">
        <f t="shared" si="1"/>
        <v>81000000</v>
      </c>
      <c r="F23" s="294"/>
    </row>
    <row r="24" spans="1:7">
      <c r="A24" s="295">
        <v>10</v>
      </c>
      <c r="B24" s="303" t="s">
        <v>1334</v>
      </c>
      <c r="C24" s="297">
        <v>50000000</v>
      </c>
      <c r="D24" s="297">
        <f t="shared" si="0"/>
        <v>5000000</v>
      </c>
      <c r="E24" s="297">
        <f t="shared" si="1"/>
        <v>45000000</v>
      </c>
      <c r="F24" s="294"/>
    </row>
    <row r="25" spans="1:7" ht="56.25">
      <c r="A25" s="295">
        <v>11</v>
      </c>
      <c r="B25" s="303" t="s">
        <v>1333</v>
      </c>
      <c r="C25" s="297">
        <v>20000000</v>
      </c>
      <c r="D25" s="297">
        <f t="shared" si="0"/>
        <v>2000000</v>
      </c>
      <c r="E25" s="297">
        <f t="shared" si="1"/>
        <v>18000000</v>
      </c>
      <c r="F25" s="294"/>
    </row>
    <row r="26" spans="1:7" s="1387" customFormat="1">
      <c r="A26" s="290" t="s">
        <v>12</v>
      </c>
      <c r="B26" s="1386" t="s">
        <v>700</v>
      </c>
      <c r="C26" s="293">
        <f>SUM(C27:C39)</f>
        <v>1712000000</v>
      </c>
      <c r="D26" s="293">
        <f>SUM(D27:D39)</f>
        <v>171200000</v>
      </c>
      <c r="E26" s="293">
        <f>SUM(E27:E39)</f>
        <v>1540800000</v>
      </c>
      <c r="F26" s="1341"/>
      <c r="G26" s="1384">
        <f>SUM(C27:C39)</f>
        <v>1712000000</v>
      </c>
    </row>
    <row r="27" spans="1:7" ht="37.5">
      <c r="A27" s="295">
        <v>1</v>
      </c>
      <c r="B27" s="303" t="s">
        <v>2025</v>
      </c>
      <c r="C27" s="297">
        <v>300000000</v>
      </c>
      <c r="D27" s="297">
        <f>C27*10%</f>
        <v>30000000</v>
      </c>
      <c r="E27" s="297">
        <f>C27-D27</f>
        <v>270000000</v>
      </c>
      <c r="F27" s="294"/>
      <c r="G27" s="1383">
        <f>G26-C26</f>
        <v>0</v>
      </c>
    </row>
    <row r="28" spans="1:7" ht="37.5">
      <c r="A28" s="295">
        <v>2</v>
      </c>
      <c r="B28" s="303" t="s">
        <v>2026</v>
      </c>
      <c r="C28" s="297">
        <v>50000000</v>
      </c>
      <c r="D28" s="297">
        <f t="shared" ref="D28:D39" si="2">C28*10%</f>
        <v>5000000</v>
      </c>
      <c r="E28" s="297">
        <f t="shared" ref="E28:E39" si="3">C28-D28</f>
        <v>45000000</v>
      </c>
      <c r="F28" s="294"/>
      <c r="G28" s="1384">
        <v>1712000000</v>
      </c>
    </row>
    <row r="29" spans="1:7" ht="56.25">
      <c r="A29" s="295">
        <v>3</v>
      </c>
      <c r="B29" s="303" t="s">
        <v>2029</v>
      </c>
      <c r="C29" s="297">
        <v>200000000</v>
      </c>
      <c r="D29" s="297">
        <f t="shared" si="2"/>
        <v>20000000</v>
      </c>
      <c r="E29" s="297">
        <f t="shared" si="3"/>
        <v>180000000</v>
      </c>
      <c r="F29" s="294"/>
      <c r="G29" s="1383">
        <f>G28-G26</f>
        <v>0</v>
      </c>
    </row>
    <row r="30" spans="1:7" ht="37.5">
      <c r="A30" s="295">
        <v>4</v>
      </c>
      <c r="B30" s="303" t="s">
        <v>2031</v>
      </c>
      <c r="C30" s="297">
        <v>120000000</v>
      </c>
      <c r="D30" s="297">
        <f t="shared" si="2"/>
        <v>12000000</v>
      </c>
      <c r="E30" s="297">
        <f t="shared" si="3"/>
        <v>108000000</v>
      </c>
      <c r="F30" s="294"/>
    </row>
    <row r="31" spans="1:7" ht="37.5">
      <c r="A31" s="295">
        <v>5</v>
      </c>
      <c r="B31" s="303" t="s">
        <v>2030</v>
      </c>
      <c r="C31" s="297">
        <v>16500000</v>
      </c>
      <c r="D31" s="297">
        <f t="shared" si="2"/>
        <v>1650000</v>
      </c>
      <c r="E31" s="297">
        <f t="shared" si="3"/>
        <v>14850000</v>
      </c>
      <c r="F31" s="294"/>
    </row>
    <row r="32" spans="1:7" ht="112.5">
      <c r="A32" s="295">
        <v>6</v>
      </c>
      <c r="B32" s="303" t="s">
        <v>2028</v>
      </c>
      <c r="C32" s="297">
        <v>300000000</v>
      </c>
      <c r="D32" s="297">
        <f t="shared" si="2"/>
        <v>30000000</v>
      </c>
      <c r="E32" s="297">
        <f t="shared" si="3"/>
        <v>270000000</v>
      </c>
      <c r="F32" s="294"/>
    </row>
    <row r="33" spans="1:6" ht="37.5">
      <c r="A33" s="295">
        <v>7</v>
      </c>
      <c r="B33" s="303" t="s">
        <v>587</v>
      </c>
      <c r="C33" s="297">
        <v>245000000</v>
      </c>
      <c r="D33" s="297">
        <f t="shared" si="2"/>
        <v>24500000</v>
      </c>
      <c r="E33" s="297">
        <f t="shared" si="3"/>
        <v>220500000</v>
      </c>
      <c r="F33" s="294"/>
    </row>
    <row r="34" spans="1:6" ht="37.5">
      <c r="A34" s="295">
        <v>8</v>
      </c>
      <c r="B34" s="303" t="s">
        <v>588</v>
      </c>
      <c r="C34" s="297">
        <v>45000000</v>
      </c>
      <c r="D34" s="297">
        <f t="shared" si="2"/>
        <v>4500000</v>
      </c>
      <c r="E34" s="297">
        <f t="shared" si="3"/>
        <v>40500000</v>
      </c>
      <c r="F34" s="294"/>
    </row>
    <row r="35" spans="1:6">
      <c r="A35" s="295">
        <v>9</v>
      </c>
      <c r="B35" s="303" t="s">
        <v>2020</v>
      </c>
      <c r="C35" s="297">
        <v>30000000</v>
      </c>
      <c r="D35" s="297">
        <f t="shared" si="2"/>
        <v>3000000</v>
      </c>
      <c r="E35" s="297">
        <f t="shared" si="3"/>
        <v>27000000</v>
      </c>
      <c r="F35" s="294"/>
    </row>
    <row r="36" spans="1:6" ht="56.25">
      <c r="A36" s="295">
        <v>10</v>
      </c>
      <c r="B36" s="303" t="s">
        <v>2019</v>
      </c>
      <c r="C36" s="297">
        <v>100000000</v>
      </c>
      <c r="D36" s="297">
        <f t="shared" ref="D36" si="4">C36*10%</f>
        <v>10000000</v>
      </c>
      <c r="E36" s="297">
        <f t="shared" ref="E36" si="5">C36-D36</f>
        <v>90000000</v>
      </c>
      <c r="F36" s="294"/>
    </row>
    <row r="37" spans="1:6" ht="37.5">
      <c r="A37" s="295">
        <v>11</v>
      </c>
      <c r="B37" s="303" t="s">
        <v>1336</v>
      </c>
      <c r="C37" s="297">
        <v>30000000</v>
      </c>
      <c r="D37" s="297">
        <f t="shared" si="2"/>
        <v>3000000</v>
      </c>
      <c r="E37" s="297">
        <f t="shared" si="3"/>
        <v>27000000</v>
      </c>
      <c r="F37" s="294"/>
    </row>
    <row r="38" spans="1:6" ht="93.75">
      <c r="A38" s="295">
        <v>12</v>
      </c>
      <c r="B38" s="303" t="s">
        <v>2027</v>
      </c>
      <c r="C38" s="297">
        <v>50000000</v>
      </c>
      <c r="D38" s="297">
        <f t="shared" si="2"/>
        <v>5000000</v>
      </c>
      <c r="E38" s="297">
        <f t="shared" si="3"/>
        <v>45000000</v>
      </c>
      <c r="F38" s="294"/>
    </row>
    <row r="39" spans="1:6" ht="75">
      <c r="A39" s="295">
        <v>13</v>
      </c>
      <c r="B39" s="303" t="s">
        <v>1335</v>
      </c>
      <c r="C39" s="297">
        <f>325500000-100000000</f>
        <v>225500000</v>
      </c>
      <c r="D39" s="297">
        <f t="shared" si="2"/>
        <v>22550000</v>
      </c>
      <c r="E39" s="297">
        <f t="shared" si="3"/>
        <v>202950000</v>
      </c>
      <c r="F39" s="294"/>
    </row>
    <row r="40" spans="1:6">
      <c r="A40" s="305"/>
    </row>
  </sheetData>
  <mergeCells count="7">
    <mergeCell ref="A1:B1"/>
    <mergeCell ref="A2:B2"/>
    <mergeCell ref="A8:F8"/>
    <mergeCell ref="A4:F4"/>
    <mergeCell ref="A5:F5"/>
    <mergeCell ref="A6:F6"/>
    <mergeCell ref="A7:F7"/>
  </mergeCells>
  <pageMargins left="0.53" right="0.56000000000000005" top="0.6" bottom="0.74803149606299213" header="0.31496062992125984" footer="0.31496062992125984"/>
  <pageSetup paperSize="9" scale="73" fitToHeight="0"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46"/>
  <sheetViews>
    <sheetView topLeftCell="A38" zoomScale="85" zoomScaleNormal="85" workbookViewId="0">
      <selection activeCell="B43" sqref="B43"/>
    </sheetView>
  </sheetViews>
  <sheetFormatPr defaultRowHeight="18.75"/>
  <cols>
    <col min="1" max="1" width="7.140625" style="1388" customWidth="1"/>
    <col min="2" max="2" width="41.42578125" style="1388" customWidth="1"/>
    <col min="3" max="3" width="19.28515625" style="1388" customWidth="1"/>
    <col min="4" max="4" width="21.140625" style="1388" customWidth="1"/>
    <col min="5" max="5" width="19.42578125" style="1388" customWidth="1"/>
    <col min="6" max="6" width="18.140625" style="1388" customWidth="1"/>
    <col min="7" max="7" width="20" style="1388" hidden="1" customWidth="1"/>
    <col min="8" max="8" width="16.7109375" style="1388" hidden="1" customWidth="1"/>
    <col min="9" max="11" width="0" style="1388" hidden="1" customWidth="1"/>
    <col min="12" max="259" width="9.140625" style="1388"/>
    <col min="260" max="260" width="7.140625" style="1388" customWidth="1"/>
    <col min="261" max="261" width="47.7109375" style="1388" customWidth="1"/>
    <col min="262" max="262" width="19.28515625" style="1388" customWidth="1"/>
    <col min="263" max="515" width="9.140625" style="1388"/>
    <col min="516" max="516" width="7.140625" style="1388" customWidth="1"/>
    <col min="517" max="517" width="47.7109375" style="1388" customWidth="1"/>
    <col min="518" max="518" width="19.28515625" style="1388" customWidth="1"/>
    <col min="519" max="771" width="9.140625" style="1388"/>
    <col min="772" max="772" width="7.140625" style="1388" customWidth="1"/>
    <col min="773" max="773" width="47.7109375" style="1388" customWidth="1"/>
    <col min="774" max="774" width="19.28515625" style="1388" customWidth="1"/>
    <col min="775" max="1027" width="9.140625" style="1388"/>
    <col min="1028" max="1028" width="7.140625" style="1388" customWidth="1"/>
    <col min="1029" max="1029" width="47.7109375" style="1388" customWidth="1"/>
    <col min="1030" max="1030" width="19.28515625" style="1388" customWidth="1"/>
    <col min="1031" max="1283" width="9.140625" style="1388"/>
    <col min="1284" max="1284" width="7.140625" style="1388" customWidth="1"/>
    <col min="1285" max="1285" width="47.7109375" style="1388" customWidth="1"/>
    <col min="1286" max="1286" width="19.28515625" style="1388" customWidth="1"/>
    <col min="1287" max="1539" width="9.140625" style="1388"/>
    <col min="1540" max="1540" width="7.140625" style="1388" customWidth="1"/>
    <col min="1541" max="1541" width="47.7109375" style="1388" customWidth="1"/>
    <col min="1542" max="1542" width="19.28515625" style="1388" customWidth="1"/>
    <col min="1543" max="1795" width="9.140625" style="1388"/>
    <col min="1796" max="1796" width="7.140625" style="1388" customWidth="1"/>
    <col min="1797" max="1797" width="47.7109375" style="1388" customWidth="1"/>
    <col min="1798" max="1798" width="19.28515625" style="1388" customWidth="1"/>
    <col min="1799" max="2051" width="9.140625" style="1388"/>
    <col min="2052" max="2052" width="7.140625" style="1388" customWidth="1"/>
    <col min="2053" max="2053" width="47.7109375" style="1388" customWidth="1"/>
    <col min="2054" max="2054" width="19.28515625" style="1388" customWidth="1"/>
    <col min="2055" max="2307" width="9.140625" style="1388"/>
    <col min="2308" max="2308" width="7.140625" style="1388" customWidth="1"/>
    <col min="2309" max="2309" width="47.7109375" style="1388" customWidth="1"/>
    <col min="2310" max="2310" width="19.28515625" style="1388" customWidth="1"/>
    <col min="2311" max="2563" width="9.140625" style="1388"/>
    <col min="2564" max="2564" width="7.140625" style="1388" customWidth="1"/>
    <col min="2565" max="2565" width="47.7109375" style="1388" customWidth="1"/>
    <col min="2566" max="2566" width="19.28515625" style="1388" customWidth="1"/>
    <col min="2567" max="2819" width="9.140625" style="1388"/>
    <col min="2820" max="2820" width="7.140625" style="1388" customWidth="1"/>
    <col min="2821" max="2821" width="47.7109375" style="1388" customWidth="1"/>
    <col min="2822" max="2822" width="19.28515625" style="1388" customWidth="1"/>
    <col min="2823" max="3075" width="9.140625" style="1388"/>
    <col min="3076" max="3076" width="7.140625" style="1388" customWidth="1"/>
    <col min="3077" max="3077" width="47.7109375" style="1388" customWidth="1"/>
    <col min="3078" max="3078" width="19.28515625" style="1388" customWidth="1"/>
    <col min="3079" max="3331" width="9.140625" style="1388"/>
    <col min="3332" max="3332" width="7.140625" style="1388" customWidth="1"/>
    <col min="3333" max="3333" width="47.7109375" style="1388" customWidth="1"/>
    <col min="3334" max="3334" width="19.28515625" style="1388" customWidth="1"/>
    <col min="3335" max="3587" width="9.140625" style="1388"/>
    <col min="3588" max="3588" width="7.140625" style="1388" customWidth="1"/>
    <col min="3589" max="3589" width="47.7109375" style="1388" customWidth="1"/>
    <col min="3590" max="3590" width="19.28515625" style="1388" customWidth="1"/>
    <col min="3591" max="3843" width="9.140625" style="1388"/>
    <col min="3844" max="3844" width="7.140625" style="1388" customWidth="1"/>
    <col min="3845" max="3845" width="47.7109375" style="1388" customWidth="1"/>
    <col min="3846" max="3846" width="19.28515625" style="1388" customWidth="1"/>
    <col min="3847" max="4099" width="9.140625" style="1388"/>
    <col min="4100" max="4100" width="7.140625" style="1388" customWidth="1"/>
    <col min="4101" max="4101" width="47.7109375" style="1388" customWidth="1"/>
    <col min="4102" max="4102" width="19.28515625" style="1388" customWidth="1"/>
    <col min="4103" max="4355" width="9.140625" style="1388"/>
    <col min="4356" max="4356" width="7.140625" style="1388" customWidth="1"/>
    <col min="4357" max="4357" width="47.7109375" style="1388" customWidth="1"/>
    <col min="4358" max="4358" width="19.28515625" style="1388" customWidth="1"/>
    <col min="4359" max="4611" width="9.140625" style="1388"/>
    <col min="4612" max="4612" width="7.140625" style="1388" customWidth="1"/>
    <col min="4613" max="4613" width="47.7109375" style="1388" customWidth="1"/>
    <col min="4614" max="4614" width="19.28515625" style="1388" customWidth="1"/>
    <col min="4615" max="4867" width="9.140625" style="1388"/>
    <col min="4868" max="4868" width="7.140625" style="1388" customWidth="1"/>
    <col min="4869" max="4869" width="47.7109375" style="1388" customWidth="1"/>
    <col min="4870" max="4870" width="19.28515625" style="1388" customWidth="1"/>
    <col min="4871" max="5123" width="9.140625" style="1388"/>
    <col min="5124" max="5124" width="7.140625" style="1388" customWidth="1"/>
    <col min="5125" max="5125" width="47.7109375" style="1388" customWidth="1"/>
    <col min="5126" max="5126" width="19.28515625" style="1388" customWidth="1"/>
    <col min="5127" max="5379" width="9.140625" style="1388"/>
    <col min="5380" max="5380" width="7.140625" style="1388" customWidth="1"/>
    <col min="5381" max="5381" width="47.7109375" style="1388" customWidth="1"/>
    <col min="5382" max="5382" width="19.28515625" style="1388" customWidth="1"/>
    <col min="5383" max="5635" width="9.140625" style="1388"/>
    <col min="5636" max="5636" width="7.140625" style="1388" customWidth="1"/>
    <col min="5637" max="5637" width="47.7109375" style="1388" customWidth="1"/>
    <col min="5638" max="5638" width="19.28515625" style="1388" customWidth="1"/>
    <col min="5639" max="5891" width="9.140625" style="1388"/>
    <col min="5892" max="5892" width="7.140625" style="1388" customWidth="1"/>
    <col min="5893" max="5893" width="47.7109375" style="1388" customWidth="1"/>
    <col min="5894" max="5894" width="19.28515625" style="1388" customWidth="1"/>
    <col min="5895" max="6147" width="9.140625" style="1388"/>
    <col min="6148" max="6148" width="7.140625" style="1388" customWidth="1"/>
    <col min="6149" max="6149" width="47.7109375" style="1388" customWidth="1"/>
    <col min="6150" max="6150" width="19.28515625" style="1388" customWidth="1"/>
    <col min="6151" max="6403" width="9.140625" style="1388"/>
    <col min="6404" max="6404" width="7.140625" style="1388" customWidth="1"/>
    <col min="6405" max="6405" width="47.7109375" style="1388" customWidth="1"/>
    <col min="6406" max="6406" width="19.28515625" style="1388" customWidth="1"/>
    <col min="6407" max="6659" width="9.140625" style="1388"/>
    <col min="6660" max="6660" width="7.140625" style="1388" customWidth="1"/>
    <col min="6661" max="6661" width="47.7109375" style="1388" customWidth="1"/>
    <col min="6662" max="6662" width="19.28515625" style="1388" customWidth="1"/>
    <col min="6663" max="6915" width="9.140625" style="1388"/>
    <col min="6916" max="6916" width="7.140625" style="1388" customWidth="1"/>
    <col min="6917" max="6917" width="47.7109375" style="1388" customWidth="1"/>
    <col min="6918" max="6918" width="19.28515625" style="1388" customWidth="1"/>
    <col min="6919" max="7171" width="9.140625" style="1388"/>
    <col min="7172" max="7172" width="7.140625" style="1388" customWidth="1"/>
    <col min="7173" max="7173" width="47.7109375" style="1388" customWidth="1"/>
    <col min="7174" max="7174" width="19.28515625" style="1388" customWidth="1"/>
    <col min="7175" max="7427" width="9.140625" style="1388"/>
    <col min="7428" max="7428" width="7.140625" style="1388" customWidth="1"/>
    <col min="7429" max="7429" width="47.7109375" style="1388" customWidth="1"/>
    <col min="7430" max="7430" width="19.28515625" style="1388" customWidth="1"/>
    <col min="7431" max="7683" width="9.140625" style="1388"/>
    <col min="7684" max="7684" width="7.140625" style="1388" customWidth="1"/>
    <col min="7685" max="7685" width="47.7109375" style="1388" customWidth="1"/>
    <col min="7686" max="7686" width="19.28515625" style="1388" customWidth="1"/>
    <col min="7687" max="7939" width="9.140625" style="1388"/>
    <col min="7940" max="7940" width="7.140625" style="1388" customWidth="1"/>
    <col min="7941" max="7941" width="47.7109375" style="1388" customWidth="1"/>
    <col min="7942" max="7942" width="19.28515625" style="1388" customWidth="1"/>
    <col min="7943" max="8195" width="9.140625" style="1388"/>
    <col min="8196" max="8196" width="7.140625" style="1388" customWidth="1"/>
    <col min="8197" max="8197" width="47.7109375" style="1388" customWidth="1"/>
    <col min="8198" max="8198" width="19.28515625" style="1388" customWidth="1"/>
    <col min="8199" max="8451" width="9.140625" style="1388"/>
    <col min="8452" max="8452" width="7.140625" style="1388" customWidth="1"/>
    <col min="8453" max="8453" width="47.7109375" style="1388" customWidth="1"/>
    <col min="8454" max="8454" width="19.28515625" style="1388" customWidth="1"/>
    <col min="8455" max="8707" width="9.140625" style="1388"/>
    <col min="8708" max="8708" width="7.140625" style="1388" customWidth="1"/>
    <col min="8709" max="8709" width="47.7109375" style="1388" customWidth="1"/>
    <col min="8710" max="8710" width="19.28515625" style="1388" customWidth="1"/>
    <col min="8711" max="8963" width="9.140625" style="1388"/>
    <col min="8964" max="8964" width="7.140625" style="1388" customWidth="1"/>
    <col min="8965" max="8965" width="47.7109375" style="1388" customWidth="1"/>
    <col min="8966" max="8966" width="19.28515625" style="1388" customWidth="1"/>
    <col min="8967" max="9219" width="9.140625" style="1388"/>
    <col min="9220" max="9220" width="7.140625" style="1388" customWidth="1"/>
    <col min="9221" max="9221" width="47.7109375" style="1388" customWidth="1"/>
    <col min="9222" max="9222" width="19.28515625" style="1388" customWidth="1"/>
    <col min="9223" max="9475" width="9.140625" style="1388"/>
    <col min="9476" max="9476" width="7.140625" style="1388" customWidth="1"/>
    <col min="9477" max="9477" width="47.7109375" style="1388" customWidth="1"/>
    <col min="9478" max="9478" width="19.28515625" style="1388" customWidth="1"/>
    <col min="9479" max="9731" width="9.140625" style="1388"/>
    <col min="9732" max="9732" width="7.140625" style="1388" customWidth="1"/>
    <col min="9733" max="9733" width="47.7109375" style="1388" customWidth="1"/>
    <col min="9734" max="9734" width="19.28515625" style="1388" customWidth="1"/>
    <col min="9735" max="9987" width="9.140625" style="1388"/>
    <col min="9988" max="9988" width="7.140625" style="1388" customWidth="1"/>
    <col min="9989" max="9989" width="47.7109375" style="1388" customWidth="1"/>
    <col min="9990" max="9990" width="19.28515625" style="1388" customWidth="1"/>
    <col min="9991" max="10243" width="9.140625" style="1388"/>
    <col min="10244" max="10244" width="7.140625" style="1388" customWidth="1"/>
    <col min="10245" max="10245" width="47.7109375" style="1388" customWidth="1"/>
    <col min="10246" max="10246" width="19.28515625" style="1388" customWidth="1"/>
    <col min="10247" max="10499" width="9.140625" style="1388"/>
    <col min="10500" max="10500" width="7.140625" style="1388" customWidth="1"/>
    <col min="10501" max="10501" width="47.7109375" style="1388" customWidth="1"/>
    <col min="10502" max="10502" width="19.28515625" style="1388" customWidth="1"/>
    <col min="10503" max="10755" width="9.140625" style="1388"/>
    <col min="10756" max="10756" width="7.140625" style="1388" customWidth="1"/>
    <col min="10757" max="10757" width="47.7109375" style="1388" customWidth="1"/>
    <col min="10758" max="10758" width="19.28515625" style="1388" customWidth="1"/>
    <col min="10759" max="11011" width="9.140625" style="1388"/>
    <col min="11012" max="11012" width="7.140625" style="1388" customWidth="1"/>
    <col min="11013" max="11013" width="47.7109375" style="1388" customWidth="1"/>
    <col min="11014" max="11014" width="19.28515625" style="1388" customWidth="1"/>
    <col min="11015" max="11267" width="9.140625" style="1388"/>
    <col min="11268" max="11268" width="7.140625" style="1388" customWidth="1"/>
    <col min="11269" max="11269" width="47.7109375" style="1388" customWidth="1"/>
    <col min="11270" max="11270" width="19.28515625" style="1388" customWidth="1"/>
    <col min="11271" max="11523" width="9.140625" style="1388"/>
    <col min="11524" max="11524" width="7.140625" style="1388" customWidth="1"/>
    <col min="11525" max="11525" width="47.7109375" style="1388" customWidth="1"/>
    <col min="11526" max="11526" width="19.28515625" style="1388" customWidth="1"/>
    <col min="11527" max="11779" width="9.140625" style="1388"/>
    <col min="11780" max="11780" width="7.140625" style="1388" customWidth="1"/>
    <col min="11781" max="11781" width="47.7109375" style="1388" customWidth="1"/>
    <col min="11782" max="11782" width="19.28515625" style="1388" customWidth="1"/>
    <col min="11783" max="12035" width="9.140625" style="1388"/>
    <col min="12036" max="12036" width="7.140625" style="1388" customWidth="1"/>
    <col min="12037" max="12037" width="47.7109375" style="1388" customWidth="1"/>
    <col min="12038" max="12038" width="19.28515625" style="1388" customWidth="1"/>
    <col min="12039" max="12291" width="9.140625" style="1388"/>
    <col min="12292" max="12292" width="7.140625" style="1388" customWidth="1"/>
    <col min="12293" max="12293" width="47.7109375" style="1388" customWidth="1"/>
    <col min="12294" max="12294" width="19.28515625" style="1388" customWidth="1"/>
    <col min="12295" max="12547" width="9.140625" style="1388"/>
    <col min="12548" max="12548" width="7.140625" style="1388" customWidth="1"/>
    <col min="12549" max="12549" width="47.7109375" style="1388" customWidth="1"/>
    <col min="12550" max="12550" width="19.28515625" style="1388" customWidth="1"/>
    <col min="12551" max="12803" width="9.140625" style="1388"/>
    <col min="12804" max="12804" width="7.140625" style="1388" customWidth="1"/>
    <col min="12805" max="12805" width="47.7109375" style="1388" customWidth="1"/>
    <col min="12806" max="12806" width="19.28515625" style="1388" customWidth="1"/>
    <col min="12807" max="13059" width="9.140625" style="1388"/>
    <col min="13060" max="13060" width="7.140625" style="1388" customWidth="1"/>
    <col min="13061" max="13061" width="47.7109375" style="1388" customWidth="1"/>
    <col min="13062" max="13062" width="19.28515625" style="1388" customWidth="1"/>
    <col min="13063" max="13315" width="9.140625" style="1388"/>
    <col min="13316" max="13316" width="7.140625" style="1388" customWidth="1"/>
    <col min="13317" max="13317" width="47.7109375" style="1388" customWidth="1"/>
    <col min="13318" max="13318" width="19.28515625" style="1388" customWidth="1"/>
    <col min="13319" max="13571" width="9.140625" style="1388"/>
    <col min="13572" max="13572" width="7.140625" style="1388" customWidth="1"/>
    <col min="13573" max="13573" width="47.7109375" style="1388" customWidth="1"/>
    <col min="13574" max="13574" width="19.28515625" style="1388" customWidth="1"/>
    <col min="13575" max="13827" width="9.140625" style="1388"/>
    <col min="13828" max="13828" width="7.140625" style="1388" customWidth="1"/>
    <col min="13829" max="13829" width="47.7109375" style="1388" customWidth="1"/>
    <col min="13830" max="13830" width="19.28515625" style="1388" customWidth="1"/>
    <col min="13831" max="14083" width="9.140625" style="1388"/>
    <col min="14084" max="14084" width="7.140625" style="1388" customWidth="1"/>
    <col min="14085" max="14085" width="47.7109375" style="1388" customWidth="1"/>
    <col min="14086" max="14086" width="19.28515625" style="1388" customWidth="1"/>
    <col min="14087" max="14339" width="9.140625" style="1388"/>
    <col min="14340" max="14340" width="7.140625" style="1388" customWidth="1"/>
    <col min="14341" max="14341" width="47.7109375" style="1388" customWidth="1"/>
    <col min="14342" max="14342" width="19.28515625" style="1388" customWidth="1"/>
    <col min="14343" max="14595" width="9.140625" style="1388"/>
    <col min="14596" max="14596" width="7.140625" style="1388" customWidth="1"/>
    <col min="14597" max="14597" width="47.7109375" style="1388" customWidth="1"/>
    <col min="14598" max="14598" width="19.28515625" style="1388" customWidth="1"/>
    <col min="14599" max="14851" width="9.140625" style="1388"/>
    <col min="14852" max="14852" width="7.140625" style="1388" customWidth="1"/>
    <col min="14853" max="14853" width="47.7109375" style="1388" customWidth="1"/>
    <col min="14854" max="14854" width="19.28515625" style="1388" customWidth="1"/>
    <col min="14855" max="15107" width="9.140625" style="1388"/>
    <col min="15108" max="15108" width="7.140625" style="1388" customWidth="1"/>
    <col min="15109" max="15109" width="47.7109375" style="1388" customWidth="1"/>
    <col min="15110" max="15110" width="19.28515625" style="1388" customWidth="1"/>
    <col min="15111" max="15363" width="9.140625" style="1388"/>
    <col min="15364" max="15364" width="7.140625" style="1388" customWidth="1"/>
    <col min="15365" max="15365" width="47.7109375" style="1388" customWidth="1"/>
    <col min="15366" max="15366" width="19.28515625" style="1388" customWidth="1"/>
    <col min="15367" max="15619" width="9.140625" style="1388"/>
    <col min="15620" max="15620" width="7.140625" style="1388" customWidth="1"/>
    <col min="15621" max="15621" width="47.7109375" style="1388" customWidth="1"/>
    <col min="15622" max="15622" width="19.28515625" style="1388" customWidth="1"/>
    <col min="15623" max="15875" width="9.140625" style="1388"/>
    <col min="15876" max="15876" width="7.140625" style="1388" customWidth="1"/>
    <col min="15877" max="15877" width="47.7109375" style="1388" customWidth="1"/>
    <col min="15878" max="15878" width="19.28515625" style="1388" customWidth="1"/>
    <col min="15879" max="16131" width="9.140625" style="1388"/>
    <col min="16132" max="16132" width="7.140625" style="1388" customWidth="1"/>
    <col min="16133" max="16133" width="47.7109375" style="1388" customWidth="1"/>
    <col min="16134" max="16134" width="19.28515625" style="1388" customWidth="1"/>
    <col min="16135" max="16384" width="9.140625" style="1388"/>
  </cols>
  <sheetData>
    <row r="1" spans="1:8" ht="18.75" customHeight="1">
      <c r="A1" s="1843" t="s">
        <v>701</v>
      </c>
      <c r="B1" s="1843"/>
      <c r="C1" s="1354"/>
      <c r="F1" s="1355"/>
    </row>
    <row r="2" spans="1:8">
      <c r="A2" s="1667" t="s">
        <v>702</v>
      </c>
      <c r="B2" s="1667"/>
      <c r="C2" s="1356"/>
      <c r="D2" s="1357"/>
      <c r="E2" s="1357"/>
    </row>
    <row r="3" spans="1:8">
      <c r="A3" s="433"/>
    </row>
    <row r="4" spans="1:8">
      <c r="A4" s="1667" t="s">
        <v>1450</v>
      </c>
      <c r="B4" s="1667"/>
      <c r="C4" s="1667"/>
      <c r="D4" s="1667"/>
      <c r="E4" s="1667"/>
      <c r="F4" s="1667"/>
    </row>
    <row r="5" spans="1:8">
      <c r="A5" s="1667" t="s">
        <v>704</v>
      </c>
      <c r="B5" s="1667"/>
      <c r="C5" s="1667"/>
      <c r="D5" s="1667"/>
      <c r="E5" s="1667"/>
      <c r="F5" s="1667"/>
    </row>
    <row r="6" spans="1:8">
      <c r="A6" s="1667" t="s">
        <v>703</v>
      </c>
      <c r="B6" s="1667"/>
      <c r="C6" s="1667"/>
      <c r="D6" s="1667"/>
      <c r="E6" s="1667"/>
      <c r="F6" s="1667"/>
    </row>
    <row r="7" spans="1:8">
      <c r="A7" s="1667" t="s">
        <v>17</v>
      </c>
      <c r="B7" s="1667"/>
      <c r="C7" s="1667"/>
      <c r="D7" s="1667"/>
      <c r="E7" s="1667"/>
      <c r="F7" s="1667"/>
    </row>
    <row r="8" spans="1:8">
      <c r="A8" s="1668">
        <f>'TTDVNN V '!A8:G8</f>
        <v>0</v>
      </c>
      <c r="B8" s="1668"/>
      <c r="C8" s="1668"/>
      <c r="D8" s="1668"/>
      <c r="E8" s="1668"/>
      <c r="F8" s="1668"/>
    </row>
    <row r="9" spans="1:8">
      <c r="F9" s="1199" t="s">
        <v>43</v>
      </c>
    </row>
    <row r="10" spans="1:8" ht="117" customHeight="1">
      <c r="A10" s="282" t="s">
        <v>0</v>
      </c>
      <c r="B10" s="282" t="s">
        <v>1</v>
      </c>
      <c r="C10" s="282" t="s">
        <v>1359</v>
      </c>
      <c r="D10" s="282" t="s">
        <v>18</v>
      </c>
      <c r="E10" s="282" t="s">
        <v>117</v>
      </c>
      <c r="F10" s="282" t="s">
        <v>19</v>
      </c>
    </row>
    <row r="11" spans="1:8">
      <c r="A11" s="1358" t="s">
        <v>20</v>
      </c>
      <c r="B11" s="1358" t="s">
        <v>21</v>
      </c>
      <c r="C11" s="1358" t="s">
        <v>22</v>
      </c>
      <c r="D11" s="1358" t="s">
        <v>23</v>
      </c>
      <c r="E11" s="1358" t="s">
        <v>24</v>
      </c>
      <c r="F11" s="1358" t="s">
        <v>25</v>
      </c>
    </row>
    <row r="12" spans="1:8" ht="37.5">
      <c r="A12" s="282"/>
      <c r="B12" s="1359" t="s">
        <v>721</v>
      </c>
      <c r="C12" s="1360">
        <f>C13</f>
        <v>3299140000</v>
      </c>
      <c r="D12" s="1360">
        <f>D13</f>
        <v>331914000</v>
      </c>
      <c r="E12" s="1360">
        <f>E13</f>
        <v>2967226000</v>
      </c>
      <c r="F12" s="318"/>
      <c r="G12" s="1389">
        <f>3257000000-E12</f>
        <v>289774000</v>
      </c>
    </row>
    <row r="13" spans="1:8" s="1390" customFormat="1" ht="39">
      <c r="A13" s="1361"/>
      <c r="B13" s="1362" t="s">
        <v>10</v>
      </c>
      <c r="C13" s="1363">
        <f>C14+C21</f>
        <v>3299140000</v>
      </c>
      <c r="D13" s="1363">
        <f>D14+D21</f>
        <v>331914000</v>
      </c>
      <c r="E13" s="1363">
        <f>E14+E21</f>
        <v>2967226000</v>
      </c>
      <c r="F13" s="1364"/>
    </row>
    <row r="14" spans="1:8" s="1392" customFormat="1" ht="187.5">
      <c r="A14" s="282" t="s">
        <v>2</v>
      </c>
      <c r="B14" s="1359" t="s">
        <v>1309</v>
      </c>
      <c r="C14" s="1360">
        <f>SUM(C15:C20)</f>
        <v>1260000000</v>
      </c>
      <c r="D14" s="1360">
        <f>SUM(D15:D20)</f>
        <v>128000000</v>
      </c>
      <c r="E14" s="1360">
        <f>SUM(E15:E20)</f>
        <v>1132000000</v>
      </c>
      <c r="F14" s="1366"/>
      <c r="G14" s="1391">
        <f>SUM(C15:C20)</f>
        <v>1260000000</v>
      </c>
      <c r="H14" s="1391" t="e">
        <f>C14+#REF!+#REF!</f>
        <v>#REF!</v>
      </c>
    </row>
    <row r="15" spans="1:8" ht="57" customHeight="1">
      <c r="A15" s="315">
        <v>1</v>
      </c>
      <c r="B15" s="22" t="s">
        <v>2032</v>
      </c>
      <c r="C15" s="317">
        <v>220000000</v>
      </c>
      <c r="D15" s="317">
        <f t="shared" ref="D15:D20" si="0">C15*10%</f>
        <v>22000000</v>
      </c>
      <c r="E15" s="317">
        <f t="shared" ref="E15:E20" si="1">C15-D15</f>
        <v>198000000</v>
      </c>
      <c r="F15" s="318"/>
      <c r="G15" s="1391">
        <v>1260000000</v>
      </c>
      <c r="H15" s="1389"/>
    </row>
    <row r="16" spans="1:8" ht="56.25">
      <c r="A16" s="315">
        <v>2</v>
      </c>
      <c r="B16" s="22" t="s">
        <v>1337</v>
      </c>
      <c r="C16" s="317">
        <v>80000000</v>
      </c>
      <c r="D16" s="317">
        <f t="shared" si="0"/>
        <v>8000000</v>
      </c>
      <c r="E16" s="317">
        <f>C16-D16</f>
        <v>72000000</v>
      </c>
      <c r="F16" s="318"/>
      <c r="G16" s="1389">
        <f>C14-G15</f>
        <v>0</v>
      </c>
      <c r="H16" s="1389"/>
    </row>
    <row r="17" spans="1:8" ht="112.5">
      <c r="A17" s="315">
        <v>3</v>
      </c>
      <c r="B17" s="316" t="s">
        <v>1338</v>
      </c>
      <c r="C17" s="317">
        <v>240000000</v>
      </c>
      <c r="D17" s="317">
        <f t="shared" si="0"/>
        <v>24000000</v>
      </c>
      <c r="E17" s="317">
        <f t="shared" si="1"/>
        <v>216000000</v>
      </c>
      <c r="F17" s="318"/>
      <c r="H17" s="1389"/>
    </row>
    <row r="18" spans="1:8" ht="37.5">
      <c r="A18" s="315">
        <v>4</v>
      </c>
      <c r="B18" s="316" t="s">
        <v>1302</v>
      </c>
      <c r="C18" s="317">
        <v>400000000</v>
      </c>
      <c r="D18" s="317">
        <f t="shared" si="0"/>
        <v>40000000</v>
      </c>
      <c r="E18" s="317">
        <f t="shared" si="1"/>
        <v>360000000</v>
      </c>
      <c r="F18" s="318"/>
      <c r="H18" s="1389"/>
    </row>
    <row r="19" spans="1:8" ht="56.25">
      <c r="A19" s="315">
        <v>5</v>
      </c>
      <c r="B19" s="316" t="s">
        <v>2033</v>
      </c>
      <c r="C19" s="317">
        <v>100000000</v>
      </c>
      <c r="D19" s="317">
        <v>12000000</v>
      </c>
      <c r="E19" s="317">
        <f t="shared" si="1"/>
        <v>88000000</v>
      </c>
      <c r="F19" s="318"/>
      <c r="H19" s="1389"/>
    </row>
    <row r="20" spans="1:8" ht="56.25">
      <c r="A20" s="315">
        <v>6</v>
      </c>
      <c r="B20" s="316" t="s">
        <v>1300</v>
      </c>
      <c r="C20" s="317">
        <v>220000000</v>
      </c>
      <c r="D20" s="317">
        <f t="shared" si="0"/>
        <v>22000000</v>
      </c>
      <c r="E20" s="317">
        <f t="shared" si="1"/>
        <v>198000000</v>
      </c>
      <c r="F20" s="318"/>
      <c r="H20" s="1389"/>
    </row>
    <row r="21" spans="1:8" s="1392" customFormat="1" ht="56.25">
      <c r="A21" s="282" t="s">
        <v>12</v>
      </c>
      <c r="B21" s="1359" t="s">
        <v>1306</v>
      </c>
      <c r="C21" s="1360">
        <f>SUM(C32:C45)</f>
        <v>2039140000</v>
      </c>
      <c r="D21" s="1360">
        <f>SUM(D32:D45)</f>
        <v>203914000</v>
      </c>
      <c r="E21" s="1360">
        <f>SUM(E32:E45)</f>
        <v>1835226000</v>
      </c>
      <c r="F21" s="1360"/>
      <c r="G21" s="1391">
        <v>2195000000</v>
      </c>
      <c r="H21" s="1391">
        <f>C21-G21</f>
        <v>-155860000</v>
      </c>
    </row>
    <row r="22" spans="1:8" s="1397" customFormat="1" ht="56.25" hidden="1">
      <c r="A22" s="1393" t="s">
        <v>91</v>
      </c>
      <c r="B22" s="1394" t="s">
        <v>592</v>
      </c>
      <c r="C22" s="1395"/>
      <c r="D22" s="1395">
        <f t="shared" ref="D22:D31" si="2">C22*10%</f>
        <v>0</v>
      </c>
      <c r="E22" s="317">
        <f t="shared" ref="E22:E39" si="3">C22-D22</f>
        <v>0</v>
      </c>
      <c r="F22" s="1396"/>
    </row>
    <row r="23" spans="1:8" s="1397" customFormat="1" ht="56.25" hidden="1">
      <c r="A23" s="1393" t="s">
        <v>91</v>
      </c>
      <c r="B23" s="1394" t="s">
        <v>593</v>
      </c>
      <c r="C23" s="1395"/>
      <c r="D23" s="1395">
        <f t="shared" si="2"/>
        <v>0</v>
      </c>
      <c r="E23" s="317">
        <f t="shared" si="3"/>
        <v>0</v>
      </c>
      <c r="F23" s="1396"/>
    </row>
    <row r="24" spans="1:8" s="1397" customFormat="1" ht="37.5" hidden="1">
      <c r="A24" s="1393" t="s">
        <v>91</v>
      </c>
      <c r="B24" s="1394" t="s">
        <v>594</v>
      </c>
      <c r="C24" s="1395"/>
      <c r="D24" s="1395">
        <f t="shared" si="2"/>
        <v>0</v>
      </c>
      <c r="E24" s="317">
        <f t="shared" si="3"/>
        <v>0</v>
      </c>
      <c r="F24" s="1396"/>
    </row>
    <row r="25" spans="1:8" s="1397" customFormat="1" ht="56.25" hidden="1">
      <c r="A25" s="1393" t="s">
        <v>91</v>
      </c>
      <c r="B25" s="1394" t="s">
        <v>595</v>
      </c>
      <c r="C25" s="1395"/>
      <c r="D25" s="1395">
        <f t="shared" si="2"/>
        <v>0</v>
      </c>
      <c r="E25" s="317">
        <f t="shared" si="3"/>
        <v>0</v>
      </c>
      <c r="F25" s="1396"/>
    </row>
    <row r="26" spans="1:8" s="1397" customFormat="1" hidden="1">
      <c r="A26" s="1393" t="s">
        <v>91</v>
      </c>
      <c r="B26" s="1394" t="s">
        <v>706</v>
      </c>
      <c r="C26" s="1395"/>
      <c r="D26" s="1395">
        <f t="shared" si="2"/>
        <v>0</v>
      </c>
      <c r="E26" s="317">
        <f t="shared" si="3"/>
        <v>0</v>
      </c>
      <c r="F26" s="1396">
        <f>SUM(F27:F46)</f>
        <v>0</v>
      </c>
    </row>
    <row r="27" spans="1:8" s="1397" customFormat="1" hidden="1">
      <c r="A27" s="1393" t="s">
        <v>91</v>
      </c>
      <c r="B27" s="1394"/>
      <c r="C27" s="1395"/>
      <c r="D27" s="1395">
        <f t="shared" si="2"/>
        <v>0</v>
      </c>
      <c r="E27" s="317">
        <f t="shared" si="3"/>
        <v>0</v>
      </c>
      <c r="F27" s="1396"/>
    </row>
    <row r="28" spans="1:8" s="1397" customFormat="1" ht="37.5" hidden="1">
      <c r="A28" s="1393" t="s">
        <v>91</v>
      </c>
      <c r="B28" s="1394" t="s">
        <v>598</v>
      </c>
      <c r="C28" s="1395"/>
      <c r="D28" s="1395">
        <f t="shared" si="2"/>
        <v>0</v>
      </c>
      <c r="E28" s="317">
        <f t="shared" si="3"/>
        <v>0</v>
      </c>
      <c r="F28" s="1396"/>
    </row>
    <row r="29" spans="1:8" s="1397" customFormat="1" ht="37.5" hidden="1">
      <c r="A29" s="1393" t="s">
        <v>91</v>
      </c>
      <c r="B29" s="1394" t="s">
        <v>599</v>
      </c>
      <c r="C29" s="1395"/>
      <c r="D29" s="1395">
        <f t="shared" si="2"/>
        <v>0</v>
      </c>
      <c r="E29" s="317">
        <f t="shared" si="3"/>
        <v>0</v>
      </c>
      <c r="F29" s="1396"/>
    </row>
    <row r="30" spans="1:8" ht="37.5" hidden="1">
      <c r="A30" s="1393" t="s">
        <v>91</v>
      </c>
      <c r="B30" s="1394" t="s">
        <v>600</v>
      </c>
      <c r="C30" s="1395"/>
      <c r="D30" s="1395">
        <f t="shared" si="2"/>
        <v>0</v>
      </c>
      <c r="E30" s="317">
        <f t="shared" si="3"/>
        <v>0</v>
      </c>
      <c r="F30" s="1396"/>
    </row>
    <row r="31" spans="1:8" ht="56.25" hidden="1">
      <c r="A31" s="1393" t="s">
        <v>91</v>
      </c>
      <c r="B31" s="1394" t="s">
        <v>601</v>
      </c>
      <c r="C31" s="1395"/>
      <c r="D31" s="1395">
        <f t="shared" si="2"/>
        <v>0</v>
      </c>
      <c r="E31" s="317">
        <f t="shared" si="3"/>
        <v>0</v>
      </c>
      <c r="F31" s="1396"/>
    </row>
    <row r="32" spans="1:8" ht="37.5">
      <c r="A32" s="315">
        <v>1</v>
      </c>
      <c r="B32" s="316" t="s">
        <v>2021</v>
      </c>
      <c r="C32" s="317">
        <v>200000000</v>
      </c>
      <c r="D32" s="317">
        <f>C32*10%</f>
        <v>20000000</v>
      </c>
      <c r="E32" s="317">
        <f t="shared" si="3"/>
        <v>180000000</v>
      </c>
      <c r="F32" s="318"/>
      <c r="G32" s="1391">
        <v>2039140000</v>
      </c>
    </row>
    <row r="33" spans="1:7" ht="56.25">
      <c r="A33" s="315">
        <v>2</v>
      </c>
      <c r="B33" s="316" t="s">
        <v>1301</v>
      </c>
      <c r="C33" s="317">
        <v>200000000</v>
      </c>
      <c r="D33" s="317">
        <f t="shared" ref="D33:D44" si="4">C33*10%</f>
        <v>20000000</v>
      </c>
      <c r="E33" s="317">
        <f t="shared" si="3"/>
        <v>180000000</v>
      </c>
      <c r="F33" s="318"/>
      <c r="G33" s="1389">
        <f>G32-C21</f>
        <v>0</v>
      </c>
    </row>
    <row r="34" spans="1:7" ht="75">
      <c r="A34" s="315">
        <v>3</v>
      </c>
      <c r="B34" s="316" t="s">
        <v>2039</v>
      </c>
      <c r="C34" s="317">
        <v>110000000</v>
      </c>
      <c r="D34" s="317">
        <f t="shared" si="4"/>
        <v>11000000</v>
      </c>
      <c r="E34" s="317">
        <f t="shared" si="3"/>
        <v>99000000</v>
      </c>
      <c r="F34" s="318"/>
    </row>
    <row r="35" spans="1:7" ht="37.5">
      <c r="A35" s="315">
        <v>4</v>
      </c>
      <c r="B35" s="316" t="s">
        <v>598</v>
      </c>
      <c r="C35" s="317">
        <v>200000000</v>
      </c>
      <c r="D35" s="317">
        <f t="shared" si="4"/>
        <v>20000000</v>
      </c>
      <c r="E35" s="317">
        <f t="shared" si="3"/>
        <v>180000000</v>
      </c>
      <c r="F35" s="318"/>
    </row>
    <row r="36" spans="1:7" ht="37.5" hidden="1">
      <c r="A36" s="315">
        <v>5</v>
      </c>
      <c r="B36" s="316" t="s">
        <v>2034</v>
      </c>
      <c r="C36" s="317"/>
      <c r="D36" s="317">
        <f t="shared" si="4"/>
        <v>0</v>
      </c>
      <c r="E36" s="317">
        <f t="shared" si="3"/>
        <v>0</v>
      </c>
      <c r="F36" s="318"/>
    </row>
    <row r="37" spans="1:7">
      <c r="A37" s="315">
        <v>5</v>
      </c>
      <c r="B37" s="316" t="s">
        <v>2023</v>
      </c>
      <c r="C37" s="317">
        <v>43140000</v>
      </c>
      <c r="D37" s="317">
        <f t="shared" si="4"/>
        <v>4314000</v>
      </c>
      <c r="E37" s="317">
        <f t="shared" si="3"/>
        <v>38826000</v>
      </c>
      <c r="F37" s="318"/>
    </row>
    <row r="38" spans="1:7">
      <c r="A38" s="315">
        <v>6</v>
      </c>
      <c r="B38" s="316" t="s">
        <v>1303</v>
      </c>
      <c r="C38" s="317">
        <v>200000000</v>
      </c>
      <c r="D38" s="317">
        <f t="shared" si="4"/>
        <v>20000000</v>
      </c>
      <c r="E38" s="317">
        <f t="shared" si="3"/>
        <v>180000000</v>
      </c>
      <c r="F38" s="318"/>
    </row>
    <row r="39" spans="1:7" ht="40.5" customHeight="1">
      <c r="A39" s="315">
        <v>7</v>
      </c>
      <c r="B39" s="316" t="s">
        <v>1304</v>
      </c>
      <c r="C39" s="317">
        <v>160000000</v>
      </c>
      <c r="D39" s="317">
        <f t="shared" si="4"/>
        <v>16000000</v>
      </c>
      <c r="E39" s="317">
        <f t="shared" si="3"/>
        <v>144000000</v>
      </c>
      <c r="F39" s="318"/>
    </row>
    <row r="40" spans="1:7" ht="37.5">
      <c r="A40" s="315">
        <v>8</v>
      </c>
      <c r="B40" s="316" t="s">
        <v>1308</v>
      </c>
      <c r="C40" s="317">
        <v>50000000</v>
      </c>
      <c r="D40" s="317">
        <f t="shared" si="4"/>
        <v>5000000</v>
      </c>
      <c r="E40" s="317">
        <f t="shared" ref="E40:E45" si="5">C40-D40</f>
        <v>45000000</v>
      </c>
      <c r="F40" s="318"/>
    </row>
    <row r="41" spans="1:7">
      <c r="A41" s="315">
        <v>9</v>
      </c>
      <c r="B41" s="316" t="s">
        <v>706</v>
      </c>
      <c r="C41" s="317">
        <v>200000000</v>
      </c>
      <c r="D41" s="317">
        <f t="shared" si="4"/>
        <v>20000000</v>
      </c>
      <c r="E41" s="317">
        <f t="shared" si="5"/>
        <v>180000000</v>
      </c>
      <c r="F41" s="318"/>
    </row>
    <row r="42" spans="1:7" ht="56.25">
      <c r="A42" s="315">
        <v>10</v>
      </c>
      <c r="B42" s="316" t="s">
        <v>2049</v>
      </c>
      <c r="C42" s="317">
        <f>256000000+50000000</f>
        <v>306000000</v>
      </c>
      <c r="D42" s="317">
        <f t="shared" si="4"/>
        <v>30600000</v>
      </c>
      <c r="E42" s="317">
        <f t="shared" si="5"/>
        <v>275400000</v>
      </c>
      <c r="F42" s="318"/>
    </row>
    <row r="43" spans="1:7" ht="93.75">
      <c r="A43" s="315">
        <v>11</v>
      </c>
      <c r="B43" s="316" t="s">
        <v>2038</v>
      </c>
      <c r="C43" s="317">
        <v>150000000</v>
      </c>
      <c r="D43" s="317">
        <f t="shared" si="4"/>
        <v>15000000</v>
      </c>
      <c r="E43" s="317">
        <f t="shared" si="5"/>
        <v>135000000</v>
      </c>
      <c r="F43" s="318"/>
    </row>
    <row r="44" spans="1:7" ht="75">
      <c r="A44" s="315">
        <v>12</v>
      </c>
      <c r="B44" s="316" t="s">
        <v>1305</v>
      </c>
      <c r="C44" s="317">
        <v>120000000</v>
      </c>
      <c r="D44" s="317">
        <f t="shared" si="4"/>
        <v>12000000</v>
      </c>
      <c r="E44" s="317">
        <f t="shared" si="5"/>
        <v>108000000</v>
      </c>
      <c r="F44" s="318"/>
    </row>
    <row r="45" spans="1:7" ht="75">
      <c r="A45" s="315">
        <v>13</v>
      </c>
      <c r="B45" s="316" t="s">
        <v>2022</v>
      </c>
      <c r="C45" s="317">
        <v>100000000</v>
      </c>
      <c r="D45" s="317">
        <f>ROUND(C45*10%,-6)</f>
        <v>10000000</v>
      </c>
      <c r="E45" s="317">
        <f t="shared" si="5"/>
        <v>90000000</v>
      </c>
      <c r="F45" s="318"/>
    </row>
    <row r="46" spans="1:7">
      <c r="A46" s="1388" t="s">
        <v>2024</v>
      </c>
    </row>
  </sheetData>
  <mergeCells count="7">
    <mergeCell ref="A1:B1"/>
    <mergeCell ref="A2:B2"/>
    <mergeCell ref="A8:F8"/>
    <mergeCell ref="A4:F4"/>
    <mergeCell ref="A5:F5"/>
    <mergeCell ref="A6:F6"/>
    <mergeCell ref="A7:F7"/>
  </mergeCells>
  <pageMargins left="0.51" right="0.39" top="0.6" bottom="0.74803149606299213" header="0.31496062992125984" footer="0.31496062992125984"/>
  <pageSetup paperSize="9" scale="74" fitToHeight="0" orientation="portrait"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10"/>
  <sheetViews>
    <sheetView workbookViewId="0">
      <selection activeCell="C24" sqref="C24"/>
    </sheetView>
  </sheetViews>
  <sheetFormatPr defaultRowHeight="15"/>
  <cols>
    <col min="2" max="2" width="67.7109375" customWidth="1"/>
    <col min="3" max="3" width="29.28515625" customWidth="1"/>
  </cols>
  <sheetData>
    <row r="1" spans="1:3" ht="18.75">
      <c r="A1" s="1844" t="s">
        <v>1450</v>
      </c>
      <c r="B1" s="1844"/>
      <c r="C1" s="1844"/>
    </row>
    <row r="2" spans="1:3" ht="18.75">
      <c r="A2" s="1844" t="s">
        <v>1317</v>
      </c>
      <c r="B2" s="1844"/>
      <c r="C2" s="1844"/>
    </row>
    <row r="3" spans="1:3" ht="18.75">
      <c r="A3" s="1845">
        <f>'BCH QS V'!A8:F8</f>
        <v>0</v>
      </c>
      <c r="B3" s="1845"/>
      <c r="C3" s="1845"/>
    </row>
    <row r="4" spans="1:3" ht="18.75">
      <c r="A4" s="268"/>
      <c r="B4" s="269"/>
      <c r="C4" s="273" t="s">
        <v>161</v>
      </c>
    </row>
    <row r="5" spans="1:3" s="284" customFormat="1" ht="18.75">
      <c r="A5" s="282" t="s">
        <v>1310</v>
      </c>
      <c r="B5" s="282" t="s">
        <v>1</v>
      </c>
      <c r="C5" s="283" t="s">
        <v>1451</v>
      </c>
    </row>
    <row r="6" spans="1:3" ht="16.5">
      <c r="A6" s="270" t="s">
        <v>20</v>
      </c>
      <c r="B6" s="270" t="s">
        <v>21</v>
      </c>
      <c r="C6" s="270" t="s">
        <v>22</v>
      </c>
    </row>
    <row r="7" spans="1:3" ht="18.75">
      <c r="A7" s="271"/>
      <c r="B7" s="272" t="s">
        <v>1315</v>
      </c>
      <c r="C7" s="276">
        <f>C8+C9+C10</f>
        <v>263208000</v>
      </c>
    </row>
    <row r="8" spans="1:3" ht="18.75">
      <c r="A8" s="274" t="s">
        <v>1311</v>
      </c>
      <c r="B8" s="275" t="s">
        <v>1312</v>
      </c>
      <c r="C8" s="274">
        <v>143208000</v>
      </c>
    </row>
    <row r="9" spans="1:3" ht="18.75">
      <c r="A9" s="274" t="s">
        <v>1313</v>
      </c>
      <c r="B9" s="275" t="s">
        <v>1314</v>
      </c>
      <c r="C9" s="274">
        <v>120000000</v>
      </c>
    </row>
    <row r="10" spans="1:3" ht="18.75" hidden="1">
      <c r="A10" s="274" t="s">
        <v>1316</v>
      </c>
      <c r="B10" s="275" t="s">
        <v>1008</v>
      </c>
      <c r="C10" s="274">
        <v>0</v>
      </c>
    </row>
  </sheetData>
  <mergeCells count="3">
    <mergeCell ref="A1:C1"/>
    <mergeCell ref="A2:C2"/>
    <mergeCell ref="A3:C3"/>
  </mergeCells>
  <pageMargins left="0.7" right="0.7" top="0.75" bottom="0.75" header="0.3" footer="0.3"/>
  <pageSetup paperSize="9" scale="82" fitToHeight="0"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10"/>
  <sheetViews>
    <sheetView workbookViewId="0">
      <selection activeCell="C8" sqref="C8"/>
    </sheetView>
  </sheetViews>
  <sheetFormatPr defaultRowHeight="15"/>
  <cols>
    <col min="2" max="2" width="67.7109375" customWidth="1"/>
    <col min="3" max="3" width="29.28515625" customWidth="1"/>
  </cols>
  <sheetData>
    <row r="1" spans="1:3" ht="18.75">
      <c r="A1" s="1844" t="str">
        <f>'CĐ DC V'!A1:C1</f>
        <v>DỰ TOÁN CHI NGÂN SÁCH NHÀ NƯỚC NĂM 2025</v>
      </c>
      <c r="B1" s="1844"/>
      <c r="C1" s="1844"/>
    </row>
    <row r="2" spans="1:3" ht="18.75">
      <c r="A2" s="1844" t="s">
        <v>1318</v>
      </c>
      <c r="B2" s="1844"/>
      <c r="C2" s="1844"/>
    </row>
    <row r="3" spans="1:3" ht="18.75">
      <c r="A3" s="1845">
        <f>'NGƯỜI MÙ V'!A3:C3</f>
        <v>0</v>
      </c>
      <c r="B3" s="1845"/>
      <c r="C3" s="1845"/>
    </row>
    <row r="4" spans="1:3" ht="18.75">
      <c r="A4" s="268"/>
      <c r="B4" s="269"/>
      <c r="C4" s="273" t="s">
        <v>161</v>
      </c>
    </row>
    <row r="5" spans="1:3" s="284" customFormat="1" ht="18.75">
      <c r="A5" s="282" t="s">
        <v>1310</v>
      </c>
      <c r="B5" s="282" t="s">
        <v>1</v>
      </c>
      <c r="C5" s="283" t="str">
        <f>'CĐ DC V'!C5</f>
        <v>Dự toán năm 2025</v>
      </c>
    </row>
    <row r="6" spans="1:3" ht="16.5">
      <c r="A6" s="270" t="s">
        <v>20</v>
      </c>
      <c r="B6" s="270" t="s">
        <v>21</v>
      </c>
      <c r="C6" s="270" t="s">
        <v>22</v>
      </c>
    </row>
    <row r="7" spans="1:3" ht="18.75">
      <c r="A7" s="271"/>
      <c r="B7" s="272" t="s">
        <v>1315</v>
      </c>
      <c r="C7" s="276">
        <f>C8+C10+C9</f>
        <v>349613000</v>
      </c>
    </row>
    <row r="8" spans="1:3" ht="18.75">
      <c r="A8" s="274" t="s">
        <v>1311</v>
      </c>
      <c r="B8" s="275" t="s">
        <v>1312</v>
      </c>
      <c r="C8" s="274">
        <v>154613000</v>
      </c>
    </row>
    <row r="9" spans="1:3" ht="18.75">
      <c r="A9" s="274" t="s">
        <v>1313</v>
      </c>
      <c r="B9" s="275" t="s">
        <v>1546</v>
      </c>
      <c r="C9" s="274">
        <v>25000000</v>
      </c>
    </row>
    <row r="10" spans="1:3" ht="18.75">
      <c r="A10" s="274" t="s">
        <v>1316</v>
      </c>
      <c r="B10" s="275" t="s">
        <v>1314</v>
      </c>
      <c r="C10" s="274">
        <v>170000000</v>
      </c>
    </row>
  </sheetData>
  <mergeCells count="3">
    <mergeCell ref="A1:C1"/>
    <mergeCell ref="A2:C2"/>
    <mergeCell ref="A3:C3"/>
  </mergeCells>
  <pageMargins left="0.7" right="0.7" top="0.75" bottom="0.75" header="0.3" footer="0.3"/>
  <pageSetup paperSize="9" scale="82" fitToHeight="0"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9"/>
  <sheetViews>
    <sheetView workbookViewId="0">
      <selection activeCell="C9" sqref="C9"/>
    </sheetView>
  </sheetViews>
  <sheetFormatPr defaultRowHeight="15"/>
  <cols>
    <col min="2" max="2" width="67.7109375" customWidth="1"/>
    <col min="3" max="3" width="29.28515625" customWidth="1"/>
  </cols>
  <sheetData>
    <row r="1" spans="1:3" ht="18.75">
      <c r="A1" s="1844" t="str">
        <f>'Khuyến học V'!A1:C1</f>
        <v>DỰ TOÁN CHI NGÂN SÁCH NHÀ NƯỚC NĂM 2025</v>
      </c>
      <c r="B1" s="1844"/>
      <c r="C1" s="1844"/>
    </row>
    <row r="2" spans="1:3" ht="18.75">
      <c r="A2" s="1844" t="s">
        <v>1319</v>
      </c>
      <c r="B2" s="1844"/>
      <c r="C2" s="1844"/>
    </row>
    <row r="3" spans="1:3" ht="18.75">
      <c r="A3" s="1845">
        <f>'BCH QS V'!A8:F8</f>
        <v>0</v>
      </c>
      <c r="B3" s="1845"/>
      <c r="C3" s="1845"/>
    </row>
    <row r="4" spans="1:3" ht="18.75">
      <c r="A4" s="268"/>
      <c r="B4" s="269"/>
      <c r="C4" s="273" t="s">
        <v>161</v>
      </c>
    </row>
    <row r="5" spans="1:3" s="284" customFormat="1" ht="18.75">
      <c r="A5" s="282" t="s">
        <v>1310</v>
      </c>
      <c r="B5" s="282" t="s">
        <v>1</v>
      </c>
      <c r="C5" s="283" t="str">
        <f>'Khuyến học V'!C5</f>
        <v>Dự toán năm 2025</v>
      </c>
    </row>
    <row r="6" spans="1:3" ht="16.5">
      <c r="A6" s="270" t="s">
        <v>20</v>
      </c>
      <c r="B6" s="270" t="s">
        <v>21</v>
      </c>
      <c r="C6" s="270" t="s">
        <v>22</v>
      </c>
    </row>
    <row r="7" spans="1:3" ht="18.75">
      <c r="A7" s="277"/>
      <c r="B7" s="278" t="str">
        <f>'CĐ DC V'!B7</f>
        <v>Kinh phí không giao quyền tự chủ</v>
      </c>
      <c r="C7" s="279">
        <f>C8+C9</f>
        <v>313208000</v>
      </c>
    </row>
    <row r="8" spans="1:3" ht="18.75">
      <c r="A8" s="280" t="s">
        <v>1311</v>
      </c>
      <c r="B8" s="281" t="s">
        <v>1312</v>
      </c>
      <c r="C8" s="280">
        <v>143208000</v>
      </c>
    </row>
    <row r="9" spans="1:3" ht="18.75">
      <c r="A9" s="280" t="s">
        <v>1313</v>
      </c>
      <c r="B9" s="281" t="s">
        <v>1314</v>
      </c>
      <c r="C9" s="280">
        <v>170000000</v>
      </c>
    </row>
  </sheetData>
  <mergeCells count="3">
    <mergeCell ref="A1:C1"/>
    <mergeCell ref="A2:C2"/>
    <mergeCell ref="A3:C3"/>
  </mergeCells>
  <pageMargins left="0.7" right="0.7" top="0.75" bottom="0.75" header="0.3" footer="0.3"/>
  <pageSetup paperSize="9" scale="82" fitToHeight="0"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9"/>
  <sheetViews>
    <sheetView workbookViewId="0">
      <selection activeCell="C9" sqref="C9"/>
    </sheetView>
  </sheetViews>
  <sheetFormatPr defaultRowHeight="15"/>
  <cols>
    <col min="2" max="2" width="67.7109375" customWidth="1"/>
    <col min="3" max="3" width="29.28515625" customWidth="1"/>
  </cols>
  <sheetData>
    <row r="1" spans="1:3" ht="18.75">
      <c r="A1" s="1844" t="str">
        <f>'NCT V'!A1</f>
        <v>DỰ TOÁN CHI NGÂN SÁCH NHÀ NƯỚC NĂM 2025</v>
      </c>
      <c r="B1" s="1844"/>
      <c r="C1" s="1844"/>
    </row>
    <row r="2" spans="1:3" ht="18.75">
      <c r="A2" s="1844" t="s">
        <v>1320</v>
      </c>
      <c r="B2" s="1844"/>
      <c r="C2" s="1844"/>
    </row>
    <row r="3" spans="1:3" ht="18.75">
      <c r="A3" s="1845">
        <f>'NCT V'!A3</f>
        <v>0</v>
      </c>
      <c r="B3" s="1845"/>
      <c r="C3" s="1845"/>
    </row>
    <row r="4" spans="1:3" ht="18.75">
      <c r="A4" s="268"/>
      <c r="B4" s="269"/>
      <c r="C4" s="273" t="s">
        <v>161</v>
      </c>
    </row>
    <row r="5" spans="1:3" s="284" customFormat="1" ht="18.75">
      <c r="A5" s="282" t="s">
        <v>1310</v>
      </c>
      <c r="B5" s="282" t="s">
        <v>1</v>
      </c>
      <c r="C5" s="283" t="str">
        <f>'NCT V'!C5</f>
        <v>Dự toán năm 2025</v>
      </c>
    </row>
    <row r="6" spans="1:3" ht="16.5">
      <c r="A6" s="270" t="s">
        <v>20</v>
      </c>
      <c r="B6" s="270" t="s">
        <v>21</v>
      </c>
      <c r="C6" s="270" t="s">
        <v>22</v>
      </c>
    </row>
    <row r="7" spans="1:3" ht="18.75">
      <c r="A7" s="271"/>
      <c r="B7" s="272" t="s">
        <v>1315</v>
      </c>
      <c r="C7" s="276">
        <f>C8+C9</f>
        <v>203208000</v>
      </c>
    </row>
    <row r="8" spans="1:3" ht="18.75">
      <c r="A8" s="274" t="s">
        <v>1311</v>
      </c>
      <c r="B8" s="275" t="s">
        <v>1312</v>
      </c>
      <c r="C8" s="274">
        <v>143208000</v>
      </c>
    </row>
    <row r="9" spans="1:3" ht="18.75">
      <c r="A9" s="274" t="s">
        <v>1313</v>
      </c>
      <c r="B9" s="275" t="s">
        <v>1314</v>
      </c>
      <c r="C9" s="274">
        <v>60000000</v>
      </c>
    </row>
  </sheetData>
  <mergeCells count="3">
    <mergeCell ref="A1:C1"/>
    <mergeCell ref="A2:C2"/>
    <mergeCell ref="A3:C3"/>
  </mergeCells>
  <pageMargins left="0.7" right="0.7" top="0.75" bottom="0.75" header="0.3" footer="0.3"/>
  <pageSetup paperSize="9" scale="82" fitToHeight="0"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9"/>
  <sheetViews>
    <sheetView workbookViewId="0">
      <selection activeCell="C9" sqref="C9"/>
    </sheetView>
  </sheetViews>
  <sheetFormatPr defaultRowHeight="15"/>
  <cols>
    <col min="2" max="2" width="67.7109375" customWidth="1"/>
    <col min="3" max="3" width="29.28515625" customWidth="1"/>
  </cols>
  <sheetData>
    <row r="1" spans="1:3" ht="18.75">
      <c r="A1" s="1844" t="str">
        <f>'TNXP V'!A1</f>
        <v>DỰ TOÁN CHI NGÂN SÁCH NHÀ NƯỚC NĂM 2025</v>
      </c>
      <c r="B1" s="1844"/>
      <c r="C1" s="1844"/>
    </row>
    <row r="2" spans="1:3" ht="18.75">
      <c r="A2" s="1844" t="s">
        <v>1321</v>
      </c>
      <c r="B2" s="1844"/>
      <c r="C2" s="1844"/>
    </row>
    <row r="3" spans="1:3" ht="18.75">
      <c r="A3" s="1845">
        <f>'CĐ DC V'!A3:C3</f>
        <v>0</v>
      </c>
      <c r="B3" s="1845"/>
      <c r="C3" s="1845"/>
    </row>
    <row r="4" spans="1:3" ht="18.75">
      <c r="A4" s="268"/>
      <c r="B4" s="269"/>
      <c r="C4" s="273" t="s">
        <v>161</v>
      </c>
    </row>
    <row r="5" spans="1:3" s="284" customFormat="1" ht="18.75">
      <c r="A5" s="282" t="s">
        <v>1310</v>
      </c>
      <c r="B5" s="282" t="s">
        <v>1</v>
      </c>
      <c r="C5" s="283" t="str">
        <f>'TNXP V'!C5</f>
        <v>Dự toán năm 2025</v>
      </c>
    </row>
    <row r="6" spans="1:3" ht="16.5">
      <c r="A6" s="270" t="s">
        <v>20</v>
      </c>
      <c r="B6" s="270" t="s">
        <v>21</v>
      </c>
      <c r="C6" s="270" t="s">
        <v>22</v>
      </c>
    </row>
    <row r="7" spans="1:3" ht="18.75">
      <c r="A7" s="271"/>
      <c r="B7" s="272" t="s">
        <v>1315</v>
      </c>
      <c r="C7" s="276">
        <f>C8+C9</f>
        <v>243208000</v>
      </c>
    </row>
    <row r="8" spans="1:3" ht="18.75">
      <c r="A8" s="274" t="s">
        <v>1311</v>
      </c>
      <c r="B8" s="275" t="s">
        <v>1312</v>
      </c>
      <c r="C8" s="274">
        <v>143208000</v>
      </c>
    </row>
    <row r="9" spans="1:3" ht="18.75">
      <c r="A9" s="274" t="s">
        <v>1313</v>
      </c>
      <c r="B9" s="275" t="s">
        <v>1314</v>
      </c>
      <c r="C9" s="274">
        <v>100000000</v>
      </c>
    </row>
  </sheetData>
  <mergeCells count="3">
    <mergeCell ref="A1:C1"/>
    <mergeCell ref="A2:C2"/>
    <mergeCell ref="A3:C3"/>
  </mergeCells>
  <pageMargins left="0.7" right="0.7" top="0.75" bottom="0.75" header="0.3" footer="0.3"/>
  <pageSetup paperSize="9" scale="82" fitToHeight="0"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9"/>
  <sheetViews>
    <sheetView workbookViewId="0">
      <selection activeCell="C9" sqref="C9"/>
    </sheetView>
  </sheetViews>
  <sheetFormatPr defaultRowHeight="15"/>
  <cols>
    <col min="2" max="2" width="67.7109375" customWidth="1"/>
    <col min="3" max="3" width="29.28515625" customWidth="1"/>
  </cols>
  <sheetData>
    <row r="1" spans="1:3" ht="18.75">
      <c r="A1" s="1844" t="str">
        <f>'Tù yêu nước V'!A1:C1</f>
        <v>DỰ TOÁN CHI NGÂN SÁCH NHÀ NƯỚC NĂM 2025</v>
      </c>
      <c r="B1" s="1844"/>
      <c r="C1" s="1844"/>
    </row>
    <row r="2" spans="1:3" ht="18.75">
      <c r="A2" s="1844" t="s">
        <v>1322</v>
      </c>
      <c r="B2" s="1844"/>
      <c r="C2" s="1844"/>
    </row>
    <row r="3" spans="1:3" ht="18.75">
      <c r="A3" s="1845">
        <f>'NCT V'!A3</f>
        <v>0</v>
      </c>
      <c r="B3" s="1845"/>
      <c r="C3" s="1845"/>
    </row>
    <row r="4" spans="1:3" ht="18.75">
      <c r="A4" s="268"/>
      <c r="B4" s="269"/>
      <c r="C4" s="273" t="s">
        <v>161</v>
      </c>
    </row>
    <row r="5" spans="1:3" s="284" customFormat="1" ht="18.75">
      <c r="A5" s="282" t="s">
        <v>1310</v>
      </c>
      <c r="B5" s="282" t="s">
        <v>1</v>
      </c>
      <c r="C5" s="283" t="str">
        <f>'Tù yêu nước V'!C5</f>
        <v>Dự toán năm 2025</v>
      </c>
    </row>
    <row r="6" spans="1:3" ht="16.5">
      <c r="A6" s="270" t="s">
        <v>20</v>
      </c>
      <c r="B6" s="270" t="s">
        <v>21</v>
      </c>
      <c r="C6" s="270" t="s">
        <v>22</v>
      </c>
    </row>
    <row r="7" spans="1:3" ht="18.75">
      <c r="A7" s="271"/>
      <c r="B7" s="272" t="s">
        <v>1315</v>
      </c>
      <c r="C7" s="276">
        <f>C8+C9</f>
        <v>233208000</v>
      </c>
    </row>
    <row r="8" spans="1:3" ht="18.75">
      <c r="A8" s="274" t="s">
        <v>1311</v>
      </c>
      <c r="B8" s="275" t="s">
        <v>1312</v>
      </c>
      <c r="C8" s="274">
        <v>143208000</v>
      </c>
    </row>
    <row r="9" spans="1:3" ht="18.75">
      <c r="A9" s="274" t="s">
        <v>1313</v>
      </c>
      <c r="B9" s="275" t="s">
        <v>1314</v>
      </c>
      <c r="C9" s="274">
        <v>90000000</v>
      </c>
    </row>
  </sheetData>
  <mergeCells count="3">
    <mergeCell ref="A1:C1"/>
    <mergeCell ref="A2:C2"/>
    <mergeCell ref="A3:C3"/>
  </mergeCells>
  <pageMargins left="0.7" right="0.7" top="0.75" bottom="0.75" header="0.3" footer="0.3"/>
  <pageSetup paperSize="9" scale="82" fitToHeight="0"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9"/>
  <sheetViews>
    <sheetView workbookViewId="0">
      <selection activeCell="C9" sqref="C9"/>
    </sheetView>
  </sheetViews>
  <sheetFormatPr defaultRowHeight="15"/>
  <cols>
    <col min="2" max="2" width="67.7109375" customWidth="1"/>
    <col min="3" max="3" width="29.28515625" customWidth="1"/>
  </cols>
  <sheetData>
    <row r="1" spans="1:3" ht="18.75">
      <c r="A1" s="1844" t="str">
        <f>'LUẬT GIA V'!A1:C1</f>
        <v>DỰ TOÁN CHI NGÂN SÁCH NHÀ NƯỚC NĂM 2025</v>
      </c>
      <c r="B1" s="1844"/>
      <c r="C1" s="1844"/>
    </row>
    <row r="2" spans="1:3" ht="18.75">
      <c r="A2" s="1844" t="s">
        <v>1323</v>
      </c>
      <c r="B2" s="1844"/>
      <c r="C2" s="1844"/>
    </row>
    <row r="3" spans="1:3" ht="18.75">
      <c r="A3" s="1845">
        <f>'NCT V'!A3</f>
        <v>0</v>
      </c>
      <c r="B3" s="1845"/>
      <c r="C3" s="1845"/>
    </row>
    <row r="4" spans="1:3" ht="18.75">
      <c r="A4" s="268"/>
      <c r="B4" s="269"/>
      <c r="C4" s="273" t="s">
        <v>161</v>
      </c>
    </row>
    <row r="5" spans="1:3" s="284" customFormat="1" ht="18.75">
      <c r="A5" s="282" t="s">
        <v>1310</v>
      </c>
      <c r="B5" s="282" t="s">
        <v>1</v>
      </c>
      <c r="C5" s="283" t="str">
        <f>'LUẬT GIA V'!C5</f>
        <v>Dự toán năm 2025</v>
      </c>
    </row>
    <row r="6" spans="1:3" ht="16.5">
      <c r="A6" s="270" t="s">
        <v>20</v>
      </c>
      <c r="B6" s="270" t="s">
        <v>21</v>
      </c>
      <c r="C6" s="270" t="s">
        <v>22</v>
      </c>
    </row>
    <row r="7" spans="1:3" ht="18.75">
      <c r="A7" s="271"/>
      <c r="B7" s="272" t="s">
        <v>1315</v>
      </c>
      <c r="C7" s="276">
        <f>C8+C9</f>
        <v>110000000</v>
      </c>
    </row>
    <row r="8" spans="1:3" ht="18.75">
      <c r="A8" s="274" t="s">
        <v>1311</v>
      </c>
      <c r="B8" s="275" t="s">
        <v>1312</v>
      </c>
      <c r="C8" s="274"/>
    </row>
    <row r="9" spans="1:3" ht="18.75">
      <c r="A9" s="274" t="s">
        <v>1313</v>
      </c>
      <c r="B9" s="275" t="s">
        <v>1314</v>
      </c>
      <c r="C9" s="274">
        <v>110000000</v>
      </c>
    </row>
  </sheetData>
  <mergeCells count="3">
    <mergeCell ref="A1:C1"/>
    <mergeCell ref="A2:C2"/>
    <mergeCell ref="A3:C3"/>
  </mergeCells>
  <pageMargins left="0.7" right="0.7" top="0.75" bottom="0.75" header="0.3" footer="0.3"/>
  <pageSetup paperSize="9" scale="82" fitToHeight="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29"/>
  <sheetViews>
    <sheetView workbookViewId="0">
      <selection activeCell="A8" sqref="A8:G8"/>
    </sheetView>
  </sheetViews>
  <sheetFormatPr defaultRowHeight="18.75"/>
  <cols>
    <col min="1" max="1" width="7.140625" style="2" customWidth="1"/>
    <col min="2" max="2" width="36.85546875" style="2" customWidth="1"/>
    <col min="3" max="3" width="18.85546875" style="2" customWidth="1"/>
    <col min="4" max="5" width="21.140625" style="2" customWidth="1"/>
    <col min="6" max="6" width="19.42578125" style="2" customWidth="1"/>
    <col min="7" max="7" width="20" style="2" customWidth="1"/>
    <col min="8" max="8" width="18" style="2" hidden="1" customWidth="1"/>
    <col min="9" max="9" width="0" style="2" hidden="1" customWidth="1"/>
    <col min="10" max="259" width="9.140625" style="2"/>
    <col min="260" max="260" width="7.140625" style="2" customWidth="1"/>
    <col min="261" max="261" width="47.7109375" style="2" customWidth="1"/>
    <col min="262" max="262" width="19.28515625" style="2" customWidth="1"/>
    <col min="263" max="515" width="9.140625" style="2"/>
    <col min="516" max="516" width="7.140625" style="2" customWidth="1"/>
    <col min="517" max="517" width="47.7109375" style="2" customWidth="1"/>
    <col min="518" max="518" width="19.28515625" style="2" customWidth="1"/>
    <col min="519" max="771" width="9.140625" style="2"/>
    <col min="772" max="772" width="7.140625" style="2" customWidth="1"/>
    <col min="773" max="773" width="47.7109375" style="2" customWidth="1"/>
    <col min="774" max="774" width="19.28515625" style="2" customWidth="1"/>
    <col min="775" max="1027" width="9.140625" style="2"/>
    <col min="1028" max="1028" width="7.140625" style="2" customWidth="1"/>
    <col min="1029" max="1029" width="47.7109375" style="2" customWidth="1"/>
    <col min="1030" max="1030" width="19.28515625" style="2" customWidth="1"/>
    <col min="1031" max="1283" width="9.140625" style="2"/>
    <col min="1284" max="1284" width="7.140625" style="2" customWidth="1"/>
    <col min="1285" max="1285" width="47.7109375" style="2" customWidth="1"/>
    <col min="1286" max="1286" width="19.28515625" style="2" customWidth="1"/>
    <col min="1287" max="1539" width="9.140625" style="2"/>
    <col min="1540" max="1540" width="7.140625" style="2" customWidth="1"/>
    <col min="1541" max="1541" width="47.7109375" style="2" customWidth="1"/>
    <col min="1542" max="1542" width="19.28515625" style="2" customWidth="1"/>
    <col min="1543" max="1795" width="9.140625" style="2"/>
    <col min="1796" max="1796" width="7.140625" style="2" customWidth="1"/>
    <col min="1797" max="1797" width="47.7109375" style="2" customWidth="1"/>
    <col min="1798" max="1798" width="19.28515625" style="2" customWidth="1"/>
    <col min="1799" max="2051" width="9.140625" style="2"/>
    <col min="2052" max="2052" width="7.140625" style="2" customWidth="1"/>
    <col min="2053" max="2053" width="47.7109375" style="2" customWidth="1"/>
    <col min="2054" max="2054" width="19.28515625" style="2" customWidth="1"/>
    <col min="2055" max="2307" width="9.140625" style="2"/>
    <col min="2308" max="2308" width="7.140625" style="2" customWidth="1"/>
    <col min="2309" max="2309" width="47.7109375" style="2" customWidth="1"/>
    <col min="2310" max="2310" width="19.28515625" style="2" customWidth="1"/>
    <col min="2311" max="2563" width="9.140625" style="2"/>
    <col min="2564" max="2564" width="7.140625" style="2" customWidth="1"/>
    <col min="2565" max="2565" width="47.7109375" style="2" customWidth="1"/>
    <col min="2566" max="2566" width="19.28515625" style="2" customWidth="1"/>
    <col min="2567" max="2819" width="9.140625" style="2"/>
    <col min="2820" max="2820" width="7.140625" style="2" customWidth="1"/>
    <col min="2821" max="2821" width="47.7109375" style="2" customWidth="1"/>
    <col min="2822" max="2822" width="19.28515625" style="2" customWidth="1"/>
    <col min="2823" max="3075" width="9.140625" style="2"/>
    <col min="3076" max="3076" width="7.140625" style="2" customWidth="1"/>
    <col min="3077" max="3077" width="47.7109375" style="2" customWidth="1"/>
    <col min="3078" max="3078" width="19.28515625" style="2" customWidth="1"/>
    <col min="3079" max="3331" width="9.140625" style="2"/>
    <col min="3332" max="3332" width="7.140625" style="2" customWidth="1"/>
    <col min="3333" max="3333" width="47.7109375" style="2" customWidth="1"/>
    <col min="3334" max="3334" width="19.28515625" style="2" customWidth="1"/>
    <col min="3335" max="3587" width="9.140625" style="2"/>
    <col min="3588" max="3588" width="7.140625" style="2" customWidth="1"/>
    <col min="3589" max="3589" width="47.7109375" style="2" customWidth="1"/>
    <col min="3590" max="3590" width="19.28515625" style="2" customWidth="1"/>
    <col min="3591" max="3843" width="9.140625" style="2"/>
    <col min="3844" max="3844" width="7.140625" style="2" customWidth="1"/>
    <col min="3845" max="3845" width="47.7109375" style="2" customWidth="1"/>
    <col min="3846" max="3846" width="19.28515625" style="2" customWidth="1"/>
    <col min="3847" max="4099" width="9.140625" style="2"/>
    <col min="4100" max="4100" width="7.140625" style="2" customWidth="1"/>
    <col min="4101" max="4101" width="47.7109375" style="2" customWidth="1"/>
    <col min="4102" max="4102" width="19.28515625" style="2" customWidth="1"/>
    <col min="4103" max="4355" width="9.140625" style="2"/>
    <col min="4356" max="4356" width="7.140625" style="2" customWidth="1"/>
    <col min="4357" max="4357" width="47.7109375" style="2" customWidth="1"/>
    <col min="4358" max="4358" width="19.28515625" style="2" customWidth="1"/>
    <col min="4359" max="4611" width="9.140625" style="2"/>
    <col min="4612" max="4612" width="7.140625" style="2" customWidth="1"/>
    <col min="4613" max="4613" width="47.7109375" style="2" customWidth="1"/>
    <col min="4614" max="4614" width="19.28515625" style="2" customWidth="1"/>
    <col min="4615" max="4867" width="9.140625" style="2"/>
    <col min="4868" max="4868" width="7.140625" style="2" customWidth="1"/>
    <col min="4869" max="4869" width="47.7109375" style="2" customWidth="1"/>
    <col min="4870" max="4870" width="19.28515625" style="2" customWidth="1"/>
    <col min="4871" max="5123" width="9.140625" style="2"/>
    <col min="5124" max="5124" width="7.140625" style="2" customWidth="1"/>
    <col min="5125" max="5125" width="47.7109375" style="2" customWidth="1"/>
    <col min="5126" max="5126" width="19.28515625" style="2" customWidth="1"/>
    <col min="5127" max="5379" width="9.140625" style="2"/>
    <col min="5380" max="5380" width="7.140625" style="2" customWidth="1"/>
    <col min="5381" max="5381" width="47.7109375" style="2" customWidth="1"/>
    <col min="5382" max="5382" width="19.28515625" style="2" customWidth="1"/>
    <col min="5383" max="5635" width="9.140625" style="2"/>
    <col min="5636" max="5636" width="7.140625" style="2" customWidth="1"/>
    <col min="5637" max="5637" width="47.7109375" style="2" customWidth="1"/>
    <col min="5638" max="5638" width="19.28515625" style="2" customWidth="1"/>
    <col min="5639" max="5891" width="9.140625" style="2"/>
    <col min="5892" max="5892" width="7.140625" style="2" customWidth="1"/>
    <col min="5893" max="5893" width="47.7109375" style="2" customWidth="1"/>
    <col min="5894" max="5894" width="19.28515625" style="2" customWidth="1"/>
    <col min="5895" max="6147" width="9.140625" style="2"/>
    <col min="6148" max="6148" width="7.140625" style="2" customWidth="1"/>
    <col min="6149" max="6149" width="47.7109375" style="2" customWidth="1"/>
    <col min="6150" max="6150" width="19.28515625" style="2" customWidth="1"/>
    <col min="6151" max="6403" width="9.140625" style="2"/>
    <col min="6404" max="6404" width="7.140625" style="2" customWidth="1"/>
    <col min="6405" max="6405" width="47.7109375" style="2" customWidth="1"/>
    <col min="6406" max="6406" width="19.28515625" style="2" customWidth="1"/>
    <col min="6407" max="6659" width="9.140625" style="2"/>
    <col min="6660" max="6660" width="7.140625" style="2" customWidth="1"/>
    <col min="6661" max="6661" width="47.7109375" style="2" customWidth="1"/>
    <col min="6662" max="6662" width="19.28515625" style="2" customWidth="1"/>
    <col min="6663" max="6915" width="9.140625" style="2"/>
    <col min="6916" max="6916" width="7.140625" style="2" customWidth="1"/>
    <col min="6917" max="6917" width="47.7109375" style="2" customWidth="1"/>
    <col min="6918" max="6918" width="19.28515625" style="2" customWidth="1"/>
    <col min="6919" max="7171" width="9.140625" style="2"/>
    <col min="7172" max="7172" width="7.140625" style="2" customWidth="1"/>
    <col min="7173" max="7173" width="47.7109375" style="2" customWidth="1"/>
    <col min="7174" max="7174" width="19.28515625" style="2" customWidth="1"/>
    <col min="7175" max="7427" width="9.140625" style="2"/>
    <col min="7428" max="7428" width="7.140625" style="2" customWidth="1"/>
    <col min="7429" max="7429" width="47.7109375" style="2" customWidth="1"/>
    <col min="7430" max="7430" width="19.28515625" style="2" customWidth="1"/>
    <col min="7431" max="7683" width="9.140625" style="2"/>
    <col min="7684" max="7684" width="7.140625" style="2" customWidth="1"/>
    <col min="7685" max="7685" width="47.7109375" style="2" customWidth="1"/>
    <col min="7686" max="7686" width="19.28515625" style="2" customWidth="1"/>
    <col min="7687" max="7939" width="9.140625" style="2"/>
    <col min="7940" max="7940" width="7.140625" style="2" customWidth="1"/>
    <col min="7941" max="7941" width="47.7109375" style="2" customWidth="1"/>
    <col min="7942" max="7942" width="19.28515625" style="2" customWidth="1"/>
    <col min="7943" max="8195" width="9.140625" style="2"/>
    <col min="8196" max="8196" width="7.140625" style="2" customWidth="1"/>
    <col min="8197" max="8197" width="47.7109375" style="2" customWidth="1"/>
    <col min="8198" max="8198" width="19.28515625" style="2" customWidth="1"/>
    <col min="8199" max="8451" width="9.140625" style="2"/>
    <col min="8452" max="8452" width="7.140625" style="2" customWidth="1"/>
    <col min="8453" max="8453" width="47.7109375" style="2" customWidth="1"/>
    <col min="8454" max="8454" width="19.28515625" style="2" customWidth="1"/>
    <col min="8455" max="8707" width="9.140625" style="2"/>
    <col min="8708" max="8708" width="7.140625" style="2" customWidth="1"/>
    <col min="8709" max="8709" width="47.7109375" style="2" customWidth="1"/>
    <col min="8710" max="8710" width="19.28515625" style="2" customWidth="1"/>
    <col min="8711" max="8963" width="9.140625" style="2"/>
    <col min="8964" max="8964" width="7.140625" style="2" customWidth="1"/>
    <col min="8965" max="8965" width="47.7109375" style="2" customWidth="1"/>
    <col min="8966" max="8966" width="19.28515625" style="2" customWidth="1"/>
    <col min="8967" max="9219" width="9.140625" style="2"/>
    <col min="9220" max="9220" width="7.140625" style="2" customWidth="1"/>
    <col min="9221" max="9221" width="47.7109375" style="2" customWidth="1"/>
    <col min="9222" max="9222" width="19.28515625" style="2" customWidth="1"/>
    <col min="9223" max="9475" width="9.140625" style="2"/>
    <col min="9476" max="9476" width="7.140625" style="2" customWidth="1"/>
    <col min="9477" max="9477" width="47.7109375" style="2" customWidth="1"/>
    <col min="9478" max="9478" width="19.28515625" style="2" customWidth="1"/>
    <col min="9479" max="9731" width="9.140625" style="2"/>
    <col min="9732" max="9732" width="7.140625" style="2" customWidth="1"/>
    <col min="9733" max="9733" width="47.7109375" style="2" customWidth="1"/>
    <col min="9734" max="9734" width="19.28515625" style="2" customWidth="1"/>
    <col min="9735" max="9987" width="9.140625" style="2"/>
    <col min="9988" max="9988" width="7.140625" style="2" customWidth="1"/>
    <col min="9989" max="9989" width="47.7109375" style="2" customWidth="1"/>
    <col min="9990" max="9990" width="19.28515625" style="2" customWidth="1"/>
    <col min="9991" max="10243" width="9.140625" style="2"/>
    <col min="10244" max="10244" width="7.140625" style="2" customWidth="1"/>
    <col min="10245" max="10245" width="47.7109375" style="2" customWidth="1"/>
    <col min="10246" max="10246" width="19.28515625" style="2" customWidth="1"/>
    <col min="10247" max="10499" width="9.140625" style="2"/>
    <col min="10500" max="10500" width="7.140625" style="2" customWidth="1"/>
    <col min="10501" max="10501" width="47.7109375" style="2" customWidth="1"/>
    <col min="10502" max="10502" width="19.28515625" style="2" customWidth="1"/>
    <col min="10503" max="10755" width="9.140625" style="2"/>
    <col min="10756" max="10756" width="7.140625" style="2" customWidth="1"/>
    <col min="10757" max="10757" width="47.7109375" style="2" customWidth="1"/>
    <col min="10758" max="10758" width="19.28515625" style="2" customWidth="1"/>
    <col min="10759" max="11011" width="9.140625" style="2"/>
    <col min="11012" max="11012" width="7.140625" style="2" customWidth="1"/>
    <col min="11013" max="11013" width="47.7109375" style="2" customWidth="1"/>
    <col min="11014" max="11014" width="19.28515625" style="2" customWidth="1"/>
    <col min="11015" max="11267" width="9.140625" style="2"/>
    <col min="11268" max="11268" width="7.140625" style="2" customWidth="1"/>
    <col min="11269" max="11269" width="47.7109375" style="2" customWidth="1"/>
    <col min="11270" max="11270" width="19.28515625" style="2" customWidth="1"/>
    <col min="11271" max="11523" width="9.140625" style="2"/>
    <col min="11524" max="11524" width="7.140625" style="2" customWidth="1"/>
    <col min="11525" max="11525" width="47.7109375" style="2" customWidth="1"/>
    <col min="11526" max="11526" width="19.28515625" style="2" customWidth="1"/>
    <col min="11527" max="11779" width="9.140625" style="2"/>
    <col min="11780" max="11780" width="7.140625" style="2" customWidth="1"/>
    <col min="11781" max="11781" width="47.7109375" style="2" customWidth="1"/>
    <col min="11782" max="11782" width="19.28515625" style="2" customWidth="1"/>
    <col min="11783" max="12035" width="9.140625" style="2"/>
    <col min="12036" max="12036" width="7.140625" style="2" customWidth="1"/>
    <col min="12037" max="12037" width="47.7109375" style="2" customWidth="1"/>
    <col min="12038" max="12038" width="19.28515625" style="2" customWidth="1"/>
    <col min="12039" max="12291" width="9.140625" style="2"/>
    <col min="12292" max="12292" width="7.140625" style="2" customWidth="1"/>
    <col min="12293" max="12293" width="47.7109375" style="2" customWidth="1"/>
    <col min="12294" max="12294" width="19.28515625" style="2" customWidth="1"/>
    <col min="12295" max="12547" width="9.140625" style="2"/>
    <col min="12548" max="12548" width="7.140625" style="2" customWidth="1"/>
    <col min="12549" max="12549" width="47.7109375" style="2" customWidth="1"/>
    <col min="12550" max="12550" width="19.28515625" style="2" customWidth="1"/>
    <col min="12551" max="12803" width="9.140625" style="2"/>
    <col min="12804" max="12804" width="7.140625" style="2" customWidth="1"/>
    <col min="12805" max="12805" width="47.7109375" style="2" customWidth="1"/>
    <col min="12806" max="12806" width="19.28515625" style="2" customWidth="1"/>
    <col min="12807" max="13059" width="9.140625" style="2"/>
    <col min="13060" max="13060" width="7.140625" style="2" customWidth="1"/>
    <col min="13061" max="13061" width="47.7109375" style="2" customWidth="1"/>
    <col min="13062" max="13062" width="19.28515625" style="2" customWidth="1"/>
    <col min="13063" max="13315" width="9.140625" style="2"/>
    <col min="13316" max="13316" width="7.140625" style="2" customWidth="1"/>
    <col min="13317" max="13317" width="47.7109375" style="2" customWidth="1"/>
    <col min="13318" max="13318" width="19.28515625" style="2" customWidth="1"/>
    <col min="13319" max="13571" width="9.140625" style="2"/>
    <col min="13572" max="13572" width="7.140625" style="2" customWidth="1"/>
    <col min="13573" max="13573" width="47.7109375" style="2" customWidth="1"/>
    <col min="13574" max="13574" width="19.28515625" style="2" customWidth="1"/>
    <col min="13575" max="13827" width="9.140625" style="2"/>
    <col min="13828" max="13828" width="7.140625" style="2" customWidth="1"/>
    <col min="13829" max="13829" width="47.7109375" style="2" customWidth="1"/>
    <col min="13830" max="13830" width="19.28515625" style="2" customWidth="1"/>
    <col min="13831" max="14083" width="9.140625" style="2"/>
    <col min="14084" max="14084" width="7.140625" style="2" customWidth="1"/>
    <col min="14085" max="14085" width="47.7109375" style="2" customWidth="1"/>
    <col min="14086" max="14086" width="19.28515625" style="2" customWidth="1"/>
    <col min="14087" max="14339" width="9.140625" style="2"/>
    <col min="14340" max="14340" width="7.140625" style="2" customWidth="1"/>
    <col min="14341" max="14341" width="47.7109375" style="2" customWidth="1"/>
    <col min="14342" max="14342" width="19.28515625" style="2" customWidth="1"/>
    <col min="14343" max="14595" width="9.140625" style="2"/>
    <col min="14596" max="14596" width="7.140625" style="2" customWidth="1"/>
    <col min="14597" max="14597" width="47.7109375" style="2" customWidth="1"/>
    <col min="14598" max="14598" width="19.28515625" style="2" customWidth="1"/>
    <col min="14599" max="14851" width="9.140625" style="2"/>
    <col min="14852" max="14852" width="7.140625" style="2" customWidth="1"/>
    <col min="14853" max="14853" width="47.7109375" style="2" customWidth="1"/>
    <col min="14854" max="14854" width="19.28515625" style="2" customWidth="1"/>
    <col min="14855" max="15107" width="9.140625" style="2"/>
    <col min="15108" max="15108" width="7.140625" style="2" customWidth="1"/>
    <col min="15109" max="15109" width="47.7109375" style="2" customWidth="1"/>
    <col min="15110" max="15110" width="19.28515625" style="2" customWidth="1"/>
    <col min="15111" max="15363" width="9.140625" style="2"/>
    <col min="15364" max="15364" width="7.140625" style="2" customWidth="1"/>
    <col min="15365" max="15365" width="47.7109375" style="2" customWidth="1"/>
    <col min="15366" max="15366" width="19.28515625" style="2" customWidth="1"/>
    <col min="15367" max="15619" width="9.140625" style="2"/>
    <col min="15620" max="15620" width="7.140625" style="2" customWidth="1"/>
    <col min="15621" max="15621" width="47.7109375" style="2" customWidth="1"/>
    <col min="15622" max="15622" width="19.28515625" style="2" customWidth="1"/>
    <col min="15623" max="15875" width="9.140625" style="2"/>
    <col min="15876" max="15876" width="7.140625" style="2" customWidth="1"/>
    <col min="15877" max="15877" width="47.7109375" style="2" customWidth="1"/>
    <col min="15878" max="15878" width="19.28515625" style="2" customWidth="1"/>
    <col min="15879" max="16131" width="9.140625" style="2"/>
    <col min="16132" max="16132" width="7.140625" style="2" customWidth="1"/>
    <col min="16133" max="16133" width="47.7109375" style="2" customWidth="1"/>
    <col min="16134" max="16134" width="19.28515625" style="2" customWidth="1"/>
    <col min="16135" max="16384" width="9.140625" style="2"/>
  </cols>
  <sheetData>
    <row r="1" spans="1:8" ht="15.75" customHeight="1">
      <c r="A1" s="1798" t="s">
        <v>75</v>
      </c>
      <c r="B1" s="1798"/>
      <c r="C1" s="1798"/>
      <c r="D1" s="1798"/>
      <c r="E1" s="237"/>
      <c r="G1" s="3"/>
    </row>
    <row r="2" spans="1:8">
      <c r="A2" s="1798" t="s">
        <v>60</v>
      </c>
      <c r="B2" s="1798"/>
      <c r="C2" s="1798"/>
      <c r="D2" s="1798"/>
      <c r="E2" s="237"/>
      <c r="F2" s="4"/>
    </row>
    <row r="3" spans="1:8">
      <c r="A3" s="5"/>
    </row>
    <row r="4" spans="1:8">
      <c r="A4" s="1798" t="s">
        <v>1358</v>
      </c>
      <c r="B4" s="1798"/>
      <c r="C4" s="1798"/>
      <c r="D4" s="1798"/>
      <c r="E4" s="1798"/>
      <c r="F4" s="1798"/>
      <c r="G4" s="1798"/>
    </row>
    <row r="5" spans="1:8">
      <c r="A5" s="1798" t="s">
        <v>15</v>
      </c>
      <c r="B5" s="1798"/>
      <c r="C5" s="1798"/>
      <c r="D5" s="1798"/>
      <c r="E5" s="1798"/>
      <c r="F5" s="1798"/>
      <c r="G5" s="1798"/>
    </row>
    <row r="6" spans="1:8">
      <c r="A6" s="1798" t="s">
        <v>16</v>
      </c>
      <c r="B6" s="1798"/>
      <c r="C6" s="1798"/>
      <c r="D6" s="1798"/>
      <c r="E6" s="1798"/>
      <c r="F6" s="1798"/>
      <c r="G6" s="1798"/>
    </row>
    <row r="7" spans="1:8">
      <c r="A7" s="1798" t="s">
        <v>17</v>
      </c>
      <c r="B7" s="1798"/>
      <c r="C7" s="1798"/>
      <c r="D7" s="1798"/>
      <c r="E7" s="1798"/>
      <c r="F7" s="1798"/>
      <c r="G7" s="1798"/>
    </row>
    <row r="8" spans="1:8">
      <c r="A8" s="1799"/>
      <c r="B8" s="1799"/>
      <c r="C8" s="1799"/>
      <c r="D8" s="1799"/>
      <c r="E8" s="1799"/>
      <c r="F8" s="1799"/>
      <c r="G8" s="1799"/>
    </row>
    <row r="9" spans="1:8">
      <c r="A9" s="238"/>
      <c r="B9" s="238"/>
      <c r="C9" s="238"/>
      <c r="D9" s="238"/>
      <c r="E9" s="238"/>
      <c r="F9" s="238"/>
      <c r="G9" s="238"/>
    </row>
    <row r="10" spans="1:8" ht="19.5" thickBot="1">
      <c r="G10" s="6" t="s">
        <v>43</v>
      </c>
    </row>
    <row r="11" spans="1:8" ht="117" customHeight="1">
      <c r="A11" s="253" t="s">
        <v>0</v>
      </c>
      <c r="B11" s="254" t="s">
        <v>1</v>
      </c>
      <c r="C11" s="254" t="s">
        <v>1359</v>
      </c>
      <c r="D11" s="254" t="s">
        <v>18</v>
      </c>
      <c r="E11" s="254" t="s">
        <v>771</v>
      </c>
      <c r="F11" s="254" t="s">
        <v>117</v>
      </c>
      <c r="G11" s="255" t="s">
        <v>19</v>
      </c>
    </row>
    <row r="12" spans="1:8">
      <c r="A12" s="256" t="s">
        <v>20</v>
      </c>
      <c r="B12" s="8" t="s">
        <v>21</v>
      </c>
      <c r="C12" s="8" t="s">
        <v>22</v>
      </c>
      <c r="D12" s="8" t="s">
        <v>23</v>
      </c>
      <c r="E12" s="8" t="s">
        <v>695</v>
      </c>
      <c r="F12" s="8" t="s">
        <v>1276</v>
      </c>
      <c r="G12" s="257" t="s">
        <v>1287</v>
      </c>
    </row>
    <row r="13" spans="1:8" ht="26.25" customHeight="1">
      <c r="A13" s="258" t="s">
        <v>2</v>
      </c>
      <c r="B13" s="9" t="s">
        <v>712</v>
      </c>
      <c r="C13" s="10">
        <v>175000000</v>
      </c>
      <c r="D13" s="10"/>
      <c r="E13" s="10"/>
      <c r="F13" s="10">
        <f>C13</f>
        <v>175000000</v>
      </c>
      <c r="G13" s="259"/>
    </row>
    <row r="14" spans="1:8" ht="37.5">
      <c r="A14" s="258" t="s">
        <v>12</v>
      </c>
      <c r="B14" s="9" t="s">
        <v>71</v>
      </c>
      <c r="C14" s="10">
        <f>C15</f>
        <v>2568836000</v>
      </c>
      <c r="D14" s="10">
        <f>D15</f>
        <v>100500000</v>
      </c>
      <c r="E14" s="10">
        <f>E15</f>
        <v>100500000</v>
      </c>
      <c r="F14" s="10">
        <f>F15</f>
        <v>2568836000</v>
      </c>
      <c r="G14" s="259"/>
      <c r="H14" s="240">
        <f>C14+E14-D14</f>
        <v>2568836000</v>
      </c>
    </row>
    <row r="15" spans="1:8">
      <c r="A15" s="258"/>
      <c r="B15" s="9" t="s">
        <v>14</v>
      </c>
      <c r="C15" s="10">
        <f>C16+C20</f>
        <v>2568836000</v>
      </c>
      <c r="D15" s="10">
        <f>D16+D20</f>
        <v>100500000</v>
      </c>
      <c r="E15" s="10">
        <f>E16+E20</f>
        <v>100500000</v>
      </c>
      <c r="F15" s="10">
        <f>F16+F20</f>
        <v>2568836000</v>
      </c>
      <c r="G15" s="259"/>
      <c r="H15" s="240">
        <f t="shared" ref="H15:H29" si="0">C15+E15-D15</f>
        <v>2568836000</v>
      </c>
    </row>
    <row r="16" spans="1:8" s="16" customFormat="1" ht="39">
      <c r="A16" s="260">
        <v>1</v>
      </c>
      <c r="B16" s="13" t="s">
        <v>9</v>
      </c>
      <c r="C16" s="14">
        <f>SUM(C17:C19)</f>
        <v>1708136000</v>
      </c>
      <c r="D16" s="14">
        <f>SUM(D17:D19)</f>
        <v>24000000</v>
      </c>
      <c r="E16" s="14">
        <f>SUM(E17:E19)</f>
        <v>100500000</v>
      </c>
      <c r="F16" s="14">
        <f>SUM(F17:F19)</f>
        <v>1784636000</v>
      </c>
      <c r="G16" s="261"/>
      <c r="H16" s="240">
        <f t="shared" si="0"/>
        <v>1784636000</v>
      </c>
    </row>
    <row r="17" spans="1:8" ht="37.5">
      <c r="A17" s="262" t="s">
        <v>5</v>
      </c>
      <c r="B17" s="18" t="s">
        <v>26</v>
      </c>
      <c r="C17" s="19">
        <f>'Dự toán Chi tiết 2025'!L155</f>
        <v>999008000</v>
      </c>
      <c r="D17" s="19"/>
      <c r="E17" s="19"/>
      <c r="F17" s="19">
        <f>C17-D17+E17</f>
        <v>999008000</v>
      </c>
      <c r="G17" s="259"/>
      <c r="H17" s="240">
        <f t="shared" si="0"/>
        <v>999008000</v>
      </c>
    </row>
    <row r="18" spans="1:8" ht="37.5">
      <c r="A18" s="262" t="s">
        <v>6</v>
      </c>
      <c r="B18" s="18" t="s">
        <v>770</v>
      </c>
      <c r="C18" s="19">
        <f>'Dự toán Chi tiết 2025'!L158</f>
        <v>469128000</v>
      </c>
      <c r="D18" s="19"/>
      <c r="E18" s="19">
        <f>D14</f>
        <v>100500000</v>
      </c>
      <c r="F18" s="19">
        <f>C18-D18+E18</f>
        <v>569628000</v>
      </c>
      <c r="G18" s="259"/>
      <c r="H18" s="240">
        <f t="shared" si="0"/>
        <v>569628000</v>
      </c>
    </row>
    <row r="19" spans="1:8" ht="37.5">
      <c r="A19" s="262" t="s">
        <v>157</v>
      </c>
      <c r="B19" s="18" t="s">
        <v>27</v>
      </c>
      <c r="C19" s="19">
        <f>'Dự toán Chi tiết 2025'!L157</f>
        <v>240000000</v>
      </c>
      <c r="D19" s="19">
        <f>C19*10%</f>
        <v>24000000</v>
      </c>
      <c r="E19" s="19"/>
      <c r="F19" s="19">
        <f>C19-D19+E19</f>
        <v>216000000</v>
      </c>
      <c r="G19" s="259"/>
      <c r="H19" s="240">
        <f t="shared" si="0"/>
        <v>216000000</v>
      </c>
    </row>
    <row r="20" spans="1:8" s="16" customFormat="1" ht="39">
      <c r="A20" s="260">
        <v>2</v>
      </c>
      <c r="B20" s="13" t="s">
        <v>10</v>
      </c>
      <c r="C20" s="14">
        <f>SUM(C21:C29)</f>
        <v>860700000</v>
      </c>
      <c r="D20" s="14">
        <f>SUM(D21:D29)</f>
        <v>76500000</v>
      </c>
      <c r="E20" s="1376">
        <f>SUM(E21:E29)</f>
        <v>0</v>
      </c>
      <c r="F20" s="14">
        <f>SUM(F21:F29)</f>
        <v>784200000</v>
      </c>
      <c r="G20" s="261"/>
      <c r="H20" s="240">
        <f t="shared" si="0"/>
        <v>784200000</v>
      </c>
    </row>
    <row r="21" spans="1:8">
      <c r="A21" s="262" t="s">
        <v>8</v>
      </c>
      <c r="B21" s="18" t="s">
        <v>33</v>
      </c>
      <c r="C21" s="19">
        <f>'Dự toán Chi tiết 2025'!L160</f>
        <v>36000000</v>
      </c>
      <c r="D21" s="19"/>
      <c r="E21" s="19"/>
      <c r="F21" s="19">
        <f>C21-D21</f>
        <v>36000000</v>
      </c>
      <c r="G21" s="259"/>
      <c r="H21" s="240">
        <f t="shared" si="0"/>
        <v>36000000</v>
      </c>
    </row>
    <row r="22" spans="1:8">
      <c r="A22" s="262" t="s">
        <v>11</v>
      </c>
      <c r="B22" s="18" t="s">
        <v>34</v>
      </c>
      <c r="C22" s="19">
        <f>'Dự toán Chi tiết 2025'!L161</f>
        <v>20700000</v>
      </c>
      <c r="D22" s="19"/>
      <c r="E22" s="19"/>
      <c r="F22" s="19">
        <f t="shared" ref="F22:F29" si="1">C22-D22</f>
        <v>20700000</v>
      </c>
      <c r="G22" s="259"/>
      <c r="H22" s="240">
        <f t="shared" si="0"/>
        <v>20700000</v>
      </c>
    </row>
    <row r="23" spans="1:8" ht="56.25">
      <c r="A23" s="262" t="s">
        <v>13</v>
      </c>
      <c r="B23" s="18" t="s">
        <v>1275</v>
      </c>
      <c r="C23" s="19">
        <f>'Dự toán Chi tiết 2025'!L162</f>
        <v>24000000</v>
      </c>
      <c r="D23" s="19"/>
      <c r="E23" s="19"/>
      <c r="F23" s="19">
        <f t="shared" si="1"/>
        <v>24000000</v>
      </c>
      <c r="G23" s="259"/>
      <c r="H23" s="240">
        <f t="shared" si="0"/>
        <v>24000000</v>
      </c>
    </row>
    <row r="24" spans="1:8" ht="25.5" customHeight="1">
      <c r="A24" s="262" t="s">
        <v>28</v>
      </c>
      <c r="B24" s="18" t="str">
        <f>'Dự toán Chi tiết 2025'!B165</f>
        <v>Chi đại hội Chi bộ</v>
      </c>
      <c r="C24" s="19">
        <f>'Dự toán Chi tiết 2025'!L165</f>
        <v>15000000</v>
      </c>
      <c r="D24" s="19"/>
      <c r="E24" s="19"/>
      <c r="F24" s="19">
        <f t="shared" si="1"/>
        <v>15000000</v>
      </c>
      <c r="G24" s="263"/>
      <c r="H24" s="240">
        <f t="shared" si="0"/>
        <v>15000000</v>
      </c>
    </row>
    <row r="25" spans="1:8" ht="75" customHeight="1">
      <c r="A25" s="262" t="s">
        <v>29</v>
      </c>
      <c r="B25" s="18" t="str">
        <f>'Dự toán Chi tiết 2025'!B168</f>
        <v>KP thực hiện theo chuyên môn kỹ thuật lĩnh vực nông, lâm, ngư, thuỷ sản,.. trên địa bàn</v>
      </c>
      <c r="C25" s="19">
        <f>'Dự toán Chi tiết 2025'!L168</f>
        <v>60000000</v>
      </c>
      <c r="D25" s="19">
        <f>C25*10%</f>
        <v>6000000</v>
      </c>
      <c r="E25" s="19"/>
      <c r="F25" s="19">
        <f t="shared" si="1"/>
        <v>54000000</v>
      </c>
      <c r="G25" s="263"/>
      <c r="H25" s="240">
        <f t="shared" si="0"/>
        <v>54000000</v>
      </c>
    </row>
    <row r="26" spans="1:8" ht="112.5">
      <c r="A26" s="262" t="s">
        <v>30</v>
      </c>
      <c r="B26" s="18" t="s">
        <v>259</v>
      </c>
      <c r="C26" s="19">
        <f>'Dự toán Chi tiết 2025'!L170</f>
        <v>500000000</v>
      </c>
      <c r="D26" s="19">
        <f>C26*10%</f>
        <v>50000000</v>
      </c>
      <c r="E26" s="19"/>
      <c r="F26" s="19">
        <f t="shared" si="1"/>
        <v>450000000</v>
      </c>
      <c r="G26" s="259" t="s">
        <v>42</v>
      </c>
      <c r="H26" s="240">
        <f t="shared" si="0"/>
        <v>450000000</v>
      </c>
    </row>
    <row r="27" spans="1:8" ht="104.25" customHeight="1">
      <c r="A27" s="262" t="s">
        <v>31</v>
      </c>
      <c r="B27" s="18" t="str">
        <f>'Dự toán Chi tiết 2025'!B163</f>
        <v>Kinh phí thực hiện điều tra, dự báo tình hình dịch bệnh cây trồng và động vật để đề xuất biện pháp phòng chống dịch bệnh</v>
      </c>
      <c r="C27" s="19">
        <f>'Dự toán Chi tiết 2025'!L163</f>
        <v>30000000</v>
      </c>
      <c r="D27" s="19">
        <f>C27*10%</f>
        <v>3000000</v>
      </c>
      <c r="E27" s="19"/>
      <c r="F27" s="19">
        <f t="shared" si="1"/>
        <v>27000000</v>
      </c>
      <c r="G27" s="259"/>
      <c r="H27" s="240"/>
    </row>
    <row r="28" spans="1:8" ht="104.25" customHeight="1" thickBot="1">
      <c r="A28" s="1374" t="s">
        <v>32</v>
      </c>
      <c r="B28" s="1375" t="str">
        <f>'Dự toán Chi tiết 2025'!B169</f>
        <v>Kinh phí tập huấn, tiêm phòng, tiêu độc, khử trùng do UBND thành phố giao nhiệm vụ, đặt hàng.</v>
      </c>
      <c r="C28" s="264">
        <f>'Dự toán Chi tiết 2025'!L169</f>
        <v>175000000</v>
      </c>
      <c r="D28" s="264">
        <f>C28*10%</f>
        <v>17500000</v>
      </c>
      <c r="E28" s="264"/>
      <c r="F28" s="264">
        <f t="shared" si="1"/>
        <v>157500000</v>
      </c>
      <c r="G28" s="265"/>
      <c r="H28" s="240"/>
    </row>
    <row r="29" spans="1:8" ht="132" hidden="1" thickBot="1">
      <c r="A29" s="1370" t="s">
        <v>38</v>
      </c>
      <c r="B29" s="1371" t="str">
        <f>'Dự toán Chi tiết 2025'!B172</f>
        <v>Kinh phí thực hiện Kế hoạch triển khai chương trình quản lý dịch hại tổng hợp IPM trên các cây trồng chủ lực theo Kế hoạch số 137/KH-UBND ngày 30/8/2022 của UBND tỉnh Quảng Ngãi</v>
      </c>
      <c r="C29" s="1372">
        <f>'Dự toán Chi tiết 2025'!L171</f>
        <v>0</v>
      </c>
      <c r="D29" s="1372"/>
      <c r="E29" s="1372"/>
      <c r="F29" s="1372">
        <f t="shared" si="1"/>
        <v>0</v>
      </c>
      <c r="G29" s="1373"/>
      <c r="H29" s="240">
        <f t="shared" si="0"/>
        <v>0</v>
      </c>
    </row>
  </sheetData>
  <mergeCells count="7">
    <mergeCell ref="A1:D1"/>
    <mergeCell ref="A2:D2"/>
    <mergeCell ref="A7:G7"/>
    <mergeCell ref="A8:G8"/>
    <mergeCell ref="A4:G4"/>
    <mergeCell ref="A5:G5"/>
    <mergeCell ref="A6:G6"/>
  </mergeCells>
  <pageMargins left="0.48" right="0.2" top="0.6" bottom="0.74803149606299213" header="0.31496062992125984" footer="0.31496062992125984"/>
  <pageSetup paperSize="9" scale="66" fitToHeight="0"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10"/>
  <sheetViews>
    <sheetView workbookViewId="0">
      <selection activeCell="A10" sqref="A10:XFD10"/>
    </sheetView>
  </sheetViews>
  <sheetFormatPr defaultRowHeight="15"/>
  <cols>
    <col min="2" max="2" width="67.7109375" customWidth="1"/>
    <col min="3" max="3" width="29.28515625" customWidth="1"/>
  </cols>
  <sheetData>
    <row r="1" spans="1:3" ht="18.75">
      <c r="A1" s="1844" t="str">
        <f>'NGƯỜI MÙ V'!A1:C1</f>
        <v>DỰ TOÁN CHI NGÂN SÁCH NHÀ NƯỚC NĂM 2025</v>
      </c>
      <c r="B1" s="1844"/>
      <c r="C1" s="1844"/>
    </row>
    <row r="2" spans="1:3" ht="18.75">
      <c r="A2" s="1844" t="s">
        <v>1324</v>
      </c>
      <c r="B2" s="1844"/>
      <c r="C2" s="1844"/>
    </row>
    <row r="3" spans="1:3" ht="18.75">
      <c r="A3" s="1845">
        <f>'BCH QS V'!A8:F8</f>
        <v>0</v>
      </c>
      <c r="B3" s="1845"/>
      <c r="C3" s="1845"/>
    </row>
    <row r="4" spans="1:3" ht="18.75">
      <c r="A4" s="268"/>
      <c r="B4" s="269"/>
      <c r="C4" s="273" t="s">
        <v>161</v>
      </c>
    </row>
    <row r="5" spans="1:3" s="284" customFormat="1" ht="18.75">
      <c r="A5" s="282" t="s">
        <v>1310</v>
      </c>
      <c r="B5" s="282" t="s">
        <v>1</v>
      </c>
      <c r="C5" s="283" t="str">
        <f>'NGƯỜI MÙ V'!C5</f>
        <v>Dự toán năm 2025</v>
      </c>
    </row>
    <row r="6" spans="1:3" ht="16.5">
      <c r="A6" s="270" t="s">
        <v>20</v>
      </c>
      <c r="B6" s="270" t="s">
        <v>21</v>
      </c>
      <c r="C6" s="270" t="s">
        <v>22</v>
      </c>
    </row>
    <row r="7" spans="1:3" ht="18.75">
      <c r="A7" s="271"/>
      <c r="B7" s="272" t="s">
        <v>1315</v>
      </c>
      <c r="C7" s="276">
        <f>C8+C9+C10</f>
        <v>83500000</v>
      </c>
    </row>
    <row r="8" spans="1:3" ht="18.75">
      <c r="A8" s="274">
        <v>1</v>
      </c>
      <c r="B8" s="275" t="s">
        <v>1447</v>
      </c>
      <c r="C8" s="274">
        <v>13500000</v>
      </c>
    </row>
    <row r="9" spans="1:3" ht="18.75">
      <c r="A9" s="274">
        <v>2</v>
      </c>
      <c r="B9" s="275" t="s">
        <v>1314</v>
      </c>
      <c r="C9" s="274">
        <v>70000000</v>
      </c>
    </row>
    <row r="10" spans="1:3" ht="18.75" hidden="1">
      <c r="A10" s="274">
        <v>3</v>
      </c>
      <c r="B10" s="275" t="s">
        <v>1008</v>
      </c>
      <c r="C10" s="274">
        <v>0</v>
      </c>
    </row>
  </sheetData>
  <mergeCells count="3">
    <mergeCell ref="A1:C1"/>
    <mergeCell ref="A2:C2"/>
    <mergeCell ref="A3:C3"/>
  </mergeCells>
  <pageMargins left="0.7" right="0.7" top="0.75" bottom="0.75" header="0.3" footer="0.3"/>
  <pageSetup paperSize="9" scale="82" fitToHeight="0"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9"/>
  <sheetViews>
    <sheetView workbookViewId="0">
      <selection activeCell="G28" sqref="G28"/>
    </sheetView>
  </sheetViews>
  <sheetFormatPr defaultRowHeight="15"/>
  <cols>
    <col min="2" max="2" width="67.7109375" customWidth="1"/>
    <col min="3" max="3" width="29.28515625" customWidth="1"/>
  </cols>
  <sheetData>
    <row r="1" spans="1:3" ht="18.75">
      <c r="A1" s="1844" t="str">
        <f>'ĐÔNG Y V'!A1:C1</f>
        <v>DỰ TOÁN CHI NGÂN SÁCH NHÀ NƯỚC NĂM 2025</v>
      </c>
      <c r="B1" s="1844"/>
      <c r="C1" s="1844"/>
    </row>
    <row r="2" spans="1:3" ht="18.75">
      <c r="A2" s="1844" t="s">
        <v>1325</v>
      </c>
      <c r="B2" s="1844"/>
      <c r="C2" s="1844"/>
    </row>
    <row r="3" spans="1:3" ht="18.75">
      <c r="A3" s="1845">
        <f>'NCT V'!A3</f>
        <v>0</v>
      </c>
      <c r="B3" s="1845"/>
      <c r="C3" s="1845"/>
    </row>
    <row r="4" spans="1:3" ht="18.75">
      <c r="A4" s="268"/>
      <c r="B4" s="269"/>
      <c r="C4" s="273" t="s">
        <v>161</v>
      </c>
    </row>
    <row r="5" spans="1:3" s="284" customFormat="1" ht="18.75">
      <c r="A5" s="282" t="s">
        <v>1310</v>
      </c>
      <c r="B5" s="282" t="s">
        <v>1</v>
      </c>
      <c r="C5" s="283" t="str">
        <f>'ĐÔNG Y V'!C5</f>
        <v>Dự toán năm 2025</v>
      </c>
    </row>
    <row r="6" spans="1:3" ht="16.5">
      <c r="A6" s="270" t="s">
        <v>20</v>
      </c>
      <c r="B6" s="270" t="s">
        <v>21</v>
      </c>
      <c r="C6" s="1369">
        <v>-3</v>
      </c>
    </row>
    <row r="7" spans="1:3" ht="18.75">
      <c r="A7" s="271"/>
      <c r="B7" s="272" t="s">
        <v>1315</v>
      </c>
      <c r="C7" s="276">
        <f>C8+C9</f>
        <v>75000000</v>
      </c>
    </row>
    <row r="8" spans="1:3" ht="18.75">
      <c r="A8" s="274" t="s">
        <v>1311</v>
      </c>
      <c r="B8" s="275" t="s">
        <v>1545</v>
      </c>
      <c r="C8" s="274">
        <v>25000000</v>
      </c>
    </row>
    <row r="9" spans="1:3" ht="18.75">
      <c r="A9" s="274" t="s">
        <v>1313</v>
      </c>
      <c r="B9" s="275" t="s">
        <v>1314</v>
      </c>
      <c r="C9" s="274">
        <v>50000000</v>
      </c>
    </row>
  </sheetData>
  <mergeCells count="3">
    <mergeCell ref="A1:C1"/>
    <mergeCell ref="A2:C2"/>
    <mergeCell ref="A3:C3"/>
  </mergeCells>
  <pageMargins left="0.7" right="0.7" top="0.75" bottom="0.75" header="0.3" footer="0.3"/>
  <pageSetup paperSize="9" scale="82" fitToHeight="0"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zoomScale="85" zoomScaleNormal="85" workbookViewId="0">
      <selection activeCell="D12" sqref="D12"/>
    </sheetView>
  </sheetViews>
  <sheetFormatPr defaultRowHeight="18.75"/>
  <cols>
    <col min="1" max="1" width="7.140625" style="27" customWidth="1"/>
    <col min="2" max="2" width="41.42578125" style="27" customWidth="1"/>
    <col min="3" max="3" width="19.28515625" style="27" customWidth="1"/>
    <col min="4" max="4" width="21.140625" style="27" customWidth="1"/>
    <col min="5" max="5" width="19.42578125" style="27" customWidth="1"/>
    <col min="6" max="6" width="18.140625" style="27" customWidth="1"/>
    <col min="7" max="7" width="9.140625" style="27"/>
    <col min="8" max="8" width="16.7109375" style="27" bestFit="1" customWidth="1"/>
    <col min="9" max="259" width="9.140625" style="27"/>
    <col min="260" max="260" width="7.140625" style="27" customWidth="1"/>
    <col min="261" max="261" width="47.7109375" style="27" customWidth="1"/>
    <col min="262" max="262" width="19.28515625" style="27" customWidth="1"/>
    <col min="263" max="515" width="9.140625" style="27"/>
    <col min="516" max="516" width="7.140625" style="27" customWidth="1"/>
    <col min="517" max="517" width="47.7109375" style="27" customWidth="1"/>
    <col min="518" max="518" width="19.28515625" style="27" customWidth="1"/>
    <col min="519" max="771" width="9.140625" style="27"/>
    <col min="772" max="772" width="7.140625" style="27" customWidth="1"/>
    <col min="773" max="773" width="47.7109375" style="27" customWidth="1"/>
    <col min="774" max="774" width="19.28515625" style="27" customWidth="1"/>
    <col min="775" max="1027" width="9.140625" style="27"/>
    <col min="1028" max="1028" width="7.140625" style="27" customWidth="1"/>
    <col min="1029" max="1029" width="47.7109375" style="27" customWidth="1"/>
    <col min="1030" max="1030" width="19.28515625" style="27" customWidth="1"/>
    <col min="1031" max="1283" width="9.140625" style="27"/>
    <col min="1284" max="1284" width="7.140625" style="27" customWidth="1"/>
    <col min="1285" max="1285" width="47.7109375" style="27" customWidth="1"/>
    <col min="1286" max="1286" width="19.28515625" style="27" customWidth="1"/>
    <col min="1287" max="1539" width="9.140625" style="27"/>
    <col min="1540" max="1540" width="7.140625" style="27" customWidth="1"/>
    <col min="1541" max="1541" width="47.7109375" style="27" customWidth="1"/>
    <col min="1542" max="1542" width="19.28515625" style="27" customWidth="1"/>
    <col min="1543" max="1795" width="9.140625" style="27"/>
    <col min="1796" max="1796" width="7.140625" style="27" customWidth="1"/>
    <col min="1797" max="1797" width="47.7109375" style="27" customWidth="1"/>
    <col min="1798" max="1798" width="19.28515625" style="27" customWidth="1"/>
    <col min="1799" max="2051" width="9.140625" style="27"/>
    <col min="2052" max="2052" width="7.140625" style="27" customWidth="1"/>
    <col min="2053" max="2053" width="47.7109375" style="27" customWidth="1"/>
    <col min="2054" max="2054" width="19.28515625" style="27" customWidth="1"/>
    <col min="2055" max="2307" width="9.140625" style="27"/>
    <col min="2308" max="2308" width="7.140625" style="27" customWidth="1"/>
    <col min="2309" max="2309" width="47.7109375" style="27" customWidth="1"/>
    <col min="2310" max="2310" width="19.28515625" style="27" customWidth="1"/>
    <col min="2311" max="2563" width="9.140625" style="27"/>
    <col min="2564" max="2564" width="7.140625" style="27" customWidth="1"/>
    <col min="2565" max="2565" width="47.7109375" style="27" customWidth="1"/>
    <col min="2566" max="2566" width="19.28515625" style="27" customWidth="1"/>
    <col min="2567" max="2819" width="9.140625" style="27"/>
    <col min="2820" max="2820" width="7.140625" style="27" customWidth="1"/>
    <col min="2821" max="2821" width="47.7109375" style="27" customWidth="1"/>
    <col min="2822" max="2822" width="19.28515625" style="27" customWidth="1"/>
    <col min="2823" max="3075" width="9.140625" style="27"/>
    <col min="3076" max="3076" width="7.140625" style="27" customWidth="1"/>
    <col min="3077" max="3077" width="47.7109375" style="27" customWidth="1"/>
    <col min="3078" max="3078" width="19.28515625" style="27" customWidth="1"/>
    <col min="3079" max="3331" width="9.140625" style="27"/>
    <col min="3332" max="3332" width="7.140625" style="27" customWidth="1"/>
    <col min="3333" max="3333" width="47.7109375" style="27" customWidth="1"/>
    <col min="3334" max="3334" width="19.28515625" style="27" customWidth="1"/>
    <col min="3335" max="3587" width="9.140625" style="27"/>
    <col min="3588" max="3588" width="7.140625" style="27" customWidth="1"/>
    <col min="3589" max="3589" width="47.7109375" style="27" customWidth="1"/>
    <col min="3590" max="3590" width="19.28515625" style="27" customWidth="1"/>
    <col min="3591" max="3843" width="9.140625" style="27"/>
    <col min="3844" max="3844" width="7.140625" style="27" customWidth="1"/>
    <col min="3845" max="3845" width="47.7109375" style="27" customWidth="1"/>
    <col min="3846" max="3846" width="19.28515625" style="27" customWidth="1"/>
    <col min="3847" max="4099" width="9.140625" style="27"/>
    <col min="4100" max="4100" width="7.140625" style="27" customWidth="1"/>
    <col min="4101" max="4101" width="47.7109375" style="27" customWidth="1"/>
    <col min="4102" max="4102" width="19.28515625" style="27" customWidth="1"/>
    <col min="4103" max="4355" width="9.140625" style="27"/>
    <col min="4356" max="4356" width="7.140625" style="27" customWidth="1"/>
    <col min="4357" max="4357" width="47.7109375" style="27" customWidth="1"/>
    <col min="4358" max="4358" width="19.28515625" style="27" customWidth="1"/>
    <col min="4359" max="4611" width="9.140625" style="27"/>
    <col min="4612" max="4612" width="7.140625" style="27" customWidth="1"/>
    <col min="4613" max="4613" width="47.7109375" style="27" customWidth="1"/>
    <col min="4614" max="4614" width="19.28515625" style="27" customWidth="1"/>
    <col min="4615" max="4867" width="9.140625" style="27"/>
    <col min="4868" max="4868" width="7.140625" style="27" customWidth="1"/>
    <col min="4869" max="4869" width="47.7109375" style="27" customWidth="1"/>
    <col min="4870" max="4870" width="19.28515625" style="27" customWidth="1"/>
    <col min="4871" max="5123" width="9.140625" style="27"/>
    <col min="5124" max="5124" width="7.140625" style="27" customWidth="1"/>
    <col min="5125" max="5125" width="47.7109375" style="27" customWidth="1"/>
    <col min="5126" max="5126" width="19.28515625" style="27" customWidth="1"/>
    <col min="5127" max="5379" width="9.140625" style="27"/>
    <col min="5380" max="5380" width="7.140625" style="27" customWidth="1"/>
    <col min="5381" max="5381" width="47.7109375" style="27" customWidth="1"/>
    <col min="5382" max="5382" width="19.28515625" style="27" customWidth="1"/>
    <col min="5383" max="5635" width="9.140625" style="27"/>
    <col min="5636" max="5636" width="7.140625" style="27" customWidth="1"/>
    <col min="5637" max="5637" width="47.7109375" style="27" customWidth="1"/>
    <col min="5638" max="5638" width="19.28515625" style="27" customWidth="1"/>
    <col min="5639" max="5891" width="9.140625" style="27"/>
    <col min="5892" max="5892" width="7.140625" style="27" customWidth="1"/>
    <col min="5893" max="5893" width="47.7109375" style="27" customWidth="1"/>
    <col min="5894" max="5894" width="19.28515625" style="27" customWidth="1"/>
    <col min="5895" max="6147" width="9.140625" style="27"/>
    <col min="6148" max="6148" width="7.140625" style="27" customWidth="1"/>
    <col min="6149" max="6149" width="47.7109375" style="27" customWidth="1"/>
    <col min="6150" max="6150" width="19.28515625" style="27" customWidth="1"/>
    <col min="6151" max="6403" width="9.140625" style="27"/>
    <col min="6404" max="6404" width="7.140625" style="27" customWidth="1"/>
    <col min="6405" max="6405" width="47.7109375" style="27" customWidth="1"/>
    <col min="6406" max="6406" width="19.28515625" style="27" customWidth="1"/>
    <col min="6407" max="6659" width="9.140625" style="27"/>
    <col min="6660" max="6660" width="7.140625" style="27" customWidth="1"/>
    <col min="6661" max="6661" width="47.7109375" style="27" customWidth="1"/>
    <col min="6662" max="6662" width="19.28515625" style="27" customWidth="1"/>
    <col min="6663" max="6915" width="9.140625" style="27"/>
    <col min="6916" max="6916" width="7.140625" style="27" customWidth="1"/>
    <col min="6917" max="6917" width="47.7109375" style="27" customWidth="1"/>
    <col min="6918" max="6918" width="19.28515625" style="27" customWidth="1"/>
    <col min="6919" max="7171" width="9.140625" style="27"/>
    <col min="7172" max="7172" width="7.140625" style="27" customWidth="1"/>
    <col min="7173" max="7173" width="47.7109375" style="27" customWidth="1"/>
    <col min="7174" max="7174" width="19.28515625" style="27" customWidth="1"/>
    <col min="7175" max="7427" width="9.140625" style="27"/>
    <col min="7428" max="7428" width="7.140625" style="27" customWidth="1"/>
    <col min="7429" max="7429" width="47.7109375" style="27" customWidth="1"/>
    <col min="7430" max="7430" width="19.28515625" style="27" customWidth="1"/>
    <col min="7431" max="7683" width="9.140625" style="27"/>
    <col min="7684" max="7684" width="7.140625" style="27" customWidth="1"/>
    <col min="7685" max="7685" width="47.7109375" style="27" customWidth="1"/>
    <col min="7686" max="7686" width="19.28515625" style="27" customWidth="1"/>
    <col min="7687" max="7939" width="9.140625" style="27"/>
    <col min="7940" max="7940" width="7.140625" style="27" customWidth="1"/>
    <col min="7941" max="7941" width="47.7109375" style="27" customWidth="1"/>
    <col min="7942" max="7942" width="19.28515625" style="27" customWidth="1"/>
    <col min="7943" max="8195" width="9.140625" style="27"/>
    <col min="8196" max="8196" width="7.140625" style="27" customWidth="1"/>
    <col min="8197" max="8197" width="47.7109375" style="27" customWidth="1"/>
    <col min="8198" max="8198" width="19.28515625" style="27" customWidth="1"/>
    <col min="8199" max="8451" width="9.140625" style="27"/>
    <col min="8452" max="8452" width="7.140625" style="27" customWidth="1"/>
    <col min="8453" max="8453" width="47.7109375" style="27" customWidth="1"/>
    <col min="8454" max="8454" width="19.28515625" style="27" customWidth="1"/>
    <col min="8455" max="8707" width="9.140625" style="27"/>
    <col min="8708" max="8708" width="7.140625" style="27" customWidth="1"/>
    <col min="8709" max="8709" width="47.7109375" style="27" customWidth="1"/>
    <col min="8710" max="8710" width="19.28515625" style="27" customWidth="1"/>
    <col min="8711" max="8963" width="9.140625" style="27"/>
    <col min="8964" max="8964" width="7.140625" style="27" customWidth="1"/>
    <col min="8965" max="8965" width="47.7109375" style="27" customWidth="1"/>
    <col min="8966" max="8966" width="19.28515625" style="27" customWidth="1"/>
    <col min="8967" max="9219" width="9.140625" style="27"/>
    <col min="9220" max="9220" width="7.140625" style="27" customWidth="1"/>
    <col min="9221" max="9221" width="47.7109375" style="27" customWidth="1"/>
    <col min="9222" max="9222" width="19.28515625" style="27" customWidth="1"/>
    <col min="9223" max="9475" width="9.140625" style="27"/>
    <col min="9476" max="9476" width="7.140625" style="27" customWidth="1"/>
    <col min="9477" max="9477" width="47.7109375" style="27" customWidth="1"/>
    <col min="9478" max="9478" width="19.28515625" style="27" customWidth="1"/>
    <col min="9479" max="9731" width="9.140625" style="27"/>
    <col min="9732" max="9732" width="7.140625" style="27" customWidth="1"/>
    <col min="9733" max="9733" width="47.7109375" style="27" customWidth="1"/>
    <col min="9734" max="9734" width="19.28515625" style="27" customWidth="1"/>
    <col min="9735" max="9987" width="9.140625" style="27"/>
    <col min="9988" max="9988" width="7.140625" style="27" customWidth="1"/>
    <col min="9989" max="9989" width="47.7109375" style="27" customWidth="1"/>
    <col min="9990" max="9990" width="19.28515625" style="27" customWidth="1"/>
    <col min="9991" max="10243" width="9.140625" style="27"/>
    <col min="10244" max="10244" width="7.140625" style="27" customWidth="1"/>
    <col min="10245" max="10245" width="47.7109375" style="27" customWidth="1"/>
    <col min="10246" max="10246" width="19.28515625" style="27" customWidth="1"/>
    <col min="10247" max="10499" width="9.140625" style="27"/>
    <col min="10500" max="10500" width="7.140625" style="27" customWidth="1"/>
    <col min="10501" max="10501" width="47.7109375" style="27" customWidth="1"/>
    <col min="10502" max="10502" width="19.28515625" style="27" customWidth="1"/>
    <col min="10503" max="10755" width="9.140625" style="27"/>
    <col min="10756" max="10756" width="7.140625" style="27" customWidth="1"/>
    <col min="10757" max="10757" width="47.7109375" style="27" customWidth="1"/>
    <col min="10758" max="10758" width="19.28515625" style="27" customWidth="1"/>
    <col min="10759" max="11011" width="9.140625" style="27"/>
    <col min="11012" max="11012" width="7.140625" style="27" customWidth="1"/>
    <col min="11013" max="11013" width="47.7109375" style="27" customWidth="1"/>
    <col min="11014" max="11014" width="19.28515625" style="27" customWidth="1"/>
    <col min="11015" max="11267" width="9.140625" style="27"/>
    <col min="11268" max="11268" width="7.140625" style="27" customWidth="1"/>
    <col min="11269" max="11269" width="47.7109375" style="27" customWidth="1"/>
    <col min="11270" max="11270" width="19.28515625" style="27" customWidth="1"/>
    <col min="11271" max="11523" width="9.140625" style="27"/>
    <col min="11524" max="11524" width="7.140625" style="27" customWidth="1"/>
    <col min="11525" max="11525" width="47.7109375" style="27" customWidth="1"/>
    <col min="11526" max="11526" width="19.28515625" style="27" customWidth="1"/>
    <col min="11527" max="11779" width="9.140625" style="27"/>
    <col min="11780" max="11780" width="7.140625" style="27" customWidth="1"/>
    <col min="11781" max="11781" width="47.7109375" style="27" customWidth="1"/>
    <col min="11782" max="11782" width="19.28515625" style="27" customWidth="1"/>
    <col min="11783" max="12035" width="9.140625" style="27"/>
    <col min="12036" max="12036" width="7.140625" style="27" customWidth="1"/>
    <col min="12037" max="12037" width="47.7109375" style="27" customWidth="1"/>
    <col min="12038" max="12038" width="19.28515625" style="27" customWidth="1"/>
    <col min="12039" max="12291" width="9.140625" style="27"/>
    <col min="12292" max="12292" width="7.140625" style="27" customWidth="1"/>
    <col min="12293" max="12293" width="47.7109375" style="27" customWidth="1"/>
    <col min="12294" max="12294" width="19.28515625" style="27" customWidth="1"/>
    <col min="12295" max="12547" width="9.140625" style="27"/>
    <col min="12548" max="12548" width="7.140625" style="27" customWidth="1"/>
    <col min="12549" max="12549" width="47.7109375" style="27" customWidth="1"/>
    <col min="12550" max="12550" width="19.28515625" style="27" customWidth="1"/>
    <col min="12551" max="12803" width="9.140625" style="27"/>
    <col min="12804" max="12804" width="7.140625" style="27" customWidth="1"/>
    <col min="12805" max="12805" width="47.7109375" style="27" customWidth="1"/>
    <col min="12806" max="12806" width="19.28515625" style="27" customWidth="1"/>
    <col min="12807" max="13059" width="9.140625" style="27"/>
    <col min="13060" max="13060" width="7.140625" style="27" customWidth="1"/>
    <col min="13061" max="13061" width="47.7109375" style="27" customWidth="1"/>
    <col min="13062" max="13062" width="19.28515625" style="27" customWidth="1"/>
    <col min="13063" max="13315" width="9.140625" style="27"/>
    <col min="13316" max="13316" width="7.140625" style="27" customWidth="1"/>
    <col min="13317" max="13317" width="47.7109375" style="27" customWidth="1"/>
    <col min="13318" max="13318" width="19.28515625" style="27" customWidth="1"/>
    <col min="13319" max="13571" width="9.140625" style="27"/>
    <col min="13572" max="13572" width="7.140625" style="27" customWidth="1"/>
    <col min="13573" max="13573" width="47.7109375" style="27" customWidth="1"/>
    <col min="13574" max="13574" width="19.28515625" style="27" customWidth="1"/>
    <col min="13575" max="13827" width="9.140625" style="27"/>
    <col min="13828" max="13828" width="7.140625" style="27" customWidth="1"/>
    <col min="13829" max="13829" width="47.7109375" style="27" customWidth="1"/>
    <col min="13830" max="13830" width="19.28515625" style="27" customWidth="1"/>
    <col min="13831" max="14083" width="9.140625" style="27"/>
    <col min="14084" max="14084" width="7.140625" style="27" customWidth="1"/>
    <col min="14085" max="14085" width="47.7109375" style="27" customWidth="1"/>
    <col min="14086" max="14086" width="19.28515625" style="27" customWidth="1"/>
    <col min="14087" max="14339" width="9.140625" style="27"/>
    <col min="14340" max="14340" width="7.140625" style="27" customWidth="1"/>
    <col min="14341" max="14341" width="47.7109375" style="27" customWidth="1"/>
    <col min="14342" max="14342" width="19.28515625" style="27" customWidth="1"/>
    <col min="14343" max="14595" width="9.140625" style="27"/>
    <col min="14596" max="14596" width="7.140625" style="27" customWidth="1"/>
    <col min="14597" max="14597" width="47.7109375" style="27" customWidth="1"/>
    <col min="14598" max="14598" width="19.28515625" style="27" customWidth="1"/>
    <col min="14599" max="14851" width="9.140625" style="27"/>
    <col min="14852" max="14852" width="7.140625" style="27" customWidth="1"/>
    <col min="14853" max="14853" width="47.7109375" style="27" customWidth="1"/>
    <col min="14854" max="14854" width="19.28515625" style="27" customWidth="1"/>
    <col min="14855" max="15107" width="9.140625" style="27"/>
    <col min="15108" max="15108" width="7.140625" style="27" customWidth="1"/>
    <col min="15109" max="15109" width="47.7109375" style="27" customWidth="1"/>
    <col min="15110" max="15110" width="19.28515625" style="27" customWidth="1"/>
    <col min="15111" max="15363" width="9.140625" style="27"/>
    <col min="15364" max="15364" width="7.140625" style="27" customWidth="1"/>
    <col min="15365" max="15365" width="47.7109375" style="27" customWidth="1"/>
    <col min="15366" max="15366" width="19.28515625" style="27" customWidth="1"/>
    <col min="15367" max="15619" width="9.140625" style="27"/>
    <col min="15620" max="15620" width="7.140625" style="27" customWidth="1"/>
    <col min="15621" max="15621" width="47.7109375" style="27" customWidth="1"/>
    <col min="15622" max="15622" width="19.28515625" style="27" customWidth="1"/>
    <col min="15623" max="15875" width="9.140625" style="27"/>
    <col min="15876" max="15876" width="7.140625" style="27" customWidth="1"/>
    <col min="15877" max="15877" width="47.7109375" style="27" customWidth="1"/>
    <col min="15878" max="15878" width="19.28515625" style="27" customWidth="1"/>
    <col min="15879" max="16131" width="9.140625" style="27"/>
    <col min="16132" max="16132" width="7.140625" style="27" customWidth="1"/>
    <col min="16133" max="16133" width="47.7109375" style="27" customWidth="1"/>
    <col min="16134" max="16134" width="19.28515625" style="27" customWidth="1"/>
    <col min="16135" max="16384" width="9.140625" style="27"/>
  </cols>
  <sheetData>
    <row r="1" spans="1:6">
      <c r="A1" s="1838" t="s">
        <v>707</v>
      </c>
      <c r="B1" s="1838"/>
      <c r="C1" s="1838"/>
      <c r="F1" s="3"/>
    </row>
    <row r="2" spans="1:6">
      <c r="A2" s="1798" t="s">
        <v>702</v>
      </c>
      <c r="B2" s="1798"/>
      <c r="C2" s="1798"/>
      <c r="D2" s="4"/>
      <c r="E2" s="4"/>
    </row>
    <row r="3" spans="1:6">
      <c r="A3" s="5"/>
    </row>
    <row r="4" spans="1:6">
      <c r="A4" s="1798" t="s">
        <v>694</v>
      </c>
      <c r="B4" s="1798"/>
      <c r="C4" s="1798"/>
      <c r="D4" s="1798"/>
      <c r="E4" s="1798"/>
      <c r="F4" s="1798"/>
    </row>
    <row r="5" spans="1:6">
      <c r="A5" s="1798" t="s">
        <v>733</v>
      </c>
      <c r="B5" s="1798"/>
      <c r="C5" s="1798"/>
      <c r="D5" s="1798"/>
      <c r="E5" s="1798"/>
      <c r="F5" s="1798"/>
    </row>
    <row r="6" spans="1:6">
      <c r="A6" s="1798" t="s">
        <v>708</v>
      </c>
      <c r="B6" s="1798"/>
      <c r="C6" s="1798"/>
      <c r="D6" s="1798"/>
      <c r="E6" s="1798"/>
      <c r="F6" s="1798"/>
    </row>
    <row r="7" spans="1:6">
      <c r="A7" s="1798" t="s">
        <v>17</v>
      </c>
      <c r="B7" s="1798"/>
      <c r="C7" s="1798"/>
      <c r="D7" s="1798"/>
      <c r="E7" s="1798"/>
      <c r="F7" s="1798"/>
    </row>
    <row r="8" spans="1:6">
      <c r="A8" s="1799">
        <f>'TTDVNN V '!A8:G8</f>
        <v>0</v>
      </c>
      <c r="B8" s="1799"/>
      <c r="C8" s="1799"/>
      <c r="D8" s="1799"/>
      <c r="E8" s="1799"/>
      <c r="F8" s="1799"/>
    </row>
    <row r="9" spans="1:6">
      <c r="F9" s="6" t="s">
        <v>43</v>
      </c>
    </row>
    <row r="10" spans="1:6" ht="117" customHeight="1">
      <c r="A10" s="7" t="s">
        <v>0</v>
      </c>
      <c r="B10" s="7" t="s">
        <v>1</v>
      </c>
      <c r="C10" s="7" t="s">
        <v>116</v>
      </c>
      <c r="D10" s="7" t="s">
        <v>18</v>
      </c>
      <c r="E10" s="7" t="s">
        <v>117</v>
      </c>
      <c r="F10" s="7" t="s">
        <v>19</v>
      </c>
    </row>
    <row r="11" spans="1:6">
      <c r="A11" s="8" t="s">
        <v>20</v>
      </c>
      <c r="B11" s="8" t="s">
        <v>21</v>
      </c>
      <c r="C11" s="8" t="s">
        <v>22</v>
      </c>
      <c r="D11" s="8" t="s">
        <v>23</v>
      </c>
      <c r="E11" s="8" t="s">
        <v>24</v>
      </c>
      <c r="F11" s="8" t="s">
        <v>25</v>
      </c>
    </row>
    <row r="12" spans="1:6" ht="37.5">
      <c r="A12" s="7"/>
      <c r="B12" s="9" t="s">
        <v>705</v>
      </c>
      <c r="C12" s="10">
        <f>C13</f>
        <v>540000000</v>
      </c>
      <c r="D12" s="10">
        <f>D13</f>
        <v>54000000</v>
      </c>
      <c r="E12" s="10">
        <f>E13</f>
        <v>486000000</v>
      </c>
      <c r="F12" s="11"/>
    </row>
    <row r="13" spans="1:6" s="88" customFormat="1" ht="58.5">
      <c r="A13" s="12"/>
      <c r="B13" s="13" t="s">
        <v>709</v>
      </c>
      <c r="C13" s="14">
        <f>SUM(C14:C16)</f>
        <v>540000000</v>
      </c>
      <c r="D13" s="14">
        <f>SUM(D14:D16)</f>
        <v>54000000</v>
      </c>
      <c r="E13" s="14">
        <f>SUM(E14:E16)</f>
        <v>486000000</v>
      </c>
      <c r="F13" s="15"/>
    </row>
    <row r="14" spans="1:6" s="62" customFormat="1" ht="75">
      <c r="A14" s="72">
        <v>1</v>
      </c>
      <c r="B14" s="228" t="s">
        <v>711</v>
      </c>
      <c r="C14" s="91">
        <v>70000000</v>
      </c>
      <c r="D14" s="232">
        <f>C14*10%</f>
        <v>7000000</v>
      </c>
      <c r="E14" s="232">
        <f>C14-D14</f>
        <v>63000000</v>
      </c>
      <c r="F14" s="233"/>
    </row>
    <row r="15" spans="1:6" s="62" customFormat="1" ht="56.25">
      <c r="A15" s="72">
        <v>2</v>
      </c>
      <c r="B15" s="228" t="s">
        <v>604</v>
      </c>
      <c r="C15" s="91">
        <v>400000000</v>
      </c>
      <c r="D15" s="232">
        <f>C15*10%</f>
        <v>40000000</v>
      </c>
      <c r="E15" s="232">
        <f>C15-D15</f>
        <v>360000000</v>
      </c>
      <c r="F15" s="233"/>
    </row>
    <row r="16" spans="1:6" s="62" customFormat="1" ht="37.5">
      <c r="A16" s="72">
        <v>3</v>
      </c>
      <c r="B16" s="228" t="s">
        <v>605</v>
      </c>
      <c r="C16" s="91">
        <v>70000000</v>
      </c>
      <c r="D16" s="232">
        <f>C16*10%</f>
        <v>7000000</v>
      </c>
      <c r="E16" s="232">
        <f>C16-D16</f>
        <v>63000000</v>
      </c>
      <c r="F16" s="233"/>
    </row>
    <row r="18" spans="1:6" ht="40.5" customHeight="1">
      <c r="A18" s="1846" t="s">
        <v>710</v>
      </c>
      <c r="B18" s="1846"/>
      <c r="C18" s="1846"/>
      <c r="D18" s="1846"/>
      <c r="E18" s="1846"/>
      <c r="F18" s="1846"/>
    </row>
  </sheetData>
  <mergeCells count="8">
    <mergeCell ref="A8:F8"/>
    <mergeCell ref="A18:F18"/>
    <mergeCell ref="A1:C1"/>
    <mergeCell ref="A2:C2"/>
    <mergeCell ref="A4:F4"/>
    <mergeCell ref="A5:F5"/>
    <mergeCell ref="A6:F6"/>
    <mergeCell ref="A7:F7"/>
  </mergeCells>
  <pageMargins left="0.57999999999999996" right="0.55000000000000004" top="0.6" bottom="0.74803149606299213" header="0.31496062992125984" footer="0.31496062992125984"/>
  <pageSetup paperSize="9" scale="71" fitToHeight="0" orientation="portrait" horizontalDpi="1200" verticalDpi="0"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S802"/>
  <sheetViews>
    <sheetView workbookViewId="0">
      <selection activeCell="B227" sqref="B227:C232"/>
    </sheetView>
  </sheetViews>
  <sheetFormatPr defaultColWidth="8.85546875" defaultRowHeight="18.75"/>
  <cols>
    <col min="1" max="1" width="5.7109375" style="100" customWidth="1"/>
    <col min="2" max="2" width="66.7109375" style="100" customWidth="1"/>
    <col min="3" max="3" width="25.28515625" style="100" customWidth="1"/>
    <col min="4" max="4" width="17.28515625" style="100" customWidth="1"/>
    <col min="5" max="6" width="24.7109375" style="100" hidden="1" customWidth="1"/>
    <col min="7" max="7" width="72.85546875" style="100" hidden="1" customWidth="1"/>
    <col min="8" max="8" width="27" style="100" hidden="1" customWidth="1"/>
    <col min="9" max="228" width="8.85546875" style="27"/>
    <col min="229" max="229" width="5.7109375" style="27" customWidth="1"/>
    <col min="230" max="230" width="66.7109375" style="27" customWidth="1"/>
    <col min="231" max="233" width="0" style="27" hidden="1" customWidth="1"/>
    <col min="234" max="234" width="21.85546875" style="27" customWidth="1"/>
    <col min="235" max="237" width="0" style="27" hidden="1" customWidth="1"/>
    <col min="238" max="238" width="19.5703125" style="27" customWidth="1"/>
    <col min="239" max="239" width="21.42578125" style="27" customWidth="1"/>
    <col min="240" max="240" width="37.85546875" style="27" customWidth="1"/>
    <col min="241" max="244" width="0" style="27" hidden="1" customWidth="1"/>
    <col min="245" max="245" width="35.85546875" style="27" customWidth="1"/>
    <col min="246" max="246" width="24.7109375" style="27" customWidth="1"/>
    <col min="247" max="247" width="9.28515625" style="27" customWidth="1"/>
    <col min="248" max="248" width="16.140625" style="27" customWidth="1"/>
    <col min="249" max="249" width="18.28515625" style="27" customWidth="1"/>
    <col min="250" max="250" width="15.5703125" style="27" customWidth="1"/>
    <col min="251" max="251" width="14.7109375" style="27" customWidth="1"/>
    <col min="252" max="252" width="12.140625" style="27" customWidth="1"/>
    <col min="253" max="253" width="13.5703125" style="27" customWidth="1"/>
    <col min="254" max="254" width="19.42578125" style="27" customWidth="1"/>
    <col min="255" max="255" width="8.85546875" style="27" customWidth="1"/>
    <col min="256" max="256" width="13.5703125" style="27" customWidth="1"/>
    <col min="257" max="484" width="8.85546875" style="27"/>
    <col min="485" max="485" width="5.7109375" style="27" customWidth="1"/>
    <col min="486" max="486" width="66.7109375" style="27" customWidth="1"/>
    <col min="487" max="489" width="0" style="27" hidden="1" customWidth="1"/>
    <col min="490" max="490" width="21.85546875" style="27" customWidth="1"/>
    <col min="491" max="493" width="0" style="27" hidden="1" customWidth="1"/>
    <col min="494" max="494" width="19.5703125" style="27" customWidth="1"/>
    <col min="495" max="495" width="21.42578125" style="27" customWidth="1"/>
    <col min="496" max="496" width="37.85546875" style="27" customWidth="1"/>
    <col min="497" max="500" width="0" style="27" hidden="1" customWidth="1"/>
    <col min="501" max="501" width="35.85546875" style="27" customWidth="1"/>
    <col min="502" max="502" width="24.7109375" style="27" customWidth="1"/>
    <col min="503" max="503" width="9.28515625" style="27" customWidth="1"/>
    <col min="504" max="504" width="16.140625" style="27" customWidth="1"/>
    <col min="505" max="505" width="18.28515625" style="27" customWidth="1"/>
    <col min="506" max="506" width="15.5703125" style="27" customWidth="1"/>
    <col min="507" max="507" width="14.7109375" style="27" customWidth="1"/>
    <col min="508" max="508" width="12.140625" style="27" customWidth="1"/>
    <col min="509" max="509" width="13.5703125" style="27" customWidth="1"/>
    <col min="510" max="510" width="19.42578125" style="27" customWidth="1"/>
    <col min="511" max="511" width="8.85546875" style="27" customWidth="1"/>
    <col min="512" max="512" width="13.5703125" style="27" customWidth="1"/>
    <col min="513" max="740" width="8.85546875" style="27"/>
    <col min="741" max="741" width="5.7109375" style="27" customWidth="1"/>
    <col min="742" max="742" width="66.7109375" style="27" customWidth="1"/>
    <col min="743" max="745" width="0" style="27" hidden="1" customWidth="1"/>
    <col min="746" max="746" width="21.85546875" style="27" customWidth="1"/>
    <col min="747" max="749" width="0" style="27" hidden="1" customWidth="1"/>
    <col min="750" max="750" width="19.5703125" style="27" customWidth="1"/>
    <col min="751" max="751" width="21.42578125" style="27" customWidth="1"/>
    <col min="752" max="752" width="37.85546875" style="27" customWidth="1"/>
    <col min="753" max="756" width="0" style="27" hidden="1" customWidth="1"/>
    <col min="757" max="757" width="35.85546875" style="27" customWidth="1"/>
    <col min="758" max="758" width="24.7109375" style="27" customWidth="1"/>
    <col min="759" max="759" width="9.28515625" style="27" customWidth="1"/>
    <col min="760" max="760" width="16.140625" style="27" customWidth="1"/>
    <col min="761" max="761" width="18.28515625" style="27" customWidth="1"/>
    <col min="762" max="762" width="15.5703125" style="27" customWidth="1"/>
    <col min="763" max="763" width="14.7109375" style="27" customWidth="1"/>
    <col min="764" max="764" width="12.140625" style="27" customWidth="1"/>
    <col min="765" max="765" width="13.5703125" style="27" customWidth="1"/>
    <col min="766" max="766" width="19.42578125" style="27" customWidth="1"/>
    <col min="767" max="767" width="8.85546875" style="27" customWidth="1"/>
    <col min="768" max="768" width="13.5703125" style="27" customWidth="1"/>
    <col min="769" max="996" width="8.85546875" style="27"/>
    <col min="997" max="997" width="5.7109375" style="27" customWidth="1"/>
    <col min="998" max="998" width="66.7109375" style="27" customWidth="1"/>
    <col min="999" max="1001" width="0" style="27" hidden="1" customWidth="1"/>
    <col min="1002" max="1002" width="21.85546875" style="27" customWidth="1"/>
    <col min="1003" max="1005" width="0" style="27" hidden="1" customWidth="1"/>
    <col min="1006" max="1006" width="19.5703125" style="27" customWidth="1"/>
    <col min="1007" max="1007" width="21.42578125" style="27" customWidth="1"/>
    <col min="1008" max="1008" width="37.85546875" style="27" customWidth="1"/>
    <col min="1009" max="1012" width="0" style="27" hidden="1" customWidth="1"/>
    <col min="1013" max="1013" width="35.85546875" style="27" customWidth="1"/>
    <col min="1014" max="1014" width="24.7109375" style="27" customWidth="1"/>
    <col min="1015" max="1015" width="9.28515625" style="27" customWidth="1"/>
    <col min="1016" max="1016" width="16.140625" style="27" customWidth="1"/>
    <col min="1017" max="1017" width="18.28515625" style="27" customWidth="1"/>
    <col min="1018" max="1018" width="15.5703125" style="27" customWidth="1"/>
    <col min="1019" max="1019" width="14.7109375" style="27" customWidth="1"/>
    <col min="1020" max="1020" width="12.140625" style="27" customWidth="1"/>
    <col min="1021" max="1021" width="13.5703125" style="27" customWidth="1"/>
    <col min="1022" max="1022" width="19.42578125" style="27" customWidth="1"/>
    <col min="1023" max="1023" width="8.85546875" style="27" customWidth="1"/>
    <col min="1024" max="1024" width="13.5703125" style="27" customWidth="1"/>
    <col min="1025" max="1252" width="8.85546875" style="27"/>
    <col min="1253" max="1253" width="5.7109375" style="27" customWidth="1"/>
    <col min="1254" max="1254" width="66.7109375" style="27" customWidth="1"/>
    <col min="1255" max="1257" width="0" style="27" hidden="1" customWidth="1"/>
    <col min="1258" max="1258" width="21.85546875" style="27" customWidth="1"/>
    <col min="1259" max="1261" width="0" style="27" hidden="1" customWidth="1"/>
    <col min="1262" max="1262" width="19.5703125" style="27" customWidth="1"/>
    <col min="1263" max="1263" width="21.42578125" style="27" customWidth="1"/>
    <col min="1264" max="1264" width="37.85546875" style="27" customWidth="1"/>
    <col min="1265" max="1268" width="0" style="27" hidden="1" customWidth="1"/>
    <col min="1269" max="1269" width="35.85546875" style="27" customWidth="1"/>
    <col min="1270" max="1270" width="24.7109375" style="27" customWidth="1"/>
    <col min="1271" max="1271" width="9.28515625" style="27" customWidth="1"/>
    <col min="1272" max="1272" width="16.140625" style="27" customWidth="1"/>
    <col min="1273" max="1273" width="18.28515625" style="27" customWidth="1"/>
    <col min="1274" max="1274" width="15.5703125" style="27" customWidth="1"/>
    <col min="1275" max="1275" width="14.7109375" style="27" customWidth="1"/>
    <col min="1276" max="1276" width="12.140625" style="27" customWidth="1"/>
    <col min="1277" max="1277" width="13.5703125" style="27" customWidth="1"/>
    <col min="1278" max="1278" width="19.42578125" style="27" customWidth="1"/>
    <col min="1279" max="1279" width="8.85546875" style="27" customWidth="1"/>
    <col min="1280" max="1280" width="13.5703125" style="27" customWidth="1"/>
    <col min="1281" max="1508" width="8.85546875" style="27"/>
    <col min="1509" max="1509" width="5.7109375" style="27" customWidth="1"/>
    <col min="1510" max="1510" width="66.7109375" style="27" customWidth="1"/>
    <col min="1511" max="1513" width="0" style="27" hidden="1" customWidth="1"/>
    <col min="1514" max="1514" width="21.85546875" style="27" customWidth="1"/>
    <col min="1515" max="1517" width="0" style="27" hidden="1" customWidth="1"/>
    <col min="1518" max="1518" width="19.5703125" style="27" customWidth="1"/>
    <col min="1519" max="1519" width="21.42578125" style="27" customWidth="1"/>
    <col min="1520" max="1520" width="37.85546875" style="27" customWidth="1"/>
    <col min="1521" max="1524" width="0" style="27" hidden="1" customWidth="1"/>
    <col min="1525" max="1525" width="35.85546875" style="27" customWidth="1"/>
    <col min="1526" max="1526" width="24.7109375" style="27" customWidth="1"/>
    <col min="1527" max="1527" width="9.28515625" style="27" customWidth="1"/>
    <col min="1528" max="1528" width="16.140625" style="27" customWidth="1"/>
    <col min="1529" max="1529" width="18.28515625" style="27" customWidth="1"/>
    <col min="1530" max="1530" width="15.5703125" style="27" customWidth="1"/>
    <col min="1531" max="1531" width="14.7109375" style="27" customWidth="1"/>
    <col min="1532" max="1532" width="12.140625" style="27" customWidth="1"/>
    <col min="1533" max="1533" width="13.5703125" style="27" customWidth="1"/>
    <col min="1534" max="1534" width="19.42578125" style="27" customWidth="1"/>
    <col min="1535" max="1535" width="8.85546875" style="27" customWidth="1"/>
    <col min="1536" max="1536" width="13.5703125" style="27" customWidth="1"/>
    <col min="1537" max="1764" width="8.85546875" style="27"/>
    <col min="1765" max="1765" width="5.7109375" style="27" customWidth="1"/>
    <col min="1766" max="1766" width="66.7109375" style="27" customWidth="1"/>
    <col min="1767" max="1769" width="0" style="27" hidden="1" customWidth="1"/>
    <col min="1770" max="1770" width="21.85546875" style="27" customWidth="1"/>
    <col min="1771" max="1773" width="0" style="27" hidden="1" customWidth="1"/>
    <col min="1774" max="1774" width="19.5703125" style="27" customWidth="1"/>
    <col min="1775" max="1775" width="21.42578125" style="27" customWidth="1"/>
    <col min="1776" max="1776" width="37.85546875" style="27" customWidth="1"/>
    <col min="1777" max="1780" width="0" style="27" hidden="1" customWidth="1"/>
    <col min="1781" max="1781" width="35.85546875" style="27" customWidth="1"/>
    <col min="1782" max="1782" width="24.7109375" style="27" customWidth="1"/>
    <col min="1783" max="1783" width="9.28515625" style="27" customWidth="1"/>
    <col min="1784" max="1784" width="16.140625" style="27" customWidth="1"/>
    <col min="1785" max="1785" width="18.28515625" style="27" customWidth="1"/>
    <col min="1786" max="1786" width="15.5703125" style="27" customWidth="1"/>
    <col min="1787" max="1787" width="14.7109375" style="27" customWidth="1"/>
    <col min="1788" max="1788" width="12.140625" style="27" customWidth="1"/>
    <col min="1789" max="1789" width="13.5703125" style="27" customWidth="1"/>
    <col min="1790" max="1790" width="19.42578125" style="27" customWidth="1"/>
    <col min="1791" max="1791" width="8.85546875" style="27" customWidth="1"/>
    <col min="1792" max="1792" width="13.5703125" style="27" customWidth="1"/>
    <col min="1793" max="2020" width="8.85546875" style="27"/>
    <col min="2021" max="2021" width="5.7109375" style="27" customWidth="1"/>
    <col min="2022" max="2022" width="66.7109375" style="27" customWidth="1"/>
    <col min="2023" max="2025" width="0" style="27" hidden="1" customWidth="1"/>
    <col min="2026" max="2026" width="21.85546875" style="27" customWidth="1"/>
    <col min="2027" max="2029" width="0" style="27" hidden="1" customWidth="1"/>
    <col min="2030" max="2030" width="19.5703125" style="27" customWidth="1"/>
    <col min="2031" max="2031" width="21.42578125" style="27" customWidth="1"/>
    <col min="2032" max="2032" width="37.85546875" style="27" customWidth="1"/>
    <col min="2033" max="2036" width="0" style="27" hidden="1" customWidth="1"/>
    <col min="2037" max="2037" width="35.85546875" style="27" customWidth="1"/>
    <col min="2038" max="2038" width="24.7109375" style="27" customWidth="1"/>
    <col min="2039" max="2039" width="9.28515625" style="27" customWidth="1"/>
    <col min="2040" max="2040" width="16.140625" style="27" customWidth="1"/>
    <col min="2041" max="2041" width="18.28515625" style="27" customWidth="1"/>
    <col min="2042" max="2042" width="15.5703125" style="27" customWidth="1"/>
    <col min="2043" max="2043" width="14.7109375" style="27" customWidth="1"/>
    <col min="2044" max="2044" width="12.140625" style="27" customWidth="1"/>
    <col min="2045" max="2045" width="13.5703125" style="27" customWidth="1"/>
    <col min="2046" max="2046" width="19.42578125" style="27" customWidth="1"/>
    <col min="2047" max="2047" width="8.85546875" style="27" customWidth="1"/>
    <col min="2048" max="2048" width="13.5703125" style="27" customWidth="1"/>
    <col min="2049" max="2276" width="8.85546875" style="27"/>
    <col min="2277" max="2277" width="5.7109375" style="27" customWidth="1"/>
    <col min="2278" max="2278" width="66.7109375" style="27" customWidth="1"/>
    <col min="2279" max="2281" width="0" style="27" hidden="1" customWidth="1"/>
    <col min="2282" max="2282" width="21.85546875" style="27" customWidth="1"/>
    <col min="2283" max="2285" width="0" style="27" hidden="1" customWidth="1"/>
    <col min="2286" max="2286" width="19.5703125" style="27" customWidth="1"/>
    <col min="2287" max="2287" width="21.42578125" style="27" customWidth="1"/>
    <col min="2288" max="2288" width="37.85546875" style="27" customWidth="1"/>
    <col min="2289" max="2292" width="0" style="27" hidden="1" customWidth="1"/>
    <col min="2293" max="2293" width="35.85546875" style="27" customWidth="1"/>
    <col min="2294" max="2294" width="24.7109375" style="27" customWidth="1"/>
    <col min="2295" max="2295" width="9.28515625" style="27" customWidth="1"/>
    <col min="2296" max="2296" width="16.140625" style="27" customWidth="1"/>
    <col min="2297" max="2297" width="18.28515625" style="27" customWidth="1"/>
    <col min="2298" max="2298" width="15.5703125" style="27" customWidth="1"/>
    <col min="2299" max="2299" width="14.7109375" style="27" customWidth="1"/>
    <col min="2300" max="2300" width="12.140625" style="27" customWidth="1"/>
    <col min="2301" max="2301" width="13.5703125" style="27" customWidth="1"/>
    <col min="2302" max="2302" width="19.42578125" style="27" customWidth="1"/>
    <col min="2303" max="2303" width="8.85546875" style="27" customWidth="1"/>
    <col min="2304" max="2304" width="13.5703125" style="27" customWidth="1"/>
    <col min="2305" max="2532" width="8.85546875" style="27"/>
    <col min="2533" max="2533" width="5.7109375" style="27" customWidth="1"/>
    <col min="2534" max="2534" width="66.7109375" style="27" customWidth="1"/>
    <col min="2535" max="2537" width="0" style="27" hidden="1" customWidth="1"/>
    <col min="2538" max="2538" width="21.85546875" style="27" customWidth="1"/>
    <col min="2539" max="2541" width="0" style="27" hidden="1" customWidth="1"/>
    <col min="2542" max="2542" width="19.5703125" style="27" customWidth="1"/>
    <col min="2543" max="2543" width="21.42578125" style="27" customWidth="1"/>
    <col min="2544" max="2544" width="37.85546875" style="27" customWidth="1"/>
    <col min="2545" max="2548" width="0" style="27" hidden="1" customWidth="1"/>
    <col min="2549" max="2549" width="35.85546875" style="27" customWidth="1"/>
    <col min="2550" max="2550" width="24.7109375" style="27" customWidth="1"/>
    <col min="2551" max="2551" width="9.28515625" style="27" customWidth="1"/>
    <col min="2552" max="2552" width="16.140625" style="27" customWidth="1"/>
    <col min="2553" max="2553" width="18.28515625" style="27" customWidth="1"/>
    <col min="2554" max="2554" width="15.5703125" style="27" customWidth="1"/>
    <col min="2555" max="2555" width="14.7109375" style="27" customWidth="1"/>
    <col min="2556" max="2556" width="12.140625" style="27" customWidth="1"/>
    <col min="2557" max="2557" width="13.5703125" style="27" customWidth="1"/>
    <col min="2558" max="2558" width="19.42578125" style="27" customWidth="1"/>
    <col min="2559" max="2559" width="8.85546875" style="27" customWidth="1"/>
    <col min="2560" max="2560" width="13.5703125" style="27" customWidth="1"/>
    <col min="2561" max="2788" width="8.85546875" style="27"/>
    <col min="2789" max="2789" width="5.7109375" style="27" customWidth="1"/>
    <col min="2790" max="2790" width="66.7109375" style="27" customWidth="1"/>
    <col min="2791" max="2793" width="0" style="27" hidden="1" customWidth="1"/>
    <col min="2794" max="2794" width="21.85546875" style="27" customWidth="1"/>
    <col min="2795" max="2797" width="0" style="27" hidden="1" customWidth="1"/>
    <col min="2798" max="2798" width="19.5703125" style="27" customWidth="1"/>
    <col min="2799" max="2799" width="21.42578125" style="27" customWidth="1"/>
    <col min="2800" max="2800" width="37.85546875" style="27" customWidth="1"/>
    <col min="2801" max="2804" width="0" style="27" hidden="1" customWidth="1"/>
    <col min="2805" max="2805" width="35.85546875" style="27" customWidth="1"/>
    <col min="2806" max="2806" width="24.7109375" style="27" customWidth="1"/>
    <col min="2807" max="2807" width="9.28515625" style="27" customWidth="1"/>
    <col min="2808" max="2808" width="16.140625" style="27" customWidth="1"/>
    <col min="2809" max="2809" width="18.28515625" style="27" customWidth="1"/>
    <col min="2810" max="2810" width="15.5703125" style="27" customWidth="1"/>
    <col min="2811" max="2811" width="14.7109375" style="27" customWidth="1"/>
    <col min="2812" max="2812" width="12.140625" style="27" customWidth="1"/>
    <col min="2813" max="2813" width="13.5703125" style="27" customWidth="1"/>
    <col min="2814" max="2814" width="19.42578125" style="27" customWidth="1"/>
    <col min="2815" max="2815" width="8.85546875" style="27" customWidth="1"/>
    <col min="2816" max="2816" width="13.5703125" style="27" customWidth="1"/>
    <col min="2817" max="3044" width="8.85546875" style="27"/>
    <col min="3045" max="3045" width="5.7109375" style="27" customWidth="1"/>
    <col min="3046" max="3046" width="66.7109375" style="27" customWidth="1"/>
    <col min="3047" max="3049" width="0" style="27" hidden="1" customWidth="1"/>
    <col min="3050" max="3050" width="21.85546875" style="27" customWidth="1"/>
    <col min="3051" max="3053" width="0" style="27" hidden="1" customWidth="1"/>
    <col min="3054" max="3054" width="19.5703125" style="27" customWidth="1"/>
    <col min="3055" max="3055" width="21.42578125" style="27" customWidth="1"/>
    <col min="3056" max="3056" width="37.85546875" style="27" customWidth="1"/>
    <col min="3057" max="3060" width="0" style="27" hidden="1" customWidth="1"/>
    <col min="3061" max="3061" width="35.85546875" style="27" customWidth="1"/>
    <col min="3062" max="3062" width="24.7109375" style="27" customWidth="1"/>
    <col min="3063" max="3063" width="9.28515625" style="27" customWidth="1"/>
    <col min="3064" max="3064" width="16.140625" style="27" customWidth="1"/>
    <col min="3065" max="3065" width="18.28515625" style="27" customWidth="1"/>
    <col min="3066" max="3066" width="15.5703125" style="27" customWidth="1"/>
    <col min="3067" max="3067" width="14.7109375" style="27" customWidth="1"/>
    <col min="3068" max="3068" width="12.140625" style="27" customWidth="1"/>
    <col min="3069" max="3069" width="13.5703125" style="27" customWidth="1"/>
    <col min="3070" max="3070" width="19.42578125" style="27" customWidth="1"/>
    <col min="3071" max="3071" width="8.85546875" style="27" customWidth="1"/>
    <col min="3072" max="3072" width="13.5703125" style="27" customWidth="1"/>
    <col min="3073" max="3300" width="8.85546875" style="27"/>
    <col min="3301" max="3301" width="5.7109375" style="27" customWidth="1"/>
    <col min="3302" max="3302" width="66.7109375" style="27" customWidth="1"/>
    <col min="3303" max="3305" width="0" style="27" hidden="1" customWidth="1"/>
    <col min="3306" max="3306" width="21.85546875" style="27" customWidth="1"/>
    <col min="3307" max="3309" width="0" style="27" hidden="1" customWidth="1"/>
    <col min="3310" max="3310" width="19.5703125" style="27" customWidth="1"/>
    <col min="3311" max="3311" width="21.42578125" style="27" customWidth="1"/>
    <col min="3312" max="3312" width="37.85546875" style="27" customWidth="1"/>
    <col min="3313" max="3316" width="0" style="27" hidden="1" customWidth="1"/>
    <col min="3317" max="3317" width="35.85546875" style="27" customWidth="1"/>
    <col min="3318" max="3318" width="24.7109375" style="27" customWidth="1"/>
    <col min="3319" max="3319" width="9.28515625" style="27" customWidth="1"/>
    <col min="3320" max="3320" width="16.140625" style="27" customWidth="1"/>
    <col min="3321" max="3321" width="18.28515625" style="27" customWidth="1"/>
    <col min="3322" max="3322" width="15.5703125" style="27" customWidth="1"/>
    <col min="3323" max="3323" width="14.7109375" style="27" customWidth="1"/>
    <col min="3324" max="3324" width="12.140625" style="27" customWidth="1"/>
    <col min="3325" max="3325" width="13.5703125" style="27" customWidth="1"/>
    <col min="3326" max="3326" width="19.42578125" style="27" customWidth="1"/>
    <col min="3327" max="3327" width="8.85546875" style="27" customWidth="1"/>
    <col min="3328" max="3328" width="13.5703125" style="27" customWidth="1"/>
    <col min="3329" max="3556" width="8.85546875" style="27"/>
    <col min="3557" max="3557" width="5.7109375" style="27" customWidth="1"/>
    <col min="3558" max="3558" width="66.7109375" style="27" customWidth="1"/>
    <col min="3559" max="3561" width="0" style="27" hidden="1" customWidth="1"/>
    <col min="3562" max="3562" width="21.85546875" style="27" customWidth="1"/>
    <col min="3563" max="3565" width="0" style="27" hidden="1" customWidth="1"/>
    <col min="3566" max="3566" width="19.5703125" style="27" customWidth="1"/>
    <col min="3567" max="3567" width="21.42578125" style="27" customWidth="1"/>
    <col min="3568" max="3568" width="37.85546875" style="27" customWidth="1"/>
    <col min="3569" max="3572" width="0" style="27" hidden="1" customWidth="1"/>
    <col min="3573" max="3573" width="35.85546875" style="27" customWidth="1"/>
    <col min="3574" max="3574" width="24.7109375" style="27" customWidth="1"/>
    <col min="3575" max="3575" width="9.28515625" style="27" customWidth="1"/>
    <col min="3576" max="3576" width="16.140625" style="27" customWidth="1"/>
    <col min="3577" max="3577" width="18.28515625" style="27" customWidth="1"/>
    <col min="3578" max="3578" width="15.5703125" style="27" customWidth="1"/>
    <col min="3579" max="3579" width="14.7109375" style="27" customWidth="1"/>
    <col min="3580" max="3580" width="12.140625" style="27" customWidth="1"/>
    <col min="3581" max="3581" width="13.5703125" style="27" customWidth="1"/>
    <col min="3582" max="3582" width="19.42578125" style="27" customWidth="1"/>
    <col min="3583" max="3583" width="8.85546875" style="27" customWidth="1"/>
    <col min="3584" max="3584" width="13.5703125" style="27" customWidth="1"/>
    <col min="3585" max="3812" width="8.85546875" style="27"/>
    <col min="3813" max="3813" width="5.7109375" style="27" customWidth="1"/>
    <col min="3814" max="3814" width="66.7109375" style="27" customWidth="1"/>
    <col min="3815" max="3817" width="0" style="27" hidden="1" customWidth="1"/>
    <col min="3818" max="3818" width="21.85546875" style="27" customWidth="1"/>
    <col min="3819" max="3821" width="0" style="27" hidden="1" customWidth="1"/>
    <col min="3822" max="3822" width="19.5703125" style="27" customWidth="1"/>
    <col min="3823" max="3823" width="21.42578125" style="27" customWidth="1"/>
    <col min="3824" max="3824" width="37.85546875" style="27" customWidth="1"/>
    <col min="3825" max="3828" width="0" style="27" hidden="1" customWidth="1"/>
    <col min="3829" max="3829" width="35.85546875" style="27" customWidth="1"/>
    <col min="3830" max="3830" width="24.7109375" style="27" customWidth="1"/>
    <col min="3831" max="3831" width="9.28515625" style="27" customWidth="1"/>
    <col min="3832" max="3832" width="16.140625" style="27" customWidth="1"/>
    <col min="3833" max="3833" width="18.28515625" style="27" customWidth="1"/>
    <col min="3834" max="3834" width="15.5703125" style="27" customWidth="1"/>
    <col min="3835" max="3835" width="14.7109375" style="27" customWidth="1"/>
    <col min="3836" max="3836" width="12.140625" style="27" customWidth="1"/>
    <col min="3837" max="3837" width="13.5703125" style="27" customWidth="1"/>
    <col min="3838" max="3838" width="19.42578125" style="27" customWidth="1"/>
    <col min="3839" max="3839" width="8.85546875" style="27" customWidth="1"/>
    <col min="3840" max="3840" width="13.5703125" style="27" customWidth="1"/>
    <col min="3841" max="4068" width="8.85546875" style="27"/>
    <col min="4069" max="4069" width="5.7109375" style="27" customWidth="1"/>
    <col min="4070" max="4070" width="66.7109375" style="27" customWidth="1"/>
    <col min="4071" max="4073" width="0" style="27" hidden="1" customWidth="1"/>
    <col min="4074" max="4074" width="21.85546875" style="27" customWidth="1"/>
    <col min="4075" max="4077" width="0" style="27" hidden="1" customWidth="1"/>
    <col min="4078" max="4078" width="19.5703125" style="27" customWidth="1"/>
    <col min="4079" max="4079" width="21.42578125" style="27" customWidth="1"/>
    <col min="4080" max="4080" width="37.85546875" style="27" customWidth="1"/>
    <col min="4081" max="4084" width="0" style="27" hidden="1" customWidth="1"/>
    <col min="4085" max="4085" width="35.85546875" style="27" customWidth="1"/>
    <col min="4086" max="4086" width="24.7109375" style="27" customWidth="1"/>
    <col min="4087" max="4087" width="9.28515625" style="27" customWidth="1"/>
    <col min="4088" max="4088" width="16.140625" style="27" customWidth="1"/>
    <col min="4089" max="4089" width="18.28515625" style="27" customWidth="1"/>
    <col min="4090" max="4090" width="15.5703125" style="27" customWidth="1"/>
    <col min="4091" max="4091" width="14.7109375" style="27" customWidth="1"/>
    <col min="4092" max="4092" width="12.140625" style="27" customWidth="1"/>
    <col min="4093" max="4093" width="13.5703125" style="27" customWidth="1"/>
    <col min="4094" max="4094" width="19.42578125" style="27" customWidth="1"/>
    <col min="4095" max="4095" width="8.85546875" style="27" customWidth="1"/>
    <col min="4096" max="4096" width="13.5703125" style="27" customWidth="1"/>
    <col min="4097" max="4324" width="8.85546875" style="27"/>
    <col min="4325" max="4325" width="5.7109375" style="27" customWidth="1"/>
    <col min="4326" max="4326" width="66.7109375" style="27" customWidth="1"/>
    <col min="4327" max="4329" width="0" style="27" hidden="1" customWidth="1"/>
    <col min="4330" max="4330" width="21.85546875" style="27" customWidth="1"/>
    <col min="4331" max="4333" width="0" style="27" hidden="1" customWidth="1"/>
    <col min="4334" max="4334" width="19.5703125" style="27" customWidth="1"/>
    <col min="4335" max="4335" width="21.42578125" style="27" customWidth="1"/>
    <col min="4336" max="4336" width="37.85546875" style="27" customWidth="1"/>
    <col min="4337" max="4340" width="0" style="27" hidden="1" customWidth="1"/>
    <col min="4341" max="4341" width="35.85546875" style="27" customWidth="1"/>
    <col min="4342" max="4342" width="24.7109375" style="27" customWidth="1"/>
    <col min="4343" max="4343" width="9.28515625" style="27" customWidth="1"/>
    <col min="4344" max="4344" width="16.140625" style="27" customWidth="1"/>
    <col min="4345" max="4345" width="18.28515625" style="27" customWidth="1"/>
    <col min="4346" max="4346" width="15.5703125" style="27" customWidth="1"/>
    <col min="4347" max="4347" width="14.7109375" style="27" customWidth="1"/>
    <col min="4348" max="4348" width="12.140625" style="27" customWidth="1"/>
    <col min="4349" max="4349" width="13.5703125" style="27" customWidth="1"/>
    <col min="4350" max="4350" width="19.42578125" style="27" customWidth="1"/>
    <col min="4351" max="4351" width="8.85546875" style="27" customWidth="1"/>
    <col min="4352" max="4352" width="13.5703125" style="27" customWidth="1"/>
    <col min="4353" max="4580" width="8.85546875" style="27"/>
    <col min="4581" max="4581" width="5.7109375" style="27" customWidth="1"/>
    <col min="4582" max="4582" width="66.7109375" style="27" customWidth="1"/>
    <col min="4583" max="4585" width="0" style="27" hidden="1" customWidth="1"/>
    <col min="4586" max="4586" width="21.85546875" style="27" customWidth="1"/>
    <col min="4587" max="4589" width="0" style="27" hidden="1" customWidth="1"/>
    <col min="4590" max="4590" width="19.5703125" style="27" customWidth="1"/>
    <col min="4591" max="4591" width="21.42578125" style="27" customWidth="1"/>
    <col min="4592" max="4592" width="37.85546875" style="27" customWidth="1"/>
    <col min="4593" max="4596" width="0" style="27" hidden="1" customWidth="1"/>
    <col min="4597" max="4597" width="35.85546875" style="27" customWidth="1"/>
    <col min="4598" max="4598" width="24.7109375" style="27" customWidth="1"/>
    <col min="4599" max="4599" width="9.28515625" style="27" customWidth="1"/>
    <col min="4600" max="4600" width="16.140625" style="27" customWidth="1"/>
    <col min="4601" max="4601" width="18.28515625" style="27" customWidth="1"/>
    <col min="4602" max="4602" width="15.5703125" style="27" customWidth="1"/>
    <col min="4603" max="4603" width="14.7109375" style="27" customWidth="1"/>
    <col min="4604" max="4604" width="12.140625" style="27" customWidth="1"/>
    <col min="4605" max="4605" width="13.5703125" style="27" customWidth="1"/>
    <col min="4606" max="4606" width="19.42578125" style="27" customWidth="1"/>
    <col min="4607" max="4607" width="8.85546875" style="27" customWidth="1"/>
    <col min="4608" max="4608" width="13.5703125" style="27" customWidth="1"/>
    <col min="4609" max="4836" width="8.85546875" style="27"/>
    <col min="4837" max="4837" width="5.7109375" style="27" customWidth="1"/>
    <col min="4838" max="4838" width="66.7109375" style="27" customWidth="1"/>
    <col min="4839" max="4841" width="0" style="27" hidden="1" customWidth="1"/>
    <col min="4842" max="4842" width="21.85546875" style="27" customWidth="1"/>
    <col min="4843" max="4845" width="0" style="27" hidden="1" customWidth="1"/>
    <col min="4846" max="4846" width="19.5703125" style="27" customWidth="1"/>
    <col min="4847" max="4847" width="21.42578125" style="27" customWidth="1"/>
    <col min="4848" max="4848" width="37.85546875" style="27" customWidth="1"/>
    <col min="4849" max="4852" width="0" style="27" hidden="1" customWidth="1"/>
    <col min="4853" max="4853" width="35.85546875" style="27" customWidth="1"/>
    <col min="4854" max="4854" width="24.7109375" style="27" customWidth="1"/>
    <col min="4855" max="4855" width="9.28515625" style="27" customWidth="1"/>
    <col min="4856" max="4856" width="16.140625" style="27" customWidth="1"/>
    <col min="4857" max="4857" width="18.28515625" style="27" customWidth="1"/>
    <col min="4858" max="4858" width="15.5703125" style="27" customWidth="1"/>
    <col min="4859" max="4859" width="14.7109375" style="27" customWidth="1"/>
    <col min="4860" max="4860" width="12.140625" style="27" customWidth="1"/>
    <col min="4861" max="4861" width="13.5703125" style="27" customWidth="1"/>
    <col min="4862" max="4862" width="19.42578125" style="27" customWidth="1"/>
    <col min="4863" max="4863" width="8.85546875" style="27" customWidth="1"/>
    <col min="4864" max="4864" width="13.5703125" style="27" customWidth="1"/>
    <col min="4865" max="5092" width="8.85546875" style="27"/>
    <col min="5093" max="5093" width="5.7109375" style="27" customWidth="1"/>
    <col min="5094" max="5094" width="66.7109375" style="27" customWidth="1"/>
    <col min="5095" max="5097" width="0" style="27" hidden="1" customWidth="1"/>
    <col min="5098" max="5098" width="21.85546875" style="27" customWidth="1"/>
    <col min="5099" max="5101" width="0" style="27" hidden="1" customWidth="1"/>
    <col min="5102" max="5102" width="19.5703125" style="27" customWidth="1"/>
    <col min="5103" max="5103" width="21.42578125" style="27" customWidth="1"/>
    <col min="5104" max="5104" width="37.85546875" style="27" customWidth="1"/>
    <col min="5105" max="5108" width="0" style="27" hidden="1" customWidth="1"/>
    <col min="5109" max="5109" width="35.85546875" style="27" customWidth="1"/>
    <col min="5110" max="5110" width="24.7109375" style="27" customWidth="1"/>
    <col min="5111" max="5111" width="9.28515625" style="27" customWidth="1"/>
    <col min="5112" max="5112" width="16.140625" style="27" customWidth="1"/>
    <col min="5113" max="5113" width="18.28515625" style="27" customWidth="1"/>
    <col min="5114" max="5114" width="15.5703125" style="27" customWidth="1"/>
    <col min="5115" max="5115" width="14.7109375" style="27" customWidth="1"/>
    <col min="5116" max="5116" width="12.140625" style="27" customWidth="1"/>
    <col min="5117" max="5117" width="13.5703125" style="27" customWidth="1"/>
    <col min="5118" max="5118" width="19.42578125" style="27" customWidth="1"/>
    <col min="5119" max="5119" width="8.85546875" style="27" customWidth="1"/>
    <col min="5120" max="5120" width="13.5703125" style="27" customWidth="1"/>
    <col min="5121" max="5348" width="8.85546875" style="27"/>
    <col min="5349" max="5349" width="5.7109375" style="27" customWidth="1"/>
    <col min="5350" max="5350" width="66.7109375" style="27" customWidth="1"/>
    <col min="5351" max="5353" width="0" style="27" hidden="1" customWidth="1"/>
    <col min="5354" max="5354" width="21.85546875" style="27" customWidth="1"/>
    <col min="5355" max="5357" width="0" style="27" hidden="1" customWidth="1"/>
    <col min="5358" max="5358" width="19.5703125" style="27" customWidth="1"/>
    <col min="5359" max="5359" width="21.42578125" style="27" customWidth="1"/>
    <col min="5360" max="5360" width="37.85546875" style="27" customWidth="1"/>
    <col min="5361" max="5364" width="0" style="27" hidden="1" customWidth="1"/>
    <col min="5365" max="5365" width="35.85546875" style="27" customWidth="1"/>
    <col min="5366" max="5366" width="24.7109375" style="27" customWidth="1"/>
    <col min="5367" max="5367" width="9.28515625" style="27" customWidth="1"/>
    <col min="5368" max="5368" width="16.140625" style="27" customWidth="1"/>
    <col min="5369" max="5369" width="18.28515625" style="27" customWidth="1"/>
    <col min="5370" max="5370" width="15.5703125" style="27" customWidth="1"/>
    <col min="5371" max="5371" width="14.7109375" style="27" customWidth="1"/>
    <col min="5372" max="5372" width="12.140625" style="27" customWidth="1"/>
    <col min="5373" max="5373" width="13.5703125" style="27" customWidth="1"/>
    <col min="5374" max="5374" width="19.42578125" style="27" customWidth="1"/>
    <col min="5375" max="5375" width="8.85546875" style="27" customWidth="1"/>
    <col min="5376" max="5376" width="13.5703125" style="27" customWidth="1"/>
    <col min="5377" max="5604" width="8.85546875" style="27"/>
    <col min="5605" max="5605" width="5.7109375" style="27" customWidth="1"/>
    <col min="5606" max="5606" width="66.7109375" style="27" customWidth="1"/>
    <col min="5607" max="5609" width="0" style="27" hidden="1" customWidth="1"/>
    <col min="5610" max="5610" width="21.85546875" style="27" customWidth="1"/>
    <col min="5611" max="5613" width="0" style="27" hidden="1" customWidth="1"/>
    <col min="5614" max="5614" width="19.5703125" style="27" customWidth="1"/>
    <col min="5615" max="5615" width="21.42578125" style="27" customWidth="1"/>
    <col min="5616" max="5616" width="37.85546875" style="27" customWidth="1"/>
    <col min="5617" max="5620" width="0" style="27" hidden="1" customWidth="1"/>
    <col min="5621" max="5621" width="35.85546875" style="27" customWidth="1"/>
    <col min="5622" max="5622" width="24.7109375" style="27" customWidth="1"/>
    <col min="5623" max="5623" width="9.28515625" style="27" customWidth="1"/>
    <col min="5624" max="5624" width="16.140625" style="27" customWidth="1"/>
    <col min="5625" max="5625" width="18.28515625" style="27" customWidth="1"/>
    <col min="5626" max="5626" width="15.5703125" style="27" customWidth="1"/>
    <col min="5627" max="5627" width="14.7109375" style="27" customWidth="1"/>
    <col min="5628" max="5628" width="12.140625" style="27" customWidth="1"/>
    <col min="5629" max="5629" width="13.5703125" style="27" customWidth="1"/>
    <col min="5630" max="5630" width="19.42578125" style="27" customWidth="1"/>
    <col min="5631" max="5631" width="8.85546875" style="27" customWidth="1"/>
    <col min="5632" max="5632" width="13.5703125" style="27" customWidth="1"/>
    <col min="5633" max="5860" width="8.85546875" style="27"/>
    <col min="5861" max="5861" width="5.7109375" style="27" customWidth="1"/>
    <col min="5862" max="5862" width="66.7109375" style="27" customWidth="1"/>
    <col min="5863" max="5865" width="0" style="27" hidden="1" customWidth="1"/>
    <col min="5866" max="5866" width="21.85546875" style="27" customWidth="1"/>
    <col min="5867" max="5869" width="0" style="27" hidden="1" customWidth="1"/>
    <col min="5870" max="5870" width="19.5703125" style="27" customWidth="1"/>
    <col min="5871" max="5871" width="21.42578125" style="27" customWidth="1"/>
    <col min="5872" max="5872" width="37.85546875" style="27" customWidth="1"/>
    <col min="5873" max="5876" width="0" style="27" hidden="1" customWidth="1"/>
    <col min="5877" max="5877" width="35.85546875" style="27" customWidth="1"/>
    <col min="5878" max="5878" width="24.7109375" style="27" customWidth="1"/>
    <col min="5879" max="5879" width="9.28515625" style="27" customWidth="1"/>
    <col min="5880" max="5880" width="16.140625" style="27" customWidth="1"/>
    <col min="5881" max="5881" width="18.28515625" style="27" customWidth="1"/>
    <col min="5882" max="5882" width="15.5703125" style="27" customWidth="1"/>
    <col min="5883" max="5883" width="14.7109375" style="27" customWidth="1"/>
    <col min="5884" max="5884" width="12.140625" style="27" customWidth="1"/>
    <col min="5885" max="5885" width="13.5703125" style="27" customWidth="1"/>
    <col min="5886" max="5886" width="19.42578125" style="27" customWidth="1"/>
    <col min="5887" max="5887" width="8.85546875" style="27" customWidth="1"/>
    <col min="5888" max="5888" width="13.5703125" style="27" customWidth="1"/>
    <col min="5889" max="6116" width="8.85546875" style="27"/>
    <col min="6117" max="6117" width="5.7109375" style="27" customWidth="1"/>
    <col min="6118" max="6118" width="66.7109375" style="27" customWidth="1"/>
    <col min="6119" max="6121" width="0" style="27" hidden="1" customWidth="1"/>
    <col min="6122" max="6122" width="21.85546875" style="27" customWidth="1"/>
    <col min="6123" max="6125" width="0" style="27" hidden="1" customWidth="1"/>
    <col min="6126" max="6126" width="19.5703125" style="27" customWidth="1"/>
    <col min="6127" max="6127" width="21.42578125" style="27" customWidth="1"/>
    <col min="6128" max="6128" width="37.85546875" style="27" customWidth="1"/>
    <col min="6129" max="6132" width="0" style="27" hidden="1" customWidth="1"/>
    <col min="6133" max="6133" width="35.85546875" style="27" customWidth="1"/>
    <col min="6134" max="6134" width="24.7109375" style="27" customWidth="1"/>
    <col min="6135" max="6135" width="9.28515625" style="27" customWidth="1"/>
    <col min="6136" max="6136" width="16.140625" style="27" customWidth="1"/>
    <col min="6137" max="6137" width="18.28515625" style="27" customWidth="1"/>
    <col min="6138" max="6138" width="15.5703125" style="27" customWidth="1"/>
    <col min="6139" max="6139" width="14.7109375" style="27" customWidth="1"/>
    <col min="6140" max="6140" width="12.140625" style="27" customWidth="1"/>
    <col min="6141" max="6141" width="13.5703125" style="27" customWidth="1"/>
    <col min="6142" max="6142" width="19.42578125" style="27" customWidth="1"/>
    <col min="6143" max="6143" width="8.85546875" style="27" customWidth="1"/>
    <col min="6144" max="6144" width="13.5703125" style="27" customWidth="1"/>
    <col min="6145" max="6372" width="8.85546875" style="27"/>
    <col min="6373" max="6373" width="5.7109375" style="27" customWidth="1"/>
    <col min="6374" max="6374" width="66.7109375" style="27" customWidth="1"/>
    <col min="6375" max="6377" width="0" style="27" hidden="1" customWidth="1"/>
    <col min="6378" max="6378" width="21.85546875" style="27" customWidth="1"/>
    <col min="6379" max="6381" width="0" style="27" hidden="1" customWidth="1"/>
    <col min="6382" max="6382" width="19.5703125" style="27" customWidth="1"/>
    <col min="6383" max="6383" width="21.42578125" style="27" customWidth="1"/>
    <col min="6384" max="6384" width="37.85546875" style="27" customWidth="1"/>
    <col min="6385" max="6388" width="0" style="27" hidden="1" customWidth="1"/>
    <col min="6389" max="6389" width="35.85546875" style="27" customWidth="1"/>
    <col min="6390" max="6390" width="24.7109375" style="27" customWidth="1"/>
    <col min="6391" max="6391" width="9.28515625" style="27" customWidth="1"/>
    <col min="6392" max="6392" width="16.140625" style="27" customWidth="1"/>
    <col min="6393" max="6393" width="18.28515625" style="27" customWidth="1"/>
    <col min="6394" max="6394" width="15.5703125" style="27" customWidth="1"/>
    <col min="6395" max="6395" width="14.7109375" style="27" customWidth="1"/>
    <col min="6396" max="6396" width="12.140625" style="27" customWidth="1"/>
    <col min="6397" max="6397" width="13.5703125" style="27" customWidth="1"/>
    <col min="6398" max="6398" width="19.42578125" style="27" customWidth="1"/>
    <col min="6399" max="6399" width="8.85546875" style="27" customWidth="1"/>
    <col min="6400" max="6400" width="13.5703125" style="27" customWidth="1"/>
    <col min="6401" max="6628" width="8.85546875" style="27"/>
    <col min="6629" max="6629" width="5.7109375" style="27" customWidth="1"/>
    <col min="6630" max="6630" width="66.7109375" style="27" customWidth="1"/>
    <col min="6631" max="6633" width="0" style="27" hidden="1" customWidth="1"/>
    <col min="6634" max="6634" width="21.85546875" style="27" customWidth="1"/>
    <col min="6635" max="6637" width="0" style="27" hidden="1" customWidth="1"/>
    <col min="6638" max="6638" width="19.5703125" style="27" customWidth="1"/>
    <col min="6639" max="6639" width="21.42578125" style="27" customWidth="1"/>
    <col min="6640" max="6640" width="37.85546875" style="27" customWidth="1"/>
    <col min="6641" max="6644" width="0" style="27" hidden="1" customWidth="1"/>
    <col min="6645" max="6645" width="35.85546875" style="27" customWidth="1"/>
    <col min="6646" max="6646" width="24.7109375" style="27" customWidth="1"/>
    <col min="6647" max="6647" width="9.28515625" style="27" customWidth="1"/>
    <col min="6648" max="6648" width="16.140625" style="27" customWidth="1"/>
    <col min="6649" max="6649" width="18.28515625" style="27" customWidth="1"/>
    <col min="6650" max="6650" width="15.5703125" style="27" customWidth="1"/>
    <col min="6651" max="6651" width="14.7109375" style="27" customWidth="1"/>
    <col min="6652" max="6652" width="12.140625" style="27" customWidth="1"/>
    <col min="6653" max="6653" width="13.5703125" style="27" customWidth="1"/>
    <col min="6654" max="6654" width="19.42578125" style="27" customWidth="1"/>
    <col min="6655" max="6655" width="8.85546875" style="27" customWidth="1"/>
    <col min="6656" max="6656" width="13.5703125" style="27" customWidth="1"/>
    <col min="6657" max="6884" width="8.85546875" style="27"/>
    <col min="6885" max="6885" width="5.7109375" style="27" customWidth="1"/>
    <col min="6886" max="6886" width="66.7109375" style="27" customWidth="1"/>
    <col min="6887" max="6889" width="0" style="27" hidden="1" customWidth="1"/>
    <col min="6890" max="6890" width="21.85546875" style="27" customWidth="1"/>
    <col min="6891" max="6893" width="0" style="27" hidden="1" customWidth="1"/>
    <col min="6894" max="6894" width="19.5703125" style="27" customWidth="1"/>
    <col min="6895" max="6895" width="21.42578125" style="27" customWidth="1"/>
    <col min="6896" max="6896" width="37.85546875" style="27" customWidth="1"/>
    <col min="6897" max="6900" width="0" style="27" hidden="1" customWidth="1"/>
    <col min="6901" max="6901" width="35.85546875" style="27" customWidth="1"/>
    <col min="6902" max="6902" width="24.7109375" style="27" customWidth="1"/>
    <col min="6903" max="6903" width="9.28515625" style="27" customWidth="1"/>
    <col min="6904" max="6904" width="16.140625" style="27" customWidth="1"/>
    <col min="6905" max="6905" width="18.28515625" style="27" customWidth="1"/>
    <col min="6906" max="6906" width="15.5703125" style="27" customWidth="1"/>
    <col min="6907" max="6907" width="14.7109375" style="27" customWidth="1"/>
    <col min="6908" max="6908" width="12.140625" style="27" customWidth="1"/>
    <col min="6909" max="6909" width="13.5703125" style="27" customWidth="1"/>
    <col min="6910" max="6910" width="19.42578125" style="27" customWidth="1"/>
    <col min="6911" max="6911" width="8.85546875" style="27" customWidth="1"/>
    <col min="6912" max="6912" width="13.5703125" style="27" customWidth="1"/>
    <col min="6913" max="7140" width="8.85546875" style="27"/>
    <col min="7141" max="7141" width="5.7109375" style="27" customWidth="1"/>
    <col min="7142" max="7142" width="66.7109375" style="27" customWidth="1"/>
    <col min="7143" max="7145" width="0" style="27" hidden="1" customWidth="1"/>
    <col min="7146" max="7146" width="21.85546875" style="27" customWidth="1"/>
    <col min="7147" max="7149" width="0" style="27" hidden="1" customWidth="1"/>
    <col min="7150" max="7150" width="19.5703125" style="27" customWidth="1"/>
    <col min="7151" max="7151" width="21.42578125" style="27" customWidth="1"/>
    <col min="7152" max="7152" width="37.85546875" style="27" customWidth="1"/>
    <col min="7153" max="7156" width="0" style="27" hidden="1" customWidth="1"/>
    <col min="7157" max="7157" width="35.85546875" style="27" customWidth="1"/>
    <col min="7158" max="7158" width="24.7109375" style="27" customWidth="1"/>
    <col min="7159" max="7159" width="9.28515625" style="27" customWidth="1"/>
    <col min="7160" max="7160" width="16.140625" style="27" customWidth="1"/>
    <col min="7161" max="7161" width="18.28515625" style="27" customWidth="1"/>
    <col min="7162" max="7162" width="15.5703125" style="27" customWidth="1"/>
    <col min="7163" max="7163" width="14.7109375" style="27" customWidth="1"/>
    <col min="7164" max="7164" width="12.140625" style="27" customWidth="1"/>
    <col min="7165" max="7165" width="13.5703125" style="27" customWidth="1"/>
    <col min="7166" max="7166" width="19.42578125" style="27" customWidth="1"/>
    <col min="7167" max="7167" width="8.85546875" style="27" customWidth="1"/>
    <col min="7168" max="7168" width="13.5703125" style="27" customWidth="1"/>
    <col min="7169" max="7396" width="8.85546875" style="27"/>
    <col min="7397" max="7397" width="5.7109375" style="27" customWidth="1"/>
    <col min="7398" max="7398" width="66.7109375" style="27" customWidth="1"/>
    <col min="7399" max="7401" width="0" style="27" hidden="1" customWidth="1"/>
    <col min="7402" max="7402" width="21.85546875" style="27" customWidth="1"/>
    <col min="7403" max="7405" width="0" style="27" hidden="1" customWidth="1"/>
    <col min="7406" max="7406" width="19.5703125" style="27" customWidth="1"/>
    <col min="7407" max="7407" width="21.42578125" style="27" customWidth="1"/>
    <col min="7408" max="7408" width="37.85546875" style="27" customWidth="1"/>
    <col min="7409" max="7412" width="0" style="27" hidden="1" customWidth="1"/>
    <col min="7413" max="7413" width="35.85546875" style="27" customWidth="1"/>
    <col min="7414" max="7414" width="24.7109375" style="27" customWidth="1"/>
    <col min="7415" max="7415" width="9.28515625" style="27" customWidth="1"/>
    <col min="7416" max="7416" width="16.140625" style="27" customWidth="1"/>
    <col min="7417" max="7417" width="18.28515625" style="27" customWidth="1"/>
    <col min="7418" max="7418" width="15.5703125" style="27" customWidth="1"/>
    <col min="7419" max="7419" width="14.7109375" style="27" customWidth="1"/>
    <col min="7420" max="7420" width="12.140625" style="27" customWidth="1"/>
    <col min="7421" max="7421" width="13.5703125" style="27" customWidth="1"/>
    <col min="7422" max="7422" width="19.42578125" style="27" customWidth="1"/>
    <col min="7423" max="7423" width="8.85546875" style="27" customWidth="1"/>
    <col min="7424" max="7424" width="13.5703125" style="27" customWidth="1"/>
    <col min="7425" max="7652" width="8.85546875" style="27"/>
    <col min="7653" max="7653" width="5.7109375" style="27" customWidth="1"/>
    <col min="7654" max="7654" width="66.7109375" style="27" customWidth="1"/>
    <col min="7655" max="7657" width="0" style="27" hidden="1" customWidth="1"/>
    <col min="7658" max="7658" width="21.85546875" style="27" customWidth="1"/>
    <col min="7659" max="7661" width="0" style="27" hidden="1" customWidth="1"/>
    <col min="7662" max="7662" width="19.5703125" style="27" customWidth="1"/>
    <col min="7663" max="7663" width="21.42578125" style="27" customWidth="1"/>
    <col min="7664" max="7664" width="37.85546875" style="27" customWidth="1"/>
    <col min="7665" max="7668" width="0" style="27" hidden="1" customWidth="1"/>
    <col min="7669" max="7669" width="35.85546875" style="27" customWidth="1"/>
    <col min="7670" max="7670" width="24.7109375" style="27" customWidth="1"/>
    <col min="7671" max="7671" width="9.28515625" style="27" customWidth="1"/>
    <col min="7672" max="7672" width="16.140625" style="27" customWidth="1"/>
    <col min="7673" max="7673" width="18.28515625" style="27" customWidth="1"/>
    <col min="7674" max="7674" width="15.5703125" style="27" customWidth="1"/>
    <col min="7675" max="7675" width="14.7109375" style="27" customWidth="1"/>
    <col min="7676" max="7676" width="12.140625" style="27" customWidth="1"/>
    <col min="7677" max="7677" width="13.5703125" style="27" customWidth="1"/>
    <col min="7678" max="7678" width="19.42578125" style="27" customWidth="1"/>
    <col min="7679" max="7679" width="8.85546875" style="27" customWidth="1"/>
    <col min="7680" max="7680" width="13.5703125" style="27" customWidth="1"/>
    <col min="7681" max="7908" width="8.85546875" style="27"/>
    <col min="7909" max="7909" width="5.7109375" style="27" customWidth="1"/>
    <col min="7910" max="7910" width="66.7109375" style="27" customWidth="1"/>
    <col min="7911" max="7913" width="0" style="27" hidden="1" customWidth="1"/>
    <col min="7914" max="7914" width="21.85546875" style="27" customWidth="1"/>
    <col min="7915" max="7917" width="0" style="27" hidden="1" customWidth="1"/>
    <col min="7918" max="7918" width="19.5703125" style="27" customWidth="1"/>
    <col min="7919" max="7919" width="21.42578125" style="27" customWidth="1"/>
    <col min="7920" max="7920" width="37.85546875" style="27" customWidth="1"/>
    <col min="7921" max="7924" width="0" style="27" hidden="1" customWidth="1"/>
    <col min="7925" max="7925" width="35.85546875" style="27" customWidth="1"/>
    <col min="7926" max="7926" width="24.7109375" style="27" customWidth="1"/>
    <col min="7927" max="7927" width="9.28515625" style="27" customWidth="1"/>
    <col min="7928" max="7928" width="16.140625" style="27" customWidth="1"/>
    <col min="7929" max="7929" width="18.28515625" style="27" customWidth="1"/>
    <col min="7930" max="7930" width="15.5703125" style="27" customWidth="1"/>
    <col min="7931" max="7931" width="14.7109375" style="27" customWidth="1"/>
    <col min="7932" max="7932" width="12.140625" style="27" customWidth="1"/>
    <col min="7933" max="7933" width="13.5703125" style="27" customWidth="1"/>
    <col min="7934" max="7934" width="19.42578125" style="27" customWidth="1"/>
    <col min="7935" max="7935" width="8.85546875" style="27" customWidth="1"/>
    <col min="7936" max="7936" width="13.5703125" style="27" customWidth="1"/>
    <col min="7937" max="8164" width="8.85546875" style="27"/>
    <col min="8165" max="8165" width="5.7109375" style="27" customWidth="1"/>
    <col min="8166" max="8166" width="66.7109375" style="27" customWidth="1"/>
    <col min="8167" max="8169" width="0" style="27" hidden="1" customWidth="1"/>
    <col min="8170" max="8170" width="21.85546875" style="27" customWidth="1"/>
    <col min="8171" max="8173" width="0" style="27" hidden="1" customWidth="1"/>
    <col min="8174" max="8174" width="19.5703125" style="27" customWidth="1"/>
    <col min="8175" max="8175" width="21.42578125" style="27" customWidth="1"/>
    <col min="8176" max="8176" width="37.85546875" style="27" customWidth="1"/>
    <col min="8177" max="8180" width="0" style="27" hidden="1" customWidth="1"/>
    <col min="8181" max="8181" width="35.85546875" style="27" customWidth="1"/>
    <col min="8182" max="8182" width="24.7109375" style="27" customWidth="1"/>
    <col min="8183" max="8183" width="9.28515625" style="27" customWidth="1"/>
    <col min="8184" max="8184" width="16.140625" style="27" customWidth="1"/>
    <col min="8185" max="8185" width="18.28515625" style="27" customWidth="1"/>
    <col min="8186" max="8186" width="15.5703125" style="27" customWidth="1"/>
    <col min="8187" max="8187" width="14.7109375" style="27" customWidth="1"/>
    <col min="8188" max="8188" width="12.140625" style="27" customWidth="1"/>
    <col min="8189" max="8189" width="13.5703125" style="27" customWidth="1"/>
    <col min="8190" max="8190" width="19.42578125" style="27" customWidth="1"/>
    <col min="8191" max="8191" width="8.85546875" style="27" customWidth="1"/>
    <col min="8192" max="8192" width="13.5703125" style="27" customWidth="1"/>
    <col min="8193" max="8420" width="8.85546875" style="27"/>
    <col min="8421" max="8421" width="5.7109375" style="27" customWidth="1"/>
    <col min="8422" max="8422" width="66.7109375" style="27" customWidth="1"/>
    <col min="8423" max="8425" width="0" style="27" hidden="1" customWidth="1"/>
    <col min="8426" max="8426" width="21.85546875" style="27" customWidth="1"/>
    <col min="8427" max="8429" width="0" style="27" hidden="1" customWidth="1"/>
    <col min="8430" max="8430" width="19.5703125" style="27" customWidth="1"/>
    <col min="8431" max="8431" width="21.42578125" style="27" customWidth="1"/>
    <col min="8432" max="8432" width="37.85546875" style="27" customWidth="1"/>
    <col min="8433" max="8436" width="0" style="27" hidden="1" customWidth="1"/>
    <col min="8437" max="8437" width="35.85546875" style="27" customWidth="1"/>
    <col min="8438" max="8438" width="24.7109375" style="27" customWidth="1"/>
    <col min="8439" max="8439" width="9.28515625" style="27" customWidth="1"/>
    <col min="8440" max="8440" width="16.140625" style="27" customWidth="1"/>
    <col min="8441" max="8441" width="18.28515625" style="27" customWidth="1"/>
    <col min="8442" max="8442" width="15.5703125" style="27" customWidth="1"/>
    <col min="8443" max="8443" width="14.7109375" style="27" customWidth="1"/>
    <col min="8444" max="8444" width="12.140625" style="27" customWidth="1"/>
    <col min="8445" max="8445" width="13.5703125" style="27" customWidth="1"/>
    <col min="8446" max="8446" width="19.42578125" style="27" customWidth="1"/>
    <col min="8447" max="8447" width="8.85546875" style="27" customWidth="1"/>
    <col min="8448" max="8448" width="13.5703125" style="27" customWidth="1"/>
    <col min="8449" max="8676" width="8.85546875" style="27"/>
    <col min="8677" max="8677" width="5.7109375" style="27" customWidth="1"/>
    <col min="8678" max="8678" width="66.7109375" style="27" customWidth="1"/>
    <col min="8679" max="8681" width="0" style="27" hidden="1" customWidth="1"/>
    <col min="8682" max="8682" width="21.85546875" style="27" customWidth="1"/>
    <col min="8683" max="8685" width="0" style="27" hidden="1" customWidth="1"/>
    <col min="8686" max="8686" width="19.5703125" style="27" customWidth="1"/>
    <col min="8687" max="8687" width="21.42578125" style="27" customWidth="1"/>
    <col min="8688" max="8688" width="37.85546875" style="27" customWidth="1"/>
    <col min="8689" max="8692" width="0" style="27" hidden="1" customWidth="1"/>
    <col min="8693" max="8693" width="35.85546875" style="27" customWidth="1"/>
    <col min="8694" max="8694" width="24.7109375" style="27" customWidth="1"/>
    <col min="8695" max="8695" width="9.28515625" style="27" customWidth="1"/>
    <col min="8696" max="8696" width="16.140625" style="27" customWidth="1"/>
    <col min="8697" max="8697" width="18.28515625" style="27" customWidth="1"/>
    <col min="8698" max="8698" width="15.5703125" style="27" customWidth="1"/>
    <col min="8699" max="8699" width="14.7109375" style="27" customWidth="1"/>
    <col min="8700" max="8700" width="12.140625" style="27" customWidth="1"/>
    <col min="8701" max="8701" width="13.5703125" style="27" customWidth="1"/>
    <col min="8702" max="8702" width="19.42578125" style="27" customWidth="1"/>
    <col min="8703" max="8703" width="8.85546875" style="27" customWidth="1"/>
    <col min="8704" max="8704" width="13.5703125" style="27" customWidth="1"/>
    <col min="8705" max="8932" width="8.85546875" style="27"/>
    <col min="8933" max="8933" width="5.7109375" style="27" customWidth="1"/>
    <col min="8934" max="8934" width="66.7109375" style="27" customWidth="1"/>
    <col min="8935" max="8937" width="0" style="27" hidden="1" customWidth="1"/>
    <col min="8938" max="8938" width="21.85546875" style="27" customWidth="1"/>
    <col min="8939" max="8941" width="0" style="27" hidden="1" customWidth="1"/>
    <col min="8942" max="8942" width="19.5703125" style="27" customWidth="1"/>
    <col min="8943" max="8943" width="21.42578125" style="27" customWidth="1"/>
    <col min="8944" max="8944" width="37.85546875" style="27" customWidth="1"/>
    <col min="8945" max="8948" width="0" style="27" hidden="1" customWidth="1"/>
    <col min="8949" max="8949" width="35.85546875" style="27" customWidth="1"/>
    <col min="8950" max="8950" width="24.7109375" style="27" customWidth="1"/>
    <col min="8951" max="8951" width="9.28515625" style="27" customWidth="1"/>
    <col min="8952" max="8952" width="16.140625" style="27" customWidth="1"/>
    <col min="8953" max="8953" width="18.28515625" style="27" customWidth="1"/>
    <col min="8954" max="8954" width="15.5703125" style="27" customWidth="1"/>
    <col min="8955" max="8955" width="14.7109375" style="27" customWidth="1"/>
    <col min="8956" max="8956" width="12.140625" style="27" customWidth="1"/>
    <col min="8957" max="8957" width="13.5703125" style="27" customWidth="1"/>
    <col min="8958" max="8958" width="19.42578125" style="27" customWidth="1"/>
    <col min="8959" max="8959" width="8.85546875" style="27" customWidth="1"/>
    <col min="8960" max="8960" width="13.5703125" style="27" customWidth="1"/>
    <col min="8961" max="9188" width="8.85546875" style="27"/>
    <col min="9189" max="9189" width="5.7109375" style="27" customWidth="1"/>
    <col min="9190" max="9190" width="66.7109375" style="27" customWidth="1"/>
    <col min="9191" max="9193" width="0" style="27" hidden="1" customWidth="1"/>
    <col min="9194" max="9194" width="21.85546875" style="27" customWidth="1"/>
    <col min="9195" max="9197" width="0" style="27" hidden="1" customWidth="1"/>
    <col min="9198" max="9198" width="19.5703125" style="27" customWidth="1"/>
    <col min="9199" max="9199" width="21.42578125" style="27" customWidth="1"/>
    <col min="9200" max="9200" width="37.85546875" style="27" customWidth="1"/>
    <col min="9201" max="9204" width="0" style="27" hidden="1" customWidth="1"/>
    <col min="9205" max="9205" width="35.85546875" style="27" customWidth="1"/>
    <col min="9206" max="9206" width="24.7109375" style="27" customWidth="1"/>
    <col min="9207" max="9207" width="9.28515625" style="27" customWidth="1"/>
    <col min="9208" max="9208" width="16.140625" style="27" customWidth="1"/>
    <col min="9209" max="9209" width="18.28515625" style="27" customWidth="1"/>
    <col min="9210" max="9210" width="15.5703125" style="27" customWidth="1"/>
    <col min="9211" max="9211" width="14.7109375" style="27" customWidth="1"/>
    <col min="9212" max="9212" width="12.140625" style="27" customWidth="1"/>
    <col min="9213" max="9213" width="13.5703125" style="27" customWidth="1"/>
    <col min="9214" max="9214" width="19.42578125" style="27" customWidth="1"/>
    <col min="9215" max="9215" width="8.85546875" style="27" customWidth="1"/>
    <col min="9216" max="9216" width="13.5703125" style="27" customWidth="1"/>
    <col min="9217" max="9444" width="8.85546875" style="27"/>
    <col min="9445" max="9445" width="5.7109375" style="27" customWidth="1"/>
    <col min="9446" max="9446" width="66.7109375" style="27" customWidth="1"/>
    <col min="9447" max="9449" width="0" style="27" hidden="1" customWidth="1"/>
    <col min="9450" max="9450" width="21.85546875" style="27" customWidth="1"/>
    <col min="9451" max="9453" width="0" style="27" hidden="1" customWidth="1"/>
    <col min="9454" max="9454" width="19.5703125" style="27" customWidth="1"/>
    <col min="9455" max="9455" width="21.42578125" style="27" customWidth="1"/>
    <col min="9456" max="9456" width="37.85546875" style="27" customWidth="1"/>
    <col min="9457" max="9460" width="0" style="27" hidden="1" customWidth="1"/>
    <col min="9461" max="9461" width="35.85546875" style="27" customWidth="1"/>
    <col min="9462" max="9462" width="24.7109375" style="27" customWidth="1"/>
    <col min="9463" max="9463" width="9.28515625" style="27" customWidth="1"/>
    <col min="9464" max="9464" width="16.140625" style="27" customWidth="1"/>
    <col min="9465" max="9465" width="18.28515625" style="27" customWidth="1"/>
    <col min="9466" max="9466" width="15.5703125" style="27" customWidth="1"/>
    <col min="9467" max="9467" width="14.7109375" style="27" customWidth="1"/>
    <col min="9468" max="9468" width="12.140625" style="27" customWidth="1"/>
    <col min="9469" max="9469" width="13.5703125" style="27" customWidth="1"/>
    <col min="9470" max="9470" width="19.42578125" style="27" customWidth="1"/>
    <col min="9471" max="9471" width="8.85546875" style="27" customWidth="1"/>
    <col min="9472" max="9472" width="13.5703125" style="27" customWidth="1"/>
    <col min="9473" max="9700" width="8.85546875" style="27"/>
    <col min="9701" max="9701" width="5.7109375" style="27" customWidth="1"/>
    <col min="9702" max="9702" width="66.7109375" style="27" customWidth="1"/>
    <col min="9703" max="9705" width="0" style="27" hidden="1" customWidth="1"/>
    <col min="9706" max="9706" width="21.85546875" style="27" customWidth="1"/>
    <col min="9707" max="9709" width="0" style="27" hidden="1" customWidth="1"/>
    <col min="9710" max="9710" width="19.5703125" style="27" customWidth="1"/>
    <col min="9711" max="9711" width="21.42578125" style="27" customWidth="1"/>
    <col min="9712" max="9712" width="37.85546875" style="27" customWidth="1"/>
    <col min="9713" max="9716" width="0" style="27" hidden="1" customWidth="1"/>
    <col min="9717" max="9717" width="35.85546875" style="27" customWidth="1"/>
    <col min="9718" max="9718" width="24.7109375" style="27" customWidth="1"/>
    <col min="9719" max="9719" width="9.28515625" style="27" customWidth="1"/>
    <col min="9720" max="9720" width="16.140625" style="27" customWidth="1"/>
    <col min="9721" max="9721" width="18.28515625" style="27" customWidth="1"/>
    <col min="9722" max="9722" width="15.5703125" style="27" customWidth="1"/>
    <col min="9723" max="9723" width="14.7109375" style="27" customWidth="1"/>
    <col min="9724" max="9724" width="12.140625" style="27" customWidth="1"/>
    <col min="9725" max="9725" width="13.5703125" style="27" customWidth="1"/>
    <col min="9726" max="9726" width="19.42578125" style="27" customWidth="1"/>
    <col min="9727" max="9727" width="8.85546875" style="27" customWidth="1"/>
    <col min="9728" max="9728" width="13.5703125" style="27" customWidth="1"/>
    <col min="9729" max="9956" width="8.85546875" style="27"/>
    <col min="9957" max="9957" width="5.7109375" style="27" customWidth="1"/>
    <col min="9958" max="9958" width="66.7109375" style="27" customWidth="1"/>
    <col min="9959" max="9961" width="0" style="27" hidden="1" customWidth="1"/>
    <col min="9962" max="9962" width="21.85546875" style="27" customWidth="1"/>
    <col min="9963" max="9965" width="0" style="27" hidden="1" customWidth="1"/>
    <col min="9966" max="9966" width="19.5703125" style="27" customWidth="1"/>
    <col min="9967" max="9967" width="21.42578125" style="27" customWidth="1"/>
    <col min="9968" max="9968" width="37.85546875" style="27" customWidth="1"/>
    <col min="9969" max="9972" width="0" style="27" hidden="1" customWidth="1"/>
    <col min="9973" max="9973" width="35.85546875" style="27" customWidth="1"/>
    <col min="9974" max="9974" width="24.7109375" style="27" customWidth="1"/>
    <col min="9975" max="9975" width="9.28515625" style="27" customWidth="1"/>
    <col min="9976" max="9976" width="16.140625" style="27" customWidth="1"/>
    <col min="9977" max="9977" width="18.28515625" style="27" customWidth="1"/>
    <col min="9978" max="9978" width="15.5703125" style="27" customWidth="1"/>
    <col min="9979" max="9979" width="14.7109375" style="27" customWidth="1"/>
    <col min="9980" max="9980" width="12.140625" style="27" customWidth="1"/>
    <col min="9981" max="9981" width="13.5703125" style="27" customWidth="1"/>
    <col min="9982" max="9982" width="19.42578125" style="27" customWidth="1"/>
    <col min="9983" max="9983" width="8.85546875" style="27" customWidth="1"/>
    <col min="9984" max="9984" width="13.5703125" style="27" customWidth="1"/>
    <col min="9985" max="10212" width="8.85546875" style="27"/>
    <col min="10213" max="10213" width="5.7109375" style="27" customWidth="1"/>
    <col min="10214" max="10214" width="66.7109375" style="27" customWidth="1"/>
    <col min="10215" max="10217" width="0" style="27" hidden="1" customWidth="1"/>
    <col min="10218" max="10218" width="21.85546875" style="27" customWidth="1"/>
    <col min="10219" max="10221" width="0" style="27" hidden="1" customWidth="1"/>
    <col min="10222" max="10222" width="19.5703125" style="27" customWidth="1"/>
    <col min="10223" max="10223" width="21.42578125" style="27" customWidth="1"/>
    <col min="10224" max="10224" width="37.85546875" style="27" customWidth="1"/>
    <col min="10225" max="10228" width="0" style="27" hidden="1" customWidth="1"/>
    <col min="10229" max="10229" width="35.85546875" style="27" customWidth="1"/>
    <col min="10230" max="10230" width="24.7109375" style="27" customWidth="1"/>
    <col min="10231" max="10231" width="9.28515625" style="27" customWidth="1"/>
    <col min="10232" max="10232" width="16.140625" style="27" customWidth="1"/>
    <col min="10233" max="10233" width="18.28515625" style="27" customWidth="1"/>
    <col min="10234" max="10234" width="15.5703125" style="27" customWidth="1"/>
    <col min="10235" max="10235" width="14.7109375" style="27" customWidth="1"/>
    <col min="10236" max="10236" width="12.140625" style="27" customWidth="1"/>
    <col min="10237" max="10237" width="13.5703125" style="27" customWidth="1"/>
    <col min="10238" max="10238" width="19.42578125" style="27" customWidth="1"/>
    <col min="10239" max="10239" width="8.85546875" style="27" customWidth="1"/>
    <col min="10240" max="10240" width="13.5703125" style="27" customWidth="1"/>
    <col min="10241" max="10468" width="8.85546875" style="27"/>
    <col min="10469" max="10469" width="5.7109375" style="27" customWidth="1"/>
    <col min="10470" max="10470" width="66.7109375" style="27" customWidth="1"/>
    <col min="10471" max="10473" width="0" style="27" hidden="1" customWidth="1"/>
    <col min="10474" max="10474" width="21.85546875" style="27" customWidth="1"/>
    <col min="10475" max="10477" width="0" style="27" hidden="1" customWidth="1"/>
    <col min="10478" max="10478" width="19.5703125" style="27" customWidth="1"/>
    <col min="10479" max="10479" width="21.42578125" style="27" customWidth="1"/>
    <col min="10480" max="10480" width="37.85546875" style="27" customWidth="1"/>
    <col min="10481" max="10484" width="0" style="27" hidden="1" customWidth="1"/>
    <col min="10485" max="10485" width="35.85546875" style="27" customWidth="1"/>
    <col min="10486" max="10486" width="24.7109375" style="27" customWidth="1"/>
    <col min="10487" max="10487" width="9.28515625" style="27" customWidth="1"/>
    <col min="10488" max="10488" width="16.140625" style="27" customWidth="1"/>
    <col min="10489" max="10489" width="18.28515625" style="27" customWidth="1"/>
    <col min="10490" max="10490" width="15.5703125" style="27" customWidth="1"/>
    <col min="10491" max="10491" width="14.7109375" style="27" customWidth="1"/>
    <col min="10492" max="10492" width="12.140625" style="27" customWidth="1"/>
    <col min="10493" max="10493" width="13.5703125" style="27" customWidth="1"/>
    <col min="10494" max="10494" width="19.42578125" style="27" customWidth="1"/>
    <col min="10495" max="10495" width="8.85546875" style="27" customWidth="1"/>
    <col min="10496" max="10496" width="13.5703125" style="27" customWidth="1"/>
    <col min="10497" max="10724" width="8.85546875" style="27"/>
    <col min="10725" max="10725" width="5.7109375" style="27" customWidth="1"/>
    <col min="10726" max="10726" width="66.7109375" style="27" customWidth="1"/>
    <col min="10727" max="10729" width="0" style="27" hidden="1" customWidth="1"/>
    <col min="10730" max="10730" width="21.85546875" style="27" customWidth="1"/>
    <col min="10731" max="10733" width="0" style="27" hidden="1" customWidth="1"/>
    <col min="10734" max="10734" width="19.5703125" style="27" customWidth="1"/>
    <col min="10735" max="10735" width="21.42578125" style="27" customWidth="1"/>
    <col min="10736" max="10736" width="37.85546875" style="27" customWidth="1"/>
    <col min="10737" max="10740" width="0" style="27" hidden="1" customWidth="1"/>
    <col min="10741" max="10741" width="35.85546875" style="27" customWidth="1"/>
    <col min="10742" max="10742" width="24.7109375" style="27" customWidth="1"/>
    <col min="10743" max="10743" width="9.28515625" style="27" customWidth="1"/>
    <col min="10744" max="10744" width="16.140625" style="27" customWidth="1"/>
    <col min="10745" max="10745" width="18.28515625" style="27" customWidth="1"/>
    <col min="10746" max="10746" width="15.5703125" style="27" customWidth="1"/>
    <col min="10747" max="10747" width="14.7109375" style="27" customWidth="1"/>
    <col min="10748" max="10748" width="12.140625" style="27" customWidth="1"/>
    <col min="10749" max="10749" width="13.5703125" style="27" customWidth="1"/>
    <col min="10750" max="10750" width="19.42578125" style="27" customWidth="1"/>
    <col min="10751" max="10751" width="8.85546875" style="27" customWidth="1"/>
    <col min="10752" max="10752" width="13.5703125" style="27" customWidth="1"/>
    <col min="10753" max="10980" width="8.85546875" style="27"/>
    <col min="10981" max="10981" width="5.7109375" style="27" customWidth="1"/>
    <col min="10982" max="10982" width="66.7109375" style="27" customWidth="1"/>
    <col min="10983" max="10985" width="0" style="27" hidden="1" customWidth="1"/>
    <col min="10986" max="10986" width="21.85546875" style="27" customWidth="1"/>
    <col min="10987" max="10989" width="0" style="27" hidden="1" customWidth="1"/>
    <col min="10990" max="10990" width="19.5703125" style="27" customWidth="1"/>
    <col min="10991" max="10991" width="21.42578125" style="27" customWidth="1"/>
    <col min="10992" max="10992" width="37.85546875" style="27" customWidth="1"/>
    <col min="10993" max="10996" width="0" style="27" hidden="1" customWidth="1"/>
    <col min="10997" max="10997" width="35.85546875" style="27" customWidth="1"/>
    <col min="10998" max="10998" width="24.7109375" style="27" customWidth="1"/>
    <col min="10999" max="10999" width="9.28515625" style="27" customWidth="1"/>
    <col min="11000" max="11000" width="16.140625" style="27" customWidth="1"/>
    <col min="11001" max="11001" width="18.28515625" style="27" customWidth="1"/>
    <col min="11002" max="11002" width="15.5703125" style="27" customWidth="1"/>
    <col min="11003" max="11003" width="14.7109375" style="27" customWidth="1"/>
    <col min="11004" max="11004" width="12.140625" style="27" customWidth="1"/>
    <col min="11005" max="11005" width="13.5703125" style="27" customWidth="1"/>
    <col min="11006" max="11006" width="19.42578125" style="27" customWidth="1"/>
    <col min="11007" max="11007" width="8.85546875" style="27" customWidth="1"/>
    <col min="11008" max="11008" width="13.5703125" style="27" customWidth="1"/>
    <col min="11009" max="11236" width="8.85546875" style="27"/>
    <col min="11237" max="11237" width="5.7109375" style="27" customWidth="1"/>
    <col min="11238" max="11238" width="66.7109375" style="27" customWidth="1"/>
    <col min="11239" max="11241" width="0" style="27" hidden="1" customWidth="1"/>
    <col min="11242" max="11242" width="21.85546875" style="27" customWidth="1"/>
    <col min="11243" max="11245" width="0" style="27" hidden="1" customWidth="1"/>
    <col min="11246" max="11246" width="19.5703125" style="27" customWidth="1"/>
    <col min="11247" max="11247" width="21.42578125" style="27" customWidth="1"/>
    <col min="11248" max="11248" width="37.85546875" style="27" customWidth="1"/>
    <col min="11249" max="11252" width="0" style="27" hidden="1" customWidth="1"/>
    <col min="11253" max="11253" width="35.85546875" style="27" customWidth="1"/>
    <col min="11254" max="11254" width="24.7109375" style="27" customWidth="1"/>
    <col min="11255" max="11255" width="9.28515625" style="27" customWidth="1"/>
    <col min="11256" max="11256" width="16.140625" style="27" customWidth="1"/>
    <col min="11257" max="11257" width="18.28515625" style="27" customWidth="1"/>
    <col min="11258" max="11258" width="15.5703125" style="27" customWidth="1"/>
    <col min="11259" max="11259" width="14.7109375" style="27" customWidth="1"/>
    <col min="11260" max="11260" width="12.140625" style="27" customWidth="1"/>
    <col min="11261" max="11261" width="13.5703125" style="27" customWidth="1"/>
    <col min="11262" max="11262" width="19.42578125" style="27" customWidth="1"/>
    <col min="11263" max="11263" width="8.85546875" style="27" customWidth="1"/>
    <col min="11264" max="11264" width="13.5703125" style="27" customWidth="1"/>
    <col min="11265" max="11492" width="8.85546875" style="27"/>
    <col min="11493" max="11493" width="5.7109375" style="27" customWidth="1"/>
    <col min="11494" max="11494" width="66.7109375" style="27" customWidth="1"/>
    <col min="11495" max="11497" width="0" style="27" hidden="1" customWidth="1"/>
    <col min="11498" max="11498" width="21.85546875" style="27" customWidth="1"/>
    <col min="11499" max="11501" width="0" style="27" hidden="1" customWidth="1"/>
    <col min="11502" max="11502" width="19.5703125" style="27" customWidth="1"/>
    <col min="11503" max="11503" width="21.42578125" style="27" customWidth="1"/>
    <col min="11504" max="11504" width="37.85546875" style="27" customWidth="1"/>
    <col min="11505" max="11508" width="0" style="27" hidden="1" customWidth="1"/>
    <col min="11509" max="11509" width="35.85546875" style="27" customWidth="1"/>
    <col min="11510" max="11510" width="24.7109375" style="27" customWidth="1"/>
    <col min="11511" max="11511" width="9.28515625" style="27" customWidth="1"/>
    <col min="11512" max="11512" width="16.140625" style="27" customWidth="1"/>
    <col min="11513" max="11513" width="18.28515625" style="27" customWidth="1"/>
    <col min="11514" max="11514" width="15.5703125" style="27" customWidth="1"/>
    <col min="11515" max="11515" width="14.7109375" style="27" customWidth="1"/>
    <col min="11516" max="11516" width="12.140625" style="27" customWidth="1"/>
    <col min="11517" max="11517" width="13.5703125" style="27" customWidth="1"/>
    <col min="11518" max="11518" width="19.42578125" style="27" customWidth="1"/>
    <col min="11519" max="11519" width="8.85546875" style="27" customWidth="1"/>
    <col min="11520" max="11520" width="13.5703125" style="27" customWidth="1"/>
    <col min="11521" max="11748" width="8.85546875" style="27"/>
    <col min="11749" max="11749" width="5.7109375" style="27" customWidth="1"/>
    <col min="11750" max="11750" width="66.7109375" style="27" customWidth="1"/>
    <col min="11751" max="11753" width="0" style="27" hidden="1" customWidth="1"/>
    <col min="11754" max="11754" width="21.85546875" style="27" customWidth="1"/>
    <col min="11755" max="11757" width="0" style="27" hidden="1" customWidth="1"/>
    <col min="11758" max="11758" width="19.5703125" style="27" customWidth="1"/>
    <col min="11759" max="11759" width="21.42578125" style="27" customWidth="1"/>
    <col min="11760" max="11760" width="37.85546875" style="27" customWidth="1"/>
    <col min="11761" max="11764" width="0" style="27" hidden="1" customWidth="1"/>
    <col min="11765" max="11765" width="35.85546875" style="27" customWidth="1"/>
    <col min="11766" max="11766" width="24.7109375" style="27" customWidth="1"/>
    <col min="11767" max="11767" width="9.28515625" style="27" customWidth="1"/>
    <col min="11768" max="11768" width="16.140625" style="27" customWidth="1"/>
    <col min="11769" max="11769" width="18.28515625" style="27" customWidth="1"/>
    <col min="11770" max="11770" width="15.5703125" style="27" customWidth="1"/>
    <col min="11771" max="11771" width="14.7109375" style="27" customWidth="1"/>
    <col min="11772" max="11772" width="12.140625" style="27" customWidth="1"/>
    <col min="11773" max="11773" width="13.5703125" style="27" customWidth="1"/>
    <col min="11774" max="11774" width="19.42578125" style="27" customWidth="1"/>
    <col min="11775" max="11775" width="8.85546875" style="27" customWidth="1"/>
    <col min="11776" max="11776" width="13.5703125" style="27" customWidth="1"/>
    <col min="11777" max="12004" width="8.85546875" style="27"/>
    <col min="12005" max="12005" width="5.7109375" style="27" customWidth="1"/>
    <col min="12006" max="12006" width="66.7109375" style="27" customWidth="1"/>
    <col min="12007" max="12009" width="0" style="27" hidden="1" customWidth="1"/>
    <col min="12010" max="12010" width="21.85546875" style="27" customWidth="1"/>
    <col min="12011" max="12013" width="0" style="27" hidden="1" customWidth="1"/>
    <col min="12014" max="12014" width="19.5703125" style="27" customWidth="1"/>
    <col min="12015" max="12015" width="21.42578125" style="27" customWidth="1"/>
    <col min="12016" max="12016" width="37.85546875" style="27" customWidth="1"/>
    <col min="12017" max="12020" width="0" style="27" hidden="1" customWidth="1"/>
    <col min="12021" max="12021" width="35.85546875" style="27" customWidth="1"/>
    <col min="12022" max="12022" width="24.7109375" style="27" customWidth="1"/>
    <col min="12023" max="12023" width="9.28515625" style="27" customWidth="1"/>
    <col min="12024" max="12024" width="16.140625" style="27" customWidth="1"/>
    <col min="12025" max="12025" width="18.28515625" style="27" customWidth="1"/>
    <col min="12026" max="12026" width="15.5703125" style="27" customWidth="1"/>
    <col min="12027" max="12027" width="14.7109375" style="27" customWidth="1"/>
    <col min="12028" max="12028" width="12.140625" style="27" customWidth="1"/>
    <col min="12029" max="12029" width="13.5703125" style="27" customWidth="1"/>
    <col min="12030" max="12030" width="19.42578125" style="27" customWidth="1"/>
    <col min="12031" max="12031" width="8.85546875" style="27" customWidth="1"/>
    <col min="12032" max="12032" width="13.5703125" style="27" customWidth="1"/>
    <col min="12033" max="12260" width="8.85546875" style="27"/>
    <col min="12261" max="12261" width="5.7109375" style="27" customWidth="1"/>
    <col min="12262" max="12262" width="66.7109375" style="27" customWidth="1"/>
    <col min="12263" max="12265" width="0" style="27" hidden="1" customWidth="1"/>
    <col min="12266" max="12266" width="21.85546875" style="27" customWidth="1"/>
    <col min="12267" max="12269" width="0" style="27" hidden="1" customWidth="1"/>
    <col min="12270" max="12270" width="19.5703125" style="27" customWidth="1"/>
    <col min="12271" max="12271" width="21.42578125" style="27" customWidth="1"/>
    <col min="12272" max="12272" width="37.85546875" style="27" customWidth="1"/>
    <col min="12273" max="12276" width="0" style="27" hidden="1" customWidth="1"/>
    <col min="12277" max="12277" width="35.85546875" style="27" customWidth="1"/>
    <col min="12278" max="12278" width="24.7109375" style="27" customWidth="1"/>
    <col min="12279" max="12279" width="9.28515625" style="27" customWidth="1"/>
    <col min="12280" max="12280" width="16.140625" style="27" customWidth="1"/>
    <col min="12281" max="12281" width="18.28515625" style="27" customWidth="1"/>
    <col min="12282" max="12282" width="15.5703125" style="27" customWidth="1"/>
    <col min="12283" max="12283" width="14.7109375" style="27" customWidth="1"/>
    <col min="12284" max="12284" width="12.140625" style="27" customWidth="1"/>
    <col min="12285" max="12285" width="13.5703125" style="27" customWidth="1"/>
    <col min="12286" max="12286" width="19.42578125" style="27" customWidth="1"/>
    <col min="12287" max="12287" width="8.85546875" style="27" customWidth="1"/>
    <col min="12288" max="12288" width="13.5703125" style="27" customWidth="1"/>
    <col min="12289" max="12516" width="8.85546875" style="27"/>
    <col min="12517" max="12517" width="5.7109375" style="27" customWidth="1"/>
    <col min="12518" max="12518" width="66.7109375" style="27" customWidth="1"/>
    <col min="12519" max="12521" width="0" style="27" hidden="1" customWidth="1"/>
    <col min="12522" max="12522" width="21.85546875" style="27" customWidth="1"/>
    <col min="12523" max="12525" width="0" style="27" hidden="1" customWidth="1"/>
    <col min="12526" max="12526" width="19.5703125" style="27" customWidth="1"/>
    <col min="12527" max="12527" width="21.42578125" style="27" customWidth="1"/>
    <col min="12528" max="12528" width="37.85546875" style="27" customWidth="1"/>
    <col min="12529" max="12532" width="0" style="27" hidden="1" customWidth="1"/>
    <col min="12533" max="12533" width="35.85546875" style="27" customWidth="1"/>
    <col min="12534" max="12534" width="24.7109375" style="27" customWidth="1"/>
    <col min="12535" max="12535" width="9.28515625" style="27" customWidth="1"/>
    <col min="12536" max="12536" width="16.140625" style="27" customWidth="1"/>
    <col min="12537" max="12537" width="18.28515625" style="27" customWidth="1"/>
    <col min="12538" max="12538" width="15.5703125" style="27" customWidth="1"/>
    <col min="12539" max="12539" width="14.7109375" style="27" customWidth="1"/>
    <col min="12540" max="12540" width="12.140625" style="27" customWidth="1"/>
    <col min="12541" max="12541" width="13.5703125" style="27" customWidth="1"/>
    <col min="12542" max="12542" width="19.42578125" style="27" customWidth="1"/>
    <col min="12543" max="12543" width="8.85546875" style="27" customWidth="1"/>
    <col min="12544" max="12544" width="13.5703125" style="27" customWidth="1"/>
    <col min="12545" max="12772" width="8.85546875" style="27"/>
    <col min="12773" max="12773" width="5.7109375" style="27" customWidth="1"/>
    <col min="12774" max="12774" width="66.7109375" style="27" customWidth="1"/>
    <col min="12775" max="12777" width="0" style="27" hidden="1" customWidth="1"/>
    <col min="12778" max="12778" width="21.85546875" style="27" customWidth="1"/>
    <col min="12779" max="12781" width="0" style="27" hidden="1" customWidth="1"/>
    <col min="12782" max="12782" width="19.5703125" style="27" customWidth="1"/>
    <col min="12783" max="12783" width="21.42578125" style="27" customWidth="1"/>
    <col min="12784" max="12784" width="37.85546875" style="27" customWidth="1"/>
    <col min="12785" max="12788" width="0" style="27" hidden="1" customWidth="1"/>
    <col min="12789" max="12789" width="35.85546875" style="27" customWidth="1"/>
    <col min="12790" max="12790" width="24.7109375" style="27" customWidth="1"/>
    <col min="12791" max="12791" width="9.28515625" style="27" customWidth="1"/>
    <col min="12792" max="12792" width="16.140625" style="27" customWidth="1"/>
    <col min="12793" max="12793" width="18.28515625" style="27" customWidth="1"/>
    <col min="12794" max="12794" width="15.5703125" style="27" customWidth="1"/>
    <col min="12795" max="12795" width="14.7109375" style="27" customWidth="1"/>
    <col min="12796" max="12796" width="12.140625" style="27" customWidth="1"/>
    <col min="12797" max="12797" width="13.5703125" style="27" customWidth="1"/>
    <col min="12798" max="12798" width="19.42578125" style="27" customWidth="1"/>
    <col min="12799" max="12799" width="8.85546875" style="27" customWidth="1"/>
    <col min="12800" max="12800" width="13.5703125" style="27" customWidth="1"/>
    <col min="12801" max="13028" width="8.85546875" style="27"/>
    <col min="13029" max="13029" width="5.7109375" style="27" customWidth="1"/>
    <col min="13030" max="13030" width="66.7109375" style="27" customWidth="1"/>
    <col min="13031" max="13033" width="0" style="27" hidden="1" customWidth="1"/>
    <col min="13034" max="13034" width="21.85546875" style="27" customWidth="1"/>
    <col min="13035" max="13037" width="0" style="27" hidden="1" customWidth="1"/>
    <col min="13038" max="13038" width="19.5703125" style="27" customWidth="1"/>
    <col min="13039" max="13039" width="21.42578125" style="27" customWidth="1"/>
    <col min="13040" max="13040" width="37.85546875" style="27" customWidth="1"/>
    <col min="13041" max="13044" width="0" style="27" hidden="1" customWidth="1"/>
    <col min="13045" max="13045" width="35.85546875" style="27" customWidth="1"/>
    <col min="13046" max="13046" width="24.7109375" style="27" customWidth="1"/>
    <col min="13047" max="13047" width="9.28515625" style="27" customWidth="1"/>
    <col min="13048" max="13048" width="16.140625" style="27" customWidth="1"/>
    <col min="13049" max="13049" width="18.28515625" style="27" customWidth="1"/>
    <col min="13050" max="13050" width="15.5703125" style="27" customWidth="1"/>
    <col min="13051" max="13051" width="14.7109375" style="27" customWidth="1"/>
    <col min="13052" max="13052" width="12.140625" style="27" customWidth="1"/>
    <col min="13053" max="13053" width="13.5703125" style="27" customWidth="1"/>
    <col min="13054" max="13054" width="19.42578125" style="27" customWidth="1"/>
    <col min="13055" max="13055" width="8.85546875" style="27" customWidth="1"/>
    <col min="13056" max="13056" width="13.5703125" style="27" customWidth="1"/>
    <col min="13057" max="13284" width="8.85546875" style="27"/>
    <col min="13285" max="13285" width="5.7109375" style="27" customWidth="1"/>
    <col min="13286" max="13286" width="66.7109375" style="27" customWidth="1"/>
    <col min="13287" max="13289" width="0" style="27" hidden="1" customWidth="1"/>
    <col min="13290" max="13290" width="21.85546875" style="27" customWidth="1"/>
    <col min="13291" max="13293" width="0" style="27" hidden="1" customWidth="1"/>
    <col min="13294" max="13294" width="19.5703125" style="27" customWidth="1"/>
    <col min="13295" max="13295" width="21.42578125" style="27" customWidth="1"/>
    <col min="13296" max="13296" width="37.85546875" style="27" customWidth="1"/>
    <col min="13297" max="13300" width="0" style="27" hidden="1" customWidth="1"/>
    <col min="13301" max="13301" width="35.85546875" style="27" customWidth="1"/>
    <col min="13302" max="13302" width="24.7109375" style="27" customWidth="1"/>
    <col min="13303" max="13303" width="9.28515625" style="27" customWidth="1"/>
    <col min="13304" max="13304" width="16.140625" style="27" customWidth="1"/>
    <col min="13305" max="13305" width="18.28515625" style="27" customWidth="1"/>
    <col min="13306" max="13306" width="15.5703125" style="27" customWidth="1"/>
    <col min="13307" max="13307" width="14.7109375" style="27" customWidth="1"/>
    <col min="13308" max="13308" width="12.140625" style="27" customWidth="1"/>
    <col min="13309" max="13309" width="13.5703125" style="27" customWidth="1"/>
    <col min="13310" max="13310" width="19.42578125" style="27" customWidth="1"/>
    <col min="13311" max="13311" width="8.85546875" style="27" customWidth="1"/>
    <col min="13312" max="13312" width="13.5703125" style="27" customWidth="1"/>
    <col min="13313" max="13540" width="8.85546875" style="27"/>
    <col min="13541" max="13541" width="5.7109375" style="27" customWidth="1"/>
    <col min="13542" max="13542" width="66.7109375" style="27" customWidth="1"/>
    <col min="13543" max="13545" width="0" style="27" hidden="1" customWidth="1"/>
    <col min="13546" max="13546" width="21.85546875" style="27" customWidth="1"/>
    <col min="13547" max="13549" width="0" style="27" hidden="1" customWidth="1"/>
    <col min="13550" max="13550" width="19.5703125" style="27" customWidth="1"/>
    <col min="13551" max="13551" width="21.42578125" style="27" customWidth="1"/>
    <col min="13552" max="13552" width="37.85546875" style="27" customWidth="1"/>
    <col min="13553" max="13556" width="0" style="27" hidden="1" customWidth="1"/>
    <col min="13557" max="13557" width="35.85546875" style="27" customWidth="1"/>
    <col min="13558" max="13558" width="24.7109375" style="27" customWidth="1"/>
    <col min="13559" max="13559" width="9.28515625" style="27" customWidth="1"/>
    <col min="13560" max="13560" width="16.140625" style="27" customWidth="1"/>
    <col min="13561" max="13561" width="18.28515625" style="27" customWidth="1"/>
    <col min="13562" max="13562" width="15.5703125" style="27" customWidth="1"/>
    <col min="13563" max="13563" width="14.7109375" style="27" customWidth="1"/>
    <col min="13564" max="13564" width="12.140625" style="27" customWidth="1"/>
    <col min="13565" max="13565" width="13.5703125" style="27" customWidth="1"/>
    <col min="13566" max="13566" width="19.42578125" style="27" customWidth="1"/>
    <col min="13567" max="13567" width="8.85546875" style="27" customWidth="1"/>
    <col min="13568" max="13568" width="13.5703125" style="27" customWidth="1"/>
    <col min="13569" max="13796" width="8.85546875" style="27"/>
    <col min="13797" max="13797" width="5.7109375" style="27" customWidth="1"/>
    <col min="13798" max="13798" width="66.7109375" style="27" customWidth="1"/>
    <col min="13799" max="13801" width="0" style="27" hidden="1" customWidth="1"/>
    <col min="13802" max="13802" width="21.85546875" style="27" customWidth="1"/>
    <col min="13803" max="13805" width="0" style="27" hidden="1" customWidth="1"/>
    <col min="13806" max="13806" width="19.5703125" style="27" customWidth="1"/>
    <col min="13807" max="13807" width="21.42578125" style="27" customWidth="1"/>
    <col min="13808" max="13808" width="37.85546875" style="27" customWidth="1"/>
    <col min="13809" max="13812" width="0" style="27" hidden="1" customWidth="1"/>
    <col min="13813" max="13813" width="35.85546875" style="27" customWidth="1"/>
    <col min="13814" max="13814" width="24.7109375" style="27" customWidth="1"/>
    <col min="13815" max="13815" width="9.28515625" style="27" customWidth="1"/>
    <col min="13816" max="13816" width="16.140625" style="27" customWidth="1"/>
    <col min="13817" max="13817" width="18.28515625" style="27" customWidth="1"/>
    <col min="13818" max="13818" width="15.5703125" style="27" customWidth="1"/>
    <col min="13819" max="13819" width="14.7109375" style="27" customWidth="1"/>
    <col min="13820" max="13820" width="12.140625" style="27" customWidth="1"/>
    <col min="13821" max="13821" width="13.5703125" style="27" customWidth="1"/>
    <col min="13822" max="13822" width="19.42578125" style="27" customWidth="1"/>
    <col min="13823" max="13823" width="8.85546875" style="27" customWidth="1"/>
    <col min="13824" max="13824" width="13.5703125" style="27" customWidth="1"/>
    <col min="13825" max="14052" width="8.85546875" style="27"/>
    <col min="14053" max="14053" width="5.7109375" style="27" customWidth="1"/>
    <col min="14054" max="14054" width="66.7109375" style="27" customWidth="1"/>
    <col min="14055" max="14057" width="0" style="27" hidden="1" customWidth="1"/>
    <col min="14058" max="14058" width="21.85546875" style="27" customWidth="1"/>
    <col min="14059" max="14061" width="0" style="27" hidden="1" customWidth="1"/>
    <col min="14062" max="14062" width="19.5703125" style="27" customWidth="1"/>
    <col min="14063" max="14063" width="21.42578125" style="27" customWidth="1"/>
    <col min="14064" max="14064" width="37.85546875" style="27" customWidth="1"/>
    <col min="14065" max="14068" width="0" style="27" hidden="1" customWidth="1"/>
    <col min="14069" max="14069" width="35.85546875" style="27" customWidth="1"/>
    <col min="14070" max="14070" width="24.7109375" style="27" customWidth="1"/>
    <col min="14071" max="14071" width="9.28515625" style="27" customWidth="1"/>
    <col min="14072" max="14072" width="16.140625" style="27" customWidth="1"/>
    <col min="14073" max="14073" width="18.28515625" style="27" customWidth="1"/>
    <col min="14074" max="14074" width="15.5703125" style="27" customWidth="1"/>
    <col min="14075" max="14075" width="14.7109375" style="27" customWidth="1"/>
    <col min="14076" max="14076" width="12.140625" style="27" customWidth="1"/>
    <col min="14077" max="14077" width="13.5703125" style="27" customWidth="1"/>
    <col min="14078" max="14078" width="19.42578125" style="27" customWidth="1"/>
    <col min="14079" max="14079" width="8.85546875" style="27" customWidth="1"/>
    <col min="14080" max="14080" width="13.5703125" style="27" customWidth="1"/>
    <col min="14081" max="14308" width="8.85546875" style="27"/>
    <col min="14309" max="14309" width="5.7109375" style="27" customWidth="1"/>
    <col min="14310" max="14310" width="66.7109375" style="27" customWidth="1"/>
    <col min="14311" max="14313" width="0" style="27" hidden="1" customWidth="1"/>
    <col min="14314" max="14314" width="21.85546875" style="27" customWidth="1"/>
    <col min="14315" max="14317" width="0" style="27" hidden="1" customWidth="1"/>
    <col min="14318" max="14318" width="19.5703125" style="27" customWidth="1"/>
    <col min="14319" max="14319" width="21.42578125" style="27" customWidth="1"/>
    <col min="14320" max="14320" width="37.85546875" style="27" customWidth="1"/>
    <col min="14321" max="14324" width="0" style="27" hidden="1" customWidth="1"/>
    <col min="14325" max="14325" width="35.85546875" style="27" customWidth="1"/>
    <col min="14326" max="14326" width="24.7109375" style="27" customWidth="1"/>
    <col min="14327" max="14327" width="9.28515625" style="27" customWidth="1"/>
    <col min="14328" max="14328" width="16.140625" style="27" customWidth="1"/>
    <col min="14329" max="14329" width="18.28515625" style="27" customWidth="1"/>
    <col min="14330" max="14330" width="15.5703125" style="27" customWidth="1"/>
    <col min="14331" max="14331" width="14.7109375" style="27" customWidth="1"/>
    <col min="14332" max="14332" width="12.140625" style="27" customWidth="1"/>
    <col min="14333" max="14333" width="13.5703125" style="27" customWidth="1"/>
    <col min="14334" max="14334" width="19.42578125" style="27" customWidth="1"/>
    <col min="14335" max="14335" width="8.85546875" style="27" customWidth="1"/>
    <col min="14336" max="14336" width="13.5703125" style="27" customWidth="1"/>
    <col min="14337" max="14564" width="8.85546875" style="27"/>
    <col min="14565" max="14565" width="5.7109375" style="27" customWidth="1"/>
    <col min="14566" max="14566" width="66.7109375" style="27" customWidth="1"/>
    <col min="14567" max="14569" width="0" style="27" hidden="1" customWidth="1"/>
    <col min="14570" max="14570" width="21.85546875" style="27" customWidth="1"/>
    <col min="14571" max="14573" width="0" style="27" hidden="1" customWidth="1"/>
    <col min="14574" max="14574" width="19.5703125" style="27" customWidth="1"/>
    <col min="14575" max="14575" width="21.42578125" style="27" customWidth="1"/>
    <col min="14576" max="14576" width="37.85546875" style="27" customWidth="1"/>
    <col min="14577" max="14580" width="0" style="27" hidden="1" customWidth="1"/>
    <col min="14581" max="14581" width="35.85546875" style="27" customWidth="1"/>
    <col min="14582" max="14582" width="24.7109375" style="27" customWidth="1"/>
    <col min="14583" max="14583" width="9.28515625" style="27" customWidth="1"/>
    <col min="14584" max="14584" width="16.140625" style="27" customWidth="1"/>
    <col min="14585" max="14585" width="18.28515625" style="27" customWidth="1"/>
    <col min="14586" max="14586" width="15.5703125" style="27" customWidth="1"/>
    <col min="14587" max="14587" width="14.7109375" style="27" customWidth="1"/>
    <col min="14588" max="14588" width="12.140625" style="27" customWidth="1"/>
    <col min="14589" max="14589" width="13.5703125" style="27" customWidth="1"/>
    <col min="14590" max="14590" width="19.42578125" style="27" customWidth="1"/>
    <col min="14591" max="14591" width="8.85546875" style="27" customWidth="1"/>
    <col min="14592" max="14592" width="13.5703125" style="27" customWidth="1"/>
    <col min="14593" max="14820" width="8.85546875" style="27"/>
    <col min="14821" max="14821" width="5.7109375" style="27" customWidth="1"/>
    <col min="14822" max="14822" width="66.7109375" style="27" customWidth="1"/>
    <col min="14823" max="14825" width="0" style="27" hidden="1" customWidth="1"/>
    <col min="14826" max="14826" width="21.85546875" style="27" customWidth="1"/>
    <col min="14827" max="14829" width="0" style="27" hidden="1" customWidth="1"/>
    <col min="14830" max="14830" width="19.5703125" style="27" customWidth="1"/>
    <col min="14831" max="14831" width="21.42578125" style="27" customWidth="1"/>
    <col min="14832" max="14832" width="37.85546875" style="27" customWidth="1"/>
    <col min="14833" max="14836" width="0" style="27" hidden="1" customWidth="1"/>
    <col min="14837" max="14837" width="35.85546875" style="27" customWidth="1"/>
    <col min="14838" max="14838" width="24.7109375" style="27" customWidth="1"/>
    <col min="14839" max="14839" width="9.28515625" style="27" customWidth="1"/>
    <col min="14840" max="14840" width="16.140625" style="27" customWidth="1"/>
    <col min="14841" max="14841" width="18.28515625" style="27" customWidth="1"/>
    <col min="14842" max="14842" width="15.5703125" style="27" customWidth="1"/>
    <col min="14843" max="14843" width="14.7109375" style="27" customWidth="1"/>
    <col min="14844" max="14844" width="12.140625" style="27" customWidth="1"/>
    <col min="14845" max="14845" width="13.5703125" style="27" customWidth="1"/>
    <col min="14846" max="14846" width="19.42578125" style="27" customWidth="1"/>
    <col min="14847" max="14847" width="8.85546875" style="27" customWidth="1"/>
    <col min="14848" max="14848" width="13.5703125" style="27" customWidth="1"/>
    <col min="14849" max="15076" width="8.85546875" style="27"/>
    <col min="15077" max="15077" width="5.7109375" style="27" customWidth="1"/>
    <col min="15078" max="15078" width="66.7109375" style="27" customWidth="1"/>
    <col min="15079" max="15081" width="0" style="27" hidden="1" customWidth="1"/>
    <col min="15082" max="15082" width="21.85546875" style="27" customWidth="1"/>
    <col min="15083" max="15085" width="0" style="27" hidden="1" customWidth="1"/>
    <col min="15086" max="15086" width="19.5703125" style="27" customWidth="1"/>
    <col min="15087" max="15087" width="21.42578125" style="27" customWidth="1"/>
    <col min="15088" max="15088" width="37.85546875" style="27" customWidth="1"/>
    <col min="15089" max="15092" width="0" style="27" hidden="1" customWidth="1"/>
    <col min="15093" max="15093" width="35.85546875" style="27" customWidth="1"/>
    <col min="15094" max="15094" width="24.7109375" style="27" customWidth="1"/>
    <col min="15095" max="15095" width="9.28515625" style="27" customWidth="1"/>
    <col min="15096" max="15096" width="16.140625" style="27" customWidth="1"/>
    <col min="15097" max="15097" width="18.28515625" style="27" customWidth="1"/>
    <col min="15098" max="15098" width="15.5703125" style="27" customWidth="1"/>
    <col min="15099" max="15099" width="14.7109375" style="27" customWidth="1"/>
    <col min="15100" max="15100" width="12.140625" style="27" customWidth="1"/>
    <col min="15101" max="15101" width="13.5703125" style="27" customWidth="1"/>
    <col min="15102" max="15102" width="19.42578125" style="27" customWidth="1"/>
    <col min="15103" max="15103" width="8.85546875" style="27" customWidth="1"/>
    <col min="15104" max="15104" width="13.5703125" style="27" customWidth="1"/>
    <col min="15105" max="15332" width="8.85546875" style="27"/>
    <col min="15333" max="15333" width="5.7109375" style="27" customWidth="1"/>
    <col min="15334" max="15334" width="66.7109375" style="27" customWidth="1"/>
    <col min="15335" max="15337" width="0" style="27" hidden="1" customWidth="1"/>
    <col min="15338" max="15338" width="21.85546875" style="27" customWidth="1"/>
    <col min="15339" max="15341" width="0" style="27" hidden="1" customWidth="1"/>
    <col min="15342" max="15342" width="19.5703125" style="27" customWidth="1"/>
    <col min="15343" max="15343" width="21.42578125" style="27" customWidth="1"/>
    <col min="15344" max="15344" width="37.85546875" style="27" customWidth="1"/>
    <col min="15345" max="15348" width="0" style="27" hidden="1" customWidth="1"/>
    <col min="15349" max="15349" width="35.85546875" style="27" customWidth="1"/>
    <col min="15350" max="15350" width="24.7109375" style="27" customWidth="1"/>
    <col min="15351" max="15351" width="9.28515625" style="27" customWidth="1"/>
    <col min="15352" max="15352" width="16.140625" style="27" customWidth="1"/>
    <col min="15353" max="15353" width="18.28515625" style="27" customWidth="1"/>
    <col min="15354" max="15354" width="15.5703125" style="27" customWidth="1"/>
    <col min="15355" max="15355" width="14.7109375" style="27" customWidth="1"/>
    <col min="15356" max="15356" width="12.140625" style="27" customWidth="1"/>
    <col min="15357" max="15357" width="13.5703125" style="27" customWidth="1"/>
    <col min="15358" max="15358" width="19.42578125" style="27" customWidth="1"/>
    <col min="15359" max="15359" width="8.85546875" style="27" customWidth="1"/>
    <col min="15360" max="15360" width="13.5703125" style="27" customWidth="1"/>
    <col min="15361" max="15588" width="8.85546875" style="27"/>
    <col min="15589" max="15589" width="5.7109375" style="27" customWidth="1"/>
    <col min="15590" max="15590" width="66.7109375" style="27" customWidth="1"/>
    <col min="15591" max="15593" width="0" style="27" hidden="1" customWidth="1"/>
    <col min="15594" max="15594" width="21.85546875" style="27" customWidth="1"/>
    <col min="15595" max="15597" width="0" style="27" hidden="1" customWidth="1"/>
    <col min="15598" max="15598" width="19.5703125" style="27" customWidth="1"/>
    <col min="15599" max="15599" width="21.42578125" style="27" customWidth="1"/>
    <col min="15600" max="15600" width="37.85546875" style="27" customWidth="1"/>
    <col min="15601" max="15604" width="0" style="27" hidden="1" customWidth="1"/>
    <col min="15605" max="15605" width="35.85546875" style="27" customWidth="1"/>
    <col min="15606" max="15606" width="24.7109375" style="27" customWidth="1"/>
    <col min="15607" max="15607" width="9.28515625" style="27" customWidth="1"/>
    <col min="15608" max="15608" width="16.140625" style="27" customWidth="1"/>
    <col min="15609" max="15609" width="18.28515625" style="27" customWidth="1"/>
    <col min="15610" max="15610" width="15.5703125" style="27" customWidth="1"/>
    <col min="15611" max="15611" width="14.7109375" style="27" customWidth="1"/>
    <col min="15612" max="15612" width="12.140625" style="27" customWidth="1"/>
    <col min="15613" max="15613" width="13.5703125" style="27" customWidth="1"/>
    <col min="15614" max="15614" width="19.42578125" style="27" customWidth="1"/>
    <col min="15615" max="15615" width="8.85546875" style="27" customWidth="1"/>
    <col min="15616" max="15616" width="13.5703125" style="27" customWidth="1"/>
    <col min="15617" max="15844" width="8.85546875" style="27"/>
    <col min="15845" max="15845" width="5.7109375" style="27" customWidth="1"/>
    <col min="15846" max="15846" width="66.7109375" style="27" customWidth="1"/>
    <col min="15847" max="15849" width="0" style="27" hidden="1" customWidth="1"/>
    <col min="15850" max="15850" width="21.85546875" style="27" customWidth="1"/>
    <col min="15851" max="15853" width="0" style="27" hidden="1" customWidth="1"/>
    <col min="15854" max="15854" width="19.5703125" style="27" customWidth="1"/>
    <col min="15855" max="15855" width="21.42578125" style="27" customWidth="1"/>
    <col min="15856" max="15856" width="37.85546875" style="27" customWidth="1"/>
    <col min="15857" max="15860" width="0" style="27" hidden="1" customWidth="1"/>
    <col min="15861" max="15861" width="35.85546875" style="27" customWidth="1"/>
    <col min="15862" max="15862" width="24.7109375" style="27" customWidth="1"/>
    <col min="15863" max="15863" width="9.28515625" style="27" customWidth="1"/>
    <col min="15864" max="15864" width="16.140625" style="27" customWidth="1"/>
    <col min="15865" max="15865" width="18.28515625" style="27" customWidth="1"/>
    <col min="15866" max="15866" width="15.5703125" style="27" customWidth="1"/>
    <col min="15867" max="15867" width="14.7109375" style="27" customWidth="1"/>
    <col min="15868" max="15868" width="12.140625" style="27" customWidth="1"/>
    <col min="15869" max="15869" width="13.5703125" style="27" customWidth="1"/>
    <col min="15870" max="15870" width="19.42578125" style="27" customWidth="1"/>
    <col min="15871" max="15871" width="8.85546875" style="27" customWidth="1"/>
    <col min="15872" max="15872" width="13.5703125" style="27" customWidth="1"/>
    <col min="15873" max="16100" width="8.85546875" style="27"/>
    <col min="16101" max="16101" width="5.7109375" style="27" customWidth="1"/>
    <col min="16102" max="16102" width="66.7109375" style="27" customWidth="1"/>
    <col min="16103" max="16105" width="0" style="27" hidden="1" customWidth="1"/>
    <col min="16106" max="16106" width="21.85546875" style="27" customWidth="1"/>
    <col min="16107" max="16109" width="0" style="27" hidden="1" customWidth="1"/>
    <col min="16110" max="16110" width="19.5703125" style="27" customWidth="1"/>
    <col min="16111" max="16111" width="21.42578125" style="27" customWidth="1"/>
    <col min="16112" max="16112" width="37.85546875" style="27" customWidth="1"/>
    <col min="16113" max="16116" width="0" style="27" hidden="1" customWidth="1"/>
    <col min="16117" max="16117" width="35.85546875" style="27" customWidth="1"/>
    <col min="16118" max="16118" width="24.7109375" style="27" customWidth="1"/>
    <col min="16119" max="16119" width="9.28515625" style="27" customWidth="1"/>
    <col min="16120" max="16120" width="16.140625" style="27" customWidth="1"/>
    <col min="16121" max="16121" width="18.28515625" style="27" customWidth="1"/>
    <col min="16122" max="16122" width="15.5703125" style="27" customWidth="1"/>
    <col min="16123" max="16123" width="14.7109375" style="27" customWidth="1"/>
    <col min="16124" max="16124" width="12.140625" style="27" customWidth="1"/>
    <col min="16125" max="16125" width="13.5703125" style="27" customWidth="1"/>
    <col min="16126" max="16126" width="19.42578125" style="27" customWidth="1"/>
    <col min="16127" max="16127" width="8.85546875" style="27" customWidth="1"/>
    <col min="16128" max="16128" width="13.5703125" style="27" customWidth="1"/>
    <col min="16129" max="16384" width="8.85546875" style="27"/>
  </cols>
  <sheetData>
    <row r="1" spans="1:228">
      <c r="A1" s="1847" t="s">
        <v>160</v>
      </c>
      <c r="B1" s="1847"/>
      <c r="C1" s="1847"/>
      <c r="D1" s="1847"/>
      <c r="E1" s="26"/>
      <c r="F1" s="26"/>
      <c r="G1" s="26"/>
      <c r="H1" s="26"/>
    </row>
    <row r="2" spans="1:228">
      <c r="A2" s="28"/>
      <c r="B2" s="29"/>
      <c r="C2" s="1848" t="s">
        <v>161</v>
      </c>
      <c r="D2" s="1848"/>
      <c r="E2" s="30"/>
      <c r="F2" s="30"/>
      <c r="G2" s="30"/>
      <c r="H2" s="30"/>
    </row>
    <row r="3" spans="1:228" s="35" customFormat="1" ht="37.5">
      <c r="A3" s="31" t="s">
        <v>162</v>
      </c>
      <c r="B3" s="32" t="s">
        <v>163</v>
      </c>
      <c r="C3" s="33" t="s">
        <v>164</v>
      </c>
      <c r="D3" s="33" t="s">
        <v>165</v>
      </c>
      <c r="E3" s="34"/>
      <c r="F3" s="34"/>
      <c r="G3" s="34"/>
      <c r="H3" s="34"/>
    </row>
    <row r="4" spans="1:228" s="40" customFormat="1">
      <c r="A4" s="36"/>
      <c r="B4" s="32" t="s">
        <v>166</v>
      </c>
      <c r="C4" s="37">
        <v>1474658100000</v>
      </c>
      <c r="D4" s="38"/>
      <c r="E4" s="39"/>
      <c r="F4" s="39"/>
      <c r="G4" s="39"/>
      <c r="H4" s="39"/>
    </row>
    <row r="5" spans="1:228" s="43" customFormat="1">
      <c r="A5" s="36" t="s">
        <v>167</v>
      </c>
      <c r="B5" s="41" t="s">
        <v>168</v>
      </c>
      <c r="C5" s="37">
        <v>1425697503000</v>
      </c>
      <c r="D5" s="38"/>
      <c r="E5" s="39"/>
      <c r="F5" s="39"/>
      <c r="G5" s="39"/>
      <c r="H5" s="39"/>
    </row>
    <row r="6" spans="1:228" s="47" customFormat="1" ht="19.5">
      <c r="A6" s="32" t="s">
        <v>2</v>
      </c>
      <c r="B6" s="41" t="s">
        <v>169</v>
      </c>
      <c r="C6" s="37">
        <v>345121000000</v>
      </c>
      <c r="D6" s="38"/>
      <c r="E6" s="39"/>
      <c r="F6" s="39"/>
      <c r="G6" s="46"/>
      <c r="H6" s="46"/>
    </row>
    <row r="7" spans="1:228" s="29" customFormat="1">
      <c r="A7" s="23">
        <v>1</v>
      </c>
      <c r="B7" s="48" t="s">
        <v>170</v>
      </c>
      <c r="C7" s="23">
        <v>280000000000</v>
      </c>
      <c r="D7" s="50"/>
      <c r="E7" s="51"/>
      <c r="F7" s="51"/>
      <c r="G7" s="52"/>
      <c r="H7" s="52"/>
    </row>
    <row r="8" spans="1:228" s="29" customFormat="1">
      <c r="A8" s="23">
        <v>2</v>
      </c>
      <c r="B8" s="48" t="s">
        <v>171</v>
      </c>
      <c r="C8" s="53">
        <v>61116000000</v>
      </c>
      <c r="D8" s="50"/>
      <c r="E8" s="52"/>
      <c r="F8" s="52"/>
      <c r="G8" s="54"/>
      <c r="H8" s="54"/>
    </row>
    <row r="9" spans="1:228" s="29" customFormat="1" ht="56.25">
      <c r="A9" s="23">
        <v>3</v>
      </c>
      <c r="B9" s="48" t="s">
        <v>172</v>
      </c>
      <c r="C9" s="23">
        <v>4005000000</v>
      </c>
      <c r="D9" s="50"/>
      <c r="E9" s="51"/>
      <c r="F9" s="51"/>
      <c r="G9" s="51"/>
      <c r="H9" s="51"/>
    </row>
    <row r="10" spans="1:228" s="43" customFormat="1" ht="19.5">
      <c r="A10" s="31" t="s">
        <v>12</v>
      </c>
      <c r="B10" s="41" t="s">
        <v>173</v>
      </c>
      <c r="C10" s="42">
        <v>912361100000</v>
      </c>
      <c r="D10" s="56"/>
      <c r="E10" s="57"/>
      <c r="F10" s="57"/>
      <c r="G10" s="57"/>
      <c r="H10" s="5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row>
    <row r="11" spans="1:228" s="47" customFormat="1" ht="19.5">
      <c r="A11" s="32" t="s">
        <v>174</v>
      </c>
      <c r="B11" s="41" t="s">
        <v>175</v>
      </c>
      <c r="C11" s="42">
        <v>192256000000</v>
      </c>
      <c r="D11" s="56"/>
      <c r="E11" s="57"/>
      <c r="F11" s="57"/>
      <c r="G11" s="57"/>
      <c r="H11" s="57"/>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row>
    <row r="12" spans="1:228" s="29" customFormat="1" ht="37.5">
      <c r="A12" s="32">
        <v>1</v>
      </c>
      <c r="B12" s="58" t="s">
        <v>176</v>
      </c>
      <c r="C12" s="42">
        <v>3837000000</v>
      </c>
      <c r="D12" s="56"/>
      <c r="E12" s="57"/>
      <c r="F12" s="57"/>
      <c r="G12" s="34"/>
      <c r="H12" s="34"/>
    </row>
    <row r="13" spans="1:228" s="29" customFormat="1">
      <c r="A13" s="21" t="s">
        <v>91</v>
      </c>
      <c r="B13" s="59" t="s">
        <v>177</v>
      </c>
      <c r="C13" s="23">
        <v>57000000</v>
      </c>
      <c r="D13" s="50"/>
      <c r="E13" s="51"/>
      <c r="F13" s="51"/>
      <c r="G13" s="60"/>
      <c r="H13" s="60"/>
    </row>
    <row r="14" spans="1:228" s="29" customFormat="1">
      <c r="A14" s="21" t="s">
        <v>91</v>
      </c>
      <c r="B14" s="59" t="s">
        <v>178</v>
      </c>
      <c r="C14" s="23">
        <v>2747000000</v>
      </c>
      <c r="D14" s="50"/>
      <c r="E14" s="51"/>
      <c r="F14" s="51"/>
      <c r="G14" s="60"/>
      <c r="H14" s="60"/>
    </row>
    <row r="15" spans="1:228" s="29" customFormat="1" ht="56.25">
      <c r="A15" s="21" t="s">
        <v>91</v>
      </c>
      <c r="B15" s="59" t="s">
        <v>179</v>
      </c>
      <c r="C15" s="23">
        <v>94000000</v>
      </c>
      <c r="D15" s="50"/>
      <c r="E15" s="51"/>
      <c r="F15" s="51"/>
      <c r="G15" s="60"/>
      <c r="H15" s="60"/>
    </row>
    <row r="16" spans="1:228" s="29" customFormat="1" ht="56.25">
      <c r="A16" s="21" t="s">
        <v>91</v>
      </c>
      <c r="B16" s="59" t="s">
        <v>180</v>
      </c>
      <c r="C16" s="23">
        <v>56000000</v>
      </c>
      <c r="D16" s="50"/>
      <c r="E16" s="51"/>
      <c r="F16" s="51"/>
      <c r="G16" s="60"/>
      <c r="H16" s="60"/>
    </row>
    <row r="17" spans="1:228" s="29" customFormat="1">
      <c r="A17" s="21" t="s">
        <v>91</v>
      </c>
      <c r="B17" s="59" t="s">
        <v>181</v>
      </c>
      <c r="C17" s="23">
        <v>114000000</v>
      </c>
      <c r="D17" s="50"/>
      <c r="E17" s="51"/>
      <c r="F17" s="51"/>
      <c r="G17" s="60"/>
      <c r="H17" s="60"/>
    </row>
    <row r="18" spans="1:228" s="29" customFormat="1" ht="37.5">
      <c r="A18" s="21" t="s">
        <v>91</v>
      </c>
      <c r="B18" s="59" t="s">
        <v>182</v>
      </c>
      <c r="C18" s="23">
        <v>769000000</v>
      </c>
      <c r="D18" s="50"/>
      <c r="E18" s="51"/>
      <c r="F18" s="51"/>
      <c r="G18" s="60"/>
      <c r="H18" s="60"/>
    </row>
    <row r="19" spans="1:228" s="62" customFormat="1" ht="37.5">
      <c r="A19" s="32">
        <v>3</v>
      </c>
      <c r="B19" s="41" t="s">
        <v>183</v>
      </c>
      <c r="C19" s="37"/>
      <c r="D19" s="38"/>
      <c r="E19" s="39"/>
      <c r="F19" s="39"/>
      <c r="G19" s="60"/>
      <c r="H19" s="60"/>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row>
    <row r="20" spans="1:228" s="62" customFormat="1">
      <c r="A20" s="63"/>
      <c r="B20" s="64" t="s">
        <v>184</v>
      </c>
      <c r="C20" s="65">
        <v>169000000</v>
      </c>
      <c r="D20" s="66"/>
      <c r="E20" s="67"/>
      <c r="F20" s="67"/>
      <c r="G20" s="68"/>
      <c r="H20" s="68"/>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row>
    <row r="21" spans="1:228" s="62" customFormat="1">
      <c r="A21" s="63"/>
      <c r="B21" s="64" t="s">
        <v>185</v>
      </c>
      <c r="C21" s="65">
        <v>272890000</v>
      </c>
      <c r="D21" s="66"/>
      <c r="E21" s="67"/>
      <c r="F21" s="67"/>
      <c r="G21" s="68"/>
      <c r="H21" s="68"/>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row>
    <row r="22" spans="1:228" s="62" customFormat="1">
      <c r="A22" s="63"/>
      <c r="B22" s="64" t="s">
        <v>186</v>
      </c>
      <c r="C22" s="65">
        <v>53014000</v>
      </c>
      <c r="D22" s="66"/>
      <c r="E22" s="67"/>
      <c r="F22" s="67"/>
      <c r="G22" s="68"/>
      <c r="H22" s="68"/>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row>
    <row r="23" spans="1:228" s="62" customFormat="1">
      <c r="A23" s="63"/>
      <c r="B23" s="64" t="s">
        <v>187</v>
      </c>
      <c r="C23" s="65">
        <v>182432000</v>
      </c>
      <c r="D23" s="66"/>
      <c r="E23" s="67"/>
      <c r="F23" s="67"/>
      <c r="G23" s="68"/>
      <c r="H23" s="68"/>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row>
    <row r="24" spans="1:228" s="62" customFormat="1">
      <c r="A24" s="63"/>
      <c r="B24" s="64" t="s">
        <v>188</v>
      </c>
      <c r="C24" s="65">
        <v>4876000</v>
      </c>
      <c r="D24" s="66"/>
      <c r="E24" s="67"/>
      <c r="F24" s="67"/>
      <c r="G24" s="68"/>
      <c r="H24" s="68"/>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row>
    <row r="25" spans="1:228" s="62" customFormat="1">
      <c r="A25" s="63"/>
      <c r="B25" s="64" t="s">
        <v>189</v>
      </c>
      <c r="C25" s="65">
        <v>86052000</v>
      </c>
      <c r="D25" s="66"/>
      <c r="E25" s="67"/>
      <c r="F25" s="67"/>
      <c r="G25" s="68"/>
      <c r="H25" s="68"/>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row>
    <row r="26" spans="1:228">
      <c r="A26" s="32">
        <v>2</v>
      </c>
      <c r="B26" s="58" t="s">
        <v>190</v>
      </c>
      <c r="C26" s="42">
        <v>250000000</v>
      </c>
      <c r="D26" s="56"/>
      <c r="E26" s="57"/>
      <c r="F26" s="57"/>
      <c r="G26" s="57"/>
      <c r="H26" s="57"/>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row>
    <row r="27" spans="1:228" s="43" customFormat="1" ht="56.25">
      <c r="A27" s="31">
        <v>3</v>
      </c>
      <c r="B27" s="58" t="s">
        <v>191</v>
      </c>
      <c r="C27" s="42">
        <v>15570000000</v>
      </c>
      <c r="D27" s="38"/>
      <c r="E27" s="39"/>
      <c r="F27" s="39"/>
      <c r="G27" s="70"/>
      <c r="H27" s="70"/>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71"/>
      <c r="GM27" s="71"/>
      <c r="GN27" s="71"/>
      <c r="GO27" s="71"/>
      <c r="GP27" s="71"/>
      <c r="GQ27" s="71"/>
      <c r="GR27" s="71"/>
      <c r="GS27" s="71"/>
      <c r="GT27" s="71"/>
      <c r="GU27" s="71"/>
      <c r="GV27" s="71"/>
      <c r="GW27" s="71"/>
      <c r="GX27" s="71"/>
      <c r="GY27" s="71"/>
      <c r="GZ27" s="71"/>
      <c r="HA27" s="71"/>
      <c r="HB27" s="71"/>
      <c r="HC27" s="71"/>
      <c r="HD27" s="71"/>
      <c r="HE27" s="71"/>
      <c r="HF27" s="71"/>
      <c r="HG27" s="71"/>
      <c r="HH27" s="71"/>
      <c r="HI27" s="71"/>
      <c r="HJ27" s="71"/>
      <c r="HK27" s="71"/>
      <c r="HL27" s="71"/>
      <c r="HM27" s="71"/>
      <c r="HN27" s="71"/>
      <c r="HO27" s="71"/>
      <c r="HP27" s="71"/>
      <c r="HQ27" s="71"/>
      <c r="HR27" s="71"/>
      <c r="HS27" s="71"/>
      <c r="HT27" s="71"/>
    </row>
    <row r="28" spans="1:228" s="43" customFormat="1">
      <c r="A28" s="31" t="s">
        <v>192</v>
      </c>
      <c r="B28" s="58" t="s">
        <v>193</v>
      </c>
      <c r="C28" s="37">
        <v>0</v>
      </c>
      <c r="D28" s="38"/>
      <c r="E28" s="39"/>
      <c r="F28" s="39"/>
      <c r="G28" s="70"/>
      <c r="H28" s="70"/>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71"/>
      <c r="GM28" s="71"/>
      <c r="GN28" s="71"/>
      <c r="GO28" s="71"/>
      <c r="GP28" s="71"/>
      <c r="GQ28" s="71"/>
      <c r="GR28" s="71"/>
      <c r="GS28" s="71"/>
      <c r="GT28" s="71"/>
      <c r="GU28" s="71"/>
      <c r="GV28" s="71"/>
      <c r="GW28" s="71"/>
      <c r="GX28" s="71"/>
      <c r="GY28" s="71"/>
      <c r="GZ28" s="71"/>
      <c r="HA28" s="71"/>
      <c r="HB28" s="71"/>
      <c r="HC28" s="71"/>
      <c r="HD28" s="71"/>
      <c r="HE28" s="71"/>
      <c r="HF28" s="71"/>
      <c r="HG28" s="71"/>
      <c r="HH28" s="71"/>
      <c r="HI28" s="71"/>
      <c r="HJ28" s="71"/>
      <c r="HK28" s="71"/>
      <c r="HL28" s="71"/>
      <c r="HM28" s="71"/>
      <c r="HN28" s="71"/>
      <c r="HO28" s="71"/>
      <c r="HP28" s="71"/>
      <c r="HQ28" s="71"/>
      <c r="HR28" s="71"/>
      <c r="HS28" s="71"/>
      <c r="HT28" s="71"/>
    </row>
    <row r="29" spans="1:228" s="29" customFormat="1">
      <c r="A29" s="72">
        <v>1</v>
      </c>
      <c r="B29" s="73" t="s">
        <v>194</v>
      </c>
      <c r="C29" s="23"/>
      <c r="D29" s="50"/>
      <c r="E29" s="51"/>
      <c r="F29" s="51"/>
      <c r="G29" s="54"/>
      <c r="H29" s="54"/>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row>
    <row r="30" spans="1:228" s="29" customFormat="1">
      <c r="A30" s="72">
        <v>2</v>
      </c>
      <c r="B30" s="59" t="s">
        <v>195</v>
      </c>
      <c r="C30" s="75"/>
      <c r="D30" s="76"/>
      <c r="E30" s="77"/>
      <c r="F30" s="77"/>
      <c r="G30" s="54"/>
      <c r="H30" s="54"/>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row>
    <row r="31" spans="1:228" s="29" customFormat="1">
      <c r="A31" s="72">
        <v>3</v>
      </c>
      <c r="B31" s="59" t="s">
        <v>196</v>
      </c>
      <c r="C31" s="75"/>
      <c r="D31" s="76"/>
      <c r="E31" s="77"/>
      <c r="F31" s="77"/>
      <c r="G31" s="54"/>
      <c r="H31" s="54"/>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row>
    <row r="32" spans="1:228" s="29" customFormat="1">
      <c r="A32" s="72">
        <v>4</v>
      </c>
      <c r="B32" s="59" t="s">
        <v>197</v>
      </c>
      <c r="C32" s="75"/>
      <c r="D32" s="76"/>
      <c r="E32" s="77"/>
      <c r="F32" s="77"/>
      <c r="G32" s="54"/>
      <c r="H32" s="54"/>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row>
    <row r="33" spans="1:228" s="29" customFormat="1">
      <c r="A33" s="72">
        <v>5</v>
      </c>
      <c r="B33" s="59" t="s">
        <v>198</v>
      </c>
      <c r="C33" s="78"/>
      <c r="D33" s="79"/>
      <c r="E33" s="80"/>
      <c r="F33" s="80"/>
      <c r="G33" s="80"/>
      <c r="H33" s="80"/>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row>
    <row r="34" spans="1:228" s="29" customFormat="1">
      <c r="A34" s="72">
        <v>6</v>
      </c>
      <c r="B34" s="59" t="s">
        <v>199</v>
      </c>
      <c r="C34" s="75"/>
      <c r="D34" s="76"/>
      <c r="E34" s="77"/>
      <c r="F34" s="77"/>
      <c r="G34" s="81"/>
      <c r="H34" s="81"/>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row>
    <row r="35" spans="1:228" s="29" customFormat="1">
      <c r="A35" s="72">
        <v>7</v>
      </c>
      <c r="B35" s="59" t="s">
        <v>200</v>
      </c>
      <c r="C35" s="75"/>
      <c r="D35" s="76"/>
      <c r="E35" s="77"/>
      <c r="F35" s="77"/>
      <c r="G35" s="54"/>
      <c r="H35" s="54"/>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row>
    <row r="36" spans="1:228" s="29" customFormat="1">
      <c r="A36" s="72">
        <v>8</v>
      </c>
      <c r="B36" s="59" t="s">
        <v>201</v>
      </c>
      <c r="C36" s="75"/>
      <c r="D36" s="76"/>
      <c r="E36" s="77"/>
      <c r="F36" s="77"/>
      <c r="G36" s="54" t="s">
        <v>202</v>
      </c>
      <c r="H36" s="54"/>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row>
    <row r="37" spans="1:228" s="29" customFormat="1">
      <c r="A37" s="72">
        <v>9</v>
      </c>
      <c r="B37" s="59" t="s">
        <v>203</v>
      </c>
      <c r="C37" s="75"/>
      <c r="D37" s="76"/>
      <c r="E37" s="77"/>
      <c r="F37" s="77"/>
      <c r="G37" s="54"/>
      <c r="H37" s="54"/>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row>
    <row r="38" spans="1:228" s="29" customFormat="1">
      <c r="A38" s="72">
        <v>10</v>
      </c>
      <c r="B38" s="59" t="s">
        <v>204</v>
      </c>
      <c r="C38" s="75"/>
      <c r="D38" s="76"/>
      <c r="E38" s="77"/>
      <c r="F38" s="77"/>
      <c r="G38" s="54" t="s">
        <v>205</v>
      </c>
      <c r="H38" s="54"/>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row>
    <row r="39" spans="1:228" s="29" customFormat="1">
      <c r="A39" s="72">
        <v>11</v>
      </c>
      <c r="B39" s="59" t="s">
        <v>206</v>
      </c>
      <c r="C39" s="75"/>
      <c r="D39" s="76"/>
      <c r="E39" s="77"/>
      <c r="F39" s="77"/>
      <c r="G39" s="54" t="s">
        <v>207</v>
      </c>
      <c r="H39" s="54"/>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row>
    <row r="40" spans="1:228" s="29" customFormat="1">
      <c r="A40" s="72">
        <v>12</v>
      </c>
      <c r="B40" s="59" t="s">
        <v>208</v>
      </c>
      <c r="C40" s="75"/>
      <c r="D40" s="76"/>
      <c r="E40" s="77"/>
      <c r="F40" s="77"/>
      <c r="G40" s="54"/>
      <c r="H40" s="54"/>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row>
    <row r="41" spans="1:228" s="29" customFormat="1">
      <c r="A41" s="72">
        <v>13</v>
      </c>
      <c r="B41" s="59" t="s">
        <v>209</v>
      </c>
      <c r="C41" s="75"/>
      <c r="D41" s="76"/>
      <c r="E41" s="77"/>
      <c r="F41" s="77"/>
      <c r="G41" s="54"/>
      <c r="H41" s="54"/>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row>
    <row r="42" spans="1:228" s="29" customFormat="1">
      <c r="A42" s="72">
        <v>14</v>
      </c>
      <c r="B42" s="59" t="s">
        <v>210</v>
      </c>
      <c r="C42" s="75"/>
      <c r="D42" s="76"/>
      <c r="E42" s="77"/>
      <c r="F42" s="77"/>
      <c r="G42" s="54" t="s">
        <v>211</v>
      </c>
      <c r="H42" s="54"/>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row>
    <row r="43" spans="1:228" s="29" customFormat="1" ht="37.5">
      <c r="A43" s="72">
        <v>15</v>
      </c>
      <c r="B43" s="59" t="s">
        <v>212</v>
      </c>
      <c r="C43" s="75"/>
      <c r="D43" s="76"/>
      <c r="E43" s="77"/>
      <c r="F43" s="77"/>
      <c r="G43" s="54" t="s">
        <v>213</v>
      </c>
      <c r="H43" s="54"/>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row>
    <row r="44" spans="1:228" s="29" customFormat="1">
      <c r="A44" s="72">
        <v>16</v>
      </c>
      <c r="B44" s="59" t="s">
        <v>214</v>
      </c>
      <c r="C44" s="75"/>
      <c r="D44" s="76"/>
      <c r="E44" s="77"/>
      <c r="F44" s="77"/>
      <c r="G44" s="54" t="s">
        <v>215</v>
      </c>
      <c r="H44" s="54"/>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row>
    <row r="45" spans="1:228" s="29" customFormat="1">
      <c r="A45" s="72">
        <v>17</v>
      </c>
      <c r="B45" s="59" t="s">
        <v>216</v>
      </c>
      <c r="C45" s="75"/>
      <c r="D45" s="76"/>
      <c r="E45" s="77"/>
      <c r="F45" s="77"/>
      <c r="G45" s="54"/>
      <c r="H45" s="54"/>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row>
    <row r="46" spans="1:228" s="43" customFormat="1">
      <c r="A46" s="72">
        <v>18</v>
      </c>
      <c r="B46" s="59" t="s">
        <v>217</v>
      </c>
      <c r="C46" s="75"/>
      <c r="D46" s="76"/>
      <c r="E46" s="77"/>
      <c r="F46" s="77"/>
      <c r="G46" s="54"/>
      <c r="H46" s="54"/>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row>
    <row r="47" spans="1:228" s="43" customFormat="1">
      <c r="A47" s="72">
        <v>19</v>
      </c>
      <c r="B47" s="59" t="s">
        <v>218</v>
      </c>
      <c r="C47" s="75"/>
      <c r="D47" s="76"/>
      <c r="E47" s="77"/>
      <c r="F47" s="77"/>
      <c r="G47" s="54"/>
      <c r="H47" s="54"/>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1"/>
      <c r="DV47" s="71"/>
      <c r="DW47" s="71"/>
      <c r="DX47" s="71"/>
      <c r="DY47" s="71"/>
      <c r="DZ47" s="71"/>
      <c r="EA47" s="71"/>
      <c r="EB47" s="71"/>
      <c r="EC47" s="71"/>
      <c r="ED47" s="71"/>
      <c r="EE47" s="71"/>
      <c r="EF47" s="71"/>
      <c r="EG47" s="71"/>
      <c r="EH47" s="71"/>
      <c r="EI47" s="71"/>
      <c r="EJ47" s="71"/>
      <c r="EK47" s="71"/>
      <c r="EL47" s="71"/>
      <c r="EM47" s="71"/>
      <c r="EN47" s="71"/>
      <c r="EO47" s="71"/>
      <c r="EP47" s="71"/>
      <c r="EQ47" s="71"/>
      <c r="ER47" s="71"/>
      <c r="ES47" s="71"/>
      <c r="ET47" s="71"/>
      <c r="EU47" s="71"/>
      <c r="EV47" s="71"/>
      <c r="EW47" s="71"/>
      <c r="EX47" s="71"/>
      <c r="EY47" s="71"/>
      <c r="EZ47" s="71"/>
      <c r="FA47" s="71"/>
      <c r="FB47" s="71"/>
      <c r="FC47" s="71"/>
      <c r="FD47" s="71"/>
      <c r="FE47" s="71"/>
      <c r="FF47" s="71"/>
      <c r="FG47" s="71"/>
      <c r="FH47" s="71"/>
      <c r="FI47" s="71"/>
      <c r="FJ47" s="71"/>
      <c r="FK47" s="71"/>
      <c r="FL47" s="71"/>
      <c r="FM47" s="71"/>
      <c r="FN47" s="71"/>
      <c r="FO47" s="71"/>
      <c r="FP47" s="71"/>
      <c r="FQ47" s="71"/>
      <c r="FR47" s="71"/>
      <c r="FS47" s="71"/>
      <c r="FT47" s="71"/>
      <c r="FU47" s="71"/>
      <c r="FV47" s="71"/>
      <c r="FW47" s="71"/>
      <c r="FX47" s="71"/>
      <c r="FY47" s="71"/>
      <c r="FZ47" s="71"/>
      <c r="GA47" s="71"/>
      <c r="GB47" s="71"/>
      <c r="GC47" s="71"/>
      <c r="GD47" s="71"/>
      <c r="GE47" s="71"/>
      <c r="GF47" s="71"/>
      <c r="GG47" s="71"/>
      <c r="GH47" s="71"/>
      <c r="GI47" s="71"/>
      <c r="GJ47" s="71"/>
      <c r="GK47" s="71"/>
      <c r="GL47" s="71"/>
      <c r="GM47" s="71"/>
      <c r="GN47" s="71"/>
      <c r="GO47" s="71"/>
      <c r="GP47" s="71"/>
      <c r="GQ47" s="71"/>
      <c r="GR47" s="71"/>
      <c r="GS47" s="71"/>
      <c r="GT47" s="71"/>
      <c r="GU47" s="71"/>
      <c r="GV47" s="71"/>
      <c r="GW47" s="71"/>
      <c r="GX47" s="71"/>
      <c r="GY47" s="71"/>
      <c r="GZ47" s="71"/>
      <c r="HA47" s="71"/>
      <c r="HB47" s="71"/>
      <c r="HC47" s="71"/>
      <c r="HD47" s="71"/>
      <c r="HE47" s="71"/>
      <c r="HF47" s="71"/>
      <c r="HG47" s="71"/>
      <c r="HH47" s="71"/>
      <c r="HI47" s="71"/>
      <c r="HJ47" s="71"/>
      <c r="HK47" s="71"/>
      <c r="HL47" s="71"/>
      <c r="HM47" s="71"/>
      <c r="HN47" s="71"/>
      <c r="HO47" s="71"/>
      <c r="HP47" s="71"/>
      <c r="HQ47" s="71"/>
      <c r="HR47" s="71"/>
      <c r="HS47" s="71"/>
      <c r="HT47" s="71"/>
    </row>
    <row r="48" spans="1:228" s="47" customFormat="1" ht="39">
      <c r="A48" s="82" t="s">
        <v>106</v>
      </c>
      <c r="B48" s="83" t="s">
        <v>219</v>
      </c>
      <c r="C48" s="45">
        <v>8989000000</v>
      </c>
      <c r="D48" s="85"/>
      <c r="E48" s="86"/>
      <c r="F48" s="86"/>
      <c r="G48" s="87"/>
      <c r="H48" s="87"/>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88"/>
      <c r="HH48" s="88"/>
      <c r="HI48" s="88"/>
      <c r="HJ48" s="88"/>
      <c r="HK48" s="88"/>
      <c r="HL48" s="88"/>
      <c r="HM48" s="88"/>
      <c r="HN48" s="88"/>
      <c r="HO48" s="88"/>
      <c r="HP48" s="88"/>
      <c r="HQ48" s="88"/>
      <c r="HR48" s="88"/>
      <c r="HS48" s="88"/>
      <c r="HT48" s="88"/>
    </row>
    <row r="49" spans="1:228" s="43" customFormat="1">
      <c r="A49" s="31" t="s">
        <v>220</v>
      </c>
      <c r="B49" s="58" t="s">
        <v>221</v>
      </c>
      <c r="C49" s="42">
        <v>1000000000</v>
      </c>
      <c r="D49" s="38"/>
      <c r="E49" s="39"/>
      <c r="F49" s="39"/>
      <c r="G49" s="70"/>
      <c r="H49" s="70"/>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c r="HM49" s="71"/>
      <c r="HN49" s="71"/>
      <c r="HO49" s="71"/>
      <c r="HP49" s="71"/>
      <c r="HQ49" s="71"/>
      <c r="HR49" s="71"/>
      <c r="HS49" s="71"/>
      <c r="HT49" s="71"/>
    </row>
    <row r="50" spans="1:228" s="29" customFormat="1">
      <c r="A50" s="72" t="s">
        <v>222</v>
      </c>
      <c r="B50" s="59" t="s">
        <v>204</v>
      </c>
      <c r="C50" s="23">
        <v>500000000</v>
      </c>
      <c r="D50" s="50"/>
      <c r="E50" s="51"/>
      <c r="F50" s="51"/>
      <c r="G50" s="54"/>
      <c r="H50" s="54"/>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row>
    <row r="51" spans="1:228" s="61" customFormat="1">
      <c r="A51" s="89" t="s">
        <v>91</v>
      </c>
      <c r="B51" s="90" t="s">
        <v>223</v>
      </c>
      <c r="C51" s="65">
        <v>250000000</v>
      </c>
      <c r="D51" s="66"/>
      <c r="E51" s="67"/>
      <c r="F51" s="67"/>
      <c r="G51" s="80"/>
      <c r="H51" s="80"/>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row>
    <row r="52" spans="1:228" s="61" customFormat="1">
      <c r="A52" s="89" t="s">
        <v>91</v>
      </c>
      <c r="B52" s="90" t="s">
        <v>224</v>
      </c>
      <c r="C52" s="65">
        <v>250000000</v>
      </c>
      <c r="D52" s="66"/>
      <c r="E52" s="67"/>
      <c r="F52" s="67"/>
      <c r="G52" s="80"/>
      <c r="H52" s="80"/>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row>
    <row r="53" spans="1:228" s="29" customFormat="1">
      <c r="A53" s="72" t="s">
        <v>225</v>
      </c>
      <c r="B53" s="59" t="s">
        <v>226</v>
      </c>
      <c r="C53" s="23">
        <v>500000000</v>
      </c>
      <c r="D53" s="76"/>
      <c r="E53" s="77"/>
      <c r="F53" s="77"/>
      <c r="G53" s="54"/>
      <c r="H53" s="54"/>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row>
    <row r="54" spans="1:228" s="43" customFormat="1" ht="75">
      <c r="A54" s="31" t="s">
        <v>227</v>
      </c>
      <c r="B54" s="58" t="s">
        <v>228</v>
      </c>
      <c r="C54" s="42">
        <v>4000000000</v>
      </c>
      <c r="D54" s="56" t="s">
        <v>229</v>
      </c>
      <c r="E54" s="39"/>
      <c r="F54" s="39"/>
      <c r="G54" s="70"/>
      <c r="H54" s="70"/>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c r="DM54" s="71"/>
      <c r="DN54" s="71"/>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1"/>
      <c r="ER54" s="71"/>
      <c r="ES54" s="71"/>
      <c r="ET54" s="71"/>
      <c r="EU54" s="71"/>
      <c r="EV54" s="71"/>
      <c r="EW54" s="71"/>
      <c r="EX54" s="71"/>
      <c r="EY54" s="71"/>
      <c r="EZ54" s="71"/>
      <c r="FA54" s="71"/>
      <c r="FB54" s="71"/>
      <c r="FC54" s="71"/>
      <c r="FD54" s="71"/>
      <c r="FE54" s="71"/>
      <c r="FF54" s="71"/>
      <c r="FG54" s="71"/>
      <c r="FH54" s="71"/>
      <c r="FI54" s="71"/>
      <c r="FJ54" s="71"/>
      <c r="FK54" s="71"/>
      <c r="FL54" s="71"/>
      <c r="FM54" s="71"/>
      <c r="FN54" s="71"/>
      <c r="FO54" s="71"/>
      <c r="FP54" s="71"/>
      <c r="FQ54" s="71"/>
      <c r="FR54" s="71"/>
      <c r="FS54" s="71"/>
      <c r="FT54" s="71"/>
      <c r="FU54" s="71"/>
      <c r="FV54" s="71"/>
      <c r="FW54" s="71"/>
      <c r="FX54" s="71"/>
      <c r="FY54" s="71"/>
      <c r="FZ54" s="71"/>
      <c r="GA54" s="71"/>
      <c r="GB54" s="71"/>
      <c r="GC54" s="71"/>
      <c r="GD54" s="71"/>
      <c r="GE54" s="71"/>
      <c r="GF54" s="71"/>
      <c r="GG54" s="71"/>
      <c r="GH54" s="71"/>
      <c r="GI54" s="71"/>
      <c r="GJ54" s="71"/>
      <c r="GK54" s="71"/>
      <c r="GL54" s="71"/>
      <c r="GM54" s="71"/>
      <c r="GN54" s="71"/>
      <c r="GO54" s="71"/>
      <c r="GP54" s="71"/>
      <c r="GQ54" s="71"/>
      <c r="GR54" s="71"/>
      <c r="GS54" s="71"/>
      <c r="GT54" s="71"/>
      <c r="GU54" s="71"/>
      <c r="GV54" s="71"/>
      <c r="GW54" s="71"/>
      <c r="GX54" s="71"/>
      <c r="GY54" s="71"/>
      <c r="GZ54" s="71"/>
      <c r="HA54" s="71"/>
      <c r="HB54" s="71"/>
      <c r="HC54" s="71"/>
      <c r="HD54" s="71"/>
      <c r="HE54" s="71"/>
      <c r="HF54" s="71"/>
      <c r="HG54" s="71"/>
      <c r="HH54" s="71"/>
      <c r="HI54" s="71"/>
      <c r="HJ54" s="71"/>
      <c r="HK54" s="71"/>
      <c r="HL54" s="71"/>
      <c r="HM54" s="71"/>
      <c r="HN54" s="71"/>
      <c r="HO54" s="71"/>
      <c r="HP54" s="71"/>
      <c r="HQ54" s="71"/>
      <c r="HR54" s="71"/>
      <c r="HS54" s="71"/>
      <c r="HT54" s="71"/>
    </row>
    <row r="55" spans="1:228" s="43" customFormat="1">
      <c r="A55" s="31" t="s">
        <v>230</v>
      </c>
      <c r="B55" s="58" t="s">
        <v>231</v>
      </c>
      <c r="C55" s="42">
        <v>3000000000</v>
      </c>
      <c r="D55" s="38"/>
      <c r="E55" s="39"/>
      <c r="F55" s="39"/>
      <c r="G55" s="70"/>
      <c r="H55" s="70"/>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c r="DM55" s="71"/>
      <c r="DN55" s="71"/>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1"/>
      <c r="ER55" s="71"/>
      <c r="ES55" s="71"/>
      <c r="ET55" s="71"/>
      <c r="EU55" s="71"/>
      <c r="EV55" s="71"/>
      <c r="EW55" s="71"/>
      <c r="EX55" s="71"/>
      <c r="EY55" s="71"/>
      <c r="EZ55" s="71"/>
      <c r="FA55" s="71"/>
      <c r="FB55" s="71"/>
      <c r="FC55" s="71"/>
      <c r="FD55" s="71"/>
      <c r="FE55" s="71"/>
      <c r="FF55" s="71"/>
      <c r="FG55" s="71"/>
      <c r="FH55" s="71"/>
      <c r="FI55" s="71"/>
      <c r="FJ55" s="71"/>
      <c r="FK55" s="71"/>
      <c r="FL55" s="71"/>
      <c r="FM55" s="71"/>
      <c r="FN55" s="71"/>
      <c r="FO55" s="71"/>
      <c r="FP55" s="71"/>
      <c r="FQ55" s="71"/>
      <c r="FR55" s="71"/>
      <c r="FS55" s="71"/>
      <c r="FT55" s="71"/>
      <c r="FU55" s="71"/>
      <c r="FV55" s="71"/>
      <c r="FW55" s="71"/>
      <c r="FX55" s="71"/>
      <c r="FY55" s="71"/>
      <c r="FZ55" s="71"/>
      <c r="GA55" s="71"/>
      <c r="GB55" s="71"/>
      <c r="GC55" s="71"/>
      <c r="GD55" s="71"/>
      <c r="GE55" s="71"/>
      <c r="GF55" s="71"/>
      <c r="GG55" s="71"/>
      <c r="GH55" s="71"/>
      <c r="GI55" s="71"/>
      <c r="GJ55" s="71"/>
      <c r="GK55" s="71"/>
      <c r="GL55" s="71"/>
      <c r="GM55" s="71"/>
      <c r="GN55" s="71"/>
      <c r="GO55" s="71"/>
      <c r="GP55" s="71"/>
      <c r="GQ55" s="71"/>
      <c r="GR55" s="71"/>
      <c r="GS55" s="71"/>
      <c r="GT55" s="71"/>
      <c r="GU55" s="71"/>
      <c r="GV55" s="71"/>
      <c r="GW55" s="71"/>
      <c r="GX55" s="71"/>
      <c r="GY55" s="71"/>
      <c r="GZ55" s="71"/>
      <c r="HA55" s="71"/>
      <c r="HB55" s="71"/>
      <c r="HC55" s="71"/>
      <c r="HD55" s="71"/>
      <c r="HE55" s="71"/>
      <c r="HF55" s="71"/>
      <c r="HG55" s="71"/>
      <c r="HH55" s="71"/>
      <c r="HI55" s="71"/>
      <c r="HJ55" s="71"/>
      <c r="HK55" s="71"/>
      <c r="HL55" s="71"/>
      <c r="HM55" s="71"/>
      <c r="HN55" s="71"/>
      <c r="HO55" s="71"/>
      <c r="HP55" s="71"/>
      <c r="HQ55" s="71"/>
      <c r="HR55" s="71"/>
      <c r="HS55" s="71"/>
      <c r="HT55" s="71"/>
    </row>
    <row r="56" spans="1:228" s="43" customFormat="1">
      <c r="A56" s="31" t="s">
        <v>232</v>
      </c>
      <c r="B56" s="58" t="s">
        <v>233</v>
      </c>
      <c r="C56" s="42">
        <v>989000000</v>
      </c>
      <c r="D56" s="38"/>
      <c r="E56" s="39"/>
      <c r="F56" s="39"/>
      <c r="G56" s="70"/>
      <c r="H56" s="70"/>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c r="FX56" s="71"/>
      <c r="FY56" s="71"/>
      <c r="FZ56" s="71"/>
      <c r="GA56" s="71"/>
      <c r="GB56" s="71"/>
      <c r="GC56" s="71"/>
      <c r="GD56" s="71"/>
      <c r="GE56" s="71"/>
      <c r="GF56" s="71"/>
      <c r="GG56" s="71"/>
      <c r="GH56" s="71"/>
      <c r="GI56" s="71"/>
      <c r="GJ56" s="71"/>
      <c r="GK56" s="71"/>
      <c r="GL56" s="71"/>
      <c r="GM56" s="71"/>
      <c r="GN56" s="71"/>
      <c r="GO56" s="71"/>
      <c r="GP56" s="71"/>
      <c r="GQ56" s="71"/>
      <c r="GR56" s="71"/>
      <c r="GS56" s="71"/>
      <c r="GT56" s="71"/>
      <c r="GU56" s="71"/>
      <c r="GV56" s="71"/>
      <c r="GW56" s="71"/>
      <c r="GX56" s="71"/>
      <c r="GY56" s="71"/>
      <c r="GZ56" s="71"/>
      <c r="HA56" s="71"/>
      <c r="HB56" s="71"/>
      <c r="HC56" s="71"/>
      <c r="HD56" s="71"/>
      <c r="HE56" s="71"/>
      <c r="HF56" s="71"/>
      <c r="HG56" s="71"/>
      <c r="HH56" s="71"/>
      <c r="HI56" s="71"/>
      <c r="HJ56" s="71"/>
      <c r="HK56" s="71"/>
      <c r="HL56" s="71"/>
      <c r="HM56" s="71"/>
      <c r="HN56" s="71"/>
      <c r="HO56" s="71"/>
      <c r="HP56" s="71"/>
      <c r="HQ56" s="71"/>
      <c r="HR56" s="71"/>
      <c r="HS56" s="71"/>
      <c r="HT56" s="71"/>
    </row>
    <row r="57" spans="1:228" s="43" customFormat="1" ht="19.5">
      <c r="A57" s="31" t="s">
        <v>107</v>
      </c>
      <c r="B57" s="83" t="s">
        <v>234</v>
      </c>
      <c r="C57" s="45">
        <v>3000000000</v>
      </c>
      <c r="D57" s="92"/>
      <c r="E57" s="93"/>
      <c r="F57" s="93"/>
      <c r="G57" s="70"/>
      <c r="H57" s="70"/>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s="71"/>
      <c r="FH57" s="71"/>
      <c r="FI57" s="71"/>
      <c r="FJ57" s="71"/>
      <c r="FK57" s="71"/>
      <c r="FL57" s="71"/>
      <c r="FM57" s="71"/>
      <c r="FN57" s="71"/>
      <c r="FO57" s="71"/>
      <c r="FP57" s="71"/>
      <c r="FQ57" s="71"/>
      <c r="FR57" s="71"/>
      <c r="FS57" s="71"/>
      <c r="FT57" s="71"/>
      <c r="FU57" s="71"/>
      <c r="FV57" s="71"/>
      <c r="FW57" s="71"/>
      <c r="FX57" s="71"/>
      <c r="FY57" s="71"/>
      <c r="FZ57" s="71"/>
      <c r="GA57" s="71"/>
      <c r="GB57" s="71"/>
      <c r="GC57" s="71"/>
      <c r="GD57" s="71"/>
      <c r="GE57" s="71"/>
      <c r="GF57" s="71"/>
      <c r="GG57" s="71"/>
      <c r="GH57" s="71"/>
      <c r="GI57" s="71"/>
      <c r="GJ57" s="71"/>
      <c r="GK57" s="71"/>
      <c r="GL57" s="71"/>
      <c r="GM57" s="71"/>
      <c r="GN57" s="71"/>
      <c r="GO57" s="71"/>
      <c r="GP57" s="71"/>
      <c r="GQ57" s="71"/>
      <c r="GR57" s="71"/>
      <c r="GS57" s="71"/>
      <c r="GT57" s="71"/>
      <c r="GU57" s="71"/>
      <c r="GV57" s="71"/>
      <c r="GW57" s="71"/>
      <c r="GX57" s="71"/>
      <c r="GY57" s="71"/>
      <c r="GZ57" s="71"/>
      <c r="HA57" s="71"/>
      <c r="HB57" s="71"/>
      <c r="HC57" s="71"/>
      <c r="HD57" s="71"/>
      <c r="HE57" s="71"/>
      <c r="HF57" s="71"/>
      <c r="HG57" s="71"/>
      <c r="HH57" s="71"/>
      <c r="HI57" s="71"/>
      <c r="HJ57" s="71"/>
      <c r="HK57" s="71"/>
      <c r="HL57" s="71"/>
      <c r="HM57" s="71"/>
      <c r="HN57" s="71"/>
      <c r="HO57" s="71"/>
      <c r="HP57" s="71"/>
      <c r="HQ57" s="71"/>
      <c r="HR57" s="71"/>
      <c r="HS57" s="71"/>
      <c r="HT57" s="71"/>
    </row>
    <row r="58" spans="1:228" s="29" customFormat="1">
      <c r="A58" s="72"/>
      <c r="B58" s="90"/>
      <c r="C58" s="65"/>
      <c r="D58" s="79"/>
      <c r="E58" s="94"/>
      <c r="F58" s="94"/>
      <c r="G58" s="54"/>
      <c r="H58" s="54"/>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row>
    <row r="59" spans="1:228" s="29" customFormat="1">
      <c r="A59" s="72" t="s">
        <v>91</v>
      </c>
      <c r="B59" s="90" t="s">
        <v>235</v>
      </c>
      <c r="C59" s="65"/>
      <c r="D59" s="79"/>
      <c r="E59" s="94"/>
      <c r="F59" s="94"/>
      <c r="G59" s="54"/>
      <c r="H59" s="54"/>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row>
    <row r="60" spans="1:228" s="43" customFormat="1" ht="75">
      <c r="A60" s="31" t="s">
        <v>236</v>
      </c>
      <c r="B60" s="58" t="s">
        <v>237</v>
      </c>
      <c r="C60" s="42">
        <v>3581000000</v>
      </c>
      <c r="D60" s="56"/>
      <c r="E60" s="57"/>
      <c r="F60" s="57"/>
      <c r="G60" s="70"/>
      <c r="H60" s="70"/>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71"/>
      <c r="EC60" s="71"/>
      <c r="ED60" s="71"/>
      <c r="EE60" s="71"/>
      <c r="EF60" s="71"/>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71"/>
      <c r="GC60" s="71"/>
      <c r="GD60" s="71"/>
      <c r="GE60" s="71"/>
      <c r="GF60" s="71"/>
      <c r="GG60" s="71"/>
      <c r="GH60" s="71"/>
      <c r="GI60" s="71"/>
      <c r="GJ60" s="71"/>
      <c r="GK60" s="71"/>
      <c r="GL60" s="71"/>
      <c r="GM60" s="71"/>
      <c r="GN60" s="71"/>
      <c r="GO60" s="71"/>
      <c r="GP60" s="71"/>
      <c r="GQ60" s="71"/>
      <c r="GR60" s="71"/>
      <c r="GS60" s="71"/>
      <c r="GT60" s="71"/>
      <c r="GU60" s="71"/>
      <c r="GV60" s="71"/>
      <c r="GW60" s="71"/>
      <c r="GX60" s="71"/>
      <c r="GY60" s="71"/>
      <c r="GZ60" s="71"/>
      <c r="HA60" s="71"/>
      <c r="HB60" s="71"/>
      <c r="HC60" s="71"/>
      <c r="HD60" s="71"/>
      <c r="HE60" s="71"/>
      <c r="HF60" s="71"/>
      <c r="HG60" s="71"/>
      <c r="HH60" s="71"/>
      <c r="HI60" s="71"/>
      <c r="HJ60" s="71"/>
      <c r="HK60" s="71"/>
      <c r="HL60" s="71"/>
      <c r="HM60" s="71"/>
      <c r="HN60" s="71"/>
      <c r="HO60" s="71"/>
      <c r="HP60" s="71"/>
      <c r="HQ60" s="71"/>
      <c r="HR60" s="71"/>
      <c r="HS60" s="71"/>
      <c r="HT60" s="71"/>
    </row>
    <row r="61" spans="1:228" s="62" customFormat="1">
      <c r="A61" s="32">
        <v>4</v>
      </c>
      <c r="B61" s="42" t="s">
        <v>238</v>
      </c>
      <c r="C61" s="42">
        <v>1000000000</v>
      </c>
      <c r="D61" s="56"/>
      <c r="E61" s="57"/>
      <c r="F61" s="57"/>
      <c r="G61" s="70"/>
      <c r="H61" s="70"/>
    </row>
    <row r="62" spans="1:228" s="62" customFormat="1" ht="37.5">
      <c r="A62" s="32">
        <v>5</v>
      </c>
      <c r="B62" s="42" t="s">
        <v>239</v>
      </c>
      <c r="C62" s="42">
        <v>1000000000</v>
      </c>
      <c r="D62" s="56"/>
      <c r="E62" s="57"/>
      <c r="F62" s="57"/>
      <c r="G62" s="95"/>
      <c r="H62" s="95"/>
    </row>
    <row r="63" spans="1:228" s="62" customFormat="1">
      <c r="A63" s="32">
        <v>6</v>
      </c>
      <c r="B63" s="42" t="s">
        <v>240</v>
      </c>
      <c r="C63" s="42">
        <v>1980000000</v>
      </c>
      <c r="D63" s="56"/>
      <c r="E63" s="57"/>
      <c r="F63" s="57"/>
      <c r="G63" s="96"/>
      <c r="H63" s="96"/>
    </row>
    <row r="64" spans="1:228" s="62" customFormat="1">
      <c r="A64" s="49" t="s">
        <v>91</v>
      </c>
      <c r="B64" s="23" t="s">
        <v>241</v>
      </c>
      <c r="C64" s="23">
        <v>425000000</v>
      </c>
      <c r="D64" s="50"/>
      <c r="E64" s="51"/>
      <c r="F64" s="51"/>
      <c r="G64" s="97"/>
      <c r="H64" s="97"/>
    </row>
    <row r="65" spans="1:228" s="62" customFormat="1">
      <c r="A65" s="49" t="s">
        <v>91</v>
      </c>
      <c r="B65" s="23" t="s">
        <v>242</v>
      </c>
      <c r="C65" s="23">
        <v>555000000</v>
      </c>
      <c r="D65" s="50"/>
      <c r="E65" s="51"/>
      <c r="F65" s="51"/>
      <c r="G65" s="97"/>
      <c r="H65" s="97"/>
    </row>
    <row r="66" spans="1:228" s="62" customFormat="1">
      <c r="A66" s="49" t="s">
        <v>91</v>
      </c>
      <c r="B66" s="23" t="s">
        <v>243</v>
      </c>
      <c r="C66" s="23">
        <v>1000000000</v>
      </c>
      <c r="D66" s="50"/>
      <c r="E66" s="51"/>
      <c r="F66" s="51"/>
      <c r="G66" s="97"/>
      <c r="H66" s="97"/>
    </row>
    <row r="67" spans="1:228" s="29" customFormat="1">
      <c r="A67" s="89"/>
      <c r="B67" s="90"/>
      <c r="C67" s="91"/>
      <c r="D67" s="79"/>
      <c r="E67" s="98"/>
      <c r="F67" s="98"/>
      <c r="G67" s="95"/>
      <c r="H67" s="95"/>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row>
    <row r="68" spans="1:228" ht="75">
      <c r="A68" s="32">
        <v>7</v>
      </c>
      <c r="B68" s="42" t="s">
        <v>244</v>
      </c>
      <c r="C68" s="42">
        <f>157500000000-25000000000</f>
        <v>132500000000</v>
      </c>
      <c r="D68" s="56" t="s">
        <v>245</v>
      </c>
      <c r="E68" s="39"/>
      <c r="F68" s="39"/>
      <c r="G68" s="70"/>
      <c r="H68" s="70"/>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row>
    <row r="69" spans="1:228" s="71" customFormat="1" ht="37.5">
      <c r="A69" s="32">
        <v>8</v>
      </c>
      <c r="B69" s="42" t="s">
        <v>246</v>
      </c>
      <c r="C69" s="42">
        <v>25000000000</v>
      </c>
      <c r="D69" s="56"/>
      <c r="E69" s="57"/>
      <c r="F69" s="57"/>
      <c r="G69" s="34"/>
      <c r="H69" s="34"/>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c r="HF69" s="88"/>
      <c r="HG69" s="88"/>
      <c r="HH69" s="88"/>
      <c r="HI69" s="88"/>
      <c r="HJ69" s="88"/>
      <c r="HK69" s="88"/>
      <c r="HL69" s="88"/>
      <c r="HM69" s="88"/>
      <c r="HN69" s="88"/>
      <c r="HO69" s="88"/>
      <c r="HP69" s="88"/>
      <c r="HQ69" s="88"/>
      <c r="HR69" s="88"/>
      <c r="HS69" s="88"/>
      <c r="HT69" s="88"/>
    </row>
    <row r="70" spans="1:228">
      <c r="A70" s="32">
        <v>9</v>
      </c>
      <c r="B70" s="42" t="s">
        <v>247</v>
      </c>
      <c r="C70" s="42">
        <v>8575000000</v>
      </c>
      <c r="D70" s="56"/>
      <c r="E70" s="57"/>
      <c r="F70" s="57"/>
      <c r="G70" s="70"/>
      <c r="H70" s="70"/>
    </row>
    <row r="71" spans="1:228">
      <c r="A71" s="99" t="s">
        <v>248</v>
      </c>
      <c r="B71" s="42" t="s">
        <v>249</v>
      </c>
      <c r="C71" s="42">
        <v>2693000000</v>
      </c>
      <c r="D71" s="1849"/>
      <c r="E71" s="57"/>
      <c r="F71" s="57"/>
    </row>
    <row r="72" spans="1:228">
      <c r="A72" s="99" t="s">
        <v>248</v>
      </c>
      <c r="B72" s="42" t="s">
        <v>250</v>
      </c>
      <c r="C72" s="42">
        <v>1328000000</v>
      </c>
      <c r="D72" s="1849"/>
      <c r="E72" s="57"/>
      <c r="F72" s="57"/>
    </row>
    <row r="73" spans="1:228">
      <c r="A73" s="21" t="s">
        <v>91</v>
      </c>
      <c r="B73" s="23" t="s">
        <v>64</v>
      </c>
      <c r="C73" s="23">
        <v>344000000</v>
      </c>
      <c r="D73" s="50"/>
      <c r="E73" s="51"/>
      <c r="F73" s="51"/>
      <c r="G73" s="60"/>
      <c r="H73" s="60"/>
    </row>
    <row r="74" spans="1:228">
      <c r="A74" s="21" t="s">
        <v>91</v>
      </c>
      <c r="B74" s="23" t="s">
        <v>65</v>
      </c>
      <c r="C74" s="23">
        <v>494000000</v>
      </c>
      <c r="D74" s="50"/>
      <c r="E74" s="51"/>
      <c r="F74" s="51"/>
      <c r="G74" s="60"/>
      <c r="H74" s="60"/>
    </row>
    <row r="75" spans="1:228">
      <c r="A75" s="21" t="s">
        <v>91</v>
      </c>
      <c r="B75" s="23" t="s">
        <v>66</v>
      </c>
      <c r="C75" s="23">
        <v>67000000</v>
      </c>
      <c r="D75" s="50"/>
      <c r="E75" s="51"/>
      <c r="F75" s="51"/>
      <c r="G75" s="60"/>
      <c r="H75" s="60"/>
    </row>
    <row r="76" spans="1:228">
      <c r="A76" s="21" t="s">
        <v>91</v>
      </c>
      <c r="B76" s="23" t="s">
        <v>67</v>
      </c>
      <c r="C76" s="23">
        <v>355000000</v>
      </c>
      <c r="D76" s="50"/>
      <c r="E76" s="51"/>
      <c r="F76" s="51"/>
      <c r="G76" s="60"/>
      <c r="H76" s="60"/>
    </row>
    <row r="77" spans="1:228">
      <c r="A77" s="21" t="s">
        <v>91</v>
      </c>
      <c r="B77" s="23" t="s">
        <v>68</v>
      </c>
      <c r="C77" s="23">
        <v>68000000</v>
      </c>
      <c r="D77" s="50"/>
      <c r="E77" s="51"/>
      <c r="F77" s="51"/>
      <c r="G77" s="60"/>
      <c r="H77" s="60"/>
    </row>
    <row r="78" spans="1:228">
      <c r="A78" s="99" t="s">
        <v>248</v>
      </c>
      <c r="B78" s="42" t="s">
        <v>251</v>
      </c>
      <c r="C78" s="42">
        <v>4554000000</v>
      </c>
      <c r="D78" s="56"/>
      <c r="E78" s="57"/>
      <c r="F78" s="57"/>
      <c r="G78" s="46"/>
      <c r="H78" s="46"/>
    </row>
    <row r="79" spans="1:228">
      <c r="A79" s="32">
        <v>10</v>
      </c>
      <c r="B79" s="42" t="s">
        <v>194</v>
      </c>
      <c r="C79" s="37">
        <v>2224000000</v>
      </c>
      <c r="D79" s="38"/>
      <c r="E79" s="39"/>
      <c r="F79" s="39"/>
      <c r="G79" s="70"/>
      <c r="H79" s="70"/>
    </row>
    <row r="80" spans="1:228" s="71" customFormat="1">
      <c r="A80" s="31" t="s">
        <v>222</v>
      </c>
      <c r="B80" s="101" t="s">
        <v>252</v>
      </c>
      <c r="C80" s="102">
        <v>1073000000</v>
      </c>
      <c r="D80" s="38"/>
      <c r="E80" s="103"/>
      <c r="F80" s="103"/>
      <c r="G80" s="104"/>
      <c r="H80" s="104"/>
    </row>
    <row r="81" spans="1:228">
      <c r="A81" s="72" t="s">
        <v>192</v>
      </c>
      <c r="B81" s="105" t="s">
        <v>253</v>
      </c>
      <c r="C81" s="91">
        <v>1073000000</v>
      </c>
      <c r="D81" s="79"/>
      <c r="E81" s="98"/>
      <c r="F81" s="98"/>
      <c r="G81" s="98"/>
      <c r="H81" s="98"/>
    </row>
    <row r="82" spans="1:228" ht="37.5">
      <c r="A82" s="106" t="s">
        <v>91</v>
      </c>
      <c r="B82" s="105" t="s">
        <v>254</v>
      </c>
      <c r="C82" s="107">
        <v>1073000000</v>
      </c>
      <c r="D82" s="76"/>
      <c r="E82" s="108"/>
      <c r="F82" s="108"/>
      <c r="G82" s="98"/>
      <c r="H82" s="98"/>
    </row>
    <row r="83" spans="1:228">
      <c r="A83" s="109" t="s">
        <v>91</v>
      </c>
      <c r="B83" s="110" t="s">
        <v>255</v>
      </c>
      <c r="C83" s="91">
        <v>833000000</v>
      </c>
      <c r="D83" s="79"/>
      <c r="E83" s="98"/>
      <c r="F83" s="98"/>
      <c r="G83" s="104"/>
      <c r="H83" s="104"/>
    </row>
    <row r="84" spans="1:228">
      <c r="A84" s="106" t="s">
        <v>91</v>
      </c>
      <c r="B84" s="110" t="s">
        <v>256</v>
      </c>
      <c r="C84" s="91">
        <v>240000000</v>
      </c>
      <c r="D84" s="79"/>
      <c r="E84" s="98"/>
      <c r="F84" s="98"/>
      <c r="G84" s="68"/>
      <c r="H84" s="68"/>
    </row>
    <row r="85" spans="1:228">
      <c r="A85" s="106"/>
      <c r="B85" s="110"/>
      <c r="C85" s="91"/>
      <c r="D85" s="79"/>
      <c r="E85" s="98"/>
      <c r="F85" s="98"/>
      <c r="G85" s="68"/>
      <c r="H85" s="68"/>
    </row>
    <row r="86" spans="1:228" s="62" customFormat="1" ht="19.5">
      <c r="A86" s="31" t="s">
        <v>225</v>
      </c>
      <c r="B86" s="101" t="s">
        <v>257</v>
      </c>
      <c r="C86" s="102">
        <v>1151000000</v>
      </c>
      <c r="D86" s="38"/>
      <c r="E86" s="103"/>
      <c r="F86" s="103"/>
      <c r="G86" s="111"/>
      <c r="H86" s="111"/>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row>
    <row r="87" spans="1:228" s="62" customFormat="1">
      <c r="A87" s="89" t="s">
        <v>258</v>
      </c>
      <c r="B87" s="48" t="s">
        <v>33</v>
      </c>
      <c r="C87" s="112">
        <v>30000000</v>
      </c>
      <c r="D87" s="50"/>
      <c r="E87" s="113"/>
      <c r="F87" s="113"/>
      <c r="G87" s="114"/>
      <c r="H87" s="114"/>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row>
    <row r="88" spans="1:228">
      <c r="A88" s="89" t="s">
        <v>258</v>
      </c>
      <c r="B88" s="48" t="s">
        <v>34</v>
      </c>
      <c r="C88" s="112">
        <v>15000000</v>
      </c>
      <c r="D88" s="50"/>
      <c r="E88" s="113"/>
      <c r="F88" s="113"/>
      <c r="G88" s="114"/>
      <c r="H88" s="114"/>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row>
    <row r="89" spans="1:228" ht="37.5">
      <c r="A89" s="89" t="s">
        <v>258</v>
      </c>
      <c r="B89" s="48" t="s">
        <v>35</v>
      </c>
      <c r="C89" s="112">
        <v>24000000</v>
      </c>
      <c r="D89" s="50"/>
      <c r="E89" s="113"/>
      <c r="F89" s="113"/>
      <c r="G89" s="114"/>
      <c r="H89" s="114"/>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row>
    <row r="90" spans="1:228">
      <c r="A90" s="89" t="s">
        <v>258</v>
      </c>
      <c r="B90" s="48" t="s">
        <v>36</v>
      </c>
      <c r="C90" s="112">
        <v>15000000</v>
      </c>
      <c r="D90" s="50"/>
      <c r="E90" s="113"/>
      <c r="F90" s="113"/>
      <c r="G90" s="114"/>
      <c r="H90" s="114"/>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row>
    <row r="91" spans="1:228" ht="37.5">
      <c r="A91" s="89" t="s">
        <v>258</v>
      </c>
      <c r="B91" s="48" t="s">
        <v>37</v>
      </c>
      <c r="C91" s="112">
        <v>67000000</v>
      </c>
      <c r="D91" s="50"/>
      <c r="E91" s="113"/>
      <c r="F91" s="113"/>
      <c r="G91" s="114"/>
      <c r="H91" s="114"/>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HS91" s="62"/>
      <c r="HT91" s="62"/>
    </row>
    <row r="92" spans="1:228" ht="131.25">
      <c r="A92" s="89" t="s">
        <v>258</v>
      </c>
      <c r="B92" s="48" t="s">
        <v>259</v>
      </c>
      <c r="C92" s="74">
        <v>1000000000</v>
      </c>
      <c r="D92" s="50" t="s">
        <v>260</v>
      </c>
      <c r="E92" s="114"/>
      <c r="F92" s="114"/>
      <c r="G92" s="115"/>
      <c r="H92" s="115"/>
    </row>
    <row r="93" spans="1:228" s="71" customFormat="1">
      <c r="A93" s="31" t="s">
        <v>261</v>
      </c>
      <c r="B93" s="101" t="s">
        <v>262</v>
      </c>
      <c r="C93" s="102">
        <v>132200000</v>
      </c>
      <c r="D93" s="38"/>
      <c r="E93" s="116"/>
      <c r="F93" s="116"/>
      <c r="G93" s="117"/>
      <c r="H93" s="117"/>
    </row>
    <row r="94" spans="1:228" s="29" customFormat="1">
      <c r="A94" s="89"/>
      <c r="B94" s="90" t="s">
        <v>263</v>
      </c>
      <c r="C94" s="65">
        <v>132200000</v>
      </c>
      <c r="D94" s="79"/>
      <c r="E94" s="118"/>
      <c r="F94" s="118"/>
      <c r="G94" s="114"/>
      <c r="H94" s="114"/>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row>
    <row r="95" spans="1:228" ht="19.5">
      <c r="A95" s="32">
        <v>11</v>
      </c>
      <c r="B95" s="41" t="s">
        <v>195</v>
      </c>
      <c r="C95" s="42">
        <v>2604000000</v>
      </c>
      <c r="D95" s="56"/>
      <c r="E95" s="119"/>
      <c r="F95" s="119"/>
      <c r="G95" s="120"/>
      <c r="H95" s="120"/>
    </row>
    <row r="96" spans="1:228" s="71" customFormat="1">
      <c r="A96" s="31" t="s">
        <v>222</v>
      </c>
      <c r="B96" s="101" t="s">
        <v>252</v>
      </c>
      <c r="C96" s="69">
        <v>1423000000</v>
      </c>
      <c r="D96" s="56"/>
      <c r="E96" s="104"/>
      <c r="F96" s="104"/>
      <c r="G96" s="96"/>
      <c r="H96" s="96"/>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row>
    <row r="97" spans="1:228">
      <c r="A97" s="72" t="s">
        <v>192</v>
      </c>
      <c r="B97" s="105" t="s">
        <v>253</v>
      </c>
      <c r="C97" s="91">
        <v>1423000000</v>
      </c>
      <c r="D97" s="79"/>
      <c r="E97" s="98"/>
      <c r="F97" s="98"/>
      <c r="G97" s="98"/>
      <c r="H97" s="98"/>
    </row>
    <row r="98" spans="1:228">
      <c r="A98" s="106" t="s">
        <v>91</v>
      </c>
      <c r="B98" s="105" t="s">
        <v>264</v>
      </c>
      <c r="C98" s="107">
        <v>1423000000</v>
      </c>
      <c r="D98" s="76"/>
      <c r="E98" s="108"/>
      <c r="F98" s="108"/>
      <c r="G98" s="98"/>
      <c r="H98" s="98"/>
    </row>
    <row r="99" spans="1:228" ht="37.5">
      <c r="A99" s="109" t="s">
        <v>248</v>
      </c>
      <c r="B99" s="110" t="s">
        <v>265</v>
      </c>
      <c r="C99" s="91">
        <v>1103000000</v>
      </c>
      <c r="D99" s="79"/>
      <c r="E99" s="98"/>
      <c r="F99" s="98"/>
      <c r="G99" s="104"/>
      <c r="H99" s="104"/>
    </row>
    <row r="100" spans="1:228">
      <c r="A100" s="106" t="s">
        <v>248</v>
      </c>
      <c r="B100" s="110" t="s">
        <v>256</v>
      </c>
      <c r="C100" s="91">
        <v>320000000</v>
      </c>
      <c r="D100" s="79"/>
      <c r="E100" s="98"/>
      <c r="F100" s="98"/>
      <c r="G100" s="68"/>
      <c r="H100" s="68"/>
    </row>
    <row r="101" spans="1:228">
      <c r="A101" s="106"/>
      <c r="B101" s="110"/>
      <c r="C101" s="91"/>
      <c r="D101" s="79"/>
      <c r="E101" s="98"/>
      <c r="F101" s="98"/>
      <c r="G101" s="68"/>
      <c r="H101" s="68"/>
    </row>
    <row r="102" spans="1:228">
      <c r="A102" s="106" t="s">
        <v>91</v>
      </c>
      <c r="B102" s="105" t="s">
        <v>266</v>
      </c>
      <c r="C102" s="74"/>
      <c r="D102" s="50"/>
      <c r="E102" s="30"/>
      <c r="F102" s="30"/>
      <c r="G102" s="60"/>
      <c r="H102" s="60"/>
    </row>
    <row r="103" spans="1:228" ht="19.5">
      <c r="A103" s="72" t="s">
        <v>225</v>
      </c>
      <c r="B103" s="101" t="s">
        <v>257</v>
      </c>
      <c r="C103" s="84">
        <v>1181000000</v>
      </c>
      <c r="D103" s="92"/>
      <c r="E103" s="111"/>
      <c r="F103" s="111"/>
      <c r="G103" s="122"/>
      <c r="H103" s="122"/>
    </row>
    <row r="104" spans="1:228">
      <c r="A104" s="21" t="s">
        <v>91</v>
      </c>
      <c r="B104" s="48" t="s">
        <v>47</v>
      </c>
      <c r="C104" s="23">
        <v>96000000</v>
      </c>
      <c r="D104" s="50"/>
      <c r="E104" s="51"/>
      <c r="F104" s="51"/>
      <c r="G104" s="51"/>
      <c r="H104" s="51"/>
    </row>
    <row r="105" spans="1:228">
      <c r="A105" s="21" t="s">
        <v>91</v>
      </c>
      <c r="B105" s="48" t="s">
        <v>48</v>
      </c>
      <c r="C105" s="23">
        <v>15000000</v>
      </c>
      <c r="D105" s="50"/>
      <c r="E105" s="51"/>
      <c r="F105" s="51"/>
      <c r="G105" s="51"/>
      <c r="H105" s="51"/>
    </row>
    <row r="106" spans="1:228">
      <c r="A106" s="21" t="s">
        <v>91</v>
      </c>
      <c r="B106" s="48" t="s">
        <v>49</v>
      </c>
      <c r="C106" s="23">
        <v>150000000</v>
      </c>
      <c r="D106" s="50"/>
      <c r="E106" s="51"/>
      <c r="F106" s="51"/>
      <c r="G106" s="51"/>
      <c r="H106" s="51"/>
    </row>
    <row r="107" spans="1:228">
      <c r="A107" s="21" t="s">
        <v>91</v>
      </c>
      <c r="B107" s="48" t="s">
        <v>50</v>
      </c>
      <c r="C107" s="23">
        <v>35000000</v>
      </c>
      <c r="D107" s="50"/>
      <c r="E107" s="115"/>
      <c r="F107" s="115"/>
      <c r="G107" s="115"/>
      <c r="H107" s="115"/>
    </row>
    <row r="108" spans="1:228" s="29" customFormat="1">
      <c r="A108" s="21" t="s">
        <v>91</v>
      </c>
      <c r="B108" s="48" t="s">
        <v>51</v>
      </c>
      <c r="C108" s="23">
        <v>40000000</v>
      </c>
      <c r="D108" s="50"/>
      <c r="E108" s="115"/>
      <c r="F108" s="115"/>
      <c r="G108" s="118"/>
      <c r="H108" s="118"/>
    </row>
    <row r="109" spans="1:228" ht="37.5">
      <c r="A109" s="21" t="s">
        <v>91</v>
      </c>
      <c r="B109" s="48" t="s">
        <v>52</v>
      </c>
      <c r="C109" s="23">
        <v>150000000</v>
      </c>
      <c r="D109" s="50"/>
      <c r="E109" s="115"/>
      <c r="F109" s="115"/>
      <c r="G109" s="115"/>
      <c r="H109" s="115"/>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row>
    <row r="110" spans="1:228" ht="37.5">
      <c r="A110" s="21" t="s">
        <v>91</v>
      </c>
      <c r="B110" s="48" t="s">
        <v>53</v>
      </c>
      <c r="C110" s="23">
        <v>30000000</v>
      </c>
      <c r="D110" s="50"/>
      <c r="E110" s="115"/>
      <c r="F110" s="115"/>
      <c r="G110" s="115"/>
      <c r="H110" s="115"/>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row>
    <row r="111" spans="1:228" ht="37.5">
      <c r="A111" s="21" t="s">
        <v>91</v>
      </c>
      <c r="B111" s="48" t="s">
        <v>54</v>
      </c>
      <c r="C111" s="23">
        <v>90000000</v>
      </c>
      <c r="D111" s="50"/>
      <c r="E111" s="115"/>
      <c r="F111" s="115"/>
      <c r="G111" s="118"/>
      <c r="H111" s="118"/>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row>
    <row r="112" spans="1:228">
      <c r="A112" s="21" t="s">
        <v>91</v>
      </c>
      <c r="B112" s="48" t="s">
        <v>55</v>
      </c>
      <c r="C112" s="23">
        <v>60000000</v>
      </c>
      <c r="D112" s="50"/>
      <c r="E112" s="115"/>
      <c r="F112" s="115"/>
      <c r="G112" s="115"/>
      <c r="H112" s="115"/>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row>
    <row r="113" spans="1:228">
      <c r="A113" s="21" t="s">
        <v>91</v>
      </c>
      <c r="B113" s="48" t="s">
        <v>56</v>
      </c>
      <c r="C113" s="23">
        <v>400000000</v>
      </c>
      <c r="D113" s="50"/>
      <c r="E113" s="115"/>
      <c r="F113" s="115"/>
      <c r="G113" s="118"/>
      <c r="H113" s="118"/>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row>
    <row r="114" spans="1:228">
      <c r="A114" s="21" t="s">
        <v>91</v>
      </c>
      <c r="B114" s="48" t="s">
        <v>57</v>
      </c>
      <c r="C114" s="23">
        <v>15000000</v>
      </c>
      <c r="D114" s="50"/>
      <c r="E114" s="115"/>
      <c r="F114" s="115"/>
      <c r="G114" s="118"/>
      <c r="H114" s="118"/>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c r="FT114" s="61"/>
      <c r="FU114" s="61"/>
      <c r="FV114" s="61"/>
      <c r="FW114" s="61"/>
      <c r="FX114" s="61"/>
      <c r="FY114" s="61"/>
      <c r="FZ114" s="61"/>
      <c r="GA114" s="61"/>
      <c r="GB114" s="61"/>
      <c r="GC114" s="61"/>
      <c r="GD114" s="61"/>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61"/>
      <c r="HQ114" s="61"/>
      <c r="HR114" s="61"/>
      <c r="HS114" s="61"/>
      <c r="HT114" s="61"/>
    </row>
    <row r="115" spans="1:228" ht="56.25">
      <c r="A115" s="21" t="s">
        <v>91</v>
      </c>
      <c r="B115" s="48" t="s">
        <v>58</v>
      </c>
      <c r="C115" s="23">
        <v>100000000</v>
      </c>
      <c r="D115" s="50"/>
      <c r="E115" s="115"/>
      <c r="F115" s="115"/>
      <c r="G115" s="118"/>
      <c r="H115" s="118"/>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c r="FT115" s="61"/>
      <c r="FU115" s="61"/>
      <c r="FV115" s="61"/>
      <c r="FW115" s="61"/>
      <c r="FX115" s="61"/>
      <c r="FY115" s="61"/>
      <c r="FZ115" s="61"/>
      <c r="GA115" s="61"/>
      <c r="GB115" s="61"/>
      <c r="GC115" s="61"/>
      <c r="GD115" s="61"/>
      <c r="GE115" s="61"/>
      <c r="GF115" s="61"/>
      <c r="GG115" s="61"/>
      <c r="GH115" s="61"/>
      <c r="GI115" s="61"/>
      <c r="GJ115" s="61"/>
      <c r="GK115" s="61"/>
      <c r="GL115" s="61"/>
      <c r="GM115" s="61"/>
      <c r="GN115" s="61"/>
      <c r="GO115" s="61"/>
      <c r="GP115" s="61"/>
      <c r="GQ115" s="61"/>
      <c r="GR115" s="61"/>
      <c r="GS115" s="61"/>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c r="HS115" s="61"/>
      <c r="HT115" s="61"/>
    </row>
    <row r="116" spans="1:228" s="71" customFormat="1" ht="19.5">
      <c r="A116" s="32" t="s">
        <v>261</v>
      </c>
      <c r="B116" s="101" t="s">
        <v>262</v>
      </c>
      <c r="C116" s="37">
        <v>139000000</v>
      </c>
      <c r="D116" s="38"/>
      <c r="E116" s="123"/>
      <c r="F116" s="123"/>
      <c r="G116" s="124"/>
      <c r="H116" s="124"/>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row>
    <row r="117" spans="1:228">
      <c r="A117" s="89"/>
      <c r="B117" s="90" t="s">
        <v>263</v>
      </c>
      <c r="C117" s="65">
        <v>139000000</v>
      </c>
      <c r="D117" s="79"/>
      <c r="E117" s="118"/>
      <c r="F117" s="118"/>
      <c r="G117" s="114"/>
      <c r="H117" s="114"/>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row>
    <row r="118" spans="1:228">
      <c r="A118" s="32">
        <v>17</v>
      </c>
      <c r="B118" s="42" t="s">
        <v>267</v>
      </c>
      <c r="C118" s="37"/>
      <c r="D118" s="38"/>
      <c r="E118" s="123"/>
      <c r="F118" s="123"/>
      <c r="G118" s="119"/>
      <c r="H118" s="119"/>
    </row>
    <row r="119" spans="1:228" ht="19.5">
      <c r="A119" s="72" t="s">
        <v>222</v>
      </c>
      <c r="B119" s="105" t="s">
        <v>268</v>
      </c>
      <c r="C119" s="74"/>
      <c r="D119" s="50"/>
      <c r="E119" s="114"/>
      <c r="F119" s="114"/>
      <c r="G119" s="126"/>
      <c r="H119" s="126"/>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row>
    <row r="120" spans="1:228">
      <c r="A120" s="72" t="s">
        <v>192</v>
      </c>
      <c r="B120" s="105" t="s">
        <v>253</v>
      </c>
      <c r="C120" s="91"/>
      <c r="D120" s="79"/>
      <c r="E120" s="127"/>
      <c r="F120" s="127"/>
      <c r="G120" s="127"/>
      <c r="H120" s="127"/>
    </row>
    <row r="121" spans="1:228">
      <c r="A121" s="106" t="s">
        <v>91</v>
      </c>
      <c r="B121" s="105" t="s">
        <v>264</v>
      </c>
      <c r="C121" s="107"/>
      <c r="D121" s="76"/>
      <c r="E121" s="108"/>
      <c r="F121" s="108"/>
      <c r="G121" s="98"/>
      <c r="H121" s="98"/>
    </row>
    <row r="122" spans="1:228">
      <c r="A122" s="109" t="s">
        <v>248</v>
      </c>
      <c r="B122" s="110" t="s">
        <v>255</v>
      </c>
      <c r="C122" s="91"/>
      <c r="D122" s="79"/>
      <c r="E122" s="98"/>
      <c r="F122" s="98"/>
      <c r="G122" s="104"/>
      <c r="H122" s="104"/>
    </row>
    <row r="123" spans="1:228">
      <c r="A123" s="106" t="s">
        <v>248</v>
      </c>
      <c r="B123" s="110" t="s">
        <v>269</v>
      </c>
      <c r="C123" s="91"/>
      <c r="D123" s="79"/>
      <c r="E123" s="98"/>
      <c r="F123" s="98"/>
      <c r="G123" s="98"/>
      <c r="H123" s="98"/>
    </row>
    <row r="124" spans="1:228">
      <c r="A124" s="106" t="s">
        <v>248</v>
      </c>
      <c r="B124" s="110" t="s">
        <v>256</v>
      </c>
      <c r="C124" s="91"/>
      <c r="D124" s="79"/>
      <c r="E124" s="98"/>
      <c r="F124" s="98"/>
      <c r="G124" s="68"/>
      <c r="H124" s="68"/>
    </row>
    <row r="125" spans="1:228">
      <c r="A125" s="106" t="s">
        <v>91</v>
      </c>
      <c r="B125" s="48" t="s">
        <v>270</v>
      </c>
      <c r="C125" s="107"/>
      <c r="D125" s="76"/>
      <c r="E125" s="108"/>
      <c r="F125" s="108"/>
      <c r="G125" s="98"/>
      <c r="H125" s="98"/>
    </row>
    <row r="126" spans="1:228" s="62" customFormat="1">
      <c r="A126" s="109" t="s">
        <v>248</v>
      </c>
      <c r="B126" s="110" t="s">
        <v>271</v>
      </c>
      <c r="C126" s="91"/>
      <c r="D126" s="79"/>
      <c r="E126" s="98"/>
      <c r="F126" s="98"/>
      <c r="G126" s="30"/>
      <c r="H126" s="30"/>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row>
    <row r="127" spans="1:228" s="62" customFormat="1">
      <c r="A127" s="109" t="s">
        <v>248</v>
      </c>
      <c r="B127" s="110" t="s">
        <v>272</v>
      </c>
      <c r="C127" s="91"/>
      <c r="D127" s="79"/>
      <c r="E127" s="98"/>
      <c r="F127" s="98"/>
      <c r="G127" s="30"/>
      <c r="H127" s="30"/>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row>
    <row r="128" spans="1:228" s="47" customFormat="1" ht="19.5">
      <c r="A128" s="109" t="s">
        <v>248</v>
      </c>
      <c r="B128" s="110" t="s">
        <v>273</v>
      </c>
      <c r="C128" s="91"/>
      <c r="D128" s="79"/>
      <c r="E128" s="98"/>
      <c r="F128" s="98"/>
      <c r="G128" s="68"/>
      <c r="H128" s="68"/>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row>
    <row r="129" spans="1:228">
      <c r="A129" s="121" t="s">
        <v>225</v>
      </c>
      <c r="B129" s="105" t="s">
        <v>274</v>
      </c>
      <c r="C129" s="107"/>
      <c r="D129" s="76"/>
      <c r="E129" s="108"/>
      <c r="F129" s="108"/>
      <c r="G129" s="68"/>
      <c r="H129" s="68"/>
    </row>
    <row r="130" spans="1:228" s="62" customFormat="1">
      <c r="A130" s="99" t="s">
        <v>91</v>
      </c>
      <c r="B130" s="42" t="s">
        <v>275</v>
      </c>
      <c r="C130" s="37"/>
      <c r="D130" s="38"/>
      <c r="E130" s="39"/>
      <c r="F130" s="39"/>
      <c r="G130" s="34"/>
      <c r="H130" s="34"/>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row>
    <row r="131" spans="1:228" s="128" customFormat="1" ht="37.5">
      <c r="A131" s="21" t="s">
        <v>248</v>
      </c>
      <c r="B131" s="23" t="s">
        <v>276</v>
      </c>
      <c r="C131" s="23"/>
      <c r="D131" s="50"/>
      <c r="E131" s="51"/>
      <c r="F131" s="51"/>
      <c r="G131" s="51"/>
      <c r="H131" s="51"/>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c r="DL131" s="100"/>
      <c r="DM131" s="100"/>
      <c r="DN131" s="100"/>
      <c r="DO131" s="100"/>
      <c r="DP131" s="100"/>
      <c r="DQ131" s="100"/>
      <c r="DR131" s="100"/>
      <c r="DS131" s="100"/>
      <c r="DT131" s="100"/>
      <c r="DU131" s="100"/>
      <c r="DV131" s="100"/>
      <c r="DW131" s="100"/>
      <c r="DX131" s="100"/>
      <c r="DY131" s="100"/>
      <c r="DZ131" s="100"/>
      <c r="EA131" s="100"/>
      <c r="EB131" s="100"/>
      <c r="EC131" s="100"/>
      <c r="ED131" s="100"/>
      <c r="EE131" s="100"/>
      <c r="EF131" s="100"/>
      <c r="EG131" s="100"/>
      <c r="EH131" s="100"/>
      <c r="EI131" s="100"/>
      <c r="EJ131" s="100"/>
      <c r="EK131" s="100"/>
      <c r="EL131" s="100"/>
      <c r="EM131" s="100"/>
      <c r="EN131" s="100"/>
      <c r="EO131" s="100"/>
      <c r="EP131" s="100"/>
      <c r="EQ131" s="100"/>
      <c r="ER131" s="100"/>
      <c r="ES131" s="100"/>
      <c r="ET131" s="100"/>
      <c r="EU131" s="100"/>
      <c r="EV131" s="100"/>
      <c r="EW131" s="100"/>
      <c r="EX131" s="100"/>
      <c r="EY131" s="100"/>
      <c r="EZ131" s="100"/>
      <c r="FA131" s="100"/>
      <c r="FB131" s="100"/>
      <c r="FC131" s="100"/>
      <c r="FD131" s="100"/>
      <c r="FE131" s="100"/>
      <c r="FF131" s="100"/>
      <c r="FG131" s="100"/>
      <c r="FH131" s="100"/>
      <c r="FI131" s="100"/>
      <c r="FJ131" s="100"/>
      <c r="FK131" s="100"/>
      <c r="FL131" s="100"/>
      <c r="FM131" s="100"/>
      <c r="FN131" s="100"/>
      <c r="FO131" s="100"/>
      <c r="FP131" s="100"/>
      <c r="FQ131" s="100"/>
      <c r="FR131" s="100"/>
      <c r="FS131" s="100"/>
      <c r="FT131" s="100"/>
      <c r="FU131" s="100"/>
      <c r="FV131" s="100"/>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row>
    <row r="132" spans="1:228">
      <c r="A132" s="21" t="s">
        <v>248</v>
      </c>
      <c r="B132" s="23" t="s">
        <v>277</v>
      </c>
      <c r="C132" s="23"/>
      <c r="D132" s="50"/>
      <c r="E132" s="51"/>
      <c r="F132" s="51"/>
      <c r="G132" s="51"/>
      <c r="H132" s="51"/>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row>
    <row r="133" spans="1:228" s="29" customFormat="1">
      <c r="A133" s="21" t="s">
        <v>248</v>
      </c>
      <c r="B133" s="23" t="s">
        <v>278</v>
      </c>
      <c r="C133" s="23"/>
      <c r="D133" s="50"/>
      <c r="E133" s="51"/>
      <c r="F133" s="51"/>
      <c r="G133" s="51"/>
      <c r="H133" s="51"/>
    </row>
    <row r="134" spans="1:228" s="29" customFormat="1">
      <c r="A134" s="21" t="s">
        <v>248</v>
      </c>
      <c r="B134" s="23" t="s">
        <v>279</v>
      </c>
      <c r="C134" s="23"/>
      <c r="D134" s="50"/>
      <c r="E134" s="51"/>
      <c r="F134" s="51"/>
      <c r="G134" s="51"/>
      <c r="H134" s="51"/>
    </row>
    <row r="135" spans="1:228" s="29" customFormat="1">
      <c r="A135" s="21" t="s">
        <v>248</v>
      </c>
      <c r="B135" s="23" t="s">
        <v>280</v>
      </c>
      <c r="C135" s="23"/>
      <c r="D135" s="50"/>
      <c r="E135" s="51"/>
      <c r="F135" s="51"/>
      <c r="G135" s="51"/>
      <c r="H135" s="51"/>
    </row>
    <row r="136" spans="1:228">
      <c r="A136" s="89"/>
      <c r="B136" s="90" t="s">
        <v>263</v>
      </c>
      <c r="C136" s="65"/>
      <c r="D136" s="79"/>
      <c r="E136" s="94"/>
      <c r="F136" s="94"/>
      <c r="G136" s="129"/>
      <c r="H136" s="1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c r="FY136" s="29"/>
      <c r="FZ136" s="29"/>
      <c r="GA136" s="29"/>
      <c r="GB136" s="29"/>
      <c r="GC136" s="29"/>
      <c r="GD136" s="29"/>
      <c r="GE136" s="29"/>
      <c r="GF136" s="29"/>
      <c r="GG136" s="29"/>
      <c r="GH136" s="29"/>
      <c r="GI136" s="29"/>
      <c r="GJ136" s="29"/>
      <c r="GK136" s="29"/>
      <c r="GL136" s="29"/>
      <c r="GM136" s="29"/>
      <c r="GN136" s="29"/>
      <c r="GO136" s="29"/>
      <c r="GP136" s="29"/>
      <c r="GQ136" s="29"/>
      <c r="GR136" s="29"/>
      <c r="GS136" s="29"/>
      <c r="GT136" s="29"/>
      <c r="GU136" s="29"/>
      <c r="GV136" s="29"/>
      <c r="GW136" s="29"/>
      <c r="GX136" s="29"/>
      <c r="GY136" s="29"/>
      <c r="GZ136" s="29"/>
      <c r="HA136" s="29"/>
      <c r="HB136" s="29"/>
      <c r="HC136" s="29"/>
      <c r="HD136" s="29"/>
      <c r="HE136" s="29"/>
      <c r="HF136" s="29"/>
      <c r="HG136" s="29"/>
      <c r="HH136" s="29"/>
      <c r="HI136" s="29"/>
      <c r="HJ136" s="29"/>
      <c r="HK136" s="29"/>
      <c r="HL136" s="29"/>
      <c r="HM136" s="29"/>
      <c r="HN136" s="29"/>
      <c r="HO136" s="29"/>
      <c r="HP136" s="29"/>
      <c r="HQ136" s="29"/>
      <c r="HR136" s="29"/>
      <c r="HS136" s="29"/>
      <c r="HT136" s="29"/>
    </row>
    <row r="137" spans="1:228" s="43" customFormat="1">
      <c r="A137" s="89"/>
      <c r="B137" s="90" t="s">
        <v>281</v>
      </c>
      <c r="C137" s="91"/>
      <c r="D137" s="79"/>
      <c r="E137" s="98"/>
      <c r="F137" s="98"/>
      <c r="G137" s="95"/>
      <c r="H137" s="95"/>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c r="FY137" s="29"/>
      <c r="FZ137" s="29"/>
      <c r="GA137" s="29"/>
      <c r="GB137" s="29"/>
      <c r="GC137" s="29"/>
      <c r="GD137" s="29"/>
      <c r="GE137" s="29"/>
      <c r="GF137" s="29"/>
      <c r="GG137" s="29"/>
      <c r="GH137" s="29"/>
      <c r="GI137" s="29"/>
      <c r="GJ137" s="29"/>
      <c r="GK137" s="29"/>
      <c r="GL137" s="29"/>
      <c r="GM137" s="29"/>
      <c r="GN137" s="29"/>
      <c r="GO137" s="29"/>
      <c r="GP137" s="29"/>
      <c r="GQ137" s="29"/>
      <c r="GR137" s="29"/>
      <c r="GS137" s="29"/>
      <c r="GT137" s="29"/>
      <c r="GU137" s="29"/>
      <c r="GV137" s="29"/>
      <c r="GW137" s="29"/>
      <c r="GX137" s="29"/>
      <c r="GY137" s="29"/>
      <c r="GZ137" s="29"/>
      <c r="HA137" s="29"/>
      <c r="HB137" s="29"/>
      <c r="HC137" s="29"/>
      <c r="HD137" s="29"/>
      <c r="HE137" s="29"/>
      <c r="HF137" s="29"/>
      <c r="HG137" s="29"/>
      <c r="HH137" s="29"/>
      <c r="HI137" s="29"/>
      <c r="HJ137" s="29"/>
      <c r="HK137" s="29"/>
      <c r="HL137" s="29"/>
      <c r="HM137" s="29"/>
      <c r="HN137" s="29"/>
      <c r="HO137" s="29"/>
      <c r="HP137" s="29"/>
      <c r="HQ137" s="29"/>
      <c r="HR137" s="29"/>
      <c r="HS137" s="29"/>
      <c r="HT137" s="29"/>
    </row>
    <row r="138" spans="1:228" s="43" customFormat="1" ht="39">
      <c r="A138" s="82">
        <v>12</v>
      </c>
      <c r="B138" s="83" t="s">
        <v>282</v>
      </c>
      <c r="C138" s="84">
        <v>2270000000</v>
      </c>
      <c r="D138" s="92"/>
      <c r="E138" s="111"/>
      <c r="F138" s="111"/>
      <c r="G138" s="130"/>
      <c r="H138" s="130"/>
    </row>
    <row r="139" spans="1:228" s="88" customFormat="1" ht="19.5">
      <c r="A139" s="82" t="s">
        <v>283</v>
      </c>
      <c r="B139" s="83" t="s">
        <v>284</v>
      </c>
      <c r="C139" s="84">
        <v>108000000000</v>
      </c>
      <c r="D139" s="92"/>
      <c r="E139" s="111"/>
      <c r="F139" s="111"/>
      <c r="G139" s="60"/>
      <c r="H139" s="60"/>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row>
    <row r="140" spans="1:228" s="88" customFormat="1" ht="19.5">
      <c r="A140" s="89">
        <v>1</v>
      </c>
      <c r="B140" s="78" t="s">
        <v>285</v>
      </c>
      <c r="C140" s="74">
        <v>22000000000</v>
      </c>
      <c r="D140" s="50"/>
      <c r="E140" s="30"/>
      <c r="F140" s="30"/>
      <c r="G140" s="129"/>
      <c r="H140" s="129"/>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c r="HI140" s="27"/>
      <c r="HJ140" s="27"/>
      <c r="HK140" s="27"/>
      <c r="HL140" s="27"/>
      <c r="HM140" s="27"/>
      <c r="HN140" s="27"/>
      <c r="HO140" s="27"/>
      <c r="HP140" s="27"/>
      <c r="HQ140" s="27"/>
      <c r="HR140" s="27"/>
      <c r="HS140" s="27"/>
      <c r="HT140" s="27"/>
    </row>
    <row r="141" spans="1:228" s="88" customFormat="1" ht="37.5">
      <c r="A141" s="89">
        <v>2</v>
      </c>
      <c r="B141" s="78" t="s">
        <v>286</v>
      </c>
      <c r="C141" s="74">
        <v>86000000000</v>
      </c>
      <c r="D141" s="50"/>
      <c r="E141" s="30"/>
      <c r="F141" s="30"/>
      <c r="G141" s="129"/>
      <c r="H141" s="129"/>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c r="HL141" s="27"/>
      <c r="HM141" s="27"/>
      <c r="HN141" s="27"/>
      <c r="HO141" s="27"/>
      <c r="HP141" s="27"/>
      <c r="HQ141" s="27"/>
      <c r="HR141" s="27"/>
      <c r="HS141" s="27"/>
      <c r="HT141" s="27"/>
    </row>
    <row r="142" spans="1:228" ht="19.5">
      <c r="A142" s="82" t="s">
        <v>287</v>
      </c>
      <c r="B142" s="83" t="s">
        <v>288</v>
      </c>
      <c r="C142" s="84">
        <v>544985000000</v>
      </c>
      <c r="D142" s="92"/>
      <c r="E142" s="131"/>
      <c r="F142" s="131"/>
      <c r="G142" s="131"/>
      <c r="H142" s="131"/>
    </row>
    <row r="143" spans="1:228" s="47" customFormat="1" ht="19.5">
      <c r="A143" s="32">
        <v>1</v>
      </c>
      <c r="B143" s="41" t="s">
        <v>196</v>
      </c>
      <c r="C143" s="42">
        <v>387000000</v>
      </c>
      <c r="D143" s="56"/>
      <c r="E143" s="119"/>
      <c r="F143" s="119"/>
      <c r="G143" s="132"/>
      <c r="H143" s="132"/>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c r="HP143" s="88"/>
      <c r="HQ143" s="88"/>
      <c r="HR143" s="88"/>
      <c r="HS143" s="88"/>
      <c r="HT143" s="88"/>
    </row>
    <row r="144" spans="1:228" s="47" customFormat="1" ht="19.5">
      <c r="A144" s="31" t="s">
        <v>222</v>
      </c>
      <c r="B144" s="101" t="s">
        <v>252</v>
      </c>
      <c r="C144" s="84">
        <v>167000000</v>
      </c>
      <c r="D144" s="92"/>
      <c r="E144" s="131"/>
      <c r="F144" s="131"/>
      <c r="G144" s="133"/>
      <c r="H144" s="133"/>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c r="HF144" s="88"/>
      <c r="HG144" s="88"/>
      <c r="HH144" s="88"/>
      <c r="HI144" s="88"/>
      <c r="HJ144" s="88"/>
      <c r="HK144" s="88"/>
      <c r="HL144" s="88"/>
      <c r="HM144" s="88"/>
      <c r="HN144" s="88"/>
      <c r="HO144" s="88"/>
      <c r="HP144" s="88"/>
      <c r="HQ144" s="88"/>
      <c r="HR144" s="88"/>
      <c r="HS144" s="88"/>
      <c r="HT144" s="88"/>
    </row>
    <row r="145" spans="1:228">
      <c r="A145" s="109" t="s">
        <v>248</v>
      </c>
      <c r="B145" s="110" t="s">
        <v>255</v>
      </c>
      <c r="C145" s="91">
        <v>127000000</v>
      </c>
      <c r="D145" s="79"/>
      <c r="E145" s="98"/>
      <c r="F145" s="98"/>
      <c r="G145" s="104"/>
      <c r="H145" s="104"/>
    </row>
    <row r="146" spans="1:228">
      <c r="A146" s="106" t="s">
        <v>248</v>
      </c>
      <c r="B146" s="110" t="s">
        <v>256</v>
      </c>
      <c r="C146" s="91">
        <v>40000000</v>
      </c>
      <c r="D146" s="79"/>
      <c r="E146" s="98"/>
      <c r="F146" s="98"/>
      <c r="G146" s="68"/>
      <c r="H146" s="68"/>
    </row>
    <row r="147" spans="1:228">
      <c r="A147" s="109" t="s">
        <v>91</v>
      </c>
      <c r="B147" s="110" t="s">
        <v>266</v>
      </c>
      <c r="C147" s="91"/>
      <c r="D147" s="79"/>
      <c r="E147" s="98"/>
      <c r="F147" s="98"/>
      <c r="G147" s="68"/>
      <c r="H147" s="68"/>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HS147" s="62"/>
      <c r="HT147" s="62"/>
    </row>
    <row r="148" spans="1:228" s="62" customFormat="1" ht="19.5">
      <c r="A148" s="72" t="s">
        <v>225</v>
      </c>
      <c r="B148" s="101" t="s">
        <v>257</v>
      </c>
      <c r="C148" s="84">
        <v>220000000</v>
      </c>
      <c r="D148" s="92"/>
      <c r="E148" s="131"/>
      <c r="F148" s="131"/>
      <c r="G148" s="127"/>
      <c r="H148" s="12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row>
    <row r="149" spans="1:228" s="62" customFormat="1" ht="19.5">
      <c r="A149" s="106" t="s">
        <v>91</v>
      </c>
      <c r="B149" s="48" t="s">
        <v>77</v>
      </c>
      <c r="C149" s="74">
        <v>40000000</v>
      </c>
      <c r="D149" s="50"/>
      <c r="E149" s="114"/>
      <c r="F149" s="114"/>
      <c r="G149" s="127"/>
      <c r="H149" s="127"/>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c r="GF149" s="88"/>
      <c r="GG149" s="88"/>
      <c r="GH149" s="88"/>
      <c r="GI149" s="88"/>
      <c r="GJ149" s="88"/>
      <c r="GK149" s="88"/>
      <c r="GL149" s="88"/>
      <c r="GM149" s="88"/>
      <c r="GN149" s="88"/>
      <c r="GO149" s="88"/>
      <c r="GP149" s="88"/>
      <c r="GQ149" s="88"/>
      <c r="GR149" s="88"/>
      <c r="GS149" s="88"/>
      <c r="GT149" s="88"/>
      <c r="GU149" s="88"/>
      <c r="GV149" s="88"/>
      <c r="GW149" s="88"/>
      <c r="GX149" s="88"/>
      <c r="GY149" s="88"/>
      <c r="GZ149" s="88"/>
      <c r="HA149" s="88"/>
      <c r="HB149" s="88"/>
      <c r="HC149" s="88"/>
      <c r="HD149" s="88"/>
      <c r="HE149" s="88"/>
      <c r="HF149" s="88"/>
      <c r="HG149" s="88"/>
      <c r="HH149" s="88"/>
      <c r="HI149" s="88"/>
      <c r="HJ149" s="88"/>
      <c r="HK149" s="88"/>
      <c r="HL149" s="88"/>
      <c r="HM149" s="88"/>
      <c r="HN149" s="88"/>
      <c r="HO149" s="88"/>
      <c r="HP149" s="88"/>
      <c r="HQ149" s="88"/>
      <c r="HR149" s="88"/>
      <c r="HS149" s="88"/>
      <c r="HT149" s="88"/>
    </row>
    <row r="150" spans="1:228" s="62" customFormat="1" ht="19.5">
      <c r="A150" s="106"/>
      <c r="B150" s="48" t="s">
        <v>78</v>
      </c>
      <c r="C150" s="74">
        <v>10000000</v>
      </c>
      <c r="D150" s="50"/>
      <c r="E150" s="114"/>
      <c r="F150" s="114"/>
      <c r="G150" s="127"/>
      <c r="H150" s="12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c r="FZ150" s="88"/>
      <c r="GA150" s="88"/>
      <c r="GB150" s="88"/>
      <c r="GC150" s="88"/>
      <c r="GD150" s="88"/>
      <c r="GE150" s="88"/>
      <c r="GF150" s="88"/>
      <c r="GG150" s="88"/>
      <c r="GH150" s="88"/>
      <c r="GI150" s="88"/>
      <c r="GJ150" s="88"/>
      <c r="GK150" s="88"/>
      <c r="GL150" s="88"/>
      <c r="GM150" s="88"/>
      <c r="GN150" s="88"/>
      <c r="GO150" s="88"/>
      <c r="GP150" s="88"/>
      <c r="GQ150" s="88"/>
      <c r="GR150" s="88"/>
      <c r="GS150" s="88"/>
      <c r="GT150" s="88"/>
      <c r="GU150" s="88"/>
      <c r="GV150" s="88"/>
      <c r="GW150" s="88"/>
      <c r="GX150" s="88"/>
      <c r="GY150" s="88"/>
      <c r="GZ150" s="88"/>
      <c r="HA150" s="88"/>
      <c r="HB150" s="88"/>
      <c r="HC150" s="88"/>
      <c r="HD150" s="88"/>
      <c r="HE150" s="88"/>
      <c r="HF150" s="88"/>
      <c r="HG150" s="88"/>
      <c r="HH150" s="88"/>
      <c r="HI150" s="88"/>
      <c r="HJ150" s="88"/>
      <c r="HK150" s="88"/>
      <c r="HL150" s="88"/>
      <c r="HM150" s="88"/>
      <c r="HN150" s="88"/>
      <c r="HO150" s="88"/>
      <c r="HP150" s="88"/>
      <c r="HQ150" s="88"/>
      <c r="HR150" s="88"/>
      <c r="HS150" s="88"/>
      <c r="HT150" s="88"/>
    </row>
    <row r="151" spans="1:228" s="62" customFormat="1" ht="19.5">
      <c r="A151" s="106" t="s">
        <v>91</v>
      </c>
      <c r="B151" s="48" t="s">
        <v>79</v>
      </c>
      <c r="C151" s="74">
        <v>30000000</v>
      </c>
      <c r="D151" s="50"/>
      <c r="E151" s="114"/>
      <c r="F151" s="114"/>
      <c r="G151" s="127"/>
      <c r="H151" s="12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8"/>
      <c r="GD151" s="88"/>
      <c r="GE151" s="88"/>
      <c r="GF151" s="88"/>
      <c r="GG151" s="88"/>
      <c r="GH151" s="88"/>
      <c r="GI151" s="88"/>
      <c r="GJ151" s="88"/>
      <c r="GK151" s="88"/>
      <c r="GL151" s="88"/>
      <c r="GM151" s="88"/>
      <c r="GN151" s="88"/>
      <c r="GO151" s="88"/>
      <c r="GP151" s="88"/>
      <c r="GQ151" s="88"/>
      <c r="GR151" s="88"/>
      <c r="GS151" s="88"/>
      <c r="GT151" s="88"/>
      <c r="GU151" s="88"/>
      <c r="GV151" s="88"/>
      <c r="GW151" s="88"/>
      <c r="GX151" s="88"/>
      <c r="GY151" s="88"/>
      <c r="GZ151" s="88"/>
      <c r="HA151" s="88"/>
      <c r="HB151" s="88"/>
      <c r="HC151" s="88"/>
      <c r="HD151" s="88"/>
      <c r="HE151" s="88"/>
      <c r="HF151" s="88"/>
      <c r="HG151" s="88"/>
      <c r="HH151" s="88"/>
      <c r="HI151" s="88"/>
      <c r="HJ151" s="88"/>
      <c r="HK151" s="88"/>
      <c r="HL151" s="88"/>
      <c r="HM151" s="88"/>
      <c r="HN151" s="88"/>
      <c r="HO151" s="88"/>
      <c r="HP151" s="88"/>
      <c r="HQ151" s="88"/>
      <c r="HR151" s="88"/>
      <c r="HS151" s="88"/>
      <c r="HT151" s="88"/>
    </row>
    <row r="152" spans="1:228" s="62" customFormat="1">
      <c r="A152" s="106" t="s">
        <v>91</v>
      </c>
      <c r="B152" s="48" t="s">
        <v>80</v>
      </c>
      <c r="C152" s="74">
        <v>60000000</v>
      </c>
      <c r="D152" s="50"/>
      <c r="E152" s="114"/>
      <c r="F152" s="114"/>
      <c r="G152" s="114"/>
      <c r="H152" s="114"/>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c r="HL152" s="27"/>
      <c r="HM152" s="27"/>
      <c r="HN152" s="27"/>
      <c r="HO152" s="27"/>
      <c r="HP152" s="27"/>
      <c r="HQ152" s="27"/>
      <c r="HR152" s="27"/>
      <c r="HS152" s="27"/>
      <c r="HT152" s="27"/>
    </row>
    <row r="153" spans="1:228">
      <c r="A153" s="106" t="s">
        <v>91</v>
      </c>
      <c r="B153" s="48" t="s">
        <v>81</v>
      </c>
      <c r="C153" s="74">
        <v>20000000</v>
      </c>
      <c r="D153" s="50"/>
      <c r="E153" s="115"/>
      <c r="F153" s="115"/>
      <c r="G153" s="115"/>
      <c r="H153" s="115"/>
    </row>
    <row r="154" spans="1:228">
      <c r="A154" s="106"/>
      <c r="B154" s="48" t="s">
        <v>82</v>
      </c>
      <c r="C154" s="74">
        <v>10000000</v>
      </c>
      <c r="D154" s="50"/>
      <c r="E154" s="115"/>
      <c r="F154" s="115"/>
      <c r="G154" s="115"/>
      <c r="H154" s="115"/>
    </row>
    <row r="155" spans="1:228">
      <c r="A155" s="106" t="s">
        <v>91</v>
      </c>
      <c r="B155" s="48" t="s">
        <v>83</v>
      </c>
      <c r="C155" s="74">
        <v>30000000</v>
      </c>
      <c r="D155" s="50"/>
      <c r="E155" s="114"/>
      <c r="F155" s="114"/>
      <c r="G155" s="127"/>
      <c r="H155" s="127"/>
    </row>
    <row r="156" spans="1:228" ht="37.5">
      <c r="A156" s="106" t="s">
        <v>91</v>
      </c>
      <c r="B156" s="48" t="s">
        <v>289</v>
      </c>
      <c r="C156" s="74">
        <v>20000000</v>
      </c>
      <c r="D156" s="50"/>
      <c r="E156" s="114"/>
      <c r="F156" s="114"/>
      <c r="G156" s="127"/>
      <c r="H156" s="127"/>
    </row>
    <row r="157" spans="1:228" s="71" customFormat="1">
      <c r="A157" s="31" t="s">
        <v>261</v>
      </c>
      <c r="B157" s="58" t="s">
        <v>290</v>
      </c>
      <c r="C157" s="102">
        <v>21000000</v>
      </c>
      <c r="D157" s="38"/>
      <c r="E157" s="116"/>
      <c r="F157" s="116"/>
      <c r="G157" s="117"/>
      <c r="H157" s="117"/>
    </row>
    <row r="158" spans="1:228">
      <c r="A158" s="72"/>
      <c r="B158" s="90" t="s">
        <v>263</v>
      </c>
      <c r="C158" s="65">
        <v>21000000</v>
      </c>
      <c r="D158" s="79"/>
      <c r="E158" s="118"/>
      <c r="F158" s="118"/>
      <c r="G158" s="127"/>
      <c r="H158" s="127"/>
    </row>
    <row r="159" spans="1:228" s="61" customFormat="1">
      <c r="A159" s="89"/>
      <c r="B159" s="65"/>
      <c r="C159" s="65"/>
      <c r="D159" s="79"/>
      <c r="E159" s="118"/>
      <c r="F159" s="118"/>
      <c r="G159" s="114"/>
      <c r="H159" s="114"/>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row>
    <row r="160" spans="1:228" s="47" customFormat="1" ht="19.5">
      <c r="A160" s="134">
        <v>2</v>
      </c>
      <c r="B160" s="134" t="s">
        <v>291</v>
      </c>
      <c r="C160" s="135">
        <v>3257000000</v>
      </c>
      <c r="D160" s="136"/>
      <c r="E160" s="137"/>
      <c r="F160" s="137"/>
      <c r="G160" s="137"/>
      <c r="H160" s="137"/>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c r="CW160" s="71"/>
      <c r="CX160" s="71"/>
      <c r="CY160" s="71"/>
      <c r="CZ160" s="71"/>
      <c r="DA160" s="71"/>
      <c r="DB160" s="71"/>
      <c r="DC160" s="71"/>
      <c r="DD160" s="71"/>
      <c r="DE160" s="71"/>
      <c r="DF160" s="71"/>
      <c r="DG160" s="71"/>
      <c r="DH160" s="71"/>
      <c r="DI160" s="71"/>
      <c r="DJ160" s="71"/>
      <c r="DK160" s="71"/>
      <c r="DL160" s="71"/>
      <c r="DM160" s="71"/>
      <c r="DN160" s="71"/>
      <c r="DO160" s="71"/>
      <c r="DP160" s="71"/>
      <c r="DQ160" s="71"/>
      <c r="DR160" s="71"/>
      <c r="DS160" s="71"/>
      <c r="DT160" s="71"/>
      <c r="DU160" s="71"/>
      <c r="DV160" s="71"/>
      <c r="DW160" s="71"/>
      <c r="DX160" s="71"/>
      <c r="DY160" s="71"/>
      <c r="DZ160" s="71"/>
      <c r="EA160" s="71"/>
      <c r="EB160" s="71"/>
      <c r="EC160" s="71"/>
      <c r="ED160" s="71"/>
      <c r="EE160" s="71"/>
      <c r="EF160" s="71"/>
      <c r="EG160" s="71"/>
      <c r="EH160" s="71"/>
      <c r="EI160" s="71"/>
      <c r="EJ160" s="71"/>
      <c r="EK160" s="71"/>
      <c r="EL160" s="71"/>
      <c r="EM160" s="71"/>
      <c r="EN160" s="71"/>
      <c r="EO160" s="71"/>
      <c r="EP160" s="71"/>
      <c r="EQ160" s="71"/>
      <c r="ER160" s="71"/>
      <c r="ES160" s="71"/>
      <c r="ET160" s="71"/>
      <c r="EU160" s="71"/>
      <c r="EV160" s="71"/>
      <c r="EW160" s="71"/>
      <c r="EX160" s="71"/>
      <c r="EY160" s="71"/>
      <c r="EZ160" s="71"/>
      <c r="FA160" s="71"/>
      <c r="FB160" s="71"/>
      <c r="FC160" s="71"/>
      <c r="FD160" s="71"/>
      <c r="FE160" s="71"/>
      <c r="FF160" s="71"/>
      <c r="FG160" s="71"/>
      <c r="FH160" s="71"/>
      <c r="FI160" s="71"/>
      <c r="FJ160" s="71"/>
      <c r="FK160" s="71"/>
      <c r="FL160" s="71"/>
      <c r="FM160" s="71"/>
      <c r="FN160" s="71"/>
      <c r="FO160" s="71"/>
      <c r="FP160" s="71"/>
      <c r="FQ160" s="71"/>
      <c r="FR160" s="71"/>
      <c r="FS160" s="71"/>
      <c r="FT160" s="71"/>
      <c r="FU160" s="71"/>
      <c r="FV160" s="71"/>
      <c r="FW160" s="71"/>
      <c r="FX160" s="71"/>
      <c r="FY160" s="71"/>
      <c r="FZ160" s="71"/>
      <c r="GA160" s="71"/>
      <c r="GB160" s="71"/>
      <c r="GC160" s="71"/>
      <c r="GD160" s="71"/>
      <c r="GE160" s="71"/>
      <c r="GF160" s="71"/>
      <c r="GG160" s="71"/>
      <c r="GH160" s="71"/>
      <c r="GI160" s="71"/>
      <c r="GJ160" s="71"/>
      <c r="GK160" s="71"/>
      <c r="GL160" s="71"/>
      <c r="GM160" s="71"/>
      <c r="GN160" s="71"/>
      <c r="GO160" s="71"/>
      <c r="GP160" s="71"/>
      <c r="GQ160" s="71"/>
      <c r="GR160" s="71"/>
      <c r="GS160" s="71"/>
      <c r="GT160" s="71"/>
      <c r="GU160" s="71"/>
      <c r="GV160" s="71"/>
      <c r="GW160" s="71"/>
      <c r="GX160" s="71"/>
      <c r="GY160" s="71"/>
      <c r="GZ160" s="71"/>
      <c r="HA160" s="71"/>
      <c r="HB160" s="71"/>
      <c r="HC160" s="71"/>
      <c r="HD160" s="71"/>
      <c r="HE160" s="71"/>
      <c r="HF160" s="71"/>
      <c r="HG160" s="71"/>
      <c r="HH160" s="71"/>
      <c r="HI160" s="71"/>
      <c r="HJ160" s="71"/>
      <c r="HK160" s="71"/>
      <c r="HL160" s="71"/>
      <c r="HM160" s="71"/>
      <c r="HN160" s="71"/>
      <c r="HO160" s="71"/>
      <c r="HP160" s="71"/>
      <c r="HQ160" s="71"/>
      <c r="HR160" s="71"/>
      <c r="HS160" s="71"/>
      <c r="HT160" s="71"/>
    </row>
    <row r="161" spans="1:228" s="47" customFormat="1" ht="19.5">
      <c r="A161" s="31" t="s">
        <v>222</v>
      </c>
      <c r="B161" s="101" t="s">
        <v>252</v>
      </c>
      <c r="C161" s="102">
        <v>322000000</v>
      </c>
      <c r="D161" s="38"/>
      <c r="E161" s="116"/>
      <c r="F161" s="116"/>
      <c r="G161" s="138"/>
      <c r="H161" s="13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c r="FW161" s="88"/>
      <c r="FX161" s="88"/>
      <c r="FY161" s="88"/>
      <c r="FZ161" s="88"/>
      <c r="GA161" s="88"/>
      <c r="GB161" s="88"/>
      <c r="GC161" s="88"/>
      <c r="GD161" s="88"/>
      <c r="GE161" s="88"/>
      <c r="GF161" s="88"/>
      <c r="GG161" s="88"/>
      <c r="GH161" s="88"/>
      <c r="GI161" s="88"/>
      <c r="GJ161" s="88"/>
      <c r="GK161" s="88"/>
      <c r="GL161" s="88"/>
      <c r="GM161" s="88"/>
      <c r="GN161" s="88"/>
      <c r="GO161" s="88"/>
      <c r="GP161" s="88"/>
      <c r="GQ161" s="88"/>
      <c r="GR161" s="88"/>
      <c r="GS161" s="88"/>
      <c r="GT161" s="88"/>
      <c r="GU161" s="88"/>
      <c r="GV161" s="88"/>
      <c r="GW161" s="88"/>
      <c r="GX161" s="88"/>
      <c r="GY161" s="88"/>
      <c r="GZ161" s="88"/>
      <c r="HA161" s="88"/>
      <c r="HB161" s="88"/>
      <c r="HC161" s="88"/>
      <c r="HD161" s="88"/>
      <c r="HE161" s="88"/>
      <c r="HF161" s="88"/>
      <c r="HG161" s="88"/>
      <c r="HH161" s="88"/>
      <c r="HI161" s="88"/>
      <c r="HJ161" s="88"/>
      <c r="HK161" s="88"/>
      <c r="HL161" s="88"/>
      <c r="HM161" s="88"/>
      <c r="HN161" s="88"/>
      <c r="HO161" s="88"/>
      <c r="HP161" s="88"/>
      <c r="HQ161" s="88"/>
      <c r="HR161" s="88"/>
      <c r="HS161" s="88"/>
      <c r="HT161" s="88"/>
    </row>
    <row r="162" spans="1:228" s="47" customFormat="1" ht="19.5">
      <c r="A162" s="72" t="s">
        <v>192</v>
      </c>
      <c r="B162" s="105" t="s">
        <v>292</v>
      </c>
      <c r="C162" s="74">
        <v>322000000</v>
      </c>
      <c r="D162" s="50"/>
      <c r="E162" s="114"/>
      <c r="F162" s="114"/>
      <c r="G162" s="139"/>
      <c r="H162" s="139"/>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c r="FW162" s="88"/>
      <c r="FX162" s="88"/>
      <c r="FY162" s="88"/>
      <c r="FZ162" s="88"/>
      <c r="GA162" s="88"/>
      <c r="GB162" s="88"/>
      <c r="GC162" s="88"/>
      <c r="GD162" s="88"/>
      <c r="GE162" s="88"/>
      <c r="GF162" s="88"/>
      <c r="GG162" s="88"/>
      <c r="GH162" s="88"/>
      <c r="GI162" s="88"/>
      <c r="GJ162" s="88"/>
      <c r="GK162" s="88"/>
      <c r="GL162" s="88"/>
      <c r="GM162" s="88"/>
      <c r="GN162" s="88"/>
      <c r="GO162" s="88"/>
      <c r="GP162" s="88"/>
      <c r="GQ162" s="88"/>
      <c r="GR162" s="88"/>
      <c r="GS162" s="88"/>
      <c r="GT162" s="88"/>
      <c r="GU162" s="88"/>
      <c r="GV162" s="88"/>
      <c r="GW162" s="88"/>
      <c r="GX162" s="88"/>
      <c r="GY162" s="88"/>
      <c r="GZ162" s="88"/>
      <c r="HA162" s="88"/>
      <c r="HB162" s="88"/>
      <c r="HC162" s="88"/>
      <c r="HD162" s="88"/>
      <c r="HE162" s="88"/>
      <c r="HF162" s="88"/>
      <c r="HG162" s="88"/>
      <c r="HH162" s="88"/>
      <c r="HI162" s="88"/>
      <c r="HJ162" s="88"/>
      <c r="HK162" s="88"/>
      <c r="HL162" s="88"/>
      <c r="HM162" s="88"/>
      <c r="HN162" s="88"/>
      <c r="HO162" s="88"/>
      <c r="HP162" s="88"/>
      <c r="HQ162" s="88"/>
      <c r="HR162" s="88"/>
      <c r="HS162" s="88"/>
      <c r="HT162" s="88"/>
    </row>
    <row r="163" spans="1:228" s="47" customFormat="1" ht="19.5">
      <c r="A163" s="89"/>
      <c r="B163" s="65" t="s">
        <v>293</v>
      </c>
      <c r="C163" s="91">
        <v>3180000005</v>
      </c>
      <c r="D163" s="79"/>
      <c r="E163" s="127"/>
      <c r="F163" s="127"/>
      <c r="G163" s="140"/>
      <c r="H163" s="140"/>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8"/>
      <c r="GD163" s="88"/>
      <c r="GE163" s="88"/>
      <c r="GF163" s="88"/>
      <c r="GG163" s="88"/>
      <c r="GH163" s="88"/>
      <c r="GI163" s="88"/>
      <c r="GJ163" s="88"/>
      <c r="GK163" s="88"/>
      <c r="GL163" s="88"/>
      <c r="GM163" s="88"/>
      <c r="GN163" s="88"/>
      <c r="GO163" s="88"/>
      <c r="GP163" s="88"/>
      <c r="GQ163" s="88"/>
      <c r="GR163" s="88"/>
      <c r="GS163" s="88"/>
      <c r="GT163" s="88"/>
      <c r="GU163" s="88"/>
      <c r="GV163" s="88"/>
      <c r="GW163" s="88"/>
      <c r="GX163" s="88"/>
      <c r="GY163" s="88"/>
      <c r="GZ163" s="88"/>
      <c r="HA163" s="88"/>
      <c r="HB163" s="88"/>
      <c r="HC163" s="88"/>
      <c r="HD163" s="88"/>
      <c r="HE163" s="88"/>
      <c r="HF163" s="88"/>
      <c r="HG163" s="88"/>
      <c r="HH163" s="88"/>
      <c r="HI163" s="88"/>
      <c r="HJ163" s="88"/>
      <c r="HK163" s="88"/>
      <c r="HL163" s="88"/>
      <c r="HM163" s="88"/>
      <c r="HN163" s="88"/>
      <c r="HO163" s="88"/>
      <c r="HP163" s="88"/>
      <c r="HQ163" s="88"/>
      <c r="HR163" s="88"/>
      <c r="HS163" s="88"/>
      <c r="HT163" s="88"/>
    </row>
    <row r="164" spans="1:228" s="47" customFormat="1" ht="19.5">
      <c r="A164" s="89"/>
      <c r="B164" s="110" t="s">
        <v>294</v>
      </c>
      <c r="C164" s="91"/>
      <c r="D164" s="79"/>
      <c r="E164" s="127"/>
      <c r="F164" s="127"/>
      <c r="G164" s="141"/>
      <c r="H164" s="141"/>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c r="FW164" s="88"/>
      <c r="FX164" s="88"/>
      <c r="FY164" s="88"/>
      <c r="FZ164" s="88"/>
      <c r="GA164" s="88"/>
      <c r="GB164" s="88"/>
      <c r="GC164" s="88"/>
      <c r="GD164" s="88"/>
      <c r="GE164" s="88"/>
      <c r="GF164" s="88"/>
      <c r="GG164" s="88"/>
      <c r="GH164" s="88"/>
      <c r="GI164" s="88"/>
      <c r="GJ164" s="88"/>
      <c r="GK164" s="88"/>
      <c r="GL164" s="88"/>
      <c r="GM164" s="88"/>
      <c r="GN164" s="88"/>
      <c r="GO164" s="88"/>
      <c r="GP164" s="88"/>
      <c r="GQ164" s="88"/>
      <c r="GR164" s="88"/>
      <c r="GS164" s="88"/>
      <c r="GT164" s="88"/>
      <c r="GU164" s="88"/>
      <c r="GV164" s="88"/>
      <c r="GW164" s="88"/>
      <c r="GX164" s="88"/>
      <c r="GY164" s="88"/>
      <c r="GZ164" s="88"/>
      <c r="HA164" s="88"/>
      <c r="HB164" s="88"/>
      <c r="HC164" s="88"/>
      <c r="HD164" s="88"/>
      <c r="HE164" s="88"/>
      <c r="HF164" s="88"/>
      <c r="HG164" s="88"/>
      <c r="HH164" s="88"/>
      <c r="HI164" s="88"/>
      <c r="HJ164" s="88"/>
      <c r="HK164" s="88"/>
      <c r="HL164" s="88"/>
      <c r="HM164" s="88"/>
      <c r="HN164" s="88"/>
      <c r="HO164" s="88"/>
      <c r="HP164" s="88"/>
      <c r="HQ164" s="88"/>
      <c r="HR164" s="88"/>
      <c r="HS164" s="88"/>
      <c r="HT164" s="88"/>
    </row>
    <row r="165" spans="1:228" s="47" customFormat="1" ht="19.5">
      <c r="A165" s="89" t="s">
        <v>192</v>
      </c>
      <c r="B165" s="41" t="s">
        <v>295</v>
      </c>
      <c r="C165" s="143">
        <v>322000000</v>
      </c>
      <c r="D165" s="38"/>
      <c r="E165" s="144"/>
      <c r="F165" s="144"/>
      <c r="G165" s="141"/>
      <c r="H165" s="141"/>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c r="FW165" s="88"/>
      <c r="FX165" s="88"/>
      <c r="FY165" s="88"/>
      <c r="FZ165" s="88"/>
      <c r="GA165" s="88"/>
      <c r="GB165" s="88"/>
      <c r="GC165" s="88"/>
      <c r="GD165" s="88"/>
      <c r="GE165" s="88"/>
      <c r="GF165" s="88"/>
      <c r="GG165" s="88"/>
      <c r="GH165" s="88"/>
      <c r="GI165" s="88"/>
      <c r="GJ165" s="88"/>
      <c r="GK165" s="88"/>
      <c r="GL165" s="88"/>
      <c r="GM165" s="88"/>
      <c r="GN165" s="88"/>
      <c r="GO165" s="88"/>
      <c r="GP165" s="88"/>
      <c r="GQ165" s="88"/>
      <c r="GR165" s="88"/>
      <c r="GS165" s="88"/>
      <c r="GT165" s="88"/>
      <c r="GU165" s="88"/>
      <c r="GV165" s="88"/>
      <c r="GW165" s="88"/>
      <c r="GX165" s="88"/>
      <c r="GY165" s="88"/>
      <c r="GZ165" s="88"/>
      <c r="HA165" s="88"/>
      <c r="HB165" s="88"/>
      <c r="HC165" s="88"/>
      <c r="HD165" s="88"/>
      <c r="HE165" s="88"/>
      <c r="HF165" s="88"/>
      <c r="HG165" s="88"/>
      <c r="HH165" s="88"/>
      <c r="HI165" s="88"/>
      <c r="HJ165" s="88"/>
      <c r="HK165" s="88"/>
      <c r="HL165" s="88"/>
      <c r="HM165" s="88"/>
      <c r="HN165" s="88"/>
      <c r="HO165" s="88"/>
      <c r="HP165" s="88"/>
      <c r="HQ165" s="88"/>
      <c r="HR165" s="88"/>
      <c r="HS165" s="88"/>
      <c r="HT165" s="88"/>
    </row>
    <row r="166" spans="1:228" s="47" customFormat="1" ht="19.5">
      <c r="A166" s="106" t="s">
        <v>91</v>
      </c>
      <c r="B166" s="105" t="s">
        <v>264</v>
      </c>
      <c r="C166" s="107">
        <v>322000000</v>
      </c>
      <c r="D166" s="76"/>
      <c r="E166" s="145"/>
      <c r="F166" s="145"/>
      <c r="G166" s="127"/>
      <c r="H166" s="127"/>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c r="GF166" s="88"/>
      <c r="GG166" s="88"/>
      <c r="GH166" s="88"/>
      <c r="GI166" s="88"/>
      <c r="GJ166" s="88"/>
      <c r="GK166" s="88"/>
      <c r="GL166" s="88"/>
      <c r="GM166" s="88"/>
      <c r="GN166" s="88"/>
      <c r="GO166" s="88"/>
      <c r="GP166" s="88"/>
      <c r="GQ166" s="88"/>
      <c r="GR166" s="88"/>
      <c r="GS166" s="88"/>
      <c r="GT166" s="88"/>
      <c r="GU166" s="88"/>
      <c r="GV166" s="88"/>
      <c r="GW166" s="88"/>
      <c r="GX166" s="88"/>
      <c r="GY166" s="88"/>
      <c r="GZ166" s="88"/>
      <c r="HA166" s="88"/>
      <c r="HB166" s="88"/>
      <c r="HC166" s="88"/>
      <c r="HD166" s="88"/>
      <c r="HE166" s="88"/>
      <c r="HF166" s="88"/>
      <c r="HG166" s="88"/>
      <c r="HH166" s="88"/>
      <c r="HI166" s="88"/>
      <c r="HJ166" s="88"/>
      <c r="HK166" s="88"/>
      <c r="HL166" s="88"/>
      <c r="HM166" s="88"/>
      <c r="HN166" s="88"/>
      <c r="HO166" s="88"/>
      <c r="HP166" s="88"/>
      <c r="HQ166" s="88"/>
      <c r="HR166" s="88"/>
      <c r="HS166" s="88"/>
      <c r="HT166" s="88"/>
    </row>
    <row r="167" spans="1:228" s="47" customFormat="1" ht="19.5">
      <c r="A167" s="109" t="s">
        <v>248</v>
      </c>
      <c r="B167" s="110" t="s">
        <v>255</v>
      </c>
      <c r="C167" s="91">
        <v>242000000</v>
      </c>
      <c r="D167" s="79"/>
      <c r="E167" s="127"/>
      <c r="F167" s="127"/>
      <c r="G167" s="117"/>
      <c r="H167" s="117"/>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c r="FW167" s="88"/>
      <c r="FX167" s="88"/>
      <c r="FY167" s="88"/>
      <c r="FZ167" s="88"/>
      <c r="GA167" s="88"/>
      <c r="GB167" s="88"/>
      <c r="GC167" s="88"/>
      <c r="GD167" s="88"/>
      <c r="GE167" s="88"/>
      <c r="GF167" s="88"/>
      <c r="GG167" s="88"/>
      <c r="GH167" s="88"/>
      <c r="GI167" s="88"/>
      <c r="GJ167" s="88"/>
      <c r="GK167" s="88"/>
      <c r="GL167" s="88"/>
      <c r="GM167" s="88"/>
      <c r="GN167" s="88"/>
      <c r="GO167" s="88"/>
      <c r="GP167" s="88"/>
      <c r="GQ167" s="88"/>
      <c r="GR167" s="88"/>
      <c r="GS167" s="88"/>
      <c r="GT167" s="88"/>
      <c r="GU167" s="88"/>
      <c r="GV167" s="88"/>
      <c r="GW167" s="88"/>
      <c r="GX167" s="88"/>
      <c r="GY167" s="88"/>
      <c r="GZ167" s="88"/>
      <c r="HA167" s="88"/>
      <c r="HB167" s="88"/>
      <c r="HC167" s="88"/>
      <c r="HD167" s="88"/>
      <c r="HE167" s="88"/>
      <c r="HF167" s="88"/>
      <c r="HG167" s="88"/>
      <c r="HH167" s="88"/>
      <c r="HI167" s="88"/>
      <c r="HJ167" s="88"/>
      <c r="HK167" s="88"/>
      <c r="HL167" s="88"/>
      <c r="HM167" s="88"/>
      <c r="HN167" s="88"/>
      <c r="HO167" s="88"/>
      <c r="HP167" s="88"/>
      <c r="HQ167" s="88"/>
      <c r="HR167" s="88"/>
      <c r="HS167" s="88"/>
      <c r="HT167" s="88"/>
    </row>
    <row r="168" spans="1:228" s="47" customFormat="1" ht="19.5">
      <c r="A168" s="106" t="s">
        <v>248</v>
      </c>
      <c r="B168" s="110" t="s">
        <v>256</v>
      </c>
      <c r="C168" s="91">
        <v>80000000</v>
      </c>
      <c r="D168" s="79"/>
      <c r="E168" s="127"/>
      <c r="F168" s="127"/>
      <c r="G168" s="146"/>
      <c r="H168" s="146"/>
    </row>
    <row r="169" spans="1:228" ht="19.5">
      <c r="A169" s="106" t="s">
        <v>91</v>
      </c>
      <c r="B169" s="147" t="s">
        <v>266</v>
      </c>
      <c r="C169" s="69"/>
      <c r="D169" s="56"/>
      <c r="E169" s="117"/>
      <c r="F169" s="117"/>
      <c r="G169" s="146"/>
      <c r="H169" s="146"/>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row>
    <row r="170" spans="1:228">
      <c r="A170" s="31" t="s">
        <v>225</v>
      </c>
      <c r="B170" s="101" t="s">
        <v>257</v>
      </c>
      <c r="C170" s="42">
        <v>2935000000</v>
      </c>
      <c r="D170" s="56"/>
      <c r="E170" s="119"/>
      <c r="F170" s="119"/>
      <c r="G170" s="148"/>
      <c r="H170" s="148"/>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row>
    <row r="171" spans="1:228">
      <c r="A171" s="21" t="s">
        <v>91</v>
      </c>
      <c r="B171" s="48" t="s">
        <v>92</v>
      </c>
      <c r="C171" s="23">
        <v>1500000000</v>
      </c>
      <c r="D171" s="50"/>
      <c r="E171" s="115"/>
      <c r="F171" s="115"/>
      <c r="G171" s="115"/>
      <c r="H171" s="115"/>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row>
    <row r="172" spans="1:228">
      <c r="A172" s="21" t="s">
        <v>91</v>
      </c>
      <c r="B172" s="48" t="s">
        <v>93</v>
      </c>
      <c r="C172" s="23">
        <v>600000000</v>
      </c>
      <c r="D172" s="50"/>
      <c r="E172" s="115"/>
      <c r="F172" s="115"/>
      <c r="G172" s="115"/>
      <c r="H172" s="115"/>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row>
    <row r="173" spans="1:228" ht="37.5">
      <c r="A173" s="21" t="s">
        <v>91</v>
      </c>
      <c r="B173" s="48" t="s">
        <v>94</v>
      </c>
      <c r="C173" s="23">
        <v>200000000</v>
      </c>
      <c r="D173" s="50"/>
      <c r="E173" s="115"/>
      <c r="F173" s="115"/>
      <c r="G173" s="149"/>
      <c r="H173" s="14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c r="HH173" s="29"/>
      <c r="HI173" s="29"/>
      <c r="HJ173" s="29"/>
      <c r="HK173" s="29"/>
      <c r="HL173" s="29"/>
      <c r="HM173" s="29"/>
      <c r="HN173" s="29"/>
      <c r="HO173" s="29"/>
      <c r="HP173" s="29"/>
      <c r="HQ173" s="29"/>
      <c r="HR173" s="29"/>
      <c r="HS173" s="29"/>
      <c r="HT173" s="29"/>
    </row>
    <row r="174" spans="1:228" ht="93.75">
      <c r="A174" s="21" t="s">
        <v>91</v>
      </c>
      <c r="B174" s="48" t="s">
        <v>95</v>
      </c>
      <c r="C174" s="23">
        <v>300000000</v>
      </c>
      <c r="D174" s="50" t="s">
        <v>296</v>
      </c>
      <c r="E174" s="115"/>
      <c r="F174" s="115"/>
      <c r="G174" s="115"/>
      <c r="H174" s="115"/>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c r="FY174" s="29"/>
      <c r="FZ174" s="29"/>
      <c r="GA174" s="29"/>
      <c r="GB174" s="29"/>
      <c r="GC174" s="29"/>
      <c r="GD174" s="29"/>
      <c r="GE174" s="29"/>
      <c r="GF174" s="29"/>
      <c r="GG174" s="29"/>
      <c r="GH174" s="29"/>
      <c r="GI174" s="29"/>
      <c r="GJ174" s="29"/>
      <c r="GK174" s="29"/>
      <c r="GL174" s="29"/>
      <c r="GM174" s="29"/>
      <c r="GN174" s="29"/>
      <c r="GO174" s="29"/>
      <c r="GP174" s="29"/>
      <c r="GQ174" s="29"/>
      <c r="GR174" s="29"/>
      <c r="GS174" s="29"/>
      <c r="GT174" s="29"/>
      <c r="GU174" s="29"/>
      <c r="GV174" s="29"/>
      <c r="GW174" s="29"/>
      <c r="GX174" s="29"/>
      <c r="GY174" s="29"/>
      <c r="GZ174" s="29"/>
      <c r="HA174" s="29"/>
      <c r="HB174" s="29"/>
      <c r="HC174" s="29"/>
      <c r="HD174" s="29"/>
      <c r="HE174" s="29"/>
      <c r="HF174" s="29"/>
      <c r="HG174" s="29"/>
      <c r="HH174" s="29"/>
      <c r="HI174" s="29"/>
      <c r="HJ174" s="29"/>
      <c r="HK174" s="29"/>
      <c r="HL174" s="29"/>
      <c r="HM174" s="29"/>
      <c r="HN174" s="29"/>
      <c r="HO174" s="29"/>
      <c r="HP174" s="29"/>
      <c r="HQ174" s="29"/>
      <c r="HR174" s="29"/>
      <c r="HS174" s="29"/>
      <c r="HT174" s="29"/>
    </row>
    <row r="175" spans="1:228">
      <c r="A175" s="21" t="s">
        <v>91</v>
      </c>
      <c r="B175" s="48" t="s">
        <v>96</v>
      </c>
      <c r="C175" s="23">
        <v>50000000</v>
      </c>
      <c r="D175" s="50"/>
      <c r="E175" s="115"/>
      <c r="F175" s="115"/>
      <c r="G175" s="115"/>
      <c r="H175" s="115"/>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c r="HH175" s="29"/>
      <c r="HI175" s="29"/>
      <c r="HJ175" s="29"/>
      <c r="HK175" s="29"/>
      <c r="HL175" s="29"/>
      <c r="HM175" s="29"/>
      <c r="HN175" s="29"/>
      <c r="HO175" s="29"/>
      <c r="HP175" s="29"/>
      <c r="HQ175" s="29"/>
      <c r="HR175" s="29"/>
      <c r="HS175" s="29"/>
      <c r="HT175" s="29"/>
    </row>
    <row r="176" spans="1:228" ht="93.75">
      <c r="A176" s="21" t="s">
        <v>91</v>
      </c>
      <c r="B176" s="48" t="s">
        <v>97</v>
      </c>
      <c r="C176" s="23">
        <v>100000000</v>
      </c>
      <c r="D176" s="50" t="s">
        <v>296</v>
      </c>
      <c r="E176" s="115"/>
      <c r="F176" s="115"/>
      <c r="G176" s="115"/>
      <c r="H176" s="115"/>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c r="HH176" s="29"/>
      <c r="HI176" s="29"/>
      <c r="HJ176" s="29"/>
      <c r="HK176" s="29"/>
      <c r="HL176" s="29"/>
      <c r="HM176" s="29"/>
      <c r="HN176" s="29"/>
      <c r="HO176" s="29"/>
      <c r="HP176" s="29"/>
      <c r="HQ176" s="29"/>
      <c r="HR176" s="29"/>
      <c r="HS176" s="29"/>
      <c r="HT176" s="29"/>
    </row>
    <row r="177" spans="1:228" ht="37.5">
      <c r="A177" s="21" t="s">
        <v>91</v>
      </c>
      <c r="B177" s="48" t="s">
        <v>98</v>
      </c>
      <c r="C177" s="23">
        <v>100000000</v>
      </c>
      <c r="D177" s="50"/>
      <c r="E177" s="115"/>
      <c r="F177" s="115"/>
      <c r="G177" s="115"/>
      <c r="H177" s="115"/>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row>
    <row r="178" spans="1:228">
      <c r="A178" s="21" t="s">
        <v>91</v>
      </c>
      <c r="B178" s="48" t="s">
        <v>99</v>
      </c>
      <c r="C178" s="23">
        <v>30000000</v>
      </c>
      <c r="D178" s="50"/>
      <c r="E178" s="115"/>
      <c r="F178" s="115"/>
      <c r="G178" s="115"/>
      <c r="H178" s="115"/>
    </row>
    <row r="179" spans="1:228" s="47" customFormat="1" ht="19.5">
      <c r="A179" s="21" t="s">
        <v>91</v>
      </c>
      <c r="B179" s="48" t="s">
        <v>100</v>
      </c>
      <c r="C179" s="23">
        <v>48000000</v>
      </c>
      <c r="D179" s="50"/>
      <c r="E179" s="115"/>
      <c r="F179" s="115"/>
      <c r="G179" s="118"/>
      <c r="H179" s="118"/>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row>
    <row r="180" spans="1:228" s="47" customFormat="1" ht="19.5">
      <c r="A180" s="21" t="s">
        <v>91</v>
      </c>
      <c r="B180" s="48" t="s">
        <v>297</v>
      </c>
      <c r="C180" s="23">
        <v>7000000</v>
      </c>
      <c r="D180" s="50"/>
      <c r="E180" s="115"/>
      <c r="F180" s="115"/>
      <c r="G180" s="118"/>
      <c r="H180" s="118"/>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row>
    <row r="181" spans="1:228" s="43" customFormat="1">
      <c r="A181" s="31" t="s">
        <v>298</v>
      </c>
      <c r="B181" s="101" t="s">
        <v>262</v>
      </c>
      <c r="C181" s="102">
        <v>293700000</v>
      </c>
      <c r="D181" s="38"/>
      <c r="E181" s="116"/>
      <c r="F181" s="116"/>
      <c r="G181" s="117"/>
      <c r="H181" s="117"/>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c r="CA181" s="71"/>
      <c r="CB181" s="71"/>
      <c r="CC181" s="71"/>
      <c r="CD181" s="71"/>
      <c r="CE181" s="71"/>
      <c r="CF181" s="71"/>
      <c r="CG181" s="71"/>
      <c r="CH181" s="71"/>
      <c r="CI181" s="71"/>
      <c r="CJ181" s="71"/>
      <c r="CK181" s="71"/>
      <c r="CL181" s="71"/>
      <c r="CM181" s="71"/>
      <c r="CN181" s="71"/>
      <c r="CO181" s="71"/>
      <c r="CP181" s="71"/>
      <c r="CQ181" s="71"/>
      <c r="CR181" s="71"/>
      <c r="CS181" s="71"/>
      <c r="CT181" s="71"/>
      <c r="CU181" s="71"/>
      <c r="CV181" s="71"/>
      <c r="CW181" s="71"/>
      <c r="CX181" s="71"/>
      <c r="CY181" s="71"/>
      <c r="CZ181" s="71"/>
      <c r="DA181" s="71"/>
      <c r="DB181" s="71"/>
      <c r="DC181" s="71"/>
      <c r="DD181" s="71"/>
      <c r="DE181" s="71"/>
      <c r="DF181" s="71"/>
      <c r="DG181" s="71"/>
      <c r="DH181" s="71"/>
      <c r="DI181" s="71"/>
      <c r="DJ181" s="71"/>
      <c r="DK181" s="71"/>
      <c r="DL181" s="71"/>
      <c r="DM181" s="71"/>
      <c r="DN181" s="71"/>
      <c r="DO181" s="71"/>
      <c r="DP181" s="71"/>
      <c r="DQ181" s="71"/>
      <c r="DR181" s="71"/>
      <c r="DS181" s="71"/>
      <c r="DT181" s="71"/>
      <c r="DU181" s="71"/>
      <c r="DV181" s="71"/>
      <c r="DW181" s="71"/>
      <c r="DX181" s="71"/>
      <c r="DY181" s="71"/>
      <c r="DZ181" s="71"/>
      <c r="EA181" s="71"/>
      <c r="EB181" s="71"/>
      <c r="EC181" s="71"/>
      <c r="ED181" s="71"/>
      <c r="EE181" s="71"/>
      <c r="EF181" s="71"/>
      <c r="EG181" s="71"/>
      <c r="EH181" s="71"/>
      <c r="EI181" s="71"/>
      <c r="EJ181" s="71"/>
      <c r="EK181" s="71"/>
      <c r="EL181" s="71"/>
      <c r="EM181" s="71"/>
      <c r="EN181" s="71"/>
      <c r="EO181" s="71"/>
      <c r="EP181" s="71"/>
      <c r="EQ181" s="71"/>
      <c r="ER181" s="71"/>
      <c r="ES181" s="71"/>
      <c r="ET181" s="71"/>
      <c r="EU181" s="71"/>
      <c r="EV181" s="71"/>
      <c r="EW181" s="71"/>
      <c r="EX181" s="71"/>
      <c r="EY181" s="71"/>
      <c r="EZ181" s="71"/>
      <c r="FA181" s="71"/>
      <c r="FB181" s="71"/>
      <c r="FC181" s="71"/>
      <c r="FD181" s="71"/>
      <c r="FE181" s="71"/>
      <c r="FF181" s="71"/>
      <c r="FG181" s="71"/>
      <c r="FH181" s="71"/>
      <c r="FI181" s="71"/>
      <c r="FJ181" s="71"/>
      <c r="FK181" s="71"/>
      <c r="FL181" s="71"/>
      <c r="FM181" s="71"/>
      <c r="FN181" s="71"/>
      <c r="FO181" s="71"/>
      <c r="FP181" s="71"/>
      <c r="FQ181" s="71"/>
      <c r="FR181" s="71"/>
      <c r="FS181" s="71"/>
      <c r="FT181" s="71"/>
      <c r="FU181" s="71"/>
      <c r="FV181" s="71"/>
      <c r="FW181" s="71"/>
      <c r="FX181" s="71"/>
      <c r="FY181" s="71"/>
      <c r="FZ181" s="71"/>
      <c r="GA181" s="71"/>
      <c r="GB181" s="71"/>
      <c r="GC181" s="71"/>
      <c r="GD181" s="71"/>
      <c r="GE181" s="71"/>
      <c r="GF181" s="71"/>
      <c r="GG181" s="71"/>
      <c r="GH181" s="71"/>
      <c r="GI181" s="71"/>
      <c r="GJ181" s="71"/>
      <c r="GK181" s="71"/>
      <c r="GL181" s="71"/>
      <c r="GM181" s="71"/>
      <c r="GN181" s="71"/>
      <c r="GO181" s="71"/>
      <c r="GP181" s="71"/>
      <c r="GQ181" s="71"/>
      <c r="GR181" s="71"/>
      <c r="GS181" s="71"/>
      <c r="GT181" s="71"/>
      <c r="GU181" s="71"/>
      <c r="GV181" s="71"/>
      <c r="GW181" s="71"/>
      <c r="GX181" s="71"/>
      <c r="GY181" s="71"/>
      <c r="GZ181" s="71"/>
      <c r="HA181" s="71"/>
      <c r="HB181" s="71"/>
      <c r="HC181" s="71"/>
      <c r="HD181" s="71"/>
      <c r="HE181" s="71"/>
      <c r="HF181" s="71"/>
      <c r="HG181" s="71"/>
      <c r="HH181" s="71"/>
      <c r="HI181" s="71"/>
      <c r="HJ181" s="71"/>
      <c r="HK181" s="71"/>
      <c r="HL181" s="71"/>
      <c r="HM181" s="71"/>
      <c r="HN181" s="71"/>
      <c r="HO181" s="71"/>
      <c r="HP181" s="71"/>
      <c r="HQ181" s="71"/>
      <c r="HR181" s="71"/>
      <c r="HS181" s="71"/>
      <c r="HT181" s="71"/>
    </row>
    <row r="182" spans="1:228" s="47" customFormat="1" ht="19.5">
      <c r="A182" s="89"/>
      <c r="B182" s="90" t="s">
        <v>263</v>
      </c>
      <c r="C182" s="65">
        <v>293700000</v>
      </c>
      <c r="D182" s="79"/>
      <c r="E182" s="118"/>
      <c r="F182" s="118"/>
      <c r="G182" s="114"/>
      <c r="H182" s="114"/>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row>
    <row r="183" spans="1:228" s="47" customFormat="1" ht="19.5">
      <c r="A183" s="32">
        <v>3</v>
      </c>
      <c r="B183" s="41" t="s">
        <v>299</v>
      </c>
      <c r="C183" s="37">
        <v>1230000000</v>
      </c>
      <c r="D183" s="38"/>
      <c r="E183" s="123"/>
      <c r="F183" s="123"/>
      <c r="G183" s="119"/>
      <c r="H183" s="119"/>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c r="FW183" s="88"/>
      <c r="FX183" s="88"/>
      <c r="FY183" s="88"/>
      <c r="FZ183" s="88"/>
      <c r="GA183" s="88"/>
      <c r="GB183" s="88"/>
      <c r="GC183" s="88"/>
      <c r="GD183" s="88"/>
      <c r="GE183" s="88"/>
      <c r="GF183" s="88"/>
      <c r="GG183" s="88"/>
      <c r="GH183" s="88"/>
      <c r="GI183" s="88"/>
      <c r="GJ183" s="88"/>
      <c r="GK183" s="88"/>
      <c r="GL183" s="88"/>
      <c r="GM183" s="88"/>
      <c r="GN183" s="88"/>
      <c r="GO183" s="88"/>
      <c r="GP183" s="88"/>
      <c r="GQ183" s="88"/>
      <c r="GR183" s="88"/>
      <c r="GS183" s="88"/>
      <c r="GT183" s="88"/>
      <c r="GU183" s="88"/>
      <c r="GV183" s="88"/>
      <c r="GW183" s="88"/>
      <c r="GX183" s="88"/>
      <c r="GY183" s="88"/>
      <c r="GZ183" s="88"/>
      <c r="HA183" s="88"/>
      <c r="HB183" s="88"/>
      <c r="HC183" s="88"/>
      <c r="HD183" s="88"/>
      <c r="HE183" s="88"/>
      <c r="HF183" s="88"/>
      <c r="HG183" s="88"/>
      <c r="HH183" s="88"/>
      <c r="HI183" s="88"/>
      <c r="HJ183" s="88"/>
      <c r="HK183" s="88"/>
      <c r="HL183" s="88"/>
      <c r="HM183" s="88"/>
      <c r="HN183" s="88"/>
      <c r="HO183" s="88"/>
      <c r="HP183" s="88"/>
      <c r="HQ183" s="88"/>
      <c r="HR183" s="88"/>
      <c r="HS183" s="88"/>
      <c r="HT183" s="88"/>
    </row>
    <row r="184" spans="1:228" s="47" customFormat="1" ht="19.5">
      <c r="A184" s="31" t="s">
        <v>222</v>
      </c>
      <c r="B184" s="150" t="s">
        <v>252</v>
      </c>
      <c r="C184" s="102">
        <v>700000000</v>
      </c>
      <c r="D184" s="38"/>
      <c r="E184" s="116"/>
      <c r="F184" s="116"/>
      <c r="G184" s="117"/>
      <c r="H184" s="117"/>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c r="FW184" s="88"/>
      <c r="FX184" s="88"/>
      <c r="FY184" s="88"/>
      <c r="FZ184" s="88"/>
      <c r="GA184" s="88"/>
      <c r="GB184" s="88"/>
      <c r="GC184" s="88"/>
      <c r="GD184" s="88"/>
      <c r="GE184" s="88"/>
      <c r="GF184" s="88"/>
      <c r="GG184" s="88"/>
      <c r="GH184" s="88"/>
      <c r="GI184" s="88"/>
      <c r="GJ184" s="88"/>
      <c r="GK184" s="88"/>
      <c r="GL184" s="88"/>
      <c r="GM184" s="88"/>
      <c r="GN184" s="88"/>
      <c r="GO184" s="88"/>
      <c r="GP184" s="88"/>
      <c r="GQ184" s="88"/>
      <c r="GR184" s="88"/>
      <c r="GS184" s="88"/>
      <c r="GT184" s="88"/>
      <c r="GU184" s="88"/>
      <c r="GV184" s="88"/>
      <c r="GW184" s="88"/>
      <c r="GX184" s="88"/>
      <c r="GY184" s="88"/>
      <c r="GZ184" s="88"/>
      <c r="HA184" s="88"/>
      <c r="HB184" s="88"/>
      <c r="HC184" s="88"/>
      <c r="HD184" s="88"/>
      <c r="HE184" s="88"/>
      <c r="HF184" s="88"/>
      <c r="HG184" s="88"/>
      <c r="HH184" s="88"/>
      <c r="HI184" s="88"/>
      <c r="HJ184" s="88"/>
      <c r="HK184" s="88"/>
      <c r="HL184" s="88"/>
      <c r="HM184" s="88"/>
      <c r="HN184" s="88"/>
      <c r="HO184" s="88"/>
      <c r="HP184" s="88"/>
      <c r="HQ184" s="88"/>
      <c r="HR184" s="88"/>
      <c r="HS184" s="88"/>
      <c r="HT184" s="88"/>
    </row>
    <row r="185" spans="1:228" s="47" customFormat="1" ht="19.5">
      <c r="A185" s="72" t="s">
        <v>192</v>
      </c>
      <c r="B185" s="151" t="s">
        <v>292</v>
      </c>
      <c r="C185" s="74">
        <v>700000000</v>
      </c>
      <c r="D185" s="50"/>
      <c r="E185" s="114"/>
      <c r="F185" s="114"/>
      <c r="G185" s="141"/>
      <c r="H185" s="141"/>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c r="FW185" s="88"/>
      <c r="FX185" s="88"/>
      <c r="FY185" s="88"/>
      <c r="FZ185" s="88"/>
      <c r="GA185" s="88"/>
      <c r="GB185" s="88"/>
      <c r="GC185" s="88"/>
      <c r="GD185" s="88"/>
      <c r="GE185" s="88"/>
      <c r="GF185" s="88"/>
      <c r="GG185" s="88"/>
      <c r="GH185" s="88"/>
      <c r="GI185" s="88"/>
      <c r="GJ185" s="88"/>
      <c r="GK185" s="88"/>
      <c r="GL185" s="88"/>
      <c r="GM185" s="88"/>
      <c r="GN185" s="88"/>
      <c r="GO185" s="88"/>
      <c r="GP185" s="88"/>
      <c r="GQ185" s="88"/>
      <c r="GR185" s="88"/>
      <c r="GS185" s="88"/>
      <c r="GT185" s="88"/>
      <c r="GU185" s="88"/>
      <c r="GV185" s="88"/>
      <c r="GW185" s="88"/>
      <c r="GX185" s="88"/>
      <c r="GY185" s="88"/>
      <c r="GZ185" s="88"/>
      <c r="HA185" s="88"/>
      <c r="HB185" s="88"/>
      <c r="HC185" s="88"/>
      <c r="HD185" s="88"/>
      <c r="HE185" s="88"/>
      <c r="HF185" s="88"/>
      <c r="HG185" s="88"/>
      <c r="HH185" s="88"/>
      <c r="HI185" s="88"/>
      <c r="HJ185" s="88"/>
      <c r="HK185" s="88"/>
      <c r="HL185" s="88"/>
      <c r="HM185" s="88"/>
      <c r="HN185" s="88"/>
      <c r="HO185" s="88"/>
      <c r="HP185" s="88"/>
      <c r="HQ185" s="88"/>
      <c r="HR185" s="88"/>
      <c r="HS185" s="88"/>
      <c r="HT185" s="88"/>
    </row>
    <row r="186" spans="1:228" s="47" customFormat="1" ht="19.5">
      <c r="A186" s="89"/>
      <c r="B186" s="91" t="s">
        <v>300</v>
      </c>
      <c r="C186" s="91"/>
      <c r="D186" s="79"/>
      <c r="E186" s="127"/>
      <c r="F186" s="127"/>
      <c r="G186" s="140"/>
      <c r="H186" s="140"/>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c r="FW186" s="88"/>
      <c r="FX186" s="88"/>
      <c r="FY186" s="88"/>
      <c r="FZ186" s="88"/>
      <c r="GA186" s="88"/>
      <c r="GB186" s="88"/>
      <c r="GC186" s="88"/>
      <c r="GD186" s="88"/>
      <c r="GE186" s="88"/>
      <c r="GF186" s="88"/>
      <c r="GG186" s="88"/>
      <c r="GH186" s="88"/>
      <c r="GI186" s="88"/>
      <c r="GJ186" s="88"/>
      <c r="GK186" s="88"/>
      <c r="GL186" s="88"/>
      <c r="GM186" s="88"/>
      <c r="GN186" s="88"/>
      <c r="GO186" s="88"/>
      <c r="GP186" s="88"/>
      <c r="GQ186" s="88"/>
      <c r="GR186" s="88"/>
      <c r="GS186" s="88"/>
      <c r="GT186" s="88"/>
      <c r="GU186" s="88"/>
      <c r="GV186" s="88"/>
      <c r="GW186" s="88"/>
      <c r="GX186" s="88"/>
      <c r="GY186" s="88"/>
      <c r="GZ186" s="88"/>
      <c r="HA186" s="88"/>
      <c r="HB186" s="88"/>
      <c r="HC186" s="88"/>
      <c r="HD186" s="88"/>
      <c r="HE186" s="88"/>
      <c r="HF186" s="88"/>
      <c r="HG186" s="88"/>
      <c r="HH186" s="88"/>
      <c r="HI186" s="88"/>
      <c r="HJ186" s="88"/>
      <c r="HK186" s="88"/>
      <c r="HL186" s="88"/>
      <c r="HM186" s="88"/>
      <c r="HN186" s="88"/>
      <c r="HO186" s="88"/>
      <c r="HP186" s="88"/>
      <c r="HQ186" s="88"/>
      <c r="HR186" s="88"/>
      <c r="HS186" s="88"/>
      <c r="HT186" s="88"/>
    </row>
    <row r="187" spans="1:228" s="43" customFormat="1">
      <c r="A187" s="89"/>
      <c r="B187" s="152" t="s">
        <v>301</v>
      </c>
      <c r="C187" s="91"/>
      <c r="D187" s="79"/>
      <c r="E187" s="127"/>
      <c r="F187" s="127"/>
      <c r="G187" s="141"/>
      <c r="H187" s="141"/>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row>
    <row r="188" spans="1:228" s="43" customFormat="1">
      <c r="A188" s="89" t="s">
        <v>192</v>
      </c>
      <c r="B188" s="41" t="s">
        <v>295</v>
      </c>
      <c r="C188" s="112">
        <v>700000000</v>
      </c>
      <c r="D188" s="50"/>
      <c r="E188" s="113"/>
      <c r="F188" s="113"/>
      <c r="G188" s="141"/>
      <c r="H188" s="141"/>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row>
    <row r="189" spans="1:228" s="43" customFormat="1">
      <c r="A189" s="106" t="s">
        <v>91</v>
      </c>
      <c r="B189" s="105" t="s">
        <v>264</v>
      </c>
      <c r="C189" s="107">
        <v>700000000</v>
      </c>
      <c r="D189" s="76"/>
      <c r="E189" s="145"/>
      <c r="F189" s="145"/>
      <c r="G189" s="127"/>
      <c r="H189" s="1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row>
    <row r="190" spans="1:228" s="43" customFormat="1">
      <c r="A190" s="109" t="s">
        <v>248</v>
      </c>
      <c r="B190" s="110" t="s">
        <v>255</v>
      </c>
      <c r="C190" s="91">
        <v>580000000</v>
      </c>
      <c r="D190" s="79"/>
      <c r="E190" s="127"/>
      <c r="F190" s="127"/>
      <c r="G190" s="117"/>
      <c r="H190" s="11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row>
    <row r="191" spans="1:228" s="43" customFormat="1">
      <c r="A191" s="106" t="s">
        <v>248</v>
      </c>
      <c r="B191" s="110" t="s">
        <v>256</v>
      </c>
      <c r="C191" s="91">
        <v>120000000</v>
      </c>
      <c r="D191" s="79"/>
      <c r="E191" s="127"/>
      <c r="F191" s="127"/>
      <c r="G191" s="146"/>
      <c r="H191" s="146"/>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row>
    <row r="192" spans="1:228">
      <c r="A192" s="109" t="s">
        <v>91</v>
      </c>
      <c r="B192" s="110" t="s">
        <v>266</v>
      </c>
      <c r="C192" s="91"/>
      <c r="D192" s="79"/>
      <c r="E192" s="127"/>
      <c r="F192" s="127"/>
      <c r="G192" s="146"/>
      <c r="H192" s="146"/>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c r="FY192" s="29"/>
      <c r="FZ192" s="29"/>
      <c r="GA192" s="29"/>
      <c r="GB192" s="29"/>
      <c r="GC192" s="29"/>
      <c r="GD192" s="29"/>
      <c r="GE192" s="29"/>
      <c r="GF192" s="29"/>
      <c r="GG192" s="29"/>
      <c r="GH192" s="29"/>
      <c r="GI192" s="29"/>
      <c r="GJ192" s="29"/>
      <c r="GK192" s="29"/>
      <c r="GL192" s="29"/>
      <c r="GM192" s="29"/>
      <c r="GN192" s="29"/>
      <c r="GO192" s="29"/>
      <c r="GP192" s="29"/>
      <c r="GQ192" s="29"/>
      <c r="GR192" s="29"/>
      <c r="GS192" s="29"/>
      <c r="GT192" s="29"/>
      <c r="GU192" s="29"/>
      <c r="GV192" s="29"/>
      <c r="GW192" s="29"/>
      <c r="GX192" s="29"/>
      <c r="GY192" s="29"/>
      <c r="GZ192" s="29"/>
      <c r="HA192" s="29"/>
      <c r="HB192" s="29"/>
      <c r="HC192" s="29"/>
      <c r="HD192" s="29"/>
      <c r="HE192" s="29"/>
      <c r="HF192" s="29"/>
      <c r="HG192" s="29"/>
      <c r="HH192" s="29"/>
      <c r="HI192" s="29"/>
      <c r="HJ192" s="29"/>
      <c r="HK192" s="29"/>
      <c r="HL192" s="29"/>
      <c r="HM192" s="29"/>
      <c r="HN192" s="29"/>
      <c r="HO192" s="29"/>
      <c r="HP192" s="29"/>
      <c r="HQ192" s="29"/>
      <c r="HR192" s="29"/>
      <c r="HS192" s="29"/>
      <c r="HT192" s="29"/>
    </row>
    <row r="193" spans="1:228" s="61" customFormat="1" ht="19.5">
      <c r="A193" s="82" t="s">
        <v>225</v>
      </c>
      <c r="B193" s="101" t="s">
        <v>257</v>
      </c>
      <c r="C193" s="69">
        <v>530000000</v>
      </c>
      <c r="D193" s="56"/>
      <c r="E193" s="117"/>
      <c r="F193" s="117"/>
      <c r="G193" s="146"/>
      <c r="H193" s="146"/>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row>
    <row r="194" spans="1:228" s="62" customFormat="1" ht="37.5">
      <c r="A194" s="21" t="s">
        <v>91</v>
      </c>
      <c r="B194" s="48" t="s">
        <v>102</v>
      </c>
      <c r="C194" s="23">
        <v>80000000</v>
      </c>
      <c r="D194" s="50"/>
      <c r="E194" s="115"/>
      <c r="F194" s="115"/>
      <c r="G194" s="115"/>
      <c r="H194" s="115"/>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row>
    <row r="195" spans="1:228" ht="93.75">
      <c r="A195" s="21" t="s">
        <v>91</v>
      </c>
      <c r="B195" s="48" t="s">
        <v>103</v>
      </c>
      <c r="C195" s="23">
        <v>350000000</v>
      </c>
      <c r="D195" s="50" t="s">
        <v>296</v>
      </c>
      <c r="E195" s="115"/>
      <c r="F195" s="115"/>
      <c r="G195" s="115"/>
      <c r="H195" s="115"/>
    </row>
    <row r="196" spans="1:228" ht="37.5">
      <c r="A196" s="21" t="s">
        <v>91</v>
      </c>
      <c r="B196" s="48" t="s">
        <v>104</v>
      </c>
      <c r="C196" s="23">
        <v>100000000</v>
      </c>
      <c r="D196" s="50"/>
      <c r="E196" s="115"/>
      <c r="F196" s="115"/>
      <c r="G196" s="115"/>
      <c r="H196" s="115"/>
    </row>
    <row r="197" spans="1:228" s="71" customFormat="1" ht="19.5">
      <c r="A197" s="31" t="s">
        <v>261</v>
      </c>
      <c r="B197" s="101" t="s">
        <v>262</v>
      </c>
      <c r="C197" s="102">
        <v>65000000</v>
      </c>
      <c r="D197" s="38"/>
      <c r="E197" s="116"/>
      <c r="F197" s="116"/>
      <c r="G197" s="131"/>
      <c r="H197" s="131"/>
    </row>
    <row r="198" spans="1:228">
      <c r="A198" s="89"/>
      <c r="B198" s="90" t="s">
        <v>263</v>
      </c>
      <c r="C198" s="65">
        <v>65000000</v>
      </c>
      <c r="D198" s="79"/>
      <c r="E198" s="118"/>
      <c r="F198" s="118"/>
      <c r="G198" s="127"/>
      <c r="H198" s="127"/>
    </row>
    <row r="199" spans="1:228" ht="19.5">
      <c r="A199" s="32">
        <v>4</v>
      </c>
      <c r="B199" s="41" t="s">
        <v>302</v>
      </c>
      <c r="C199" s="42">
        <v>1652000000</v>
      </c>
      <c r="D199" s="56"/>
      <c r="E199" s="119"/>
      <c r="F199" s="119"/>
      <c r="G199" s="153"/>
      <c r="H199" s="153"/>
    </row>
    <row r="200" spans="1:228" s="47" customFormat="1" ht="19.5">
      <c r="A200" s="31" t="s">
        <v>222</v>
      </c>
      <c r="B200" s="150" t="s">
        <v>303</v>
      </c>
      <c r="C200" s="102">
        <v>590000000</v>
      </c>
      <c r="D200" s="38"/>
      <c r="E200" s="116"/>
      <c r="F200" s="116"/>
      <c r="G200" s="117"/>
      <c r="H200" s="117"/>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88"/>
      <c r="EY200" s="88"/>
      <c r="EZ200" s="88"/>
      <c r="FA200" s="88"/>
      <c r="FB200" s="88"/>
      <c r="FC200" s="88"/>
      <c r="FD200" s="88"/>
      <c r="FE200" s="88"/>
      <c r="FF200" s="88"/>
      <c r="FG200" s="88"/>
      <c r="FH200" s="88"/>
      <c r="FI200" s="88"/>
      <c r="FJ200" s="88"/>
      <c r="FK200" s="88"/>
      <c r="FL200" s="88"/>
      <c r="FM200" s="88"/>
      <c r="FN200" s="88"/>
      <c r="FO200" s="88"/>
      <c r="FP200" s="88"/>
      <c r="FQ200" s="88"/>
      <c r="FR200" s="88"/>
      <c r="FS200" s="88"/>
      <c r="FT200" s="88"/>
      <c r="FU200" s="88"/>
      <c r="FV200" s="88"/>
      <c r="FW200" s="88"/>
      <c r="FX200" s="88"/>
      <c r="FY200" s="88"/>
      <c r="FZ200" s="88"/>
      <c r="GA200" s="88"/>
      <c r="GB200" s="88"/>
      <c r="GC200" s="88"/>
      <c r="GD200" s="88"/>
      <c r="GE200" s="88"/>
      <c r="GF200" s="88"/>
      <c r="GG200" s="88"/>
      <c r="GH200" s="88"/>
      <c r="GI200" s="88"/>
      <c r="GJ200" s="88"/>
      <c r="GK200" s="88"/>
      <c r="GL200" s="88"/>
      <c r="GM200" s="88"/>
      <c r="GN200" s="88"/>
      <c r="GO200" s="88"/>
      <c r="GP200" s="88"/>
      <c r="GQ200" s="88"/>
      <c r="GR200" s="88"/>
      <c r="GS200" s="88"/>
      <c r="GT200" s="88"/>
      <c r="GU200" s="88"/>
      <c r="GV200" s="88"/>
      <c r="GW200" s="88"/>
      <c r="GX200" s="88"/>
      <c r="GY200" s="88"/>
      <c r="GZ200" s="88"/>
      <c r="HA200" s="88"/>
      <c r="HB200" s="88"/>
      <c r="HC200" s="88"/>
      <c r="HD200" s="88"/>
      <c r="HE200" s="88"/>
      <c r="HF200" s="88"/>
      <c r="HG200" s="88"/>
      <c r="HH200" s="88"/>
      <c r="HI200" s="88"/>
      <c r="HJ200" s="88"/>
      <c r="HK200" s="88"/>
      <c r="HL200" s="88"/>
      <c r="HM200" s="88"/>
      <c r="HN200" s="88"/>
      <c r="HO200" s="88"/>
      <c r="HP200" s="88"/>
      <c r="HQ200" s="88"/>
      <c r="HR200" s="88"/>
      <c r="HS200" s="88"/>
      <c r="HT200" s="88"/>
    </row>
    <row r="201" spans="1:228" s="47" customFormat="1" ht="19.5">
      <c r="A201" s="72" t="s">
        <v>192</v>
      </c>
      <c r="B201" s="151" t="s">
        <v>292</v>
      </c>
      <c r="C201" s="74">
        <v>590000000</v>
      </c>
      <c r="D201" s="79"/>
      <c r="E201" s="114"/>
      <c r="F201" s="114"/>
      <c r="G201" s="141"/>
      <c r="H201" s="141"/>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88"/>
      <c r="EY201" s="88"/>
      <c r="EZ201" s="88"/>
      <c r="FA201" s="88"/>
      <c r="FB201" s="88"/>
      <c r="FC201" s="88"/>
      <c r="FD201" s="88"/>
      <c r="FE201" s="88"/>
      <c r="FF201" s="88"/>
      <c r="FG201" s="88"/>
      <c r="FH201" s="88"/>
      <c r="FI201" s="88"/>
      <c r="FJ201" s="88"/>
      <c r="FK201" s="88"/>
      <c r="FL201" s="88"/>
      <c r="FM201" s="88"/>
      <c r="FN201" s="88"/>
      <c r="FO201" s="88"/>
      <c r="FP201" s="88"/>
      <c r="FQ201" s="88"/>
      <c r="FR201" s="88"/>
      <c r="FS201" s="88"/>
      <c r="FT201" s="88"/>
      <c r="FU201" s="88"/>
      <c r="FV201" s="88"/>
      <c r="FW201" s="88"/>
      <c r="FX201" s="88"/>
      <c r="FY201" s="88"/>
      <c r="FZ201" s="88"/>
      <c r="GA201" s="88"/>
      <c r="GB201" s="88"/>
      <c r="GC201" s="88"/>
      <c r="GD201" s="88"/>
      <c r="GE201" s="88"/>
      <c r="GF201" s="88"/>
      <c r="GG201" s="88"/>
      <c r="GH201" s="88"/>
      <c r="GI201" s="88"/>
      <c r="GJ201" s="88"/>
      <c r="GK201" s="88"/>
      <c r="GL201" s="88"/>
      <c r="GM201" s="88"/>
      <c r="GN201" s="88"/>
      <c r="GO201" s="88"/>
      <c r="GP201" s="88"/>
      <c r="GQ201" s="88"/>
      <c r="GR201" s="88"/>
      <c r="GS201" s="88"/>
      <c r="GT201" s="88"/>
      <c r="GU201" s="88"/>
      <c r="GV201" s="88"/>
      <c r="GW201" s="88"/>
      <c r="GX201" s="88"/>
      <c r="GY201" s="88"/>
      <c r="GZ201" s="88"/>
      <c r="HA201" s="88"/>
      <c r="HB201" s="88"/>
      <c r="HC201" s="88"/>
      <c r="HD201" s="88"/>
      <c r="HE201" s="88"/>
      <c r="HF201" s="88"/>
      <c r="HG201" s="88"/>
      <c r="HH201" s="88"/>
      <c r="HI201" s="88"/>
      <c r="HJ201" s="88"/>
      <c r="HK201" s="88"/>
      <c r="HL201" s="88"/>
      <c r="HM201" s="88"/>
      <c r="HN201" s="88"/>
      <c r="HO201" s="88"/>
      <c r="HP201" s="88"/>
      <c r="HQ201" s="88"/>
      <c r="HR201" s="88"/>
      <c r="HS201" s="88"/>
      <c r="HT201" s="88"/>
    </row>
    <row r="202" spans="1:228" s="47" customFormat="1" ht="19.5">
      <c r="A202" s="89"/>
      <c r="B202" s="91" t="s">
        <v>304</v>
      </c>
      <c r="C202" s="91">
        <v>2035000005</v>
      </c>
      <c r="D202" s="79"/>
      <c r="E202" s="127"/>
      <c r="F202" s="127"/>
      <c r="G202" s="141"/>
      <c r="H202" s="141"/>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88"/>
      <c r="EY202" s="88"/>
      <c r="EZ202" s="88"/>
      <c r="FA202" s="88"/>
      <c r="FB202" s="88"/>
      <c r="FC202" s="88"/>
      <c r="FD202" s="88"/>
      <c r="FE202" s="88"/>
      <c r="FF202" s="88"/>
      <c r="FG202" s="88"/>
      <c r="FH202" s="88"/>
      <c r="FI202" s="88"/>
      <c r="FJ202" s="88"/>
      <c r="FK202" s="88"/>
      <c r="FL202" s="88"/>
      <c r="FM202" s="88"/>
      <c r="FN202" s="88"/>
      <c r="FO202" s="88"/>
      <c r="FP202" s="88"/>
      <c r="FQ202" s="88"/>
      <c r="FR202" s="88"/>
      <c r="FS202" s="88"/>
      <c r="FT202" s="88"/>
      <c r="FU202" s="88"/>
      <c r="FV202" s="88"/>
      <c r="FW202" s="88"/>
      <c r="FX202" s="88"/>
      <c r="FY202" s="88"/>
      <c r="FZ202" s="88"/>
      <c r="GA202" s="88"/>
      <c r="GB202" s="88"/>
      <c r="GC202" s="88"/>
      <c r="GD202" s="88"/>
      <c r="GE202" s="88"/>
      <c r="GF202" s="88"/>
      <c r="GG202" s="88"/>
      <c r="GH202" s="88"/>
      <c r="GI202" s="88"/>
      <c r="GJ202" s="88"/>
      <c r="GK202" s="88"/>
      <c r="GL202" s="88"/>
      <c r="GM202" s="88"/>
      <c r="GN202" s="88"/>
      <c r="GO202" s="88"/>
      <c r="GP202" s="88"/>
      <c r="GQ202" s="88"/>
      <c r="GR202" s="88"/>
      <c r="GS202" s="88"/>
      <c r="GT202" s="88"/>
      <c r="GU202" s="88"/>
      <c r="GV202" s="88"/>
      <c r="GW202" s="88"/>
      <c r="GX202" s="88"/>
      <c r="GY202" s="88"/>
      <c r="GZ202" s="88"/>
      <c r="HA202" s="88"/>
      <c r="HB202" s="88"/>
      <c r="HC202" s="88"/>
      <c r="HD202" s="88"/>
      <c r="HE202" s="88"/>
      <c r="HF202" s="88"/>
      <c r="HG202" s="88"/>
      <c r="HH202" s="88"/>
      <c r="HI202" s="88"/>
      <c r="HJ202" s="88"/>
      <c r="HK202" s="88"/>
      <c r="HL202" s="88"/>
      <c r="HM202" s="88"/>
      <c r="HN202" s="88"/>
      <c r="HO202" s="88"/>
      <c r="HP202" s="88"/>
      <c r="HQ202" s="88"/>
      <c r="HR202" s="88"/>
      <c r="HS202" s="88"/>
      <c r="HT202" s="88"/>
    </row>
    <row r="203" spans="1:228" s="47" customFormat="1" ht="19.5">
      <c r="A203" s="89"/>
      <c r="B203" s="152" t="s">
        <v>305</v>
      </c>
      <c r="C203" s="91">
        <v>264550000.65000001</v>
      </c>
      <c r="D203" s="79"/>
      <c r="E203" s="127"/>
      <c r="F203" s="127"/>
      <c r="G203" s="141"/>
      <c r="H203" s="141"/>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88"/>
      <c r="FL203" s="88"/>
      <c r="FM203" s="88"/>
      <c r="FN203" s="88"/>
      <c r="FO203" s="88"/>
      <c r="FP203" s="88"/>
      <c r="FQ203" s="88"/>
      <c r="FR203" s="88"/>
      <c r="FS203" s="88"/>
      <c r="FT203" s="88"/>
      <c r="FU203" s="88"/>
      <c r="FV203" s="88"/>
      <c r="FW203" s="88"/>
      <c r="FX203" s="88"/>
      <c r="FY203" s="88"/>
      <c r="FZ203" s="88"/>
      <c r="GA203" s="88"/>
      <c r="GB203" s="88"/>
      <c r="GC203" s="88"/>
      <c r="GD203" s="88"/>
      <c r="GE203" s="88"/>
      <c r="GF203" s="88"/>
      <c r="GG203" s="88"/>
      <c r="GH203" s="88"/>
      <c r="GI203" s="88"/>
      <c r="GJ203" s="88"/>
      <c r="GK203" s="88"/>
      <c r="GL203" s="88"/>
      <c r="GM203" s="88"/>
      <c r="GN203" s="88"/>
      <c r="GO203" s="88"/>
      <c r="GP203" s="88"/>
      <c r="GQ203" s="88"/>
      <c r="GR203" s="88"/>
      <c r="GS203" s="88"/>
      <c r="GT203" s="88"/>
      <c r="GU203" s="88"/>
      <c r="GV203" s="88"/>
      <c r="GW203" s="88"/>
      <c r="GX203" s="88"/>
      <c r="GY203" s="88"/>
      <c r="GZ203" s="88"/>
      <c r="HA203" s="88"/>
      <c r="HB203" s="88"/>
      <c r="HC203" s="88"/>
      <c r="HD203" s="88"/>
      <c r="HE203" s="88"/>
      <c r="HF203" s="88"/>
      <c r="HG203" s="88"/>
      <c r="HH203" s="88"/>
      <c r="HI203" s="88"/>
      <c r="HJ203" s="88"/>
      <c r="HK203" s="88"/>
      <c r="HL203" s="88"/>
      <c r="HM203" s="88"/>
      <c r="HN203" s="88"/>
      <c r="HO203" s="88"/>
      <c r="HP203" s="88"/>
      <c r="HQ203" s="88"/>
      <c r="HR203" s="88"/>
      <c r="HS203" s="88"/>
      <c r="HT203" s="88"/>
    </row>
    <row r="204" spans="1:228" s="47" customFormat="1" ht="19.5">
      <c r="A204" s="89" t="s">
        <v>192</v>
      </c>
      <c r="B204" s="41" t="s">
        <v>295</v>
      </c>
      <c r="C204" s="142">
        <v>590000000</v>
      </c>
      <c r="D204" s="92"/>
      <c r="E204" s="154"/>
      <c r="F204" s="154"/>
      <c r="G204" s="141"/>
      <c r="H204" s="141"/>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88"/>
      <c r="FL204" s="88"/>
      <c r="FM204" s="88"/>
      <c r="FN204" s="88"/>
      <c r="FO204" s="88"/>
      <c r="FP204" s="88"/>
      <c r="FQ204" s="88"/>
      <c r="FR204" s="88"/>
      <c r="FS204" s="88"/>
      <c r="FT204" s="88"/>
      <c r="FU204" s="88"/>
      <c r="FV204" s="88"/>
      <c r="FW204" s="88"/>
      <c r="FX204" s="88"/>
      <c r="FY204" s="88"/>
      <c r="FZ204" s="88"/>
      <c r="GA204" s="88"/>
      <c r="GB204" s="88"/>
      <c r="GC204" s="88"/>
      <c r="GD204" s="88"/>
      <c r="GE204" s="88"/>
      <c r="GF204" s="88"/>
      <c r="GG204" s="88"/>
      <c r="GH204" s="88"/>
      <c r="GI204" s="88"/>
      <c r="GJ204" s="88"/>
      <c r="GK204" s="88"/>
      <c r="GL204" s="88"/>
      <c r="GM204" s="88"/>
      <c r="GN204" s="88"/>
      <c r="GO204" s="88"/>
      <c r="GP204" s="88"/>
      <c r="GQ204" s="88"/>
      <c r="GR204" s="88"/>
      <c r="GS204" s="88"/>
      <c r="GT204" s="88"/>
      <c r="GU204" s="88"/>
      <c r="GV204" s="88"/>
      <c r="GW204" s="88"/>
      <c r="GX204" s="88"/>
      <c r="GY204" s="88"/>
      <c r="GZ204" s="88"/>
      <c r="HA204" s="88"/>
      <c r="HB204" s="88"/>
      <c r="HC204" s="88"/>
      <c r="HD204" s="88"/>
      <c r="HE204" s="88"/>
      <c r="HF204" s="88"/>
      <c r="HG204" s="88"/>
      <c r="HH204" s="88"/>
      <c r="HI204" s="88"/>
      <c r="HJ204" s="88"/>
      <c r="HK204" s="88"/>
      <c r="HL204" s="88"/>
      <c r="HM204" s="88"/>
      <c r="HN204" s="88"/>
      <c r="HO204" s="88"/>
      <c r="HP204" s="88"/>
      <c r="HQ204" s="88"/>
      <c r="HR204" s="88"/>
      <c r="HS204" s="88"/>
      <c r="HT204" s="88"/>
    </row>
    <row r="205" spans="1:228" s="47" customFormat="1" ht="19.5">
      <c r="A205" s="106" t="s">
        <v>91</v>
      </c>
      <c r="B205" s="105" t="s">
        <v>264</v>
      </c>
      <c r="C205" s="107">
        <v>590000000</v>
      </c>
      <c r="D205" s="76"/>
      <c r="E205" s="145"/>
      <c r="F205" s="145"/>
      <c r="G205" s="127"/>
      <c r="H205" s="127"/>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c r="EW205" s="88"/>
      <c r="EX205" s="88"/>
      <c r="EY205" s="88"/>
      <c r="EZ205" s="88"/>
      <c r="FA205" s="88"/>
      <c r="FB205" s="88"/>
      <c r="FC205" s="88"/>
      <c r="FD205" s="88"/>
      <c r="FE205" s="88"/>
      <c r="FF205" s="88"/>
      <c r="FG205" s="88"/>
      <c r="FH205" s="88"/>
      <c r="FI205" s="88"/>
      <c r="FJ205" s="88"/>
      <c r="FK205" s="88"/>
      <c r="FL205" s="88"/>
      <c r="FM205" s="88"/>
      <c r="FN205" s="88"/>
      <c r="FO205" s="88"/>
      <c r="FP205" s="88"/>
      <c r="FQ205" s="88"/>
      <c r="FR205" s="88"/>
      <c r="FS205" s="88"/>
      <c r="FT205" s="88"/>
      <c r="FU205" s="88"/>
      <c r="FV205" s="88"/>
      <c r="FW205" s="88"/>
      <c r="FX205" s="88"/>
      <c r="FY205" s="88"/>
      <c r="FZ205" s="88"/>
      <c r="GA205" s="88"/>
      <c r="GB205" s="88"/>
      <c r="GC205" s="88"/>
      <c r="GD205" s="88"/>
      <c r="GE205" s="88"/>
      <c r="GF205" s="88"/>
      <c r="GG205" s="88"/>
      <c r="GH205" s="88"/>
      <c r="GI205" s="88"/>
      <c r="GJ205" s="88"/>
      <c r="GK205" s="88"/>
      <c r="GL205" s="88"/>
      <c r="GM205" s="88"/>
      <c r="GN205" s="88"/>
      <c r="GO205" s="88"/>
      <c r="GP205" s="88"/>
      <c r="GQ205" s="88"/>
      <c r="GR205" s="88"/>
      <c r="GS205" s="88"/>
      <c r="GT205" s="88"/>
      <c r="GU205" s="88"/>
      <c r="GV205" s="88"/>
      <c r="GW205" s="88"/>
      <c r="GX205" s="88"/>
      <c r="GY205" s="88"/>
      <c r="GZ205" s="88"/>
      <c r="HA205" s="88"/>
      <c r="HB205" s="88"/>
      <c r="HC205" s="88"/>
      <c r="HD205" s="88"/>
      <c r="HE205" s="88"/>
      <c r="HF205" s="88"/>
      <c r="HG205" s="88"/>
      <c r="HH205" s="88"/>
      <c r="HI205" s="88"/>
      <c r="HJ205" s="88"/>
      <c r="HK205" s="88"/>
      <c r="HL205" s="88"/>
      <c r="HM205" s="88"/>
      <c r="HN205" s="88"/>
      <c r="HO205" s="88"/>
      <c r="HP205" s="88"/>
      <c r="HQ205" s="88"/>
      <c r="HR205" s="88"/>
      <c r="HS205" s="88"/>
      <c r="HT205" s="88"/>
    </row>
    <row r="206" spans="1:228" s="43" customFormat="1">
      <c r="A206" s="109" t="s">
        <v>248</v>
      </c>
      <c r="B206" s="110" t="s">
        <v>255</v>
      </c>
      <c r="C206" s="91">
        <v>470000000</v>
      </c>
      <c r="D206" s="79"/>
      <c r="E206" s="127"/>
      <c r="F206" s="127"/>
      <c r="G206" s="117"/>
      <c r="H206" s="117"/>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c r="CK206" s="71"/>
      <c r="CL206" s="71"/>
      <c r="CM206" s="71"/>
      <c r="CN206" s="71"/>
      <c r="CO206" s="71"/>
      <c r="CP206" s="71"/>
      <c r="CQ206" s="71"/>
      <c r="CR206" s="71"/>
      <c r="CS206" s="71"/>
      <c r="CT206" s="71"/>
      <c r="CU206" s="71"/>
      <c r="CV206" s="71"/>
      <c r="CW206" s="71"/>
      <c r="CX206" s="71"/>
      <c r="CY206" s="71"/>
      <c r="CZ206" s="71"/>
      <c r="DA206" s="71"/>
      <c r="DB206" s="71"/>
      <c r="DC206" s="71"/>
      <c r="DD206" s="71"/>
      <c r="DE206" s="71"/>
      <c r="DF206" s="71"/>
      <c r="DG206" s="71"/>
      <c r="DH206" s="71"/>
      <c r="DI206" s="71"/>
      <c r="DJ206" s="71"/>
      <c r="DK206" s="71"/>
      <c r="DL206" s="71"/>
      <c r="DM206" s="71"/>
      <c r="DN206" s="71"/>
      <c r="DO206" s="71"/>
      <c r="DP206" s="71"/>
      <c r="DQ206" s="71"/>
      <c r="DR206" s="71"/>
      <c r="DS206" s="71"/>
      <c r="DT206" s="71"/>
      <c r="DU206" s="71"/>
      <c r="DV206" s="71"/>
      <c r="DW206" s="71"/>
      <c r="DX206" s="71"/>
      <c r="DY206" s="71"/>
      <c r="DZ206" s="71"/>
      <c r="EA206" s="71"/>
      <c r="EB206" s="71"/>
      <c r="EC206" s="71"/>
      <c r="ED206" s="71"/>
      <c r="EE206" s="71"/>
      <c r="EF206" s="71"/>
      <c r="EG206" s="71"/>
      <c r="EH206" s="71"/>
      <c r="EI206" s="71"/>
      <c r="EJ206" s="71"/>
      <c r="EK206" s="71"/>
      <c r="EL206" s="71"/>
      <c r="EM206" s="71"/>
      <c r="EN206" s="71"/>
      <c r="EO206" s="71"/>
      <c r="EP206" s="71"/>
      <c r="EQ206" s="71"/>
      <c r="ER206" s="71"/>
      <c r="ES206" s="71"/>
      <c r="ET206" s="71"/>
      <c r="EU206" s="71"/>
      <c r="EV206" s="71"/>
      <c r="EW206" s="71"/>
      <c r="EX206" s="71"/>
      <c r="EY206" s="71"/>
      <c r="EZ206" s="71"/>
      <c r="FA206" s="71"/>
      <c r="FB206" s="71"/>
      <c r="FC206" s="71"/>
      <c r="FD206" s="71"/>
      <c r="FE206" s="71"/>
      <c r="FF206" s="71"/>
      <c r="FG206" s="71"/>
      <c r="FH206" s="71"/>
      <c r="FI206" s="71"/>
      <c r="FJ206" s="71"/>
      <c r="FK206" s="71"/>
      <c r="FL206" s="71"/>
      <c r="FM206" s="71"/>
      <c r="FN206" s="71"/>
      <c r="FO206" s="71"/>
      <c r="FP206" s="71"/>
      <c r="FQ206" s="71"/>
      <c r="FR206" s="71"/>
      <c r="FS206" s="71"/>
      <c r="FT206" s="71"/>
      <c r="FU206" s="71"/>
      <c r="FV206" s="71"/>
      <c r="FW206" s="71"/>
      <c r="FX206" s="71"/>
      <c r="FY206" s="71"/>
      <c r="FZ206" s="71"/>
      <c r="GA206" s="71"/>
      <c r="GB206" s="71"/>
      <c r="GC206" s="71"/>
      <c r="GD206" s="71"/>
      <c r="GE206" s="71"/>
      <c r="GF206" s="71"/>
      <c r="GG206" s="71"/>
      <c r="GH206" s="71"/>
      <c r="GI206" s="71"/>
      <c r="GJ206" s="71"/>
      <c r="GK206" s="71"/>
      <c r="GL206" s="71"/>
      <c r="GM206" s="71"/>
      <c r="GN206" s="71"/>
      <c r="GO206" s="71"/>
      <c r="GP206" s="71"/>
      <c r="GQ206" s="71"/>
      <c r="GR206" s="71"/>
      <c r="GS206" s="71"/>
      <c r="GT206" s="71"/>
      <c r="GU206" s="71"/>
      <c r="GV206" s="71"/>
      <c r="GW206" s="71"/>
      <c r="GX206" s="71"/>
      <c r="GY206" s="71"/>
      <c r="GZ206" s="71"/>
      <c r="HA206" s="71"/>
      <c r="HB206" s="71"/>
      <c r="HC206" s="71"/>
      <c r="HD206" s="71"/>
      <c r="HE206" s="71"/>
      <c r="HF206" s="71"/>
      <c r="HG206" s="71"/>
      <c r="HH206" s="71"/>
      <c r="HI206" s="71"/>
      <c r="HJ206" s="71"/>
      <c r="HK206" s="71"/>
      <c r="HL206" s="71"/>
      <c r="HM206" s="71"/>
      <c r="HN206" s="71"/>
      <c r="HO206" s="71"/>
      <c r="HP206" s="71"/>
      <c r="HQ206" s="71"/>
      <c r="HR206" s="71"/>
      <c r="HS206" s="71"/>
      <c r="HT206" s="71"/>
    </row>
    <row r="207" spans="1:228" s="29" customFormat="1">
      <c r="A207" s="106" t="s">
        <v>248</v>
      </c>
      <c r="B207" s="110" t="s">
        <v>256</v>
      </c>
      <c r="C207" s="91">
        <v>120000000</v>
      </c>
      <c r="D207" s="79"/>
      <c r="E207" s="127"/>
      <c r="F207" s="127"/>
      <c r="G207" s="146"/>
      <c r="H207" s="146"/>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c r="DO207" s="100"/>
      <c r="DP207" s="100"/>
      <c r="DQ207" s="100"/>
      <c r="DR207" s="100"/>
      <c r="DS207" s="100"/>
      <c r="DT207" s="100"/>
      <c r="DU207" s="100"/>
      <c r="DV207" s="100"/>
      <c r="DW207" s="100"/>
      <c r="DX207" s="100"/>
      <c r="DY207" s="100"/>
      <c r="DZ207" s="100"/>
      <c r="EA207" s="100"/>
      <c r="EB207" s="100"/>
      <c r="EC207" s="100"/>
      <c r="ED207" s="100"/>
      <c r="EE207" s="100"/>
      <c r="EF207" s="100"/>
      <c r="EG207" s="100"/>
      <c r="EH207" s="100"/>
      <c r="EI207" s="100"/>
      <c r="EJ207" s="100"/>
      <c r="EK207" s="100"/>
      <c r="EL207" s="100"/>
      <c r="EM207" s="100"/>
      <c r="EN207" s="100"/>
      <c r="EO207" s="100"/>
      <c r="EP207" s="100"/>
      <c r="EQ207" s="100"/>
      <c r="ER207" s="100"/>
      <c r="ES207" s="100"/>
      <c r="ET207" s="100"/>
      <c r="EU207" s="100"/>
      <c r="EV207" s="100"/>
      <c r="EW207" s="100"/>
      <c r="EX207" s="100"/>
      <c r="EY207" s="100"/>
      <c r="EZ207" s="100"/>
      <c r="FA207" s="100"/>
      <c r="FB207" s="100"/>
      <c r="FC207" s="100"/>
      <c r="FD207" s="100"/>
      <c r="FE207" s="100"/>
      <c r="FF207" s="100"/>
      <c r="FG207" s="100"/>
      <c r="FH207" s="100"/>
      <c r="FI207" s="100"/>
      <c r="FJ207" s="100"/>
      <c r="FK207" s="100"/>
      <c r="FL207" s="100"/>
      <c r="FM207" s="100"/>
      <c r="FN207" s="100"/>
      <c r="FO207" s="100"/>
      <c r="FP207" s="100"/>
      <c r="FQ207" s="100"/>
      <c r="FR207" s="100"/>
      <c r="FS207" s="100"/>
      <c r="FT207" s="100"/>
      <c r="FU207" s="100"/>
      <c r="FV207" s="100"/>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row>
    <row r="208" spans="1:228" s="88" customFormat="1" ht="19.5">
      <c r="A208" s="155" t="s">
        <v>91</v>
      </c>
      <c r="B208" s="147" t="s">
        <v>306</v>
      </c>
      <c r="C208" s="84"/>
      <c r="D208" s="92"/>
      <c r="E208" s="131"/>
      <c r="F208" s="131"/>
      <c r="G208" s="156"/>
      <c r="H208" s="156"/>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row>
    <row r="209" spans="1:228" s="88" customFormat="1" ht="19.5">
      <c r="A209" s="31" t="s">
        <v>225</v>
      </c>
      <c r="B209" s="101" t="s">
        <v>257</v>
      </c>
      <c r="C209" s="102">
        <v>1062000000</v>
      </c>
      <c r="D209" s="38"/>
      <c r="E209" s="116"/>
      <c r="F209" s="116"/>
      <c r="G209" s="117"/>
      <c r="H209" s="11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c r="GV209" s="47"/>
      <c r="GW209" s="47"/>
      <c r="GX209" s="47"/>
      <c r="GY209" s="47"/>
      <c r="GZ209" s="47"/>
      <c r="HA209" s="47"/>
      <c r="HB209" s="47"/>
      <c r="HC209" s="47"/>
      <c r="HD209" s="47"/>
      <c r="HE209" s="47"/>
      <c r="HF209" s="47"/>
      <c r="HG209" s="47"/>
      <c r="HH209" s="47"/>
      <c r="HI209" s="47"/>
      <c r="HJ209" s="47"/>
      <c r="HK209" s="47"/>
      <c r="HL209" s="47"/>
      <c r="HM209" s="47"/>
      <c r="HN209" s="47"/>
      <c r="HO209" s="47"/>
      <c r="HP209" s="47"/>
      <c r="HQ209" s="47"/>
      <c r="HR209" s="47"/>
      <c r="HS209" s="47"/>
      <c r="HT209" s="47"/>
    </row>
    <row r="210" spans="1:228" s="88" customFormat="1" ht="19.5">
      <c r="A210" s="21" t="s">
        <v>91</v>
      </c>
      <c r="B210" s="48" t="s">
        <v>108</v>
      </c>
      <c r="C210" s="23">
        <v>48000000</v>
      </c>
      <c r="D210" s="50"/>
      <c r="E210" s="115"/>
      <c r="F210" s="115"/>
      <c r="G210" s="114"/>
      <c r="H210" s="114"/>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47"/>
      <c r="DX210" s="47"/>
      <c r="DY210" s="47"/>
      <c r="DZ210" s="47"/>
      <c r="EA210" s="47"/>
      <c r="EB210" s="47"/>
      <c r="EC210" s="47"/>
      <c r="ED210" s="47"/>
      <c r="EE210" s="47"/>
      <c r="EF210" s="47"/>
      <c r="EG210" s="47"/>
      <c r="EH210" s="47"/>
      <c r="EI210" s="47"/>
      <c r="EJ210" s="47"/>
      <c r="EK210" s="47"/>
      <c r="EL210" s="47"/>
      <c r="EM210" s="47"/>
      <c r="EN210" s="47"/>
      <c r="EO210" s="47"/>
      <c r="EP210" s="47"/>
      <c r="EQ210" s="47"/>
      <c r="ER210" s="47"/>
      <c r="ES210" s="47"/>
      <c r="ET210" s="47"/>
      <c r="EU210" s="47"/>
      <c r="EV210" s="47"/>
      <c r="EW210" s="47"/>
      <c r="EX210" s="47"/>
      <c r="EY210" s="47"/>
      <c r="EZ210" s="47"/>
      <c r="FA210" s="47"/>
      <c r="FB210" s="47"/>
      <c r="FC210" s="47"/>
      <c r="FD210" s="47"/>
      <c r="FE210" s="47"/>
      <c r="FF210" s="47"/>
      <c r="FG210" s="47"/>
      <c r="FH210" s="47"/>
      <c r="FI210" s="47"/>
      <c r="FJ210" s="47"/>
      <c r="FK210" s="47"/>
      <c r="FL210" s="47"/>
      <c r="FM210" s="47"/>
      <c r="FN210" s="47"/>
      <c r="FO210" s="47"/>
      <c r="FP210" s="47"/>
      <c r="FQ210" s="47"/>
      <c r="FR210" s="47"/>
      <c r="FS210" s="47"/>
      <c r="FT210" s="47"/>
      <c r="FU210" s="47"/>
      <c r="FV210" s="47"/>
      <c r="FW210" s="47"/>
      <c r="FX210" s="47"/>
      <c r="FY210" s="47"/>
      <c r="FZ210" s="47"/>
      <c r="GA210" s="47"/>
      <c r="GB210" s="47"/>
      <c r="GC210" s="47"/>
      <c r="GD210" s="47"/>
      <c r="GE210" s="47"/>
      <c r="GF210" s="47"/>
      <c r="GG210" s="47"/>
      <c r="GH210" s="47"/>
      <c r="GI210" s="47"/>
      <c r="GJ210" s="47"/>
      <c r="GK210" s="47"/>
      <c r="GL210" s="47"/>
      <c r="GM210" s="47"/>
      <c r="GN210" s="47"/>
      <c r="GO210" s="47"/>
      <c r="GP210" s="47"/>
      <c r="GQ210" s="47"/>
      <c r="GR210" s="47"/>
      <c r="GS210" s="47"/>
      <c r="GT210" s="47"/>
      <c r="GU210" s="47"/>
      <c r="GV210" s="47"/>
      <c r="GW210" s="47"/>
      <c r="GX210" s="47"/>
      <c r="GY210" s="47"/>
      <c r="GZ210" s="47"/>
      <c r="HA210" s="47"/>
      <c r="HB210" s="47"/>
      <c r="HC210" s="47"/>
      <c r="HD210" s="47"/>
      <c r="HE210" s="47"/>
      <c r="HF210" s="47"/>
      <c r="HG210" s="47"/>
      <c r="HH210" s="47"/>
      <c r="HI210" s="47"/>
      <c r="HJ210" s="47"/>
      <c r="HK210" s="47"/>
      <c r="HL210" s="47"/>
      <c r="HM210" s="47"/>
      <c r="HN210" s="47"/>
      <c r="HO210" s="47"/>
      <c r="HP210" s="47"/>
      <c r="HQ210" s="47"/>
      <c r="HR210" s="47"/>
      <c r="HS210" s="47"/>
      <c r="HT210" s="47"/>
    </row>
    <row r="211" spans="1:228" s="88" customFormat="1" ht="19.5">
      <c r="A211" s="21" t="s">
        <v>91</v>
      </c>
      <c r="B211" s="48" t="s">
        <v>109</v>
      </c>
      <c r="C211" s="23">
        <v>54000000</v>
      </c>
      <c r="D211" s="50"/>
      <c r="E211" s="115"/>
      <c r="F211" s="115"/>
      <c r="G211" s="115"/>
      <c r="H211" s="115"/>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47"/>
      <c r="DX211" s="47"/>
      <c r="DY211" s="47"/>
      <c r="DZ211" s="47"/>
      <c r="EA211" s="47"/>
      <c r="EB211" s="47"/>
      <c r="EC211" s="47"/>
      <c r="ED211" s="47"/>
      <c r="EE211" s="47"/>
      <c r="EF211" s="47"/>
      <c r="EG211" s="47"/>
      <c r="EH211" s="47"/>
      <c r="EI211" s="47"/>
      <c r="EJ211" s="47"/>
      <c r="EK211" s="47"/>
      <c r="EL211" s="47"/>
      <c r="EM211" s="47"/>
      <c r="EN211" s="47"/>
      <c r="EO211" s="47"/>
      <c r="EP211" s="47"/>
      <c r="EQ211" s="47"/>
      <c r="ER211" s="47"/>
      <c r="ES211" s="47"/>
      <c r="ET211" s="47"/>
      <c r="EU211" s="47"/>
      <c r="EV211" s="47"/>
      <c r="EW211" s="47"/>
      <c r="EX211" s="47"/>
      <c r="EY211" s="47"/>
      <c r="EZ211" s="47"/>
      <c r="FA211" s="47"/>
      <c r="FB211" s="47"/>
      <c r="FC211" s="47"/>
      <c r="FD211" s="47"/>
      <c r="FE211" s="47"/>
      <c r="FF211" s="47"/>
      <c r="FG211" s="47"/>
      <c r="FH211" s="47"/>
      <c r="FI211" s="47"/>
      <c r="FJ211" s="47"/>
      <c r="FK211" s="47"/>
      <c r="FL211" s="47"/>
      <c r="FM211" s="47"/>
      <c r="FN211" s="47"/>
      <c r="FO211" s="47"/>
      <c r="FP211" s="47"/>
      <c r="FQ211" s="47"/>
      <c r="FR211" s="47"/>
      <c r="FS211" s="47"/>
      <c r="FT211" s="47"/>
      <c r="FU211" s="47"/>
      <c r="FV211" s="47"/>
      <c r="FW211" s="47"/>
      <c r="FX211" s="47"/>
      <c r="FY211" s="47"/>
      <c r="FZ211" s="47"/>
      <c r="GA211" s="47"/>
      <c r="GB211" s="47"/>
      <c r="GC211" s="47"/>
      <c r="GD211" s="47"/>
      <c r="GE211" s="47"/>
      <c r="GF211" s="47"/>
      <c r="GG211" s="47"/>
      <c r="GH211" s="47"/>
      <c r="GI211" s="47"/>
      <c r="GJ211" s="47"/>
      <c r="GK211" s="47"/>
      <c r="GL211" s="47"/>
      <c r="GM211" s="47"/>
      <c r="GN211" s="47"/>
      <c r="GO211" s="47"/>
      <c r="GP211" s="47"/>
      <c r="GQ211" s="47"/>
      <c r="GR211" s="47"/>
      <c r="GS211" s="47"/>
      <c r="GT211" s="47"/>
      <c r="GU211" s="47"/>
      <c r="GV211" s="47"/>
      <c r="GW211" s="47"/>
      <c r="GX211" s="47"/>
      <c r="GY211" s="47"/>
      <c r="GZ211" s="47"/>
      <c r="HA211" s="47"/>
      <c r="HB211" s="47"/>
      <c r="HC211" s="47"/>
      <c r="HD211" s="47"/>
      <c r="HE211" s="47"/>
      <c r="HF211" s="47"/>
      <c r="HG211" s="47"/>
      <c r="HH211" s="47"/>
      <c r="HI211" s="47"/>
      <c r="HJ211" s="47"/>
      <c r="HK211" s="47"/>
      <c r="HL211" s="47"/>
      <c r="HM211" s="47"/>
      <c r="HN211" s="47"/>
      <c r="HO211" s="47"/>
      <c r="HP211" s="47"/>
      <c r="HQ211" s="47"/>
      <c r="HR211" s="47"/>
      <c r="HS211" s="47"/>
      <c r="HT211" s="47"/>
    </row>
    <row r="212" spans="1:228" s="88" customFormat="1" ht="19.5">
      <c r="A212" s="21" t="s">
        <v>91</v>
      </c>
      <c r="B212" s="48" t="s">
        <v>110</v>
      </c>
      <c r="C212" s="23">
        <v>40000000</v>
      </c>
      <c r="D212" s="50"/>
      <c r="E212" s="115"/>
      <c r="F212" s="115"/>
      <c r="G212" s="115"/>
      <c r="H212" s="115"/>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47"/>
      <c r="DX212" s="47"/>
      <c r="DY212" s="47"/>
      <c r="DZ212" s="47"/>
      <c r="EA212" s="47"/>
      <c r="EB212" s="47"/>
      <c r="EC212" s="47"/>
      <c r="ED212" s="47"/>
      <c r="EE212" s="47"/>
      <c r="EF212" s="47"/>
      <c r="EG212" s="47"/>
      <c r="EH212" s="47"/>
      <c r="EI212" s="47"/>
      <c r="EJ212" s="47"/>
      <c r="EK212" s="47"/>
      <c r="EL212" s="47"/>
      <c r="EM212" s="47"/>
      <c r="EN212" s="47"/>
      <c r="EO212" s="47"/>
      <c r="EP212" s="47"/>
      <c r="EQ212" s="47"/>
      <c r="ER212" s="47"/>
      <c r="ES212" s="47"/>
      <c r="ET212" s="47"/>
      <c r="EU212" s="47"/>
      <c r="EV212" s="47"/>
      <c r="EW212" s="47"/>
      <c r="EX212" s="47"/>
      <c r="EY212" s="47"/>
      <c r="EZ212" s="47"/>
      <c r="FA212" s="47"/>
      <c r="FB212" s="47"/>
      <c r="FC212" s="47"/>
      <c r="FD212" s="47"/>
      <c r="FE212" s="47"/>
      <c r="FF212" s="47"/>
      <c r="FG212" s="47"/>
      <c r="FH212" s="47"/>
      <c r="FI212" s="47"/>
      <c r="FJ212" s="47"/>
      <c r="FK212" s="47"/>
      <c r="FL212" s="47"/>
      <c r="FM212" s="47"/>
      <c r="FN212" s="47"/>
      <c r="FO212" s="47"/>
      <c r="FP212" s="47"/>
      <c r="FQ212" s="47"/>
      <c r="FR212" s="47"/>
      <c r="FS212" s="47"/>
      <c r="FT212" s="47"/>
      <c r="FU212" s="47"/>
      <c r="FV212" s="47"/>
      <c r="FW212" s="47"/>
      <c r="FX212" s="47"/>
      <c r="FY212" s="47"/>
      <c r="FZ212" s="47"/>
      <c r="GA212" s="47"/>
      <c r="GB212" s="47"/>
      <c r="GC212" s="47"/>
      <c r="GD212" s="47"/>
      <c r="GE212" s="47"/>
      <c r="GF212" s="47"/>
      <c r="GG212" s="47"/>
      <c r="GH212" s="47"/>
      <c r="GI212" s="47"/>
      <c r="GJ212" s="47"/>
      <c r="GK212" s="47"/>
      <c r="GL212" s="47"/>
      <c r="GM212" s="47"/>
      <c r="GN212" s="47"/>
      <c r="GO212" s="47"/>
      <c r="GP212" s="47"/>
      <c r="GQ212" s="47"/>
      <c r="GR212" s="47"/>
      <c r="GS212" s="47"/>
      <c r="GT212" s="47"/>
      <c r="GU212" s="47"/>
      <c r="GV212" s="47"/>
      <c r="GW212" s="47"/>
      <c r="GX212" s="47"/>
      <c r="GY212" s="47"/>
      <c r="GZ212" s="47"/>
      <c r="HA212" s="47"/>
      <c r="HB212" s="47"/>
      <c r="HC212" s="47"/>
      <c r="HD212" s="47"/>
      <c r="HE212" s="47"/>
      <c r="HF212" s="47"/>
      <c r="HG212" s="47"/>
      <c r="HH212" s="47"/>
      <c r="HI212" s="47"/>
      <c r="HJ212" s="47"/>
      <c r="HK212" s="47"/>
      <c r="HL212" s="47"/>
      <c r="HM212" s="47"/>
      <c r="HN212" s="47"/>
      <c r="HO212" s="47"/>
      <c r="HP212" s="47"/>
      <c r="HQ212" s="47"/>
      <c r="HR212" s="47"/>
      <c r="HS212" s="47"/>
      <c r="HT212" s="47"/>
    </row>
    <row r="213" spans="1:228">
      <c r="A213" s="21" t="s">
        <v>91</v>
      </c>
      <c r="B213" s="48" t="s">
        <v>111</v>
      </c>
      <c r="C213" s="23">
        <v>40000000</v>
      </c>
      <c r="D213" s="50"/>
      <c r="E213" s="115"/>
      <c r="F213" s="115"/>
      <c r="G213" s="115"/>
      <c r="H213" s="115"/>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c r="GE213" s="62"/>
      <c r="GF213" s="62"/>
      <c r="GG213" s="62"/>
      <c r="GH213" s="62"/>
      <c r="GI213" s="62"/>
      <c r="GJ213" s="62"/>
      <c r="GK213" s="62"/>
      <c r="GL213" s="62"/>
      <c r="GM213" s="62"/>
      <c r="GN213" s="62"/>
      <c r="GO213" s="62"/>
      <c r="GP213" s="62"/>
      <c r="GQ213" s="62"/>
      <c r="GR213" s="62"/>
      <c r="GS213" s="62"/>
      <c r="GT213" s="62"/>
      <c r="GU213" s="62"/>
      <c r="GV213" s="62"/>
      <c r="GW213" s="62"/>
      <c r="GX213" s="62"/>
      <c r="GY213" s="62"/>
      <c r="GZ213" s="62"/>
      <c r="HA213" s="62"/>
      <c r="HB213" s="62"/>
      <c r="HC213" s="62"/>
      <c r="HD213" s="62"/>
      <c r="HE213" s="62"/>
      <c r="HF213" s="62"/>
      <c r="HG213" s="62"/>
      <c r="HH213" s="62"/>
      <c r="HI213" s="62"/>
      <c r="HJ213" s="62"/>
      <c r="HK213" s="62"/>
      <c r="HL213" s="62"/>
      <c r="HM213" s="62"/>
      <c r="HN213" s="62"/>
      <c r="HO213" s="62"/>
      <c r="HP213" s="62"/>
      <c r="HQ213" s="62"/>
      <c r="HR213" s="62"/>
      <c r="HS213" s="62"/>
      <c r="HT213" s="62"/>
    </row>
    <row r="214" spans="1:228" ht="37.5">
      <c r="A214" s="21" t="s">
        <v>91</v>
      </c>
      <c r="B214" s="48" t="s">
        <v>112</v>
      </c>
      <c r="C214" s="23">
        <v>100000000</v>
      </c>
      <c r="D214" s="50"/>
      <c r="E214" s="115"/>
      <c r="F214" s="115"/>
      <c r="G214" s="115"/>
      <c r="H214" s="115"/>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c r="GE214" s="62"/>
      <c r="GF214" s="62"/>
      <c r="GG214" s="62"/>
      <c r="GH214" s="62"/>
      <c r="GI214" s="62"/>
      <c r="GJ214" s="62"/>
      <c r="GK214" s="62"/>
      <c r="GL214" s="62"/>
      <c r="GM214" s="62"/>
      <c r="GN214" s="62"/>
      <c r="GO214" s="62"/>
      <c r="GP214" s="62"/>
      <c r="GQ214" s="62"/>
      <c r="GR214" s="62"/>
      <c r="GS214" s="62"/>
      <c r="GT214" s="62"/>
      <c r="GU214" s="62"/>
      <c r="GV214" s="62"/>
      <c r="GW214" s="62"/>
      <c r="GX214" s="62"/>
      <c r="GY214" s="62"/>
      <c r="GZ214" s="62"/>
      <c r="HA214" s="62"/>
      <c r="HB214" s="62"/>
      <c r="HC214" s="62"/>
      <c r="HD214" s="62"/>
      <c r="HE214" s="62"/>
      <c r="HF214" s="62"/>
      <c r="HG214" s="62"/>
      <c r="HH214" s="62"/>
      <c r="HI214" s="62"/>
      <c r="HJ214" s="62"/>
      <c r="HK214" s="62"/>
      <c r="HL214" s="62"/>
      <c r="HM214" s="62"/>
      <c r="HN214" s="62"/>
      <c r="HO214" s="62"/>
      <c r="HP214" s="62"/>
      <c r="HQ214" s="62"/>
      <c r="HR214" s="62"/>
      <c r="HS214" s="62"/>
      <c r="HT214" s="62"/>
    </row>
    <row r="215" spans="1:228">
      <c r="A215" s="21" t="s">
        <v>91</v>
      </c>
      <c r="B215" s="48" t="s">
        <v>113</v>
      </c>
      <c r="C215" s="23">
        <v>50000000</v>
      </c>
      <c r="D215" s="50"/>
      <c r="E215" s="115"/>
      <c r="F215" s="115"/>
      <c r="G215" s="115"/>
      <c r="H215" s="115"/>
    </row>
    <row r="216" spans="1:228" ht="37.5">
      <c r="A216" s="21" t="s">
        <v>91</v>
      </c>
      <c r="B216" s="48" t="s">
        <v>114</v>
      </c>
      <c r="C216" s="23">
        <v>530000000</v>
      </c>
      <c r="D216" s="50"/>
      <c r="E216" s="115"/>
      <c r="F216" s="115"/>
      <c r="G216" s="115"/>
      <c r="H216" s="115"/>
    </row>
    <row r="217" spans="1:228">
      <c r="A217" s="21" t="s">
        <v>91</v>
      </c>
      <c r="B217" s="48" t="s">
        <v>115</v>
      </c>
      <c r="C217" s="23">
        <v>200000000</v>
      </c>
      <c r="D217" s="50"/>
      <c r="E217" s="115"/>
      <c r="F217" s="115"/>
      <c r="G217" s="115"/>
      <c r="H217" s="115"/>
    </row>
    <row r="218" spans="1:228" s="71" customFormat="1" ht="19.5">
      <c r="A218" s="31" t="s">
        <v>298</v>
      </c>
      <c r="B218" s="101" t="s">
        <v>262</v>
      </c>
      <c r="C218" s="69">
        <v>113400000</v>
      </c>
      <c r="D218" s="56"/>
      <c r="E218" s="117"/>
      <c r="F218" s="117"/>
      <c r="G218" s="157"/>
      <c r="H218" s="157"/>
    </row>
    <row r="219" spans="1:228">
      <c r="A219" s="158"/>
      <c r="B219" s="90" t="s">
        <v>263</v>
      </c>
      <c r="C219" s="65">
        <v>113400000</v>
      </c>
      <c r="D219" s="79"/>
      <c r="E219" s="118"/>
      <c r="F219" s="118"/>
      <c r="G219" s="141"/>
      <c r="H219" s="141"/>
    </row>
    <row r="220" spans="1:228" s="62" customFormat="1">
      <c r="A220" s="32">
        <v>5</v>
      </c>
      <c r="B220" s="41" t="s">
        <v>198</v>
      </c>
      <c r="C220" s="37">
        <v>2201000000</v>
      </c>
      <c r="D220" s="38"/>
      <c r="E220" s="123"/>
      <c r="F220" s="123"/>
      <c r="G220" s="126"/>
      <c r="H220" s="126"/>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row>
    <row r="221" spans="1:228" s="47" customFormat="1" ht="19.5">
      <c r="A221" s="31" t="s">
        <v>222</v>
      </c>
      <c r="B221" s="150" t="s">
        <v>252</v>
      </c>
      <c r="C221" s="102">
        <v>480000000</v>
      </c>
      <c r="D221" s="38"/>
      <c r="E221" s="116"/>
      <c r="F221" s="116"/>
      <c r="G221" s="117"/>
      <c r="H221" s="117"/>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88"/>
      <c r="EY221" s="88"/>
      <c r="EZ221" s="88"/>
      <c r="FA221" s="88"/>
      <c r="FB221" s="88"/>
      <c r="FC221" s="88"/>
      <c r="FD221" s="88"/>
      <c r="FE221" s="88"/>
      <c r="FF221" s="88"/>
      <c r="FG221" s="88"/>
      <c r="FH221" s="88"/>
      <c r="FI221" s="88"/>
      <c r="FJ221" s="88"/>
      <c r="FK221" s="88"/>
      <c r="FL221" s="88"/>
      <c r="FM221" s="88"/>
      <c r="FN221" s="88"/>
      <c r="FO221" s="88"/>
      <c r="FP221" s="88"/>
      <c r="FQ221" s="88"/>
      <c r="FR221" s="88"/>
      <c r="FS221" s="88"/>
      <c r="FT221" s="88"/>
      <c r="FU221" s="88"/>
      <c r="FV221" s="88"/>
      <c r="FW221" s="88"/>
      <c r="FX221" s="88"/>
      <c r="FY221" s="88"/>
      <c r="FZ221" s="88"/>
      <c r="GA221" s="88"/>
      <c r="GB221" s="88"/>
      <c r="GC221" s="88"/>
      <c r="GD221" s="88"/>
      <c r="GE221" s="88"/>
      <c r="GF221" s="88"/>
      <c r="GG221" s="88"/>
      <c r="GH221" s="88"/>
      <c r="GI221" s="88"/>
      <c r="GJ221" s="88"/>
      <c r="GK221" s="88"/>
      <c r="GL221" s="88"/>
      <c r="GM221" s="88"/>
      <c r="GN221" s="88"/>
      <c r="GO221" s="88"/>
      <c r="GP221" s="88"/>
      <c r="GQ221" s="88"/>
      <c r="GR221" s="88"/>
      <c r="GS221" s="88"/>
      <c r="GT221" s="88"/>
      <c r="GU221" s="88"/>
      <c r="GV221" s="88"/>
      <c r="GW221" s="88"/>
      <c r="GX221" s="88"/>
      <c r="GY221" s="88"/>
      <c r="GZ221" s="88"/>
      <c r="HA221" s="88"/>
      <c r="HB221" s="88"/>
      <c r="HC221" s="88"/>
      <c r="HD221" s="88"/>
      <c r="HE221" s="88"/>
      <c r="HF221" s="88"/>
      <c r="HG221" s="88"/>
      <c r="HH221" s="88"/>
      <c r="HI221" s="88"/>
      <c r="HJ221" s="88"/>
      <c r="HK221" s="88"/>
      <c r="HL221" s="88"/>
      <c r="HM221" s="88"/>
      <c r="HN221" s="88"/>
      <c r="HO221" s="88"/>
      <c r="HP221" s="88"/>
      <c r="HQ221" s="88"/>
      <c r="HR221" s="88"/>
      <c r="HS221" s="88"/>
      <c r="HT221" s="88"/>
    </row>
    <row r="222" spans="1:228" s="47" customFormat="1" ht="19.5">
      <c r="A222" s="106" t="s">
        <v>91</v>
      </c>
      <c r="B222" s="105" t="s">
        <v>264</v>
      </c>
      <c r="C222" s="107">
        <v>480000000</v>
      </c>
      <c r="D222" s="76"/>
      <c r="E222" s="145"/>
      <c r="F222" s="145"/>
      <c r="G222" s="127"/>
      <c r="H222" s="127"/>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c r="GF222" s="88"/>
      <c r="GG222" s="88"/>
      <c r="GH222" s="88"/>
      <c r="GI222" s="88"/>
      <c r="GJ222" s="88"/>
      <c r="GK222" s="88"/>
      <c r="GL222" s="88"/>
      <c r="GM222" s="88"/>
      <c r="GN222" s="88"/>
      <c r="GO222" s="88"/>
      <c r="GP222" s="88"/>
      <c r="GQ222" s="88"/>
      <c r="GR222" s="88"/>
      <c r="GS222" s="88"/>
      <c r="GT222" s="88"/>
      <c r="GU222" s="88"/>
      <c r="GV222" s="88"/>
      <c r="GW222" s="88"/>
      <c r="GX222" s="88"/>
      <c r="GY222" s="88"/>
      <c r="GZ222" s="88"/>
      <c r="HA222" s="88"/>
      <c r="HB222" s="88"/>
      <c r="HC222" s="88"/>
      <c r="HD222" s="88"/>
      <c r="HE222" s="88"/>
      <c r="HF222" s="88"/>
      <c r="HG222" s="88"/>
      <c r="HH222" s="88"/>
      <c r="HI222" s="88"/>
      <c r="HJ222" s="88"/>
      <c r="HK222" s="88"/>
      <c r="HL222" s="88"/>
      <c r="HM222" s="88"/>
      <c r="HN222" s="88"/>
      <c r="HO222" s="88"/>
      <c r="HP222" s="88"/>
      <c r="HQ222" s="88"/>
      <c r="HR222" s="88"/>
      <c r="HS222" s="88"/>
      <c r="HT222" s="88"/>
    </row>
    <row r="223" spans="1:228" s="47" customFormat="1" ht="19.5">
      <c r="A223" s="109" t="s">
        <v>248</v>
      </c>
      <c r="B223" s="110" t="s">
        <v>255</v>
      </c>
      <c r="C223" s="91">
        <v>400000000</v>
      </c>
      <c r="D223" s="79"/>
      <c r="E223" s="127"/>
      <c r="F223" s="127"/>
      <c r="G223" s="117"/>
      <c r="H223" s="11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c r="FW223" s="88"/>
      <c r="FX223" s="88"/>
      <c r="FY223" s="88"/>
      <c r="FZ223" s="88"/>
      <c r="GA223" s="88"/>
      <c r="GB223" s="88"/>
      <c r="GC223" s="88"/>
      <c r="GD223" s="88"/>
      <c r="GE223" s="88"/>
      <c r="GF223" s="88"/>
      <c r="GG223" s="88"/>
      <c r="GH223" s="88"/>
      <c r="GI223" s="88"/>
      <c r="GJ223" s="88"/>
      <c r="GK223" s="88"/>
      <c r="GL223" s="88"/>
      <c r="GM223" s="88"/>
      <c r="GN223" s="88"/>
      <c r="GO223" s="88"/>
      <c r="GP223" s="88"/>
      <c r="GQ223" s="88"/>
      <c r="GR223" s="88"/>
      <c r="GS223" s="88"/>
      <c r="GT223" s="88"/>
      <c r="GU223" s="88"/>
      <c r="GV223" s="88"/>
      <c r="GW223" s="88"/>
      <c r="GX223" s="88"/>
      <c r="GY223" s="88"/>
      <c r="GZ223" s="88"/>
      <c r="HA223" s="88"/>
      <c r="HB223" s="88"/>
      <c r="HC223" s="88"/>
      <c r="HD223" s="88"/>
      <c r="HE223" s="88"/>
      <c r="HF223" s="88"/>
      <c r="HG223" s="88"/>
      <c r="HH223" s="88"/>
      <c r="HI223" s="88"/>
      <c r="HJ223" s="88"/>
      <c r="HK223" s="88"/>
      <c r="HL223" s="88"/>
      <c r="HM223" s="88"/>
      <c r="HN223" s="88"/>
      <c r="HO223" s="88"/>
      <c r="HP223" s="88"/>
      <c r="HQ223" s="88"/>
      <c r="HR223" s="88"/>
      <c r="HS223" s="88"/>
      <c r="HT223" s="88"/>
    </row>
    <row r="224" spans="1:228" s="47" customFormat="1" ht="19.5">
      <c r="A224" s="106" t="s">
        <v>248</v>
      </c>
      <c r="B224" s="110" t="s">
        <v>256</v>
      </c>
      <c r="C224" s="91">
        <v>80000000</v>
      </c>
      <c r="D224" s="79"/>
      <c r="E224" s="127"/>
      <c r="F224" s="127"/>
      <c r="G224" s="146"/>
      <c r="H224" s="146"/>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c r="GF224" s="88"/>
      <c r="GG224" s="88"/>
      <c r="GH224" s="88"/>
      <c r="GI224" s="88"/>
      <c r="GJ224" s="88"/>
      <c r="GK224" s="88"/>
      <c r="GL224" s="88"/>
      <c r="GM224" s="88"/>
      <c r="GN224" s="88"/>
      <c r="GO224" s="88"/>
      <c r="GP224" s="88"/>
      <c r="GQ224" s="88"/>
      <c r="GR224" s="88"/>
      <c r="GS224" s="88"/>
      <c r="GT224" s="88"/>
      <c r="GU224" s="88"/>
      <c r="GV224" s="88"/>
      <c r="GW224" s="88"/>
      <c r="GX224" s="88"/>
      <c r="GY224" s="88"/>
      <c r="GZ224" s="88"/>
      <c r="HA224" s="88"/>
      <c r="HB224" s="88"/>
      <c r="HC224" s="88"/>
      <c r="HD224" s="88"/>
      <c r="HE224" s="88"/>
      <c r="HF224" s="88"/>
      <c r="HG224" s="88"/>
      <c r="HH224" s="88"/>
      <c r="HI224" s="88"/>
      <c r="HJ224" s="88"/>
      <c r="HK224" s="88"/>
      <c r="HL224" s="88"/>
      <c r="HM224" s="88"/>
      <c r="HN224" s="88"/>
      <c r="HO224" s="88"/>
      <c r="HP224" s="88"/>
      <c r="HQ224" s="88"/>
      <c r="HR224" s="88"/>
      <c r="HS224" s="88"/>
      <c r="HT224" s="88"/>
    </row>
    <row r="225" spans="1:228">
      <c r="A225" s="106" t="s">
        <v>91</v>
      </c>
      <c r="B225" s="110" t="s">
        <v>306</v>
      </c>
      <c r="C225" s="91"/>
      <c r="D225" s="79"/>
      <c r="E225" s="127"/>
      <c r="F225" s="127"/>
      <c r="G225" s="146"/>
      <c r="H225" s="146"/>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c r="FY225" s="29"/>
      <c r="FZ225" s="29"/>
      <c r="GA225" s="29"/>
      <c r="GB225" s="29"/>
      <c r="GC225" s="29"/>
      <c r="GD225" s="29"/>
      <c r="GE225" s="29"/>
      <c r="GF225" s="29"/>
      <c r="GG225" s="29"/>
      <c r="GH225" s="29"/>
      <c r="GI225" s="29"/>
      <c r="GJ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c r="HH225" s="29"/>
      <c r="HI225" s="29"/>
      <c r="HJ225" s="29"/>
      <c r="HK225" s="29"/>
      <c r="HL225" s="29"/>
      <c r="HM225" s="29"/>
      <c r="HN225" s="29"/>
      <c r="HO225" s="29"/>
      <c r="HP225" s="29"/>
      <c r="HQ225" s="29"/>
      <c r="HR225" s="29"/>
      <c r="HS225" s="29"/>
      <c r="HT225" s="29"/>
    </row>
    <row r="226" spans="1:228">
      <c r="A226" s="31" t="s">
        <v>225</v>
      </c>
      <c r="B226" s="101" t="s">
        <v>257</v>
      </c>
      <c r="C226" s="102">
        <v>1721000000</v>
      </c>
      <c r="D226" s="38"/>
      <c r="E226" s="116"/>
      <c r="F226" s="116"/>
      <c r="G226" s="117"/>
      <c r="H226" s="117"/>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row>
    <row r="227" spans="1:228">
      <c r="A227" s="63" t="s">
        <v>258</v>
      </c>
      <c r="B227" s="48" t="s">
        <v>307</v>
      </c>
      <c r="C227" s="23">
        <v>1400000000</v>
      </c>
      <c r="D227" s="50"/>
      <c r="E227" s="115"/>
      <c r="F227" s="115"/>
      <c r="G227" s="159"/>
      <c r="H227" s="159"/>
    </row>
    <row r="228" spans="1:228">
      <c r="A228" s="63" t="s">
        <v>258</v>
      </c>
      <c r="B228" s="48" t="s">
        <v>308</v>
      </c>
      <c r="C228" s="23">
        <v>120000000</v>
      </c>
      <c r="D228" s="50"/>
      <c r="E228" s="115"/>
      <c r="F228" s="115"/>
      <c r="G228" s="159"/>
      <c r="H228" s="159"/>
    </row>
    <row r="229" spans="1:228">
      <c r="A229" s="63" t="s">
        <v>258</v>
      </c>
      <c r="B229" s="48" t="s">
        <v>309</v>
      </c>
      <c r="C229" s="74">
        <v>48000000</v>
      </c>
      <c r="D229" s="50"/>
      <c r="E229" s="114"/>
      <c r="F229" s="114"/>
      <c r="G229" s="160"/>
      <c r="H229" s="160"/>
    </row>
    <row r="230" spans="1:228" ht="37.5">
      <c r="A230" s="63" t="s">
        <v>258</v>
      </c>
      <c r="B230" s="48" t="s">
        <v>310</v>
      </c>
      <c r="C230" s="74">
        <v>60000000</v>
      </c>
      <c r="D230" s="50"/>
      <c r="E230" s="114"/>
      <c r="F230" s="114"/>
      <c r="G230" s="160"/>
      <c r="H230" s="160"/>
    </row>
    <row r="231" spans="1:228">
      <c r="A231" s="63" t="s">
        <v>258</v>
      </c>
      <c r="B231" s="48" t="s">
        <v>311</v>
      </c>
      <c r="C231" s="74">
        <v>10000000</v>
      </c>
      <c r="D231" s="50"/>
      <c r="E231" s="114"/>
      <c r="F231" s="114"/>
      <c r="G231" s="160"/>
      <c r="H231" s="160"/>
    </row>
    <row r="232" spans="1:228" ht="37.5">
      <c r="A232" s="63" t="s">
        <v>258</v>
      </c>
      <c r="B232" s="48" t="s">
        <v>312</v>
      </c>
      <c r="C232" s="74">
        <v>83000000</v>
      </c>
      <c r="D232" s="50"/>
      <c r="E232" s="114"/>
      <c r="F232" s="114"/>
      <c r="G232" s="161"/>
      <c r="H232" s="161"/>
    </row>
    <row r="233" spans="1:228" s="162" customFormat="1">
      <c r="A233" s="31" t="s">
        <v>261</v>
      </c>
      <c r="B233" s="101" t="s">
        <v>262</v>
      </c>
      <c r="C233" s="102">
        <v>175300000</v>
      </c>
      <c r="D233" s="38"/>
      <c r="E233" s="116"/>
      <c r="F233" s="116"/>
      <c r="G233" s="117"/>
      <c r="H233" s="117"/>
    </row>
    <row r="234" spans="1:228" s="81" customFormat="1">
      <c r="A234" s="72"/>
      <c r="B234" s="90" t="s">
        <v>263</v>
      </c>
      <c r="C234" s="65">
        <v>175300000</v>
      </c>
      <c r="D234" s="79"/>
      <c r="E234" s="118"/>
      <c r="F234" s="118"/>
      <c r="G234" s="114"/>
      <c r="H234" s="114"/>
    </row>
    <row r="235" spans="1:228" s="81" customFormat="1">
      <c r="A235" s="32">
        <v>6</v>
      </c>
      <c r="B235" s="41" t="s">
        <v>313</v>
      </c>
      <c r="C235" s="125">
        <v>403968000000</v>
      </c>
      <c r="D235" s="56"/>
      <c r="E235" s="163"/>
      <c r="F235" s="163"/>
      <c r="G235" s="164"/>
      <c r="H235" s="164"/>
    </row>
    <row r="236" spans="1:228">
      <c r="A236" s="31" t="s">
        <v>314</v>
      </c>
      <c r="B236" s="41" t="s">
        <v>315</v>
      </c>
      <c r="C236" s="69">
        <v>64744000000</v>
      </c>
      <c r="D236" s="56"/>
      <c r="E236" s="117"/>
      <c r="F236" s="117"/>
      <c r="G236" s="139"/>
      <c r="H236" s="139"/>
    </row>
    <row r="237" spans="1:228">
      <c r="A237" s="72" t="s">
        <v>91</v>
      </c>
      <c r="B237" s="48" t="s">
        <v>316</v>
      </c>
      <c r="C237" s="74">
        <v>55271000000</v>
      </c>
      <c r="D237" s="50"/>
      <c r="E237" s="114"/>
      <c r="F237" s="114"/>
      <c r="G237" s="113"/>
      <c r="H237" s="113"/>
    </row>
    <row r="238" spans="1:228">
      <c r="A238" s="72" t="s">
        <v>91</v>
      </c>
      <c r="B238" s="48" t="s">
        <v>317</v>
      </c>
      <c r="C238" s="74">
        <v>6785000000</v>
      </c>
      <c r="D238" s="50"/>
      <c r="E238" s="114"/>
      <c r="F238" s="114"/>
      <c r="G238" s="113"/>
      <c r="H238" s="113"/>
    </row>
    <row r="239" spans="1:228">
      <c r="A239" s="72" t="s">
        <v>91</v>
      </c>
      <c r="B239" s="48" t="s">
        <v>318</v>
      </c>
      <c r="C239" s="74">
        <v>1152000000</v>
      </c>
      <c r="D239" s="50"/>
      <c r="E239" s="114"/>
      <c r="F239" s="114"/>
      <c r="G239" s="113"/>
      <c r="H239" s="113"/>
    </row>
    <row r="240" spans="1:228">
      <c r="A240" s="72" t="s">
        <v>91</v>
      </c>
      <c r="B240" s="48" t="s">
        <v>319</v>
      </c>
      <c r="C240" s="74">
        <v>1536000000</v>
      </c>
      <c r="D240" s="50"/>
      <c r="E240" s="114"/>
      <c r="F240" s="114"/>
      <c r="G240" s="113"/>
      <c r="H240" s="113"/>
    </row>
    <row r="241" spans="1:8">
      <c r="A241" s="31" t="s">
        <v>320</v>
      </c>
      <c r="B241" s="41" t="s">
        <v>321</v>
      </c>
      <c r="C241" s="69">
        <v>127652000000</v>
      </c>
      <c r="D241" s="56"/>
      <c r="E241" s="117"/>
      <c r="F241" s="117"/>
      <c r="G241" s="113"/>
      <c r="H241" s="113"/>
    </row>
    <row r="242" spans="1:8">
      <c r="A242" s="72" t="s">
        <v>91</v>
      </c>
      <c r="B242" s="48" t="s">
        <v>316</v>
      </c>
      <c r="C242" s="74">
        <v>111231000000</v>
      </c>
      <c r="D242" s="50"/>
      <c r="E242" s="114"/>
      <c r="F242" s="114"/>
      <c r="G242" s="113"/>
      <c r="H242" s="113"/>
    </row>
    <row r="243" spans="1:8">
      <c r="A243" s="72" t="s">
        <v>91</v>
      </c>
      <c r="B243" s="48" t="s">
        <v>317</v>
      </c>
      <c r="C243" s="74">
        <v>13925000000</v>
      </c>
      <c r="D243" s="50"/>
      <c r="E243" s="114"/>
      <c r="F243" s="114"/>
      <c r="G243" s="113"/>
      <c r="H243" s="113"/>
    </row>
    <row r="244" spans="1:8">
      <c r="A244" s="72" t="s">
        <v>91</v>
      </c>
      <c r="B244" s="48" t="s">
        <v>318</v>
      </c>
      <c r="C244" s="74">
        <v>1008000000</v>
      </c>
      <c r="D244" s="50"/>
      <c r="E244" s="114"/>
      <c r="F244" s="114"/>
      <c r="G244" s="113"/>
      <c r="H244" s="113"/>
    </row>
    <row r="245" spans="1:8">
      <c r="A245" s="72" t="s">
        <v>91</v>
      </c>
      <c r="B245" s="48" t="s">
        <v>319</v>
      </c>
      <c r="C245" s="74">
        <v>1488000000</v>
      </c>
      <c r="D245" s="50"/>
      <c r="E245" s="114"/>
      <c r="F245" s="114"/>
      <c r="G245" s="113"/>
      <c r="H245" s="113"/>
    </row>
    <row r="246" spans="1:8">
      <c r="A246" s="31" t="s">
        <v>322</v>
      </c>
      <c r="B246" s="41" t="s">
        <v>323</v>
      </c>
      <c r="C246" s="69">
        <v>106897000000</v>
      </c>
      <c r="D246" s="56"/>
      <c r="E246" s="117"/>
      <c r="F246" s="117"/>
      <c r="G246" s="165"/>
      <c r="H246" s="165"/>
    </row>
    <row r="247" spans="1:8">
      <c r="A247" s="72" t="s">
        <v>91</v>
      </c>
      <c r="B247" s="48" t="s">
        <v>316</v>
      </c>
      <c r="C247" s="74">
        <v>94073000000</v>
      </c>
      <c r="D247" s="50"/>
      <c r="E247" s="114"/>
      <c r="F247" s="114"/>
      <c r="G247" s="113"/>
      <c r="H247" s="113"/>
    </row>
    <row r="248" spans="1:8">
      <c r="A248" s="72" t="s">
        <v>91</v>
      </c>
      <c r="B248" s="48" t="s">
        <v>317</v>
      </c>
      <c r="C248" s="74">
        <v>11960000000</v>
      </c>
      <c r="D248" s="50"/>
      <c r="E248" s="114"/>
      <c r="F248" s="114"/>
      <c r="G248" s="113"/>
      <c r="H248" s="113"/>
    </row>
    <row r="249" spans="1:8">
      <c r="A249" s="72" t="s">
        <v>91</v>
      </c>
      <c r="B249" s="48" t="s">
        <v>319</v>
      </c>
      <c r="C249" s="74">
        <v>864000000</v>
      </c>
      <c r="D249" s="50"/>
      <c r="E249" s="114"/>
      <c r="F249" s="114"/>
      <c r="G249" s="113"/>
      <c r="H249" s="113"/>
    </row>
    <row r="250" spans="1:8">
      <c r="A250" s="31" t="s">
        <v>324</v>
      </c>
      <c r="B250" s="41" t="s">
        <v>325</v>
      </c>
      <c r="C250" s="69">
        <v>30234000000</v>
      </c>
      <c r="D250" s="56"/>
      <c r="E250" s="117"/>
      <c r="F250" s="117"/>
      <c r="G250" s="165"/>
      <c r="H250" s="165"/>
    </row>
    <row r="251" spans="1:8">
      <c r="A251" s="72" t="s">
        <v>91</v>
      </c>
      <c r="B251" s="48" t="s">
        <v>316</v>
      </c>
      <c r="C251" s="74">
        <v>26403000000</v>
      </c>
      <c r="D251" s="50"/>
      <c r="E251" s="114"/>
      <c r="F251" s="114"/>
      <c r="G251" s="113"/>
      <c r="H251" s="113"/>
    </row>
    <row r="252" spans="1:8">
      <c r="A252" s="72" t="s">
        <v>91</v>
      </c>
      <c r="B252" s="48" t="s">
        <v>317</v>
      </c>
      <c r="C252" s="74">
        <v>3351000000</v>
      </c>
      <c r="D252" s="50"/>
      <c r="E252" s="114"/>
      <c r="F252" s="114"/>
      <c r="G252" s="113"/>
      <c r="H252" s="113"/>
    </row>
    <row r="253" spans="1:8">
      <c r="A253" s="72" t="s">
        <v>91</v>
      </c>
      <c r="B253" s="48" t="s">
        <v>319</v>
      </c>
      <c r="C253" s="74">
        <v>480000000</v>
      </c>
      <c r="D253" s="50"/>
      <c r="E253" s="114"/>
      <c r="F253" s="114"/>
      <c r="G253" s="113"/>
      <c r="H253" s="113"/>
    </row>
    <row r="254" spans="1:8">
      <c r="A254" s="31" t="s">
        <v>326</v>
      </c>
      <c r="B254" s="41" t="s">
        <v>327</v>
      </c>
      <c r="C254" s="166">
        <v>636000000</v>
      </c>
      <c r="D254" s="56"/>
      <c r="E254" s="133"/>
      <c r="F254" s="133"/>
      <c r="G254" s="165"/>
      <c r="H254" s="165"/>
    </row>
    <row r="255" spans="1:8" ht="37.5">
      <c r="A255" s="31" t="s">
        <v>328</v>
      </c>
      <c r="B255" s="41" t="s">
        <v>329</v>
      </c>
      <c r="C255" s="69">
        <v>1597000000</v>
      </c>
      <c r="D255" s="56"/>
      <c r="E255" s="117"/>
      <c r="F255" s="117"/>
      <c r="G255" s="165"/>
      <c r="H255" s="165"/>
    </row>
    <row r="256" spans="1:8">
      <c r="A256" s="31" t="s">
        <v>330</v>
      </c>
      <c r="B256" s="41" t="s">
        <v>331</v>
      </c>
      <c r="C256" s="69">
        <v>480000000</v>
      </c>
      <c r="D256" s="56"/>
      <c r="E256" s="117"/>
      <c r="F256" s="117"/>
      <c r="G256" s="165"/>
      <c r="H256" s="165"/>
    </row>
    <row r="257" spans="1:8" s="71" customFormat="1">
      <c r="A257" s="31" t="s">
        <v>332</v>
      </c>
      <c r="B257" s="41" t="s">
        <v>333</v>
      </c>
      <c r="C257" s="69">
        <v>2800000000</v>
      </c>
      <c r="D257" s="56"/>
      <c r="E257" s="117"/>
      <c r="F257" s="117"/>
      <c r="G257" s="167"/>
      <c r="H257" s="167"/>
    </row>
    <row r="258" spans="1:8" s="71" customFormat="1" ht="37.5">
      <c r="A258" s="31" t="s">
        <v>334</v>
      </c>
      <c r="B258" s="41" t="s">
        <v>335</v>
      </c>
      <c r="C258" s="69">
        <v>51000000000</v>
      </c>
      <c r="D258" s="56"/>
      <c r="E258" s="117"/>
      <c r="F258" s="117"/>
      <c r="G258" s="168"/>
      <c r="H258" s="168"/>
    </row>
    <row r="259" spans="1:8">
      <c r="A259" s="72" t="s">
        <v>91</v>
      </c>
      <c r="B259" s="48" t="s">
        <v>336</v>
      </c>
      <c r="C259" s="74">
        <v>24500000000</v>
      </c>
      <c r="D259" s="50"/>
      <c r="E259" s="114"/>
      <c r="F259" s="114"/>
      <c r="G259" s="169"/>
      <c r="H259" s="169"/>
    </row>
    <row r="260" spans="1:8">
      <c r="A260" s="72" t="s">
        <v>91</v>
      </c>
      <c r="B260" s="48" t="s">
        <v>337</v>
      </c>
      <c r="C260" s="74">
        <v>1500000000</v>
      </c>
      <c r="D260" s="50"/>
      <c r="E260" s="114"/>
      <c r="F260" s="114"/>
      <c r="G260" s="169"/>
      <c r="H260" s="169"/>
    </row>
    <row r="261" spans="1:8">
      <c r="A261" s="72" t="s">
        <v>91</v>
      </c>
      <c r="B261" s="48" t="s">
        <v>338</v>
      </c>
      <c r="C261" s="74">
        <v>25000000000</v>
      </c>
      <c r="D261" s="50"/>
      <c r="E261" s="114"/>
      <c r="F261" s="114"/>
      <c r="G261" s="169"/>
      <c r="H261" s="169"/>
    </row>
    <row r="262" spans="1:8">
      <c r="A262" s="31" t="s">
        <v>339</v>
      </c>
      <c r="B262" s="41" t="s">
        <v>340</v>
      </c>
      <c r="C262" s="69">
        <v>17928000000</v>
      </c>
      <c r="D262" s="56"/>
      <c r="E262" s="117"/>
      <c r="F262" s="117"/>
      <c r="G262" s="165"/>
      <c r="H262" s="165"/>
    </row>
    <row r="263" spans="1:8" ht="37.5">
      <c r="A263" s="72" t="s">
        <v>91</v>
      </c>
      <c r="B263" s="48" t="s">
        <v>341</v>
      </c>
      <c r="C263" s="74">
        <v>5643000000</v>
      </c>
      <c r="D263" s="50"/>
      <c r="E263" s="114"/>
      <c r="F263" s="114"/>
      <c r="G263" s="165"/>
      <c r="H263" s="165"/>
    </row>
    <row r="264" spans="1:8">
      <c r="A264" s="72" t="s">
        <v>91</v>
      </c>
      <c r="B264" s="48" t="s">
        <v>342</v>
      </c>
      <c r="C264" s="74">
        <v>2500000000</v>
      </c>
      <c r="D264" s="50"/>
      <c r="E264" s="114"/>
      <c r="F264" s="114"/>
      <c r="G264" s="165"/>
      <c r="H264" s="165"/>
    </row>
    <row r="265" spans="1:8" ht="37.5">
      <c r="A265" s="72" t="s">
        <v>91</v>
      </c>
      <c r="B265" s="48" t="s">
        <v>343</v>
      </c>
      <c r="C265" s="74">
        <v>1500000000</v>
      </c>
      <c r="D265" s="50"/>
      <c r="E265" s="114"/>
      <c r="F265" s="114"/>
      <c r="G265" s="165"/>
      <c r="H265" s="165"/>
    </row>
    <row r="266" spans="1:8" ht="37.5">
      <c r="A266" s="72" t="s">
        <v>91</v>
      </c>
      <c r="B266" s="48" t="s">
        <v>344</v>
      </c>
      <c r="C266" s="74">
        <v>3500000000</v>
      </c>
      <c r="D266" s="50"/>
      <c r="E266" s="114"/>
      <c r="F266" s="114"/>
      <c r="G266" s="165"/>
      <c r="H266" s="165"/>
    </row>
    <row r="267" spans="1:8" ht="37.5">
      <c r="A267" s="72" t="s">
        <v>91</v>
      </c>
      <c r="B267" s="48" t="s">
        <v>345</v>
      </c>
      <c r="C267" s="74">
        <v>2800000000</v>
      </c>
      <c r="D267" s="50"/>
      <c r="E267" s="114"/>
      <c r="F267" s="114"/>
      <c r="G267" s="165"/>
      <c r="H267" s="165"/>
    </row>
    <row r="268" spans="1:8">
      <c r="A268" s="72" t="s">
        <v>91</v>
      </c>
      <c r="B268" s="48" t="s">
        <v>346</v>
      </c>
      <c r="C268" s="74">
        <v>1985000000</v>
      </c>
      <c r="D268" s="50"/>
      <c r="E268" s="114"/>
      <c r="F268" s="114"/>
      <c r="G268" s="165"/>
      <c r="H268" s="165"/>
    </row>
    <row r="269" spans="1:8">
      <c r="A269" s="72"/>
      <c r="B269" s="105" t="s">
        <v>262</v>
      </c>
      <c r="C269" s="42">
        <v>8982100000</v>
      </c>
      <c r="D269" s="56"/>
      <c r="E269" s="119"/>
      <c r="F269" s="119"/>
      <c r="G269" s="119"/>
      <c r="H269" s="119"/>
    </row>
    <row r="270" spans="1:8">
      <c r="A270" s="72"/>
      <c r="B270" s="90" t="s">
        <v>263</v>
      </c>
      <c r="C270" s="65">
        <v>8982100000</v>
      </c>
      <c r="D270" s="79"/>
      <c r="E270" s="118"/>
      <c r="F270" s="118"/>
      <c r="G270" s="119"/>
      <c r="H270" s="119"/>
    </row>
    <row r="271" spans="1:8">
      <c r="A271" s="32">
        <v>7</v>
      </c>
      <c r="B271" s="42" t="s">
        <v>347</v>
      </c>
      <c r="C271" s="37">
        <v>1606000000</v>
      </c>
      <c r="D271" s="38"/>
      <c r="E271" s="123"/>
      <c r="F271" s="123"/>
      <c r="G271" s="170"/>
      <c r="H271" s="170"/>
    </row>
    <row r="272" spans="1:8">
      <c r="A272" s="32" t="s">
        <v>348</v>
      </c>
      <c r="B272" s="42" t="s">
        <v>349</v>
      </c>
      <c r="C272" s="37">
        <v>1999000000</v>
      </c>
      <c r="D272" s="38"/>
      <c r="E272" s="123"/>
      <c r="F272" s="123"/>
      <c r="G272" s="119"/>
      <c r="H272" s="119"/>
    </row>
    <row r="273" spans="1:228">
      <c r="A273" s="49"/>
      <c r="B273" s="105" t="s">
        <v>262</v>
      </c>
      <c r="C273" s="42">
        <v>160600000</v>
      </c>
      <c r="D273" s="56"/>
      <c r="E273" s="119"/>
      <c r="F273" s="119"/>
      <c r="G273" s="119"/>
      <c r="H273" s="119"/>
    </row>
    <row r="274" spans="1:228">
      <c r="A274" s="48"/>
      <c r="B274" s="90" t="s">
        <v>263</v>
      </c>
      <c r="C274" s="65">
        <v>160600000</v>
      </c>
      <c r="D274" s="79"/>
      <c r="E274" s="118"/>
      <c r="F274" s="118"/>
      <c r="G274" s="119"/>
      <c r="H274" s="119"/>
    </row>
    <row r="275" spans="1:228">
      <c r="A275" s="48"/>
      <c r="B275" s="65"/>
      <c r="C275" s="65"/>
      <c r="D275" s="79"/>
      <c r="E275" s="118"/>
      <c r="F275" s="118"/>
      <c r="G275" s="119"/>
      <c r="H275" s="119"/>
    </row>
    <row r="276" spans="1:228">
      <c r="A276" s="31">
        <v>8</v>
      </c>
      <c r="B276" s="42" t="s">
        <v>350</v>
      </c>
      <c r="C276" s="102">
        <v>127184000000</v>
      </c>
      <c r="D276" s="38"/>
      <c r="E276" s="116"/>
      <c r="F276" s="116"/>
      <c r="G276" s="171"/>
      <c r="H276" s="171"/>
    </row>
    <row r="277" spans="1:228">
      <c r="A277" s="72" t="s">
        <v>192</v>
      </c>
      <c r="B277" s="172" t="s">
        <v>351</v>
      </c>
      <c r="C277" s="69">
        <v>118725000000</v>
      </c>
      <c r="D277" s="56"/>
      <c r="E277" s="117"/>
      <c r="F277" s="117"/>
      <c r="G277" s="173"/>
      <c r="H277" s="173"/>
    </row>
    <row r="278" spans="1:228" ht="37.5">
      <c r="A278" s="72" t="s">
        <v>91</v>
      </c>
      <c r="B278" s="78" t="s">
        <v>352</v>
      </c>
      <c r="C278" s="74">
        <v>115304000000</v>
      </c>
      <c r="D278" s="50"/>
      <c r="E278" s="114"/>
      <c r="F278" s="114"/>
      <c r="G278" s="173"/>
      <c r="H278" s="173"/>
    </row>
    <row r="279" spans="1:228" s="62" customFormat="1">
      <c r="A279" s="72" t="s">
        <v>91</v>
      </c>
      <c r="B279" s="65" t="s">
        <v>353</v>
      </c>
      <c r="C279" s="74">
        <v>67500000</v>
      </c>
      <c r="D279" s="50"/>
      <c r="E279" s="115"/>
      <c r="F279" s="115"/>
      <c r="G279" s="115"/>
      <c r="H279" s="115"/>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row>
    <row r="280" spans="1:228" s="62" customFormat="1">
      <c r="A280" s="72" t="s">
        <v>91</v>
      </c>
      <c r="B280" s="65" t="s">
        <v>354</v>
      </c>
      <c r="C280" s="74">
        <v>80000000</v>
      </c>
      <c r="D280" s="79"/>
      <c r="E280" s="118"/>
      <c r="F280" s="118"/>
      <c r="G280" s="114"/>
      <c r="H280" s="114"/>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row>
    <row r="281" spans="1:228" s="62" customFormat="1">
      <c r="A281" s="72" t="s">
        <v>91</v>
      </c>
      <c r="B281" s="65" t="s">
        <v>355</v>
      </c>
      <c r="C281" s="74">
        <v>1940000000</v>
      </c>
      <c r="D281" s="79"/>
      <c r="E281" s="118"/>
      <c r="F281" s="118"/>
      <c r="G281" s="114"/>
      <c r="H281" s="114"/>
    </row>
    <row r="282" spans="1:228" s="71" customFormat="1" ht="75">
      <c r="A282" s="72" t="s">
        <v>91</v>
      </c>
      <c r="B282" s="65" t="s">
        <v>356</v>
      </c>
      <c r="C282" s="74">
        <v>196500000</v>
      </c>
      <c r="D282" s="50"/>
      <c r="E282" s="115"/>
      <c r="F282" s="115"/>
      <c r="G282" s="114"/>
      <c r="H282" s="114"/>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row>
    <row r="283" spans="1:228" s="71" customFormat="1">
      <c r="A283" s="72" t="s">
        <v>91</v>
      </c>
      <c r="B283" s="65" t="s">
        <v>357</v>
      </c>
      <c r="C283" s="74">
        <v>23000000</v>
      </c>
      <c r="D283" s="50"/>
      <c r="E283" s="115"/>
      <c r="F283" s="115"/>
      <c r="G283" s="114"/>
      <c r="H283" s="114"/>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row>
    <row r="284" spans="1:228" s="71" customFormat="1" ht="37.5">
      <c r="A284" s="72" t="s">
        <v>91</v>
      </c>
      <c r="B284" s="65" t="s">
        <v>358</v>
      </c>
      <c r="C284" s="74">
        <v>480000000</v>
      </c>
      <c r="D284" s="50"/>
      <c r="E284" s="115"/>
      <c r="F284" s="115"/>
      <c r="G284" s="114"/>
      <c r="H284" s="114"/>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row>
    <row r="285" spans="1:228" s="71" customFormat="1">
      <c r="A285" s="72" t="s">
        <v>91</v>
      </c>
      <c r="B285" s="78" t="s">
        <v>359</v>
      </c>
      <c r="C285" s="74">
        <v>40000000</v>
      </c>
      <c r="D285" s="79"/>
      <c r="E285" s="118"/>
      <c r="F285" s="118"/>
      <c r="G285" s="114"/>
      <c r="H285" s="114"/>
    </row>
    <row r="286" spans="1:228" s="71" customFormat="1" ht="37.5">
      <c r="A286" s="72" t="s">
        <v>91</v>
      </c>
      <c r="B286" s="78" t="s">
        <v>360</v>
      </c>
      <c r="C286" s="74">
        <v>25000000</v>
      </c>
      <c r="D286" s="79"/>
      <c r="E286" s="118"/>
      <c r="F286" s="118"/>
      <c r="G286" s="114"/>
      <c r="H286" s="114"/>
    </row>
    <row r="287" spans="1:228" s="71" customFormat="1">
      <c r="A287" s="72" t="s">
        <v>91</v>
      </c>
      <c r="B287" s="78" t="s">
        <v>361</v>
      </c>
      <c r="C287" s="74">
        <v>569000000</v>
      </c>
      <c r="D287" s="79"/>
      <c r="E287" s="118"/>
      <c r="F287" s="118"/>
      <c r="G287" s="114"/>
      <c r="H287" s="114"/>
    </row>
    <row r="288" spans="1:228" s="174" customFormat="1">
      <c r="A288" s="72" t="s">
        <v>192</v>
      </c>
      <c r="B288" s="172" t="s">
        <v>362</v>
      </c>
      <c r="C288" s="37">
        <v>8459000000</v>
      </c>
      <c r="D288" s="38"/>
      <c r="E288" s="123"/>
      <c r="F288" s="123"/>
      <c r="G288" s="173"/>
      <c r="H288" s="173"/>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c r="FY288" s="29"/>
      <c r="FZ288" s="29"/>
      <c r="GA288" s="29"/>
      <c r="GB288" s="29"/>
      <c r="GC288" s="29"/>
      <c r="GD288" s="29"/>
      <c r="GE288" s="29"/>
      <c r="GF288" s="29"/>
      <c r="GG288" s="29"/>
      <c r="GH288" s="29"/>
      <c r="GI288" s="29"/>
      <c r="GJ288" s="29"/>
      <c r="GK288" s="29"/>
      <c r="GL288" s="29"/>
      <c r="GM288" s="29"/>
      <c r="GN288" s="29"/>
      <c r="GO288" s="29"/>
      <c r="GP288" s="29"/>
      <c r="GQ288" s="29"/>
      <c r="GR288" s="29"/>
      <c r="GS288" s="29"/>
      <c r="GT288" s="29"/>
      <c r="GU288" s="29"/>
      <c r="GV288" s="29"/>
      <c r="GW288" s="29"/>
      <c r="GX288" s="29"/>
      <c r="GY288" s="29"/>
      <c r="GZ288" s="29"/>
      <c r="HA288" s="29"/>
      <c r="HB288" s="29"/>
      <c r="HC288" s="29"/>
      <c r="HD288" s="29"/>
      <c r="HE288" s="29"/>
      <c r="HF288" s="29"/>
      <c r="HG288" s="29"/>
      <c r="HH288" s="29"/>
      <c r="HI288" s="29"/>
      <c r="HJ288" s="29"/>
      <c r="HK288" s="29"/>
      <c r="HL288" s="29"/>
      <c r="HM288" s="29"/>
      <c r="HN288" s="29"/>
      <c r="HO288" s="29"/>
      <c r="HP288" s="29"/>
      <c r="HQ288" s="29"/>
      <c r="HR288" s="29"/>
      <c r="HS288" s="29"/>
      <c r="HT288" s="29"/>
    </row>
    <row r="289" spans="1:228" s="175" customFormat="1" ht="56.25">
      <c r="A289" s="89" t="s">
        <v>91</v>
      </c>
      <c r="B289" s="110" t="s">
        <v>363</v>
      </c>
      <c r="C289" s="65">
        <v>120000000</v>
      </c>
      <c r="D289" s="79"/>
      <c r="E289" s="118"/>
      <c r="F289" s="118"/>
      <c r="G289" s="146"/>
      <c r="H289" s="146"/>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c r="CA289" s="71"/>
      <c r="CB289" s="71"/>
      <c r="CC289" s="71"/>
      <c r="CD289" s="71"/>
      <c r="CE289" s="71"/>
      <c r="CF289" s="71"/>
      <c r="CG289" s="71"/>
      <c r="CH289" s="71"/>
      <c r="CI289" s="71"/>
      <c r="CJ289" s="71"/>
      <c r="CK289" s="71"/>
      <c r="CL289" s="71"/>
      <c r="CM289" s="71"/>
      <c r="CN289" s="71"/>
      <c r="CO289" s="71"/>
      <c r="CP289" s="71"/>
      <c r="CQ289" s="71"/>
      <c r="CR289" s="71"/>
      <c r="CS289" s="71"/>
      <c r="CT289" s="71"/>
      <c r="CU289" s="71"/>
      <c r="CV289" s="71"/>
      <c r="CW289" s="71"/>
      <c r="CX289" s="71"/>
      <c r="CY289" s="71"/>
      <c r="CZ289" s="71"/>
      <c r="DA289" s="71"/>
      <c r="DB289" s="71"/>
      <c r="DC289" s="71"/>
      <c r="DD289" s="71"/>
      <c r="DE289" s="71"/>
      <c r="DF289" s="71"/>
      <c r="DG289" s="71"/>
      <c r="DH289" s="71"/>
      <c r="DI289" s="71"/>
      <c r="DJ289" s="71"/>
      <c r="DK289" s="71"/>
      <c r="DL289" s="71"/>
      <c r="DM289" s="71"/>
      <c r="DN289" s="71"/>
      <c r="DO289" s="71"/>
      <c r="DP289" s="71"/>
      <c r="DQ289" s="71"/>
      <c r="DR289" s="71"/>
      <c r="DS289" s="71"/>
      <c r="DT289" s="71"/>
      <c r="DU289" s="71"/>
      <c r="DV289" s="71"/>
      <c r="DW289" s="71"/>
      <c r="DX289" s="71"/>
      <c r="DY289" s="71"/>
      <c r="DZ289" s="71"/>
      <c r="EA289" s="71"/>
      <c r="EB289" s="71"/>
      <c r="EC289" s="71"/>
      <c r="ED289" s="71"/>
      <c r="EE289" s="71"/>
      <c r="EF289" s="71"/>
      <c r="EG289" s="71"/>
      <c r="EH289" s="71"/>
      <c r="EI289" s="71"/>
      <c r="EJ289" s="71"/>
      <c r="EK289" s="71"/>
      <c r="EL289" s="71"/>
      <c r="EM289" s="71"/>
      <c r="EN289" s="71"/>
      <c r="EO289" s="71"/>
      <c r="EP289" s="71"/>
      <c r="EQ289" s="71"/>
      <c r="ER289" s="71"/>
      <c r="ES289" s="71"/>
      <c r="ET289" s="71"/>
      <c r="EU289" s="71"/>
      <c r="EV289" s="71"/>
      <c r="EW289" s="71"/>
      <c r="EX289" s="71"/>
      <c r="EY289" s="71"/>
      <c r="EZ289" s="71"/>
      <c r="FA289" s="71"/>
      <c r="FB289" s="71"/>
      <c r="FC289" s="71"/>
      <c r="FD289" s="71"/>
      <c r="FE289" s="71"/>
      <c r="FF289" s="71"/>
      <c r="FG289" s="71"/>
      <c r="FH289" s="71"/>
      <c r="FI289" s="71"/>
      <c r="FJ289" s="71"/>
      <c r="FK289" s="71"/>
      <c r="FL289" s="71"/>
      <c r="FM289" s="71"/>
      <c r="FN289" s="71"/>
      <c r="FO289" s="71"/>
      <c r="FP289" s="71"/>
      <c r="FQ289" s="71"/>
      <c r="FR289" s="71"/>
      <c r="FS289" s="71"/>
      <c r="FT289" s="71"/>
      <c r="FU289" s="71"/>
      <c r="FV289" s="71"/>
      <c r="FW289" s="71"/>
      <c r="FX289" s="71"/>
      <c r="FY289" s="71"/>
      <c r="FZ289" s="71"/>
      <c r="GA289" s="71"/>
      <c r="GB289" s="71"/>
      <c r="GC289" s="71"/>
      <c r="GD289" s="71"/>
      <c r="GE289" s="71"/>
      <c r="GF289" s="71"/>
      <c r="GG289" s="71"/>
      <c r="GH289" s="71"/>
      <c r="GI289" s="71"/>
      <c r="GJ289" s="71"/>
      <c r="GK289" s="71"/>
      <c r="GL289" s="71"/>
      <c r="GM289" s="71"/>
      <c r="GN289" s="71"/>
      <c r="GO289" s="71"/>
      <c r="GP289" s="71"/>
      <c r="GQ289" s="71"/>
      <c r="GR289" s="71"/>
      <c r="GS289" s="71"/>
      <c r="GT289" s="71"/>
      <c r="GU289" s="71"/>
      <c r="GV289" s="71"/>
      <c r="GW289" s="71"/>
      <c r="GX289" s="71"/>
      <c r="GY289" s="71"/>
      <c r="GZ289" s="71"/>
      <c r="HA289" s="71"/>
      <c r="HB289" s="71"/>
      <c r="HC289" s="71"/>
      <c r="HD289" s="71"/>
      <c r="HE289" s="71"/>
      <c r="HF289" s="71"/>
      <c r="HG289" s="71"/>
      <c r="HH289" s="71"/>
      <c r="HI289" s="71"/>
      <c r="HJ289" s="71"/>
      <c r="HK289" s="71"/>
      <c r="HL289" s="71"/>
      <c r="HM289" s="71"/>
      <c r="HN289" s="71"/>
      <c r="HO289" s="71"/>
      <c r="HP289" s="71"/>
      <c r="HQ289" s="71"/>
      <c r="HR289" s="71"/>
      <c r="HS289" s="71"/>
      <c r="HT289" s="71"/>
    </row>
    <row r="290" spans="1:228" s="175" customFormat="1" ht="37.5">
      <c r="A290" s="89" t="s">
        <v>91</v>
      </c>
      <c r="B290" s="110" t="s">
        <v>364</v>
      </c>
      <c r="C290" s="65">
        <v>7580000000</v>
      </c>
      <c r="D290" s="79"/>
      <c r="E290" s="118"/>
      <c r="F290" s="118"/>
      <c r="G290" s="176"/>
      <c r="H290" s="176"/>
      <c r="I290" s="174"/>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c r="AN290" s="174"/>
      <c r="AO290" s="174"/>
      <c r="AP290" s="174"/>
      <c r="AQ290" s="174"/>
      <c r="AR290" s="174"/>
      <c r="AS290" s="174"/>
      <c r="AT290" s="174"/>
      <c r="AU290" s="174"/>
      <c r="AV290" s="174"/>
      <c r="AW290" s="174"/>
      <c r="AX290" s="174"/>
      <c r="AY290" s="174"/>
      <c r="AZ290" s="174"/>
      <c r="BA290" s="174"/>
      <c r="BB290" s="174"/>
      <c r="BC290" s="174"/>
      <c r="BD290" s="174"/>
      <c r="BE290" s="174"/>
      <c r="BF290" s="174"/>
      <c r="BG290" s="174"/>
      <c r="BH290" s="174"/>
      <c r="BI290" s="174"/>
      <c r="BJ290" s="174"/>
      <c r="BK290" s="174"/>
      <c r="BL290" s="174"/>
      <c r="BM290" s="174"/>
      <c r="BN290" s="174"/>
      <c r="BO290" s="174"/>
      <c r="BP290" s="174"/>
      <c r="BQ290" s="174"/>
      <c r="BR290" s="174"/>
      <c r="BS290" s="174"/>
      <c r="BT290" s="174"/>
      <c r="BU290" s="174"/>
      <c r="BV290" s="174"/>
      <c r="BW290" s="174"/>
      <c r="BX290" s="174"/>
      <c r="BY290" s="174"/>
      <c r="BZ290" s="174"/>
      <c r="CA290" s="174"/>
      <c r="CB290" s="174"/>
      <c r="CC290" s="174"/>
      <c r="CD290" s="174"/>
      <c r="CE290" s="174"/>
      <c r="CF290" s="174"/>
      <c r="CG290" s="174"/>
      <c r="CH290" s="174"/>
      <c r="CI290" s="174"/>
      <c r="CJ290" s="174"/>
      <c r="CK290" s="174"/>
      <c r="CL290" s="174"/>
      <c r="CM290" s="174"/>
      <c r="CN290" s="174"/>
      <c r="CO290" s="174"/>
      <c r="CP290" s="174"/>
      <c r="CQ290" s="174"/>
      <c r="CR290" s="174"/>
      <c r="CS290" s="174"/>
      <c r="CT290" s="174"/>
      <c r="CU290" s="174"/>
      <c r="CV290" s="174"/>
      <c r="CW290" s="174"/>
      <c r="CX290" s="174"/>
      <c r="CY290" s="174"/>
      <c r="CZ290" s="174"/>
      <c r="DA290" s="174"/>
      <c r="DB290" s="174"/>
      <c r="DC290" s="174"/>
      <c r="DD290" s="174"/>
      <c r="DE290" s="174"/>
      <c r="DF290" s="174"/>
      <c r="DG290" s="174"/>
      <c r="DH290" s="174"/>
      <c r="DI290" s="174"/>
      <c r="DJ290" s="174"/>
      <c r="DK290" s="174"/>
      <c r="DL290" s="174"/>
      <c r="DM290" s="174"/>
      <c r="DN290" s="174"/>
      <c r="DO290" s="174"/>
      <c r="DP290" s="174"/>
      <c r="DQ290" s="174"/>
      <c r="DR290" s="174"/>
      <c r="DS290" s="174"/>
      <c r="DT290" s="174"/>
      <c r="DU290" s="174"/>
      <c r="DV290" s="174"/>
      <c r="DW290" s="174"/>
      <c r="DX290" s="174"/>
      <c r="DY290" s="174"/>
      <c r="DZ290" s="174"/>
      <c r="EA290" s="174"/>
      <c r="EB290" s="174"/>
      <c r="EC290" s="174"/>
      <c r="ED290" s="174"/>
      <c r="EE290" s="174"/>
      <c r="EF290" s="174"/>
      <c r="EG290" s="174"/>
      <c r="EH290" s="174"/>
      <c r="EI290" s="174"/>
      <c r="EJ290" s="174"/>
      <c r="EK290" s="174"/>
      <c r="EL290" s="174"/>
      <c r="EM290" s="174"/>
      <c r="EN290" s="174"/>
      <c r="EO290" s="174"/>
      <c r="EP290" s="174"/>
      <c r="EQ290" s="174"/>
      <c r="ER290" s="174"/>
      <c r="ES290" s="174"/>
      <c r="ET290" s="174"/>
      <c r="EU290" s="174"/>
      <c r="EV290" s="174"/>
      <c r="EW290" s="174"/>
      <c r="EX290" s="174"/>
      <c r="EY290" s="174"/>
      <c r="EZ290" s="174"/>
      <c r="FA290" s="174"/>
      <c r="FB290" s="174"/>
      <c r="FC290" s="174"/>
      <c r="FD290" s="174"/>
      <c r="FE290" s="174"/>
      <c r="FF290" s="174"/>
      <c r="FG290" s="174"/>
      <c r="FH290" s="174"/>
      <c r="FI290" s="174"/>
      <c r="FJ290" s="174"/>
      <c r="FK290" s="174"/>
      <c r="FL290" s="174"/>
      <c r="FM290" s="174"/>
      <c r="FN290" s="174"/>
      <c r="FO290" s="174"/>
      <c r="FP290" s="174"/>
      <c r="FQ290" s="174"/>
      <c r="FR290" s="174"/>
      <c r="FS290" s="174"/>
      <c r="FT290" s="174"/>
      <c r="FU290" s="174"/>
      <c r="FV290" s="174"/>
      <c r="FW290" s="174"/>
      <c r="FX290" s="174"/>
      <c r="FY290" s="174"/>
      <c r="FZ290" s="174"/>
      <c r="GA290" s="174"/>
      <c r="GB290" s="174"/>
      <c r="GC290" s="174"/>
      <c r="GD290" s="174"/>
      <c r="GE290" s="174"/>
      <c r="GF290" s="174"/>
      <c r="GG290" s="174"/>
      <c r="GH290" s="174"/>
      <c r="GI290" s="174"/>
      <c r="GJ290" s="174"/>
      <c r="GK290" s="174"/>
      <c r="GL290" s="174"/>
      <c r="GM290" s="174"/>
      <c r="GN290" s="174"/>
      <c r="GO290" s="174"/>
      <c r="GP290" s="174"/>
      <c r="GQ290" s="174"/>
      <c r="GR290" s="174"/>
      <c r="GS290" s="174"/>
      <c r="GT290" s="174"/>
      <c r="GU290" s="174"/>
      <c r="GV290" s="174"/>
      <c r="GW290" s="174"/>
      <c r="GX290" s="174"/>
      <c r="GY290" s="174"/>
      <c r="GZ290" s="174"/>
      <c r="HA290" s="174"/>
      <c r="HB290" s="174"/>
      <c r="HC290" s="174"/>
      <c r="HD290" s="174"/>
      <c r="HE290" s="174"/>
      <c r="HF290" s="174"/>
      <c r="HG290" s="174"/>
      <c r="HH290" s="174"/>
      <c r="HI290" s="174"/>
      <c r="HJ290" s="174"/>
      <c r="HK290" s="174"/>
      <c r="HL290" s="174"/>
      <c r="HM290" s="174"/>
      <c r="HN290" s="174"/>
      <c r="HO290" s="174"/>
      <c r="HP290" s="174"/>
      <c r="HQ290" s="174"/>
      <c r="HR290" s="174"/>
      <c r="HS290" s="174"/>
      <c r="HT290" s="174"/>
    </row>
    <row r="291" spans="1:228" s="175" customFormat="1" ht="56.25">
      <c r="A291" s="89" t="s">
        <v>91</v>
      </c>
      <c r="B291" s="110" t="s">
        <v>365</v>
      </c>
      <c r="C291" s="65">
        <v>420000000</v>
      </c>
      <c r="D291" s="79"/>
      <c r="E291" s="118"/>
      <c r="F291" s="118"/>
      <c r="G291" s="176"/>
      <c r="H291" s="176"/>
      <c r="I291" s="174"/>
      <c r="J291" s="174"/>
      <c r="K291" s="174"/>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c r="AN291" s="174"/>
      <c r="AO291" s="174"/>
      <c r="AP291" s="174"/>
      <c r="AQ291" s="174"/>
      <c r="AR291" s="174"/>
      <c r="AS291" s="174"/>
      <c r="AT291" s="174"/>
      <c r="AU291" s="174"/>
      <c r="AV291" s="174"/>
      <c r="AW291" s="174"/>
      <c r="AX291" s="174"/>
      <c r="AY291" s="174"/>
      <c r="AZ291" s="174"/>
      <c r="BA291" s="174"/>
      <c r="BB291" s="174"/>
      <c r="BC291" s="174"/>
      <c r="BD291" s="174"/>
      <c r="BE291" s="174"/>
      <c r="BF291" s="174"/>
      <c r="BG291" s="174"/>
      <c r="BH291" s="174"/>
      <c r="BI291" s="174"/>
      <c r="BJ291" s="174"/>
      <c r="BK291" s="174"/>
      <c r="BL291" s="174"/>
      <c r="BM291" s="174"/>
      <c r="BN291" s="174"/>
      <c r="BO291" s="174"/>
      <c r="BP291" s="174"/>
      <c r="BQ291" s="174"/>
      <c r="BR291" s="174"/>
      <c r="BS291" s="174"/>
      <c r="BT291" s="174"/>
      <c r="BU291" s="174"/>
      <c r="BV291" s="174"/>
      <c r="BW291" s="174"/>
      <c r="BX291" s="174"/>
      <c r="BY291" s="174"/>
      <c r="BZ291" s="174"/>
      <c r="CA291" s="174"/>
      <c r="CB291" s="174"/>
      <c r="CC291" s="174"/>
      <c r="CD291" s="174"/>
      <c r="CE291" s="174"/>
      <c r="CF291" s="174"/>
      <c r="CG291" s="174"/>
      <c r="CH291" s="174"/>
      <c r="CI291" s="174"/>
      <c r="CJ291" s="174"/>
      <c r="CK291" s="174"/>
      <c r="CL291" s="174"/>
      <c r="CM291" s="174"/>
      <c r="CN291" s="174"/>
      <c r="CO291" s="174"/>
      <c r="CP291" s="174"/>
      <c r="CQ291" s="174"/>
      <c r="CR291" s="174"/>
      <c r="CS291" s="174"/>
      <c r="CT291" s="174"/>
      <c r="CU291" s="174"/>
      <c r="CV291" s="174"/>
      <c r="CW291" s="174"/>
      <c r="CX291" s="174"/>
      <c r="CY291" s="174"/>
      <c r="CZ291" s="174"/>
      <c r="DA291" s="174"/>
      <c r="DB291" s="174"/>
      <c r="DC291" s="174"/>
      <c r="DD291" s="174"/>
      <c r="DE291" s="174"/>
      <c r="DF291" s="174"/>
      <c r="DG291" s="174"/>
      <c r="DH291" s="174"/>
      <c r="DI291" s="174"/>
      <c r="DJ291" s="174"/>
      <c r="DK291" s="174"/>
      <c r="DL291" s="174"/>
      <c r="DM291" s="174"/>
      <c r="DN291" s="174"/>
      <c r="DO291" s="174"/>
      <c r="DP291" s="174"/>
      <c r="DQ291" s="174"/>
      <c r="DR291" s="174"/>
      <c r="DS291" s="174"/>
      <c r="DT291" s="174"/>
      <c r="DU291" s="174"/>
      <c r="DV291" s="174"/>
      <c r="DW291" s="174"/>
      <c r="DX291" s="174"/>
      <c r="DY291" s="174"/>
      <c r="DZ291" s="174"/>
      <c r="EA291" s="174"/>
      <c r="EB291" s="174"/>
      <c r="EC291" s="174"/>
      <c r="ED291" s="174"/>
      <c r="EE291" s="174"/>
      <c r="EF291" s="174"/>
      <c r="EG291" s="174"/>
      <c r="EH291" s="174"/>
      <c r="EI291" s="174"/>
      <c r="EJ291" s="174"/>
      <c r="EK291" s="174"/>
      <c r="EL291" s="174"/>
      <c r="EM291" s="174"/>
      <c r="EN291" s="174"/>
      <c r="EO291" s="174"/>
      <c r="EP291" s="174"/>
      <c r="EQ291" s="174"/>
      <c r="ER291" s="174"/>
      <c r="ES291" s="174"/>
      <c r="ET291" s="174"/>
      <c r="EU291" s="174"/>
      <c r="EV291" s="174"/>
      <c r="EW291" s="174"/>
      <c r="EX291" s="174"/>
      <c r="EY291" s="174"/>
      <c r="EZ291" s="174"/>
      <c r="FA291" s="174"/>
      <c r="FB291" s="174"/>
      <c r="FC291" s="174"/>
      <c r="FD291" s="174"/>
      <c r="FE291" s="174"/>
      <c r="FF291" s="174"/>
      <c r="FG291" s="174"/>
      <c r="FH291" s="174"/>
      <c r="FI291" s="174"/>
      <c r="FJ291" s="174"/>
      <c r="FK291" s="174"/>
      <c r="FL291" s="174"/>
      <c r="FM291" s="174"/>
      <c r="FN291" s="174"/>
      <c r="FO291" s="174"/>
      <c r="FP291" s="174"/>
      <c r="FQ291" s="174"/>
      <c r="FR291" s="174"/>
      <c r="FS291" s="174"/>
      <c r="FT291" s="174"/>
      <c r="FU291" s="174"/>
      <c r="FV291" s="174"/>
      <c r="FW291" s="174"/>
      <c r="FX291" s="174"/>
      <c r="FY291" s="174"/>
      <c r="FZ291" s="174"/>
      <c r="GA291" s="174"/>
      <c r="GB291" s="174"/>
      <c r="GC291" s="174"/>
      <c r="GD291" s="174"/>
      <c r="GE291" s="174"/>
      <c r="GF291" s="174"/>
      <c r="GG291" s="174"/>
      <c r="GH291" s="174"/>
      <c r="GI291" s="174"/>
      <c r="GJ291" s="174"/>
      <c r="GK291" s="174"/>
      <c r="GL291" s="174"/>
      <c r="GM291" s="174"/>
      <c r="GN291" s="174"/>
      <c r="GO291" s="174"/>
      <c r="GP291" s="174"/>
      <c r="GQ291" s="174"/>
      <c r="GR291" s="174"/>
      <c r="GS291" s="174"/>
      <c r="GT291" s="174"/>
      <c r="GU291" s="174"/>
      <c r="GV291" s="174"/>
      <c r="GW291" s="174"/>
      <c r="GX291" s="174"/>
      <c r="GY291" s="174"/>
      <c r="GZ291" s="174"/>
      <c r="HA291" s="174"/>
      <c r="HB291" s="174"/>
      <c r="HC291" s="174"/>
      <c r="HD291" s="174"/>
      <c r="HE291" s="174"/>
      <c r="HF291" s="174"/>
      <c r="HG291" s="174"/>
      <c r="HH291" s="174"/>
      <c r="HI291" s="174"/>
      <c r="HJ291" s="174"/>
      <c r="HK291" s="174"/>
      <c r="HL291" s="174"/>
      <c r="HM291" s="174"/>
      <c r="HN291" s="174"/>
      <c r="HO291" s="174"/>
      <c r="HP291" s="174"/>
      <c r="HQ291" s="174"/>
      <c r="HR291" s="174"/>
      <c r="HS291" s="174"/>
      <c r="HT291" s="174"/>
    </row>
    <row r="292" spans="1:228" s="43" customFormat="1">
      <c r="A292" s="89" t="s">
        <v>91</v>
      </c>
      <c r="B292" s="110" t="s">
        <v>366</v>
      </c>
      <c r="C292" s="65">
        <v>14000000</v>
      </c>
      <c r="D292" s="79"/>
      <c r="E292" s="118"/>
      <c r="F292" s="118"/>
      <c r="G292" s="176"/>
      <c r="H292" s="176"/>
      <c r="I292" s="175"/>
      <c r="J292" s="175"/>
      <c r="K292" s="175"/>
      <c r="L292" s="175"/>
      <c r="M292" s="175"/>
      <c r="N292" s="175"/>
      <c r="O292" s="175"/>
      <c r="P292" s="175"/>
      <c r="Q292" s="175"/>
      <c r="R292" s="175"/>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c r="AS292" s="175"/>
      <c r="AT292" s="175"/>
      <c r="AU292" s="175"/>
      <c r="AV292" s="175"/>
      <c r="AW292" s="175"/>
      <c r="AX292" s="175"/>
      <c r="AY292" s="175"/>
      <c r="AZ292" s="175"/>
      <c r="BA292" s="175"/>
      <c r="BB292" s="175"/>
      <c r="BC292" s="175"/>
      <c r="BD292" s="175"/>
      <c r="BE292" s="175"/>
      <c r="BF292" s="175"/>
      <c r="BG292" s="175"/>
      <c r="BH292" s="175"/>
      <c r="BI292" s="175"/>
      <c r="BJ292" s="175"/>
      <c r="BK292" s="175"/>
      <c r="BL292" s="175"/>
      <c r="BM292" s="175"/>
      <c r="BN292" s="175"/>
      <c r="BO292" s="175"/>
      <c r="BP292" s="175"/>
      <c r="BQ292" s="175"/>
      <c r="BR292" s="175"/>
      <c r="BS292" s="175"/>
      <c r="BT292" s="175"/>
      <c r="BU292" s="175"/>
      <c r="BV292" s="175"/>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c r="DH292" s="175"/>
      <c r="DI292" s="175"/>
      <c r="DJ292" s="175"/>
      <c r="DK292" s="175"/>
      <c r="DL292" s="175"/>
      <c r="DM292" s="175"/>
      <c r="DN292" s="175"/>
      <c r="DO292" s="175"/>
      <c r="DP292" s="175"/>
      <c r="DQ292" s="175"/>
      <c r="DR292" s="175"/>
      <c r="DS292" s="175"/>
      <c r="DT292" s="175"/>
      <c r="DU292" s="175"/>
      <c r="DV292" s="175"/>
      <c r="DW292" s="175"/>
      <c r="DX292" s="175"/>
      <c r="DY292" s="175"/>
      <c r="DZ292" s="175"/>
      <c r="EA292" s="175"/>
      <c r="EB292" s="175"/>
      <c r="EC292" s="175"/>
      <c r="ED292" s="175"/>
      <c r="EE292" s="175"/>
      <c r="EF292" s="175"/>
      <c r="EG292" s="175"/>
      <c r="EH292" s="175"/>
      <c r="EI292" s="175"/>
      <c r="EJ292" s="175"/>
      <c r="EK292" s="175"/>
      <c r="EL292" s="175"/>
      <c r="EM292" s="175"/>
      <c r="EN292" s="175"/>
      <c r="EO292" s="175"/>
      <c r="EP292" s="175"/>
      <c r="EQ292" s="175"/>
      <c r="ER292" s="175"/>
      <c r="ES292" s="175"/>
      <c r="ET292" s="175"/>
      <c r="EU292" s="175"/>
      <c r="EV292" s="175"/>
      <c r="EW292" s="175"/>
      <c r="EX292" s="175"/>
      <c r="EY292" s="175"/>
      <c r="EZ292" s="175"/>
      <c r="FA292" s="175"/>
      <c r="FB292" s="175"/>
      <c r="FC292" s="175"/>
      <c r="FD292" s="175"/>
      <c r="FE292" s="175"/>
      <c r="FF292" s="175"/>
      <c r="FG292" s="175"/>
      <c r="FH292" s="175"/>
      <c r="FI292" s="175"/>
      <c r="FJ292" s="175"/>
      <c r="FK292" s="175"/>
      <c r="FL292" s="175"/>
      <c r="FM292" s="175"/>
      <c r="FN292" s="175"/>
      <c r="FO292" s="175"/>
      <c r="FP292" s="175"/>
      <c r="FQ292" s="175"/>
      <c r="FR292" s="175"/>
      <c r="FS292" s="175"/>
      <c r="FT292" s="175"/>
      <c r="FU292" s="175"/>
      <c r="FV292" s="175"/>
      <c r="FW292" s="175"/>
      <c r="FX292" s="175"/>
      <c r="FY292" s="175"/>
      <c r="FZ292" s="175"/>
      <c r="GA292" s="175"/>
      <c r="GB292" s="175"/>
      <c r="GC292" s="175"/>
      <c r="GD292" s="175"/>
      <c r="GE292" s="175"/>
      <c r="GF292" s="175"/>
      <c r="GG292" s="175"/>
      <c r="GH292" s="175"/>
      <c r="GI292" s="175"/>
      <c r="GJ292" s="175"/>
      <c r="GK292" s="175"/>
      <c r="GL292" s="175"/>
      <c r="GM292" s="175"/>
      <c r="GN292" s="175"/>
      <c r="GO292" s="175"/>
      <c r="GP292" s="175"/>
      <c r="GQ292" s="175"/>
      <c r="GR292" s="175"/>
      <c r="GS292" s="175"/>
      <c r="GT292" s="175"/>
      <c r="GU292" s="175"/>
      <c r="GV292" s="175"/>
      <c r="GW292" s="175"/>
      <c r="GX292" s="175"/>
      <c r="GY292" s="175"/>
      <c r="GZ292" s="175"/>
      <c r="HA292" s="175"/>
      <c r="HB292" s="175"/>
      <c r="HC292" s="175"/>
      <c r="HD292" s="175"/>
      <c r="HE292" s="175"/>
      <c r="HF292" s="175"/>
      <c r="HG292" s="175"/>
      <c r="HH292" s="175"/>
      <c r="HI292" s="175"/>
      <c r="HJ292" s="175"/>
      <c r="HK292" s="175"/>
      <c r="HL292" s="175"/>
      <c r="HM292" s="175"/>
      <c r="HN292" s="175"/>
      <c r="HO292" s="175"/>
      <c r="HP292" s="175"/>
      <c r="HQ292" s="175"/>
      <c r="HR292" s="175"/>
      <c r="HS292" s="175"/>
      <c r="HT292" s="175"/>
    </row>
    <row r="293" spans="1:228" ht="37.5">
      <c r="A293" s="89" t="s">
        <v>91</v>
      </c>
      <c r="B293" s="110" t="s">
        <v>367</v>
      </c>
      <c r="C293" s="65">
        <v>30000000</v>
      </c>
      <c r="D293" s="79"/>
      <c r="E293" s="118"/>
      <c r="F293" s="118"/>
      <c r="G293" s="176"/>
      <c r="H293" s="176"/>
      <c r="I293" s="175"/>
      <c r="J293" s="175"/>
      <c r="K293" s="175"/>
      <c r="L293" s="175"/>
      <c r="M293" s="175"/>
      <c r="N293" s="175"/>
      <c r="O293" s="175"/>
      <c r="P293" s="175"/>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5"/>
      <c r="AS293" s="175"/>
      <c r="AT293" s="175"/>
      <c r="AU293" s="175"/>
      <c r="AV293" s="175"/>
      <c r="AW293" s="175"/>
      <c r="AX293" s="175"/>
      <c r="AY293" s="175"/>
      <c r="AZ293" s="175"/>
      <c r="BA293" s="175"/>
      <c r="BB293" s="175"/>
      <c r="BC293" s="175"/>
      <c r="BD293" s="175"/>
      <c r="BE293" s="175"/>
      <c r="BF293" s="175"/>
      <c r="BG293" s="175"/>
      <c r="BH293" s="175"/>
      <c r="BI293" s="175"/>
      <c r="BJ293" s="175"/>
      <c r="BK293" s="175"/>
      <c r="BL293" s="175"/>
      <c r="BM293" s="175"/>
      <c r="BN293" s="175"/>
      <c r="BO293" s="175"/>
      <c r="BP293" s="175"/>
      <c r="BQ293" s="175"/>
      <c r="BR293" s="175"/>
      <c r="BS293" s="175"/>
      <c r="BT293" s="175"/>
      <c r="BU293" s="175"/>
      <c r="BV293" s="175"/>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c r="DH293" s="175"/>
      <c r="DI293" s="175"/>
      <c r="DJ293" s="175"/>
      <c r="DK293" s="175"/>
      <c r="DL293" s="175"/>
      <c r="DM293" s="175"/>
      <c r="DN293" s="175"/>
      <c r="DO293" s="175"/>
      <c r="DP293" s="175"/>
      <c r="DQ293" s="175"/>
      <c r="DR293" s="175"/>
      <c r="DS293" s="175"/>
      <c r="DT293" s="175"/>
      <c r="DU293" s="175"/>
      <c r="DV293" s="175"/>
      <c r="DW293" s="175"/>
      <c r="DX293" s="175"/>
      <c r="DY293" s="175"/>
      <c r="DZ293" s="175"/>
      <c r="EA293" s="175"/>
      <c r="EB293" s="175"/>
      <c r="EC293" s="175"/>
      <c r="ED293" s="175"/>
      <c r="EE293" s="175"/>
      <c r="EF293" s="175"/>
      <c r="EG293" s="175"/>
      <c r="EH293" s="175"/>
      <c r="EI293" s="175"/>
      <c r="EJ293" s="175"/>
      <c r="EK293" s="175"/>
      <c r="EL293" s="175"/>
      <c r="EM293" s="175"/>
      <c r="EN293" s="175"/>
      <c r="EO293" s="175"/>
      <c r="EP293" s="175"/>
      <c r="EQ293" s="175"/>
      <c r="ER293" s="175"/>
      <c r="ES293" s="175"/>
      <c r="ET293" s="175"/>
      <c r="EU293" s="175"/>
      <c r="EV293" s="175"/>
      <c r="EW293" s="175"/>
      <c r="EX293" s="175"/>
      <c r="EY293" s="175"/>
      <c r="EZ293" s="175"/>
      <c r="FA293" s="175"/>
      <c r="FB293" s="175"/>
      <c r="FC293" s="175"/>
      <c r="FD293" s="175"/>
      <c r="FE293" s="175"/>
      <c r="FF293" s="175"/>
      <c r="FG293" s="175"/>
      <c r="FH293" s="175"/>
      <c r="FI293" s="175"/>
      <c r="FJ293" s="175"/>
      <c r="FK293" s="175"/>
      <c r="FL293" s="175"/>
      <c r="FM293" s="175"/>
      <c r="FN293" s="175"/>
      <c r="FO293" s="175"/>
      <c r="FP293" s="175"/>
      <c r="FQ293" s="175"/>
      <c r="FR293" s="175"/>
      <c r="FS293" s="175"/>
      <c r="FT293" s="175"/>
      <c r="FU293" s="175"/>
      <c r="FV293" s="175"/>
      <c r="FW293" s="175"/>
      <c r="FX293" s="175"/>
      <c r="FY293" s="175"/>
      <c r="FZ293" s="175"/>
      <c r="GA293" s="175"/>
      <c r="GB293" s="175"/>
      <c r="GC293" s="175"/>
      <c r="GD293" s="175"/>
      <c r="GE293" s="175"/>
      <c r="GF293" s="175"/>
      <c r="GG293" s="175"/>
      <c r="GH293" s="175"/>
      <c r="GI293" s="175"/>
      <c r="GJ293" s="175"/>
      <c r="GK293" s="175"/>
      <c r="GL293" s="175"/>
      <c r="GM293" s="175"/>
      <c r="GN293" s="175"/>
      <c r="GO293" s="175"/>
      <c r="GP293" s="175"/>
      <c r="GQ293" s="175"/>
      <c r="GR293" s="175"/>
      <c r="GS293" s="175"/>
      <c r="GT293" s="175"/>
      <c r="GU293" s="175"/>
      <c r="GV293" s="175"/>
      <c r="GW293" s="175"/>
      <c r="GX293" s="175"/>
      <c r="GY293" s="175"/>
      <c r="GZ293" s="175"/>
      <c r="HA293" s="175"/>
      <c r="HB293" s="175"/>
      <c r="HC293" s="175"/>
      <c r="HD293" s="175"/>
      <c r="HE293" s="175"/>
      <c r="HF293" s="175"/>
      <c r="HG293" s="175"/>
      <c r="HH293" s="175"/>
      <c r="HI293" s="175"/>
      <c r="HJ293" s="175"/>
      <c r="HK293" s="175"/>
      <c r="HL293" s="175"/>
      <c r="HM293" s="175"/>
      <c r="HN293" s="175"/>
      <c r="HO293" s="175"/>
      <c r="HP293" s="175"/>
      <c r="HQ293" s="175"/>
      <c r="HR293" s="175"/>
      <c r="HS293" s="175"/>
      <c r="HT293" s="175"/>
    </row>
    <row r="294" spans="1:228" ht="37.5">
      <c r="A294" s="89" t="s">
        <v>91</v>
      </c>
      <c r="B294" s="110" t="s">
        <v>368</v>
      </c>
      <c r="C294" s="65">
        <v>35000000</v>
      </c>
      <c r="D294" s="79"/>
      <c r="E294" s="118"/>
      <c r="F294" s="118"/>
      <c r="G294" s="176"/>
      <c r="H294" s="176"/>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3"/>
      <c r="FG294" s="43"/>
      <c r="FH294" s="43"/>
      <c r="FI294" s="43"/>
      <c r="FJ294" s="43"/>
      <c r="FK294" s="43"/>
      <c r="FL294" s="43"/>
      <c r="FM294" s="43"/>
      <c r="FN294" s="43"/>
      <c r="FO294" s="43"/>
      <c r="FP294" s="43"/>
      <c r="FQ294" s="43"/>
      <c r="FR294" s="43"/>
      <c r="FS294" s="43"/>
      <c r="FT294" s="43"/>
      <c r="FU294" s="43"/>
      <c r="FV294" s="43"/>
      <c r="FW294" s="43"/>
      <c r="FX294" s="43"/>
      <c r="FY294" s="43"/>
      <c r="FZ294" s="43"/>
      <c r="GA294" s="43"/>
      <c r="GB294" s="43"/>
      <c r="GC294" s="43"/>
      <c r="GD294" s="43"/>
      <c r="GE294" s="43"/>
      <c r="GF294" s="43"/>
      <c r="GG294" s="43"/>
      <c r="GH294" s="43"/>
      <c r="GI294" s="43"/>
      <c r="GJ294" s="43"/>
      <c r="GK294" s="43"/>
      <c r="GL294" s="43"/>
      <c r="GM294" s="43"/>
      <c r="GN294" s="43"/>
      <c r="GO294" s="43"/>
      <c r="GP294" s="43"/>
      <c r="GQ294" s="43"/>
      <c r="GR294" s="43"/>
      <c r="GS294" s="43"/>
      <c r="GT294" s="43"/>
      <c r="GU294" s="43"/>
      <c r="GV294" s="43"/>
      <c r="GW294" s="43"/>
      <c r="GX294" s="43"/>
      <c r="GY294" s="43"/>
      <c r="GZ294" s="43"/>
      <c r="HA294" s="43"/>
      <c r="HB294" s="43"/>
      <c r="HC294" s="43"/>
      <c r="HD294" s="43"/>
      <c r="HE294" s="43"/>
      <c r="HF294" s="43"/>
      <c r="HG294" s="43"/>
      <c r="HH294" s="43"/>
      <c r="HI294" s="43"/>
      <c r="HJ294" s="43"/>
      <c r="HK294" s="43"/>
      <c r="HL294" s="43"/>
      <c r="HM294" s="43"/>
      <c r="HN294" s="43"/>
      <c r="HO294" s="43"/>
      <c r="HP294" s="43"/>
      <c r="HQ294" s="43"/>
      <c r="HR294" s="43"/>
      <c r="HS294" s="43"/>
      <c r="HT294" s="43"/>
    </row>
    <row r="295" spans="1:228" s="62" customFormat="1">
      <c r="A295" s="89" t="s">
        <v>91</v>
      </c>
      <c r="B295" s="110" t="s">
        <v>369</v>
      </c>
      <c r="C295" s="65">
        <v>260000000</v>
      </c>
      <c r="D295" s="79"/>
      <c r="E295" s="118"/>
      <c r="F295" s="118"/>
      <c r="G295" s="176"/>
      <c r="H295" s="176"/>
    </row>
    <row r="296" spans="1:228" s="62" customFormat="1" ht="75">
      <c r="A296" s="32">
        <v>9</v>
      </c>
      <c r="B296" s="41" t="s">
        <v>370</v>
      </c>
      <c r="C296" s="37">
        <v>3000000000</v>
      </c>
      <c r="D296" s="56" t="s">
        <v>371</v>
      </c>
      <c r="E296" s="123"/>
      <c r="F296" s="123"/>
      <c r="G296" s="177"/>
      <c r="H296" s="177"/>
    </row>
    <row r="297" spans="1:228" s="62" customFormat="1">
      <c r="A297" s="32">
        <v>10</v>
      </c>
      <c r="B297" s="41" t="s">
        <v>372</v>
      </c>
      <c r="C297" s="42">
        <v>500000000</v>
      </c>
      <c r="D297" s="56"/>
      <c r="E297" s="119"/>
      <c r="F297" s="119"/>
      <c r="G297" s="177"/>
      <c r="H297" s="17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row>
    <row r="298" spans="1:228">
      <c r="A298" s="178" t="s">
        <v>287</v>
      </c>
      <c r="B298" s="179" t="s">
        <v>373</v>
      </c>
      <c r="C298" s="180">
        <v>51101100000</v>
      </c>
      <c r="D298" s="181"/>
      <c r="E298" s="182"/>
      <c r="F298" s="182"/>
      <c r="G298" s="149"/>
      <c r="H298" s="149"/>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62"/>
      <c r="HN298" s="62"/>
      <c r="HO298" s="62"/>
      <c r="HP298" s="62"/>
      <c r="HQ298" s="62"/>
      <c r="HR298" s="62"/>
      <c r="HS298" s="62"/>
      <c r="HT298" s="62"/>
    </row>
    <row r="299" spans="1:228">
      <c r="A299" s="178" t="s">
        <v>374</v>
      </c>
      <c r="B299" s="179" t="s">
        <v>375</v>
      </c>
      <c r="C299" s="183">
        <v>20303100000</v>
      </c>
      <c r="D299" s="184"/>
      <c r="E299" s="185"/>
      <c r="F299" s="185"/>
      <c r="G299" s="186"/>
      <c r="H299" s="186"/>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W299" s="62"/>
      <c r="GX299" s="62"/>
      <c r="GY299" s="62"/>
      <c r="GZ299" s="62"/>
      <c r="HA299" s="62"/>
      <c r="HB299" s="62"/>
      <c r="HC299" s="62"/>
      <c r="HD299" s="62"/>
      <c r="HE299" s="62"/>
      <c r="HF299" s="62"/>
      <c r="HG299" s="62"/>
      <c r="HH299" s="62"/>
      <c r="HI299" s="62"/>
      <c r="HJ299" s="62"/>
      <c r="HK299" s="62"/>
      <c r="HL299" s="62"/>
      <c r="HM299" s="62"/>
      <c r="HN299" s="62"/>
      <c r="HO299" s="62"/>
      <c r="HP299" s="62"/>
      <c r="HQ299" s="62"/>
      <c r="HR299" s="62"/>
      <c r="HS299" s="62"/>
      <c r="HT299" s="62"/>
    </row>
    <row r="300" spans="1:228">
      <c r="A300" s="32">
        <v>1</v>
      </c>
      <c r="B300" s="41" t="s">
        <v>376</v>
      </c>
      <c r="C300" s="37">
        <v>2814000000</v>
      </c>
      <c r="D300" s="38"/>
      <c r="E300" s="123"/>
      <c r="F300" s="123"/>
      <c r="G300" s="132"/>
      <c r="H300" s="132"/>
    </row>
    <row r="301" spans="1:228" s="71" customFormat="1" ht="19.5">
      <c r="A301" s="31" t="s">
        <v>222</v>
      </c>
      <c r="B301" s="101" t="s">
        <v>252</v>
      </c>
      <c r="C301" s="69">
        <v>355000000</v>
      </c>
      <c r="D301" s="56"/>
      <c r="E301" s="117"/>
      <c r="F301" s="117"/>
      <c r="G301" s="187"/>
      <c r="H301" s="187"/>
    </row>
    <row r="302" spans="1:228" s="81" customFormat="1" ht="37.5">
      <c r="A302" s="89" t="s">
        <v>258</v>
      </c>
      <c r="B302" s="110" t="s">
        <v>377</v>
      </c>
      <c r="C302" s="91">
        <v>301000000</v>
      </c>
      <c r="D302" s="79"/>
      <c r="E302" s="127"/>
      <c r="F302" s="127"/>
      <c r="G302" s="114"/>
      <c r="H302" s="114"/>
    </row>
    <row r="303" spans="1:228" s="81" customFormat="1">
      <c r="A303" s="89" t="s">
        <v>258</v>
      </c>
      <c r="B303" s="110" t="s">
        <v>378</v>
      </c>
      <c r="C303" s="91">
        <v>54000000</v>
      </c>
      <c r="D303" s="79"/>
      <c r="E303" s="127"/>
      <c r="F303" s="127"/>
      <c r="G303" s="171"/>
      <c r="H303" s="171"/>
    </row>
    <row r="304" spans="1:228" s="81" customFormat="1">
      <c r="A304" s="31" t="s">
        <v>225</v>
      </c>
      <c r="B304" s="101" t="s">
        <v>257</v>
      </c>
      <c r="C304" s="102">
        <v>2459000000</v>
      </c>
      <c r="D304" s="38"/>
      <c r="E304" s="116"/>
      <c r="F304" s="116"/>
      <c r="G304" s="117"/>
      <c r="H304" s="117"/>
    </row>
    <row r="305" spans="1:228" s="100" customFormat="1" ht="37.5">
      <c r="A305" s="63" t="s">
        <v>258</v>
      </c>
      <c r="B305" s="48" t="s">
        <v>379</v>
      </c>
      <c r="C305" s="65">
        <v>100000000</v>
      </c>
      <c r="D305" s="79"/>
      <c r="E305" s="118"/>
      <c r="F305" s="118"/>
      <c r="G305" s="114"/>
      <c r="H305" s="114"/>
    </row>
    <row r="306" spans="1:228">
      <c r="A306" s="63" t="s">
        <v>258</v>
      </c>
      <c r="B306" s="55" t="s">
        <v>122</v>
      </c>
      <c r="C306" s="65">
        <v>160000000</v>
      </c>
      <c r="D306" s="79"/>
      <c r="E306" s="118"/>
      <c r="F306" s="118"/>
      <c r="G306" s="114"/>
      <c r="H306" s="114"/>
    </row>
    <row r="307" spans="1:228" s="62" customFormat="1">
      <c r="A307" s="63" t="s">
        <v>258</v>
      </c>
      <c r="B307" s="55" t="s">
        <v>123</v>
      </c>
      <c r="C307" s="65">
        <v>94000000</v>
      </c>
      <c r="D307" s="79"/>
      <c r="E307" s="118"/>
      <c r="F307" s="118"/>
      <c r="G307" s="170"/>
      <c r="H307" s="170"/>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43"/>
      <c r="ES307" s="43"/>
      <c r="ET307" s="43"/>
      <c r="EU307" s="43"/>
      <c r="EV307" s="43"/>
      <c r="EW307" s="43"/>
      <c r="EX307" s="43"/>
      <c r="EY307" s="43"/>
      <c r="EZ307" s="43"/>
      <c r="FA307" s="43"/>
      <c r="FB307" s="43"/>
      <c r="FC307" s="43"/>
      <c r="FD307" s="43"/>
      <c r="FE307" s="43"/>
      <c r="FF307" s="43"/>
      <c r="FG307" s="43"/>
      <c r="FH307" s="43"/>
      <c r="FI307" s="43"/>
      <c r="FJ307" s="43"/>
      <c r="FK307" s="43"/>
      <c r="FL307" s="43"/>
      <c r="FM307" s="43"/>
      <c r="FN307" s="43"/>
      <c r="FO307" s="43"/>
      <c r="FP307" s="43"/>
      <c r="FQ307" s="43"/>
      <c r="FR307" s="43"/>
      <c r="FS307" s="43"/>
      <c r="FT307" s="43"/>
      <c r="FU307" s="43"/>
      <c r="FV307" s="43"/>
      <c r="FW307" s="43"/>
      <c r="FX307" s="43"/>
      <c r="FY307" s="43"/>
      <c r="FZ307" s="43"/>
      <c r="GA307" s="43"/>
      <c r="GB307" s="43"/>
      <c r="GC307" s="43"/>
      <c r="GD307" s="43"/>
      <c r="GE307" s="43"/>
      <c r="GF307" s="43"/>
      <c r="GG307" s="43"/>
      <c r="GH307" s="43"/>
      <c r="GI307" s="43"/>
      <c r="GJ307" s="43"/>
      <c r="GK307" s="43"/>
      <c r="GL307" s="43"/>
      <c r="GM307" s="43"/>
      <c r="GN307" s="43"/>
      <c r="GO307" s="43"/>
      <c r="GP307" s="43"/>
      <c r="GQ307" s="43"/>
      <c r="GR307" s="43"/>
      <c r="GS307" s="43"/>
      <c r="GT307" s="43"/>
      <c r="GU307" s="43"/>
      <c r="GV307" s="43"/>
      <c r="GW307" s="43"/>
      <c r="GX307" s="43"/>
      <c r="GY307" s="43"/>
      <c r="GZ307" s="43"/>
      <c r="HA307" s="43"/>
      <c r="HB307" s="43"/>
      <c r="HC307" s="43"/>
      <c r="HD307" s="43"/>
      <c r="HE307" s="43"/>
      <c r="HF307" s="43"/>
      <c r="HG307" s="43"/>
      <c r="HH307" s="43"/>
      <c r="HI307" s="43"/>
      <c r="HJ307" s="43"/>
      <c r="HK307" s="43"/>
      <c r="HL307" s="43"/>
      <c r="HM307" s="43"/>
      <c r="HN307" s="43"/>
      <c r="HO307" s="43"/>
      <c r="HP307" s="43"/>
      <c r="HQ307" s="43"/>
      <c r="HR307" s="43"/>
      <c r="HS307" s="43"/>
      <c r="HT307" s="43"/>
    </row>
    <row r="308" spans="1:228" s="62" customFormat="1" ht="37.5">
      <c r="A308" s="63" t="s">
        <v>258</v>
      </c>
      <c r="B308" s="55" t="s">
        <v>124</v>
      </c>
      <c r="C308" s="65">
        <v>470000000</v>
      </c>
      <c r="D308" s="79"/>
      <c r="E308" s="118"/>
      <c r="F308" s="118"/>
      <c r="G308" s="115"/>
      <c r="H308" s="115"/>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row>
    <row r="309" spans="1:228" s="62" customFormat="1">
      <c r="A309" s="63" t="s">
        <v>258</v>
      </c>
      <c r="B309" s="55" t="s">
        <v>125</v>
      </c>
      <c r="C309" s="65">
        <v>535000000</v>
      </c>
      <c r="D309" s="79"/>
      <c r="E309" s="118"/>
      <c r="F309" s="118"/>
      <c r="G309" s="115"/>
      <c r="H309" s="115"/>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row>
    <row r="310" spans="1:228">
      <c r="A310" s="63" t="s">
        <v>258</v>
      </c>
      <c r="B310" s="55" t="s">
        <v>380</v>
      </c>
      <c r="C310" s="65">
        <v>1100000000</v>
      </c>
      <c r="D310" s="79"/>
      <c r="E310" s="118"/>
      <c r="F310" s="118"/>
      <c r="G310" s="115"/>
      <c r="H310" s="115"/>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62"/>
      <c r="HN310" s="62"/>
      <c r="HO310" s="62"/>
      <c r="HP310" s="62"/>
      <c r="HQ310" s="62"/>
      <c r="HR310" s="62"/>
      <c r="HS310" s="62"/>
      <c r="HT310" s="62"/>
    </row>
    <row r="311" spans="1:228">
      <c r="A311" s="72" t="s">
        <v>261</v>
      </c>
      <c r="B311" s="105" t="s">
        <v>262</v>
      </c>
      <c r="C311" s="188">
        <v>197800000</v>
      </c>
      <c r="D311" s="76"/>
      <c r="E311" s="189"/>
      <c r="F311" s="189"/>
      <c r="G311" s="114"/>
      <c r="H311" s="114"/>
    </row>
    <row r="312" spans="1:228">
      <c r="A312" s="89"/>
      <c r="B312" s="90" t="s">
        <v>263</v>
      </c>
      <c r="C312" s="65">
        <v>197800000</v>
      </c>
      <c r="D312" s="79"/>
      <c r="E312" s="118"/>
      <c r="F312" s="118"/>
      <c r="G312" s="114"/>
      <c r="H312" s="114"/>
    </row>
    <row r="313" spans="1:228" s="29" customFormat="1">
      <c r="A313" s="32">
        <v>2</v>
      </c>
      <c r="B313" s="41" t="s">
        <v>200</v>
      </c>
      <c r="C313" s="37">
        <v>1021000000</v>
      </c>
      <c r="D313" s="38"/>
      <c r="E313" s="123"/>
      <c r="F313" s="123"/>
      <c r="G313" s="126"/>
      <c r="H313" s="126"/>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row>
    <row r="314" spans="1:228" s="61" customFormat="1">
      <c r="A314" s="72" t="s">
        <v>222</v>
      </c>
      <c r="B314" s="105" t="s">
        <v>252</v>
      </c>
      <c r="C314" s="107">
        <v>290000000</v>
      </c>
      <c r="D314" s="76"/>
      <c r="E314" s="145"/>
      <c r="F314" s="145"/>
      <c r="G314" s="117"/>
      <c r="H314" s="11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row>
    <row r="315" spans="1:228" s="47" customFormat="1" ht="37.5">
      <c r="A315" s="109" t="s">
        <v>248</v>
      </c>
      <c r="B315" s="110" t="s">
        <v>377</v>
      </c>
      <c r="C315" s="91">
        <v>236000000</v>
      </c>
      <c r="D315" s="79"/>
      <c r="E315" s="127"/>
      <c r="F315" s="127"/>
      <c r="G315" s="127"/>
      <c r="H315" s="127"/>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c r="CZ315" s="88"/>
      <c r="DA315" s="88"/>
      <c r="DB315" s="88"/>
      <c r="DC315" s="88"/>
      <c r="DD315" s="88"/>
      <c r="DE315" s="88"/>
      <c r="DF315" s="88"/>
      <c r="DG315" s="88"/>
      <c r="DH315" s="88"/>
      <c r="DI315" s="88"/>
      <c r="DJ315" s="88"/>
      <c r="DK315" s="88"/>
      <c r="DL315" s="88"/>
      <c r="DM315" s="88"/>
      <c r="DN315" s="88"/>
      <c r="DO315" s="88"/>
      <c r="DP315" s="88"/>
      <c r="DQ315" s="88"/>
      <c r="DR315" s="88"/>
      <c r="DS315" s="88"/>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8"/>
      <c r="EU315" s="88"/>
      <c r="EV315" s="88"/>
      <c r="EW315" s="88"/>
      <c r="EX315" s="88"/>
      <c r="EY315" s="88"/>
      <c r="EZ315" s="88"/>
      <c r="FA315" s="88"/>
      <c r="FB315" s="88"/>
      <c r="FC315" s="88"/>
      <c r="FD315" s="88"/>
      <c r="FE315" s="88"/>
      <c r="FF315" s="88"/>
      <c r="FG315" s="88"/>
      <c r="FH315" s="88"/>
      <c r="FI315" s="88"/>
      <c r="FJ315" s="88"/>
      <c r="FK315" s="88"/>
      <c r="FL315" s="88"/>
      <c r="FM315" s="88"/>
      <c r="FN315" s="88"/>
      <c r="FO315" s="88"/>
      <c r="FP315" s="88"/>
      <c r="FQ315" s="88"/>
      <c r="FR315" s="88"/>
      <c r="FS315" s="88"/>
      <c r="FT315" s="88"/>
      <c r="FU315" s="88"/>
      <c r="FV315" s="88"/>
      <c r="FW315" s="88"/>
      <c r="FX315" s="88"/>
      <c r="FY315" s="88"/>
      <c r="FZ315" s="88"/>
      <c r="GA315" s="88"/>
      <c r="GB315" s="88"/>
      <c r="GC315" s="88"/>
      <c r="GD315" s="88"/>
      <c r="GE315" s="88"/>
      <c r="GF315" s="88"/>
      <c r="GG315" s="88"/>
      <c r="GH315" s="88"/>
      <c r="GI315" s="88"/>
      <c r="GJ315" s="88"/>
      <c r="GK315" s="88"/>
      <c r="GL315" s="88"/>
      <c r="GM315" s="88"/>
      <c r="GN315" s="88"/>
      <c r="GO315" s="88"/>
      <c r="GP315" s="88"/>
      <c r="GQ315" s="88"/>
      <c r="GR315" s="88"/>
      <c r="GS315" s="88"/>
      <c r="GT315" s="88"/>
      <c r="GU315" s="88"/>
      <c r="GV315" s="88"/>
      <c r="GW315" s="88"/>
      <c r="GX315" s="88"/>
      <c r="GY315" s="88"/>
      <c r="GZ315" s="88"/>
      <c r="HA315" s="88"/>
      <c r="HB315" s="88"/>
      <c r="HC315" s="88"/>
      <c r="HD315" s="88"/>
      <c r="HE315" s="88"/>
      <c r="HF315" s="88"/>
      <c r="HG315" s="88"/>
      <c r="HH315" s="88"/>
      <c r="HI315" s="88"/>
      <c r="HJ315" s="88"/>
      <c r="HK315" s="88"/>
      <c r="HL315" s="88"/>
      <c r="HM315" s="88"/>
      <c r="HN315" s="88"/>
      <c r="HO315" s="88"/>
      <c r="HP315" s="88"/>
      <c r="HQ315" s="88"/>
      <c r="HR315" s="88"/>
      <c r="HS315" s="88"/>
      <c r="HT315" s="88"/>
    </row>
    <row r="316" spans="1:228" s="61" customFormat="1">
      <c r="A316" s="109" t="s">
        <v>248</v>
      </c>
      <c r="B316" s="110" t="s">
        <v>256</v>
      </c>
      <c r="C316" s="91">
        <v>54000000</v>
      </c>
      <c r="D316" s="79"/>
      <c r="E316" s="127"/>
      <c r="F316" s="127"/>
      <c r="G316" s="127"/>
      <c r="H316" s="1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row>
    <row r="317" spans="1:228">
      <c r="A317" s="31" t="s">
        <v>225</v>
      </c>
      <c r="B317" s="101" t="s">
        <v>257</v>
      </c>
      <c r="C317" s="102">
        <v>731000000</v>
      </c>
      <c r="D317" s="38"/>
      <c r="E317" s="116"/>
      <c r="F317" s="116"/>
      <c r="G317" s="117"/>
      <c r="H317" s="117"/>
    </row>
    <row r="318" spans="1:228">
      <c r="A318" s="63" t="s">
        <v>258</v>
      </c>
      <c r="B318" s="48" t="s">
        <v>130</v>
      </c>
      <c r="C318" s="65">
        <v>25000000</v>
      </c>
      <c r="D318" s="79"/>
      <c r="E318" s="118"/>
      <c r="F318" s="118"/>
      <c r="G318" s="115"/>
      <c r="H318" s="115"/>
    </row>
    <row r="319" spans="1:228">
      <c r="A319" s="63" t="s">
        <v>258</v>
      </c>
      <c r="B319" s="48" t="s">
        <v>131</v>
      </c>
      <c r="C319" s="65">
        <v>15000000</v>
      </c>
      <c r="D319" s="79"/>
      <c r="E319" s="118"/>
      <c r="F319" s="118"/>
      <c r="G319" s="115"/>
      <c r="H319" s="115"/>
    </row>
    <row r="320" spans="1:228">
      <c r="A320" s="63" t="s">
        <v>258</v>
      </c>
      <c r="B320" s="48" t="s">
        <v>132</v>
      </c>
      <c r="C320" s="65">
        <v>30000000</v>
      </c>
      <c r="D320" s="79"/>
      <c r="E320" s="118"/>
      <c r="F320" s="118"/>
      <c r="G320" s="115"/>
      <c r="H320" s="115"/>
    </row>
    <row r="321" spans="1:228" ht="37.5">
      <c r="A321" s="63" t="s">
        <v>258</v>
      </c>
      <c r="B321" s="48" t="s">
        <v>133</v>
      </c>
      <c r="C321" s="65">
        <v>54000000</v>
      </c>
      <c r="D321" s="79"/>
      <c r="E321" s="118"/>
      <c r="F321" s="118"/>
      <c r="G321" s="115"/>
      <c r="H321" s="115"/>
    </row>
    <row r="322" spans="1:228">
      <c r="A322" s="63" t="s">
        <v>258</v>
      </c>
      <c r="B322" s="48" t="s">
        <v>134</v>
      </c>
      <c r="C322" s="65">
        <v>140000000</v>
      </c>
      <c r="D322" s="79"/>
      <c r="E322" s="118"/>
      <c r="F322" s="118"/>
      <c r="G322" s="115"/>
      <c r="H322" s="115"/>
    </row>
    <row r="323" spans="1:228" s="88" customFormat="1" ht="37.5">
      <c r="A323" s="63" t="s">
        <v>258</v>
      </c>
      <c r="B323" s="48" t="s">
        <v>381</v>
      </c>
      <c r="C323" s="65">
        <v>40000000</v>
      </c>
      <c r="D323" s="79"/>
      <c r="E323" s="118"/>
      <c r="F323" s="118"/>
      <c r="G323" s="115"/>
      <c r="H323" s="115"/>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row>
    <row r="324" spans="1:228" s="88" customFormat="1" ht="19.5">
      <c r="A324" s="63" t="s">
        <v>258</v>
      </c>
      <c r="B324" s="48" t="s">
        <v>135</v>
      </c>
      <c r="C324" s="65">
        <v>70000000</v>
      </c>
      <c r="D324" s="79"/>
      <c r="E324" s="118"/>
      <c r="F324" s="118"/>
      <c r="G324" s="115"/>
      <c r="H324" s="115"/>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row>
    <row r="325" spans="1:228" s="88" customFormat="1" ht="19.5">
      <c r="A325" s="63" t="s">
        <v>258</v>
      </c>
      <c r="B325" s="48" t="s">
        <v>136</v>
      </c>
      <c r="C325" s="65">
        <v>15000000</v>
      </c>
      <c r="D325" s="79"/>
      <c r="E325" s="118"/>
      <c r="F325" s="118"/>
      <c r="G325" s="115"/>
      <c r="H325" s="115"/>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row>
    <row r="326" spans="1:228" s="88" customFormat="1" ht="19.5">
      <c r="A326" s="63" t="s">
        <v>258</v>
      </c>
      <c r="B326" s="48" t="s">
        <v>137</v>
      </c>
      <c r="C326" s="65">
        <v>320000000</v>
      </c>
      <c r="D326" s="79"/>
      <c r="E326" s="118"/>
      <c r="F326" s="118"/>
      <c r="G326" s="115"/>
      <c r="H326" s="115"/>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row>
    <row r="327" spans="1:228" s="88" customFormat="1" ht="19.5">
      <c r="A327" s="63" t="s">
        <v>258</v>
      </c>
      <c r="B327" s="48" t="s">
        <v>138</v>
      </c>
      <c r="C327" s="65">
        <v>22000000</v>
      </c>
      <c r="D327" s="79"/>
      <c r="E327" s="118"/>
      <c r="F327" s="118"/>
      <c r="G327" s="115"/>
      <c r="H327" s="115"/>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row>
    <row r="328" spans="1:228" s="88" customFormat="1" ht="19.5">
      <c r="A328" s="72" t="s">
        <v>261</v>
      </c>
      <c r="B328" s="105" t="s">
        <v>262</v>
      </c>
      <c r="C328" s="107">
        <v>77000000</v>
      </c>
      <c r="D328" s="76"/>
      <c r="E328" s="145"/>
      <c r="F328" s="145"/>
      <c r="G328" s="127"/>
      <c r="H328" s="1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row>
    <row r="329" spans="1:228" s="88" customFormat="1" ht="19.5">
      <c r="A329" s="89"/>
      <c r="B329" s="90" t="s">
        <v>263</v>
      </c>
      <c r="C329" s="65">
        <v>77000000</v>
      </c>
      <c r="D329" s="79"/>
      <c r="E329" s="118"/>
      <c r="F329" s="118"/>
      <c r="G329" s="114"/>
      <c r="H329" s="114"/>
    </row>
    <row r="330" spans="1:228" s="61" customFormat="1">
      <c r="A330" s="32">
        <v>3</v>
      </c>
      <c r="B330" s="41" t="s">
        <v>201</v>
      </c>
      <c r="C330" s="42">
        <v>1802000000</v>
      </c>
      <c r="D330" s="56"/>
      <c r="E330" s="119"/>
      <c r="F330" s="119"/>
      <c r="G330" s="126"/>
      <c r="H330" s="126"/>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62"/>
      <c r="HN330" s="62"/>
      <c r="HO330" s="62"/>
      <c r="HP330" s="62"/>
      <c r="HQ330" s="62"/>
      <c r="HR330" s="62"/>
      <c r="HS330" s="62"/>
      <c r="HT330" s="62"/>
    </row>
    <row r="331" spans="1:228" s="47" customFormat="1" ht="19.5">
      <c r="A331" s="31" t="s">
        <v>222</v>
      </c>
      <c r="B331" s="101" t="s">
        <v>252</v>
      </c>
      <c r="C331" s="102">
        <v>484000000</v>
      </c>
      <c r="D331" s="38"/>
      <c r="E331" s="116"/>
      <c r="F331" s="116"/>
      <c r="G331" s="117"/>
      <c r="H331" s="117"/>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c r="BF331" s="88"/>
      <c r="BG331" s="88"/>
      <c r="BH331" s="88"/>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c r="CM331" s="88"/>
      <c r="CN331" s="88"/>
      <c r="CO331" s="88"/>
      <c r="CP331" s="88"/>
      <c r="CQ331" s="88"/>
      <c r="CR331" s="88"/>
      <c r="CS331" s="88"/>
      <c r="CT331" s="88"/>
      <c r="CU331" s="88"/>
      <c r="CV331" s="88"/>
      <c r="CW331" s="88"/>
      <c r="CX331" s="88"/>
      <c r="CY331" s="88"/>
      <c r="CZ331" s="88"/>
      <c r="DA331" s="88"/>
      <c r="DB331" s="88"/>
      <c r="DC331" s="88"/>
      <c r="DD331" s="88"/>
      <c r="DE331" s="88"/>
      <c r="DF331" s="88"/>
      <c r="DG331" s="88"/>
      <c r="DH331" s="88"/>
      <c r="DI331" s="88"/>
      <c r="DJ331" s="88"/>
      <c r="DK331" s="88"/>
      <c r="DL331" s="88"/>
      <c r="DM331" s="88"/>
      <c r="DN331" s="88"/>
      <c r="DO331" s="88"/>
      <c r="DP331" s="88"/>
      <c r="DQ331" s="88"/>
      <c r="DR331" s="88"/>
      <c r="DS331" s="88"/>
      <c r="DT331" s="88"/>
      <c r="DU331" s="88"/>
      <c r="DV331" s="88"/>
      <c r="DW331" s="88"/>
      <c r="DX331" s="88"/>
      <c r="DY331" s="88"/>
      <c r="DZ331" s="88"/>
      <c r="EA331" s="88"/>
      <c r="EB331" s="88"/>
      <c r="EC331" s="88"/>
      <c r="ED331" s="88"/>
      <c r="EE331" s="88"/>
      <c r="EF331" s="88"/>
      <c r="EG331" s="88"/>
      <c r="EH331" s="88"/>
      <c r="EI331" s="88"/>
      <c r="EJ331" s="88"/>
      <c r="EK331" s="88"/>
      <c r="EL331" s="88"/>
      <c r="EM331" s="88"/>
      <c r="EN331" s="88"/>
      <c r="EO331" s="88"/>
      <c r="EP331" s="88"/>
      <c r="EQ331" s="88"/>
      <c r="ER331" s="88"/>
      <c r="ES331" s="88"/>
      <c r="ET331" s="88"/>
      <c r="EU331" s="88"/>
      <c r="EV331" s="88"/>
      <c r="EW331" s="88"/>
      <c r="EX331" s="88"/>
      <c r="EY331" s="88"/>
      <c r="EZ331" s="88"/>
      <c r="FA331" s="88"/>
      <c r="FB331" s="88"/>
      <c r="FC331" s="88"/>
      <c r="FD331" s="88"/>
      <c r="FE331" s="88"/>
      <c r="FF331" s="88"/>
      <c r="FG331" s="88"/>
      <c r="FH331" s="88"/>
      <c r="FI331" s="88"/>
      <c r="FJ331" s="88"/>
      <c r="FK331" s="88"/>
      <c r="FL331" s="88"/>
      <c r="FM331" s="88"/>
      <c r="FN331" s="88"/>
      <c r="FO331" s="88"/>
      <c r="FP331" s="88"/>
      <c r="FQ331" s="88"/>
      <c r="FR331" s="88"/>
      <c r="FS331" s="88"/>
      <c r="FT331" s="88"/>
      <c r="FU331" s="88"/>
      <c r="FV331" s="88"/>
      <c r="FW331" s="88"/>
      <c r="FX331" s="88"/>
      <c r="FY331" s="88"/>
      <c r="FZ331" s="88"/>
      <c r="GA331" s="88"/>
      <c r="GB331" s="88"/>
      <c r="GC331" s="88"/>
      <c r="GD331" s="88"/>
      <c r="GE331" s="88"/>
      <c r="GF331" s="88"/>
      <c r="GG331" s="88"/>
      <c r="GH331" s="88"/>
      <c r="GI331" s="88"/>
      <c r="GJ331" s="88"/>
      <c r="GK331" s="88"/>
      <c r="GL331" s="88"/>
      <c r="GM331" s="88"/>
      <c r="GN331" s="88"/>
      <c r="GO331" s="88"/>
      <c r="GP331" s="88"/>
      <c r="GQ331" s="88"/>
      <c r="GR331" s="88"/>
      <c r="GS331" s="88"/>
      <c r="GT331" s="88"/>
      <c r="GU331" s="88"/>
      <c r="GV331" s="88"/>
      <c r="GW331" s="88"/>
      <c r="GX331" s="88"/>
      <c r="GY331" s="88"/>
      <c r="GZ331" s="88"/>
      <c r="HA331" s="88"/>
      <c r="HB331" s="88"/>
      <c r="HC331" s="88"/>
      <c r="HD331" s="88"/>
      <c r="HE331" s="88"/>
      <c r="HF331" s="88"/>
      <c r="HG331" s="88"/>
      <c r="HH331" s="88"/>
      <c r="HI331" s="88"/>
      <c r="HJ331" s="88"/>
      <c r="HK331" s="88"/>
      <c r="HL331" s="88"/>
      <c r="HM331" s="88"/>
      <c r="HN331" s="88"/>
      <c r="HO331" s="88"/>
      <c r="HP331" s="88"/>
      <c r="HQ331" s="88"/>
      <c r="HR331" s="88"/>
      <c r="HS331" s="88"/>
      <c r="HT331" s="88"/>
    </row>
    <row r="332" spans="1:228" s="61" customFormat="1">
      <c r="A332" s="72" t="s">
        <v>192</v>
      </c>
      <c r="B332" s="105" t="s">
        <v>292</v>
      </c>
      <c r="C332" s="91">
        <v>484000000</v>
      </c>
      <c r="D332" s="79"/>
      <c r="E332" s="127"/>
      <c r="F332" s="127"/>
      <c r="G332" s="127"/>
      <c r="H332" s="127"/>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W332" s="62"/>
      <c r="GX332" s="62"/>
      <c r="GY332" s="62"/>
      <c r="GZ332" s="62"/>
      <c r="HA332" s="62"/>
      <c r="HB332" s="62"/>
      <c r="HC332" s="62"/>
      <c r="HD332" s="62"/>
      <c r="HE332" s="62"/>
      <c r="HF332" s="62"/>
      <c r="HG332" s="62"/>
      <c r="HH332" s="62"/>
      <c r="HI332" s="62"/>
      <c r="HJ332" s="62"/>
      <c r="HK332" s="62"/>
      <c r="HL332" s="62"/>
      <c r="HM332" s="62"/>
      <c r="HN332" s="62"/>
      <c r="HO332" s="62"/>
      <c r="HP332" s="62"/>
      <c r="HQ332" s="62"/>
      <c r="HR332" s="62"/>
      <c r="HS332" s="62"/>
      <c r="HT332" s="62"/>
    </row>
    <row r="333" spans="1:228" s="47" customFormat="1" ht="37.5">
      <c r="A333" s="109" t="s">
        <v>248</v>
      </c>
      <c r="B333" s="110" t="s">
        <v>377</v>
      </c>
      <c r="C333" s="91">
        <v>376000000</v>
      </c>
      <c r="D333" s="79"/>
      <c r="E333" s="127"/>
      <c r="F333" s="127"/>
      <c r="G333" s="127"/>
      <c r="H333" s="127"/>
      <c r="I333" s="88"/>
      <c r="J333" s="88"/>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c r="CZ333" s="88"/>
      <c r="DA333" s="88"/>
      <c r="DB333" s="88"/>
      <c r="DC333" s="88"/>
      <c r="DD333" s="88"/>
      <c r="DE333" s="88"/>
      <c r="DF333" s="88"/>
      <c r="DG333" s="88"/>
      <c r="DH333" s="88"/>
      <c r="DI333" s="88"/>
      <c r="DJ333" s="88"/>
      <c r="DK333" s="88"/>
      <c r="DL333" s="88"/>
      <c r="DM333" s="88"/>
      <c r="DN333" s="88"/>
      <c r="DO333" s="88"/>
      <c r="DP333" s="88"/>
      <c r="DQ333" s="88"/>
      <c r="DR333" s="88"/>
      <c r="DS333" s="88"/>
      <c r="DT333" s="88"/>
      <c r="DU333" s="88"/>
      <c r="DV333" s="88"/>
      <c r="DW333" s="88"/>
      <c r="DX333" s="88"/>
      <c r="DY333" s="88"/>
      <c r="DZ333" s="88"/>
      <c r="EA333" s="88"/>
      <c r="EB333" s="88"/>
      <c r="EC333" s="88"/>
      <c r="ED333" s="88"/>
      <c r="EE333" s="88"/>
      <c r="EF333" s="88"/>
      <c r="EG333" s="88"/>
      <c r="EH333" s="88"/>
      <c r="EI333" s="88"/>
      <c r="EJ333" s="88"/>
      <c r="EK333" s="88"/>
      <c r="EL333" s="88"/>
      <c r="EM333" s="88"/>
      <c r="EN333" s="88"/>
      <c r="EO333" s="88"/>
      <c r="EP333" s="88"/>
      <c r="EQ333" s="88"/>
      <c r="ER333" s="88"/>
      <c r="ES333" s="88"/>
      <c r="ET333" s="88"/>
      <c r="EU333" s="88"/>
      <c r="EV333" s="88"/>
      <c r="EW333" s="88"/>
      <c r="EX333" s="88"/>
      <c r="EY333" s="88"/>
      <c r="EZ333" s="88"/>
      <c r="FA333" s="88"/>
      <c r="FB333" s="88"/>
      <c r="FC333" s="88"/>
      <c r="FD333" s="88"/>
      <c r="FE333" s="88"/>
      <c r="FF333" s="88"/>
      <c r="FG333" s="88"/>
      <c r="FH333" s="88"/>
      <c r="FI333" s="88"/>
      <c r="FJ333" s="88"/>
      <c r="FK333" s="88"/>
      <c r="FL333" s="88"/>
      <c r="FM333" s="88"/>
      <c r="FN333" s="88"/>
      <c r="FO333" s="88"/>
      <c r="FP333" s="88"/>
      <c r="FQ333" s="88"/>
      <c r="FR333" s="88"/>
      <c r="FS333" s="88"/>
      <c r="FT333" s="88"/>
      <c r="FU333" s="88"/>
      <c r="FV333" s="88"/>
      <c r="FW333" s="88"/>
      <c r="FX333" s="88"/>
      <c r="FY333" s="88"/>
      <c r="FZ333" s="88"/>
      <c r="GA333" s="88"/>
      <c r="GB333" s="88"/>
      <c r="GC333" s="88"/>
      <c r="GD333" s="88"/>
      <c r="GE333" s="88"/>
      <c r="GF333" s="88"/>
      <c r="GG333" s="88"/>
      <c r="GH333" s="88"/>
      <c r="GI333" s="88"/>
      <c r="GJ333" s="88"/>
      <c r="GK333" s="88"/>
      <c r="GL333" s="88"/>
      <c r="GM333" s="88"/>
      <c r="GN333" s="88"/>
      <c r="GO333" s="88"/>
      <c r="GP333" s="88"/>
      <c r="GQ333" s="88"/>
      <c r="GR333" s="88"/>
      <c r="GS333" s="88"/>
      <c r="GT333" s="88"/>
      <c r="GU333" s="88"/>
      <c r="GV333" s="88"/>
      <c r="GW333" s="88"/>
      <c r="GX333" s="88"/>
      <c r="GY333" s="88"/>
      <c r="GZ333" s="88"/>
      <c r="HA333" s="88"/>
      <c r="HB333" s="88"/>
      <c r="HC333" s="88"/>
      <c r="HD333" s="88"/>
      <c r="HE333" s="88"/>
      <c r="HF333" s="88"/>
      <c r="HG333" s="88"/>
      <c r="HH333" s="88"/>
      <c r="HI333" s="88"/>
      <c r="HJ333" s="88"/>
      <c r="HK333" s="88"/>
      <c r="HL333" s="88"/>
      <c r="HM333" s="88"/>
      <c r="HN333" s="88"/>
      <c r="HO333" s="88"/>
      <c r="HP333" s="88"/>
      <c r="HQ333" s="88"/>
      <c r="HR333" s="88"/>
      <c r="HS333" s="88"/>
      <c r="HT333" s="88"/>
    </row>
    <row r="334" spans="1:228" s="29" customFormat="1">
      <c r="A334" s="109" t="s">
        <v>248</v>
      </c>
      <c r="B334" s="110" t="s">
        <v>256</v>
      </c>
      <c r="C334" s="91">
        <v>108000000</v>
      </c>
      <c r="D334" s="79"/>
      <c r="E334" s="127"/>
      <c r="F334" s="127"/>
      <c r="G334" s="127"/>
      <c r="H334" s="1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row>
    <row r="335" spans="1:228" s="62" customFormat="1" ht="19.5">
      <c r="A335" s="31" t="s">
        <v>225</v>
      </c>
      <c r="B335" s="101" t="s">
        <v>257</v>
      </c>
      <c r="C335" s="102">
        <v>1318000000</v>
      </c>
      <c r="D335" s="38"/>
      <c r="E335" s="116"/>
      <c r="F335" s="116"/>
      <c r="G335" s="131"/>
      <c r="H335" s="13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row>
    <row r="336" spans="1:228" s="62" customFormat="1" ht="37.5">
      <c r="A336" s="106" t="s">
        <v>91</v>
      </c>
      <c r="B336" s="48" t="s">
        <v>144</v>
      </c>
      <c r="C336" s="74">
        <v>540000000</v>
      </c>
      <c r="D336" s="50"/>
      <c r="E336" s="114"/>
      <c r="F336" s="114"/>
      <c r="G336" s="190"/>
      <c r="H336" s="190"/>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c r="HS336" s="61"/>
      <c r="HT336" s="61"/>
    </row>
    <row r="337" spans="1:228" s="62" customFormat="1">
      <c r="A337" s="106" t="s">
        <v>91</v>
      </c>
      <c r="B337" s="48" t="s">
        <v>145</v>
      </c>
      <c r="C337" s="74">
        <v>7000000</v>
      </c>
      <c r="D337" s="50"/>
      <c r="E337" s="114"/>
      <c r="F337" s="114"/>
      <c r="G337" s="114"/>
      <c r="H337" s="114"/>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61"/>
      <c r="GQ337" s="61"/>
      <c r="GR337" s="61"/>
      <c r="GS337" s="61"/>
      <c r="GT337" s="61"/>
      <c r="GU337" s="61"/>
      <c r="GV337" s="61"/>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c r="HS337" s="61"/>
      <c r="HT337" s="61"/>
    </row>
    <row r="338" spans="1:228" s="191" customFormat="1" ht="56.25">
      <c r="A338" s="106" t="s">
        <v>91</v>
      </c>
      <c r="B338" s="48" t="s">
        <v>146</v>
      </c>
      <c r="C338" s="74">
        <v>22000000</v>
      </c>
      <c r="D338" s="50"/>
      <c r="E338" s="114"/>
      <c r="F338" s="114"/>
      <c r="G338" s="127"/>
      <c r="H338" s="127"/>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W338" s="62"/>
      <c r="GX338" s="62"/>
      <c r="GY338" s="62"/>
      <c r="GZ338" s="62"/>
      <c r="HA338" s="62"/>
      <c r="HB338" s="62"/>
      <c r="HC338" s="62"/>
      <c r="HD338" s="62"/>
      <c r="HE338" s="62"/>
      <c r="HF338" s="62"/>
      <c r="HG338" s="62"/>
      <c r="HH338" s="62"/>
      <c r="HI338" s="62"/>
      <c r="HJ338" s="62"/>
      <c r="HK338" s="62"/>
      <c r="HL338" s="62"/>
      <c r="HM338" s="62"/>
      <c r="HN338" s="62"/>
      <c r="HO338" s="62"/>
      <c r="HP338" s="62"/>
      <c r="HQ338" s="62"/>
      <c r="HR338" s="62"/>
      <c r="HS338" s="62"/>
      <c r="HT338" s="62"/>
    </row>
    <row r="339" spans="1:228" s="29" customFormat="1" ht="37.5">
      <c r="A339" s="106" t="s">
        <v>91</v>
      </c>
      <c r="B339" s="48" t="s">
        <v>147</v>
      </c>
      <c r="C339" s="74">
        <v>20000000</v>
      </c>
      <c r="D339" s="50"/>
      <c r="E339" s="114"/>
      <c r="F339" s="114"/>
      <c r="G339" s="127"/>
      <c r="H339" s="1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row>
    <row r="340" spans="1:228">
      <c r="A340" s="106" t="s">
        <v>91</v>
      </c>
      <c r="B340" s="48" t="s">
        <v>148</v>
      </c>
      <c r="C340" s="74">
        <v>120000000</v>
      </c>
      <c r="D340" s="50"/>
      <c r="E340" s="114"/>
      <c r="F340" s="114"/>
      <c r="G340" s="127"/>
      <c r="H340" s="127"/>
    </row>
    <row r="341" spans="1:228">
      <c r="A341" s="106" t="s">
        <v>91</v>
      </c>
      <c r="B341" s="48" t="s">
        <v>149</v>
      </c>
      <c r="C341" s="74">
        <v>76000000</v>
      </c>
      <c r="D341" s="50"/>
      <c r="E341" s="114"/>
      <c r="F341" s="114"/>
      <c r="G341" s="127"/>
      <c r="H341" s="127"/>
    </row>
    <row r="342" spans="1:228">
      <c r="A342" s="106" t="s">
        <v>91</v>
      </c>
      <c r="B342" s="48" t="s">
        <v>150</v>
      </c>
      <c r="C342" s="74">
        <v>133000000</v>
      </c>
      <c r="D342" s="50"/>
      <c r="E342" s="114"/>
      <c r="F342" s="114"/>
      <c r="G342" s="127"/>
      <c r="H342" s="127"/>
    </row>
    <row r="343" spans="1:228">
      <c r="A343" s="106" t="s">
        <v>91</v>
      </c>
      <c r="B343" s="48" t="s">
        <v>151</v>
      </c>
      <c r="C343" s="74">
        <v>180000000</v>
      </c>
      <c r="D343" s="50"/>
      <c r="E343" s="114"/>
      <c r="F343" s="114"/>
      <c r="G343" s="127"/>
      <c r="H343" s="127"/>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W343" s="62"/>
      <c r="GX343" s="62"/>
      <c r="GY343" s="62"/>
      <c r="GZ343" s="62"/>
      <c r="HA343" s="62"/>
      <c r="HB343" s="62"/>
      <c r="HC343" s="62"/>
      <c r="HD343" s="62"/>
      <c r="HE343" s="62"/>
      <c r="HF343" s="62"/>
      <c r="HG343" s="62"/>
      <c r="HH343" s="62"/>
      <c r="HI343" s="62"/>
      <c r="HJ343" s="62"/>
      <c r="HK343" s="62"/>
      <c r="HL343" s="62"/>
      <c r="HM343" s="62"/>
      <c r="HN343" s="62"/>
      <c r="HO343" s="62"/>
      <c r="HP343" s="62"/>
      <c r="HQ343" s="62"/>
      <c r="HR343" s="62"/>
      <c r="HS343" s="62"/>
      <c r="HT343" s="62"/>
    </row>
    <row r="344" spans="1:228" ht="37.5">
      <c r="A344" s="106" t="s">
        <v>91</v>
      </c>
      <c r="B344" s="48" t="s">
        <v>152</v>
      </c>
      <c r="C344" s="74">
        <v>85000000</v>
      </c>
      <c r="D344" s="50"/>
      <c r="E344" s="114"/>
      <c r="F344" s="114"/>
      <c r="G344" s="127"/>
      <c r="H344" s="127"/>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W344" s="62"/>
      <c r="GX344" s="62"/>
      <c r="GY344" s="62"/>
      <c r="GZ344" s="62"/>
      <c r="HA344" s="62"/>
      <c r="HB344" s="62"/>
      <c r="HC344" s="62"/>
      <c r="HD344" s="62"/>
      <c r="HE344" s="62"/>
      <c r="HF344" s="62"/>
      <c r="HG344" s="62"/>
      <c r="HH344" s="62"/>
      <c r="HI344" s="62"/>
      <c r="HJ344" s="62"/>
      <c r="HK344" s="62"/>
      <c r="HL344" s="62"/>
      <c r="HM344" s="62"/>
      <c r="HN344" s="62"/>
      <c r="HO344" s="62"/>
      <c r="HP344" s="62"/>
      <c r="HQ344" s="62"/>
      <c r="HR344" s="62"/>
      <c r="HS344" s="62"/>
      <c r="HT344" s="62"/>
    </row>
    <row r="345" spans="1:228">
      <c r="A345" s="106" t="s">
        <v>91</v>
      </c>
      <c r="B345" s="55" t="s">
        <v>153</v>
      </c>
      <c r="C345" s="74">
        <v>15000000</v>
      </c>
      <c r="D345" s="50"/>
      <c r="E345" s="114"/>
      <c r="F345" s="114"/>
      <c r="G345" s="127"/>
      <c r="H345" s="127"/>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W345" s="62"/>
      <c r="GX345" s="62"/>
      <c r="GY345" s="62"/>
      <c r="GZ345" s="62"/>
      <c r="HA345" s="62"/>
      <c r="HB345" s="62"/>
      <c r="HC345" s="62"/>
      <c r="HD345" s="62"/>
      <c r="HE345" s="62"/>
      <c r="HF345" s="62"/>
      <c r="HG345" s="62"/>
      <c r="HH345" s="62"/>
      <c r="HI345" s="62"/>
      <c r="HJ345" s="62"/>
      <c r="HK345" s="62"/>
      <c r="HL345" s="62"/>
      <c r="HM345" s="62"/>
      <c r="HN345" s="62"/>
      <c r="HO345" s="62"/>
      <c r="HP345" s="62"/>
      <c r="HQ345" s="62"/>
      <c r="HR345" s="62"/>
      <c r="HS345" s="62"/>
      <c r="HT345" s="62"/>
    </row>
    <row r="346" spans="1:228">
      <c r="A346" s="106" t="s">
        <v>91</v>
      </c>
      <c r="B346" s="48" t="s">
        <v>154</v>
      </c>
      <c r="C346" s="74">
        <v>20000000</v>
      </c>
      <c r="D346" s="50"/>
      <c r="E346" s="114"/>
      <c r="F346" s="114"/>
      <c r="G346" s="127"/>
      <c r="H346" s="127"/>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W346" s="62"/>
      <c r="GX346" s="62"/>
      <c r="GY346" s="62"/>
      <c r="GZ346" s="62"/>
      <c r="HA346" s="62"/>
      <c r="HB346" s="62"/>
      <c r="HC346" s="62"/>
      <c r="HD346" s="62"/>
      <c r="HE346" s="62"/>
      <c r="HF346" s="62"/>
      <c r="HG346" s="62"/>
      <c r="HH346" s="62"/>
      <c r="HI346" s="62"/>
      <c r="HJ346" s="62"/>
      <c r="HK346" s="62"/>
      <c r="HL346" s="62"/>
      <c r="HM346" s="62"/>
      <c r="HN346" s="62"/>
      <c r="HO346" s="62"/>
      <c r="HP346" s="62"/>
      <c r="HQ346" s="62"/>
      <c r="HR346" s="62"/>
      <c r="HS346" s="62"/>
      <c r="HT346" s="62"/>
    </row>
    <row r="347" spans="1:228">
      <c r="A347" s="106"/>
      <c r="B347" s="48" t="s">
        <v>155</v>
      </c>
      <c r="C347" s="74">
        <v>10000000</v>
      </c>
      <c r="D347" s="50"/>
      <c r="E347" s="114"/>
      <c r="F347" s="114"/>
      <c r="G347" s="127"/>
      <c r="H347" s="127"/>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W347" s="62"/>
      <c r="GX347" s="62"/>
      <c r="GY347" s="62"/>
      <c r="GZ347" s="62"/>
      <c r="HA347" s="62"/>
      <c r="HB347" s="62"/>
      <c r="HC347" s="62"/>
      <c r="HD347" s="62"/>
      <c r="HE347" s="62"/>
      <c r="HF347" s="62"/>
      <c r="HG347" s="62"/>
      <c r="HH347" s="62"/>
      <c r="HI347" s="62"/>
      <c r="HJ347" s="62"/>
      <c r="HK347" s="62"/>
      <c r="HL347" s="62"/>
      <c r="HM347" s="62"/>
      <c r="HN347" s="62"/>
      <c r="HO347" s="62"/>
      <c r="HP347" s="62"/>
      <c r="HQ347" s="62"/>
      <c r="HR347" s="62"/>
      <c r="HS347" s="62"/>
      <c r="HT347" s="62"/>
    </row>
    <row r="348" spans="1:228" s="62" customFormat="1">
      <c r="A348" s="106" t="s">
        <v>91</v>
      </c>
      <c r="B348" s="48" t="s">
        <v>156</v>
      </c>
      <c r="C348" s="23">
        <v>90000000</v>
      </c>
      <c r="D348" s="50"/>
      <c r="E348" s="115"/>
      <c r="F348" s="115"/>
      <c r="G348" s="149"/>
      <c r="H348" s="149"/>
    </row>
    <row r="349" spans="1:228" s="71" customFormat="1" ht="19.5">
      <c r="A349" s="31" t="s">
        <v>261</v>
      </c>
      <c r="B349" s="101" t="s">
        <v>262</v>
      </c>
      <c r="C349" s="102">
        <v>141100000</v>
      </c>
      <c r="D349" s="38"/>
      <c r="E349" s="116"/>
      <c r="F349" s="116"/>
      <c r="G349" s="131"/>
      <c r="H349" s="131"/>
    </row>
    <row r="350" spans="1:228">
      <c r="A350" s="89"/>
      <c r="B350" s="90" t="s">
        <v>263</v>
      </c>
      <c r="C350" s="65">
        <v>141100000</v>
      </c>
      <c r="D350" s="79"/>
      <c r="E350" s="118"/>
      <c r="F350" s="118"/>
      <c r="G350" s="114"/>
      <c r="H350" s="114"/>
    </row>
    <row r="351" spans="1:228" s="62" customFormat="1">
      <c r="A351" s="32">
        <v>4</v>
      </c>
      <c r="B351" s="41" t="s">
        <v>203</v>
      </c>
      <c r="C351" s="37">
        <v>3264000000</v>
      </c>
      <c r="D351" s="38"/>
      <c r="E351" s="123"/>
      <c r="F351" s="123"/>
      <c r="G351" s="126"/>
      <c r="H351" s="126"/>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row>
    <row r="352" spans="1:228" s="47" customFormat="1" ht="19.5">
      <c r="A352" s="31" t="s">
        <v>222</v>
      </c>
      <c r="B352" s="101" t="s">
        <v>252</v>
      </c>
      <c r="C352" s="192">
        <v>1411000000</v>
      </c>
      <c r="D352" s="85"/>
      <c r="E352" s="193"/>
      <c r="F352" s="193"/>
      <c r="G352" s="117"/>
      <c r="H352" s="117"/>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c r="DQ352" s="88"/>
      <c r="DR352" s="88"/>
      <c r="DS352" s="88"/>
      <c r="DT352" s="88"/>
      <c r="DU352" s="88"/>
      <c r="DV352" s="88"/>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8"/>
      <c r="EU352" s="88"/>
      <c r="EV352" s="88"/>
      <c r="EW352" s="88"/>
      <c r="EX352" s="88"/>
      <c r="EY352" s="88"/>
      <c r="EZ352" s="88"/>
      <c r="FA352" s="88"/>
      <c r="FB352" s="88"/>
      <c r="FC352" s="88"/>
      <c r="FD352" s="88"/>
      <c r="FE352" s="88"/>
      <c r="FF352" s="88"/>
      <c r="FG352" s="88"/>
      <c r="FH352" s="88"/>
      <c r="FI352" s="88"/>
      <c r="FJ352" s="88"/>
      <c r="FK352" s="88"/>
      <c r="FL352" s="88"/>
      <c r="FM352" s="88"/>
      <c r="FN352" s="88"/>
      <c r="FO352" s="88"/>
      <c r="FP352" s="88"/>
      <c r="FQ352" s="88"/>
      <c r="FR352" s="88"/>
      <c r="FS352" s="88"/>
      <c r="FT352" s="88"/>
      <c r="FU352" s="88"/>
      <c r="FV352" s="88"/>
      <c r="FW352" s="88"/>
      <c r="FX352" s="88"/>
      <c r="FY352" s="88"/>
      <c r="FZ352" s="88"/>
      <c r="GA352" s="88"/>
      <c r="GB352" s="88"/>
      <c r="GC352" s="88"/>
      <c r="GD352" s="88"/>
      <c r="GE352" s="88"/>
      <c r="GF352" s="88"/>
      <c r="GG352" s="88"/>
      <c r="GH352" s="88"/>
      <c r="GI352" s="88"/>
      <c r="GJ352" s="88"/>
      <c r="GK352" s="88"/>
      <c r="GL352" s="88"/>
      <c r="GM352" s="88"/>
      <c r="GN352" s="88"/>
      <c r="GO352" s="88"/>
      <c r="GP352" s="88"/>
      <c r="GQ352" s="88"/>
      <c r="GR352" s="88"/>
      <c r="GS352" s="88"/>
      <c r="GT352" s="88"/>
      <c r="GU352" s="88"/>
      <c r="GV352" s="88"/>
      <c r="GW352" s="88"/>
      <c r="GX352" s="88"/>
      <c r="GY352" s="88"/>
      <c r="GZ352" s="88"/>
      <c r="HA352" s="88"/>
      <c r="HB352" s="88"/>
      <c r="HC352" s="88"/>
      <c r="HD352" s="88"/>
      <c r="HE352" s="88"/>
      <c r="HF352" s="88"/>
      <c r="HG352" s="88"/>
      <c r="HH352" s="88"/>
      <c r="HI352" s="88"/>
      <c r="HJ352" s="88"/>
      <c r="HK352" s="88"/>
      <c r="HL352" s="88"/>
      <c r="HM352" s="88"/>
      <c r="HN352" s="88"/>
      <c r="HO352" s="88"/>
      <c r="HP352" s="88"/>
      <c r="HQ352" s="88"/>
      <c r="HR352" s="88"/>
      <c r="HS352" s="88"/>
      <c r="HT352" s="88"/>
    </row>
    <row r="353" spans="1:228" s="47" customFormat="1" ht="19.5">
      <c r="A353" s="72" t="s">
        <v>192</v>
      </c>
      <c r="B353" s="105" t="s">
        <v>292</v>
      </c>
      <c r="C353" s="74">
        <v>1411000000</v>
      </c>
      <c r="D353" s="50"/>
      <c r="E353" s="114"/>
      <c r="F353" s="114"/>
      <c r="G353" s="127"/>
      <c r="H353" s="127"/>
      <c r="I353" s="88"/>
      <c r="J353" s="88"/>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c r="CZ353" s="88"/>
      <c r="DA353" s="88"/>
      <c r="DB353" s="88"/>
      <c r="DC353" s="88"/>
      <c r="DD353" s="88"/>
      <c r="DE353" s="88"/>
      <c r="DF353" s="88"/>
      <c r="DG353" s="88"/>
      <c r="DH353" s="88"/>
      <c r="DI353" s="88"/>
      <c r="DJ353" s="88"/>
      <c r="DK353" s="88"/>
      <c r="DL353" s="88"/>
      <c r="DM353" s="88"/>
      <c r="DN353" s="88"/>
      <c r="DO353" s="88"/>
      <c r="DP353" s="88"/>
      <c r="DQ353" s="88"/>
      <c r="DR353" s="88"/>
      <c r="DS353" s="88"/>
      <c r="DT353" s="88"/>
      <c r="DU353" s="88"/>
      <c r="DV353" s="88"/>
      <c r="DW353" s="88"/>
      <c r="DX353" s="88"/>
      <c r="DY353" s="88"/>
      <c r="DZ353" s="88"/>
      <c r="EA353" s="88"/>
      <c r="EB353" s="88"/>
      <c r="EC353" s="88"/>
      <c r="ED353" s="88"/>
      <c r="EE353" s="88"/>
      <c r="EF353" s="88"/>
      <c r="EG353" s="88"/>
      <c r="EH353" s="88"/>
      <c r="EI353" s="88"/>
      <c r="EJ353" s="88"/>
      <c r="EK353" s="88"/>
      <c r="EL353" s="88"/>
      <c r="EM353" s="88"/>
      <c r="EN353" s="88"/>
      <c r="EO353" s="88"/>
      <c r="EP353" s="88"/>
      <c r="EQ353" s="88"/>
      <c r="ER353" s="88"/>
      <c r="ES353" s="88"/>
      <c r="ET353" s="88"/>
      <c r="EU353" s="88"/>
      <c r="EV353" s="88"/>
      <c r="EW353" s="88"/>
      <c r="EX353" s="88"/>
      <c r="EY353" s="88"/>
      <c r="EZ353" s="88"/>
      <c r="FA353" s="88"/>
      <c r="FB353" s="88"/>
      <c r="FC353" s="88"/>
      <c r="FD353" s="88"/>
      <c r="FE353" s="88"/>
      <c r="FF353" s="88"/>
      <c r="FG353" s="88"/>
      <c r="FH353" s="88"/>
      <c r="FI353" s="88"/>
      <c r="FJ353" s="88"/>
      <c r="FK353" s="88"/>
      <c r="FL353" s="88"/>
      <c r="FM353" s="88"/>
      <c r="FN353" s="88"/>
      <c r="FO353" s="88"/>
      <c r="FP353" s="88"/>
      <c r="FQ353" s="88"/>
      <c r="FR353" s="88"/>
      <c r="FS353" s="88"/>
      <c r="FT353" s="88"/>
      <c r="FU353" s="88"/>
      <c r="FV353" s="88"/>
      <c r="FW353" s="88"/>
      <c r="FX353" s="88"/>
      <c r="FY353" s="88"/>
      <c r="FZ353" s="88"/>
      <c r="GA353" s="88"/>
      <c r="GB353" s="88"/>
      <c r="GC353" s="88"/>
      <c r="GD353" s="88"/>
      <c r="GE353" s="88"/>
      <c r="GF353" s="88"/>
      <c r="GG353" s="88"/>
      <c r="GH353" s="88"/>
      <c r="GI353" s="88"/>
      <c r="GJ353" s="88"/>
      <c r="GK353" s="88"/>
      <c r="GL353" s="88"/>
      <c r="GM353" s="88"/>
      <c r="GN353" s="88"/>
      <c r="GO353" s="88"/>
      <c r="GP353" s="88"/>
      <c r="GQ353" s="88"/>
      <c r="GR353" s="88"/>
      <c r="GS353" s="88"/>
      <c r="GT353" s="88"/>
      <c r="GU353" s="88"/>
      <c r="GV353" s="88"/>
      <c r="GW353" s="88"/>
      <c r="GX353" s="88"/>
      <c r="GY353" s="88"/>
      <c r="GZ353" s="88"/>
      <c r="HA353" s="88"/>
      <c r="HB353" s="88"/>
      <c r="HC353" s="88"/>
      <c r="HD353" s="88"/>
      <c r="HE353" s="88"/>
      <c r="HF353" s="88"/>
      <c r="HG353" s="88"/>
      <c r="HH353" s="88"/>
      <c r="HI353" s="88"/>
      <c r="HJ353" s="88"/>
      <c r="HK353" s="88"/>
      <c r="HL353" s="88"/>
      <c r="HM353" s="88"/>
      <c r="HN353" s="88"/>
      <c r="HO353" s="88"/>
      <c r="HP353" s="88"/>
      <c r="HQ353" s="88"/>
      <c r="HR353" s="88"/>
      <c r="HS353" s="88"/>
      <c r="HT353" s="88"/>
    </row>
    <row r="354" spans="1:228" s="47" customFormat="1" ht="19.5">
      <c r="A354" s="89" t="s">
        <v>258</v>
      </c>
      <c r="B354" s="48" t="s">
        <v>382</v>
      </c>
      <c r="C354" s="74">
        <v>1411000000</v>
      </c>
      <c r="D354" s="50"/>
      <c r="E354" s="114"/>
      <c r="F354" s="114"/>
      <c r="G354" s="127"/>
      <c r="H354" s="127"/>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c r="CZ354" s="88"/>
      <c r="DA354" s="88"/>
      <c r="DB354" s="88"/>
      <c r="DC354" s="88"/>
      <c r="DD354" s="88"/>
      <c r="DE354" s="88"/>
      <c r="DF354" s="88"/>
      <c r="DG354" s="88"/>
      <c r="DH354" s="88"/>
      <c r="DI354" s="88"/>
      <c r="DJ354" s="88"/>
      <c r="DK354" s="88"/>
      <c r="DL354" s="88"/>
      <c r="DM354" s="88"/>
      <c r="DN354" s="88"/>
      <c r="DO354" s="88"/>
      <c r="DP354" s="88"/>
      <c r="DQ354" s="88"/>
      <c r="DR354" s="88"/>
      <c r="DS354" s="88"/>
      <c r="DT354" s="88"/>
      <c r="DU354" s="88"/>
      <c r="DV354" s="88"/>
      <c r="DW354" s="88"/>
      <c r="DX354" s="88"/>
      <c r="DY354" s="88"/>
      <c r="DZ354" s="88"/>
      <c r="EA354" s="88"/>
      <c r="EB354" s="88"/>
      <c r="EC354" s="88"/>
      <c r="ED354" s="88"/>
      <c r="EE354" s="88"/>
      <c r="EF354" s="88"/>
      <c r="EG354" s="88"/>
      <c r="EH354" s="88"/>
      <c r="EI354" s="88"/>
      <c r="EJ354" s="88"/>
      <c r="EK354" s="88"/>
      <c r="EL354" s="88"/>
      <c r="EM354" s="88"/>
      <c r="EN354" s="88"/>
      <c r="EO354" s="88"/>
      <c r="EP354" s="88"/>
      <c r="EQ354" s="88"/>
      <c r="ER354" s="88"/>
      <c r="ES354" s="88"/>
      <c r="ET354" s="88"/>
      <c r="EU354" s="88"/>
      <c r="EV354" s="88"/>
      <c r="EW354" s="88"/>
      <c r="EX354" s="88"/>
      <c r="EY354" s="88"/>
      <c r="EZ354" s="88"/>
      <c r="FA354" s="88"/>
      <c r="FB354" s="88"/>
      <c r="FC354" s="88"/>
      <c r="FD354" s="88"/>
      <c r="FE354" s="88"/>
      <c r="FF354" s="88"/>
      <c r="FG354" s="88"/>
      <c r="FH354" s="88"/>
      <c r="FI354" s="88"/>
      <c r="FJ354" s="88"/>
      <c r="FK354" s="88"/>
      <c r="FL354" s="88"/>
      <c r="FM354" s="88"/>
      <c r="FN354" s="88"/>
      <c r="FO354" s="88"/>
      <c r="FP354" s="88"/>
      <c r="FQ354" s="88"/>
      <c r="FR354" s="88"/>
      <c r="FS354" s="88"/>
      <c r="FT354" s="88"/>
      <c r="FU354" s="88"/>
      <c r="FV354" s="88"/>
      <c r="FW354" s="88"/>
      <c r="FX354" s="88"/>
      <c r="FY354" s="88"/>
      <c r="FZ354" s="88"/>
      <c r="GA354" s="88"/>
      <c r="GB354" s="88"/>
      <c r="GC354" s="88"/>
      <c r="GD354" s="88"/>
      <c r="GE354" s="88"/>
      <c r="GF354" s="88"/>
      <c r="GG354" s="88"/>
      <c r="GH354" s="88"/>
      <c r="GI354" s="88"/>
      <c r="GJ354" s="88"/>
      <c r="GK354" s="88"/>
      <c r="GL354" s="88"/>
      <c r="GM354" s="88"/>
      <c r="GN354" s="88"/>
      <c r="GO354" s="88"/>
      <c r="GP354" s="88"/>
      <c r="GQ354" s="88"/>
      <c r="GR354" s="88"/>
      <c r="GS354" s="88"/>
      <c r="GT354" s="88"/>
      <c r="GU354" s="88"/>
      <c r="GV354" s="88"/>
      <c r="GW354" s="88"/>
      <c r="GX354" s="88"/>
      <c r="GY354" s="88"/>
      <c r="GZ354" s="88"/>
      <c r="HA354" s="88"/>
      <c r="HB354" s="88"/>
      <c r="HC354" s="88"/>
      <c r="HD354" s="88"/>
      <c r="HE354" s="88"/>
      <c r="HF354" s="88"/>
      <c r="HG354" s="88"/>
      <c r="HH354" s="88"/>
      <c r="HI354" s="88"/>
      <c r="HJ354" s="88"/>
      <c r="HK354" s="88"/>
      <c r="HL354" s="88"/>
      <c r="HM354" s="88"/>
      <c r="HN354" s="88"/>
      <c r="HO354" s="88"/>
      <c r="HP354" s="88"/>
      <c r="HQ354" s="88"/>
      <c r="HR354" s="88"/>
      <c r="HS354" s="88"/>
      <c r="HT354" s="88"/>
    </row>
    <row r="355" spans="1:228" s="47" customFormat="1" ht="37.5">
      <c r="A355" s="109" t="s">
        <v>248</v>
      </c>
      <c r="B355" s="110" t="s">
        <v>377</v>
      </c>
      <c r="C355" s="91">
        <v>1141000000</v>
      </c>
      <c r="D355" s="79"/>
      <c r="E355" s="127"/>
      <c r="F355" s="127"/>
      <c r="G355" s="127"/>
      <c r="H355" s="127"/>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c r="CM355" s="88"/>
      <c r="CN355" s="88"/>
      <c r="CO355" s="88"/>
      <c r="CP355" s="88"/>
      <c r="CQ355" s="88"/>
      <c r="CR355" s="88"/>
      <c r="CS355" s="88"/>
      <c r="CT355" s="88"/>
      <c r="CU355" s="88"/>
      <c r="CV355" s="88"/>
      <c r="CW355" s="88"/>
      <c r="CX355" s="88"/>
      <c r="CY355" s="88"/>
      <c r="CZ355" s="88"/>
      <c r="DA355" s="88"/>
      <c r="DB355" s="88"/>
      <c r="DC355" s="88"/>
      <c r="DD355" s="88"/>
      <c r="DE355" s="88"/>
      <c r="DF355" s="88"/>
      <c r="DG355" s="88"/>
      <c r="DH355" s="88"/>
      <c r="DI355" s="88"/>
      <c r="DJ355" s="88"/>
      <c r="DK355" s="88"/>
      <c r="DL355" s="88"/>
      <c r="DM355" s="88"/>
      <c r="DN355" s="88"/>
      <c r="DO355" s="88"/>
      <c r="DP355" s="88"/>
      <c r="DQ355" s="88"/>
      <c r="DR355" s="88"/>
      <c r="DS355" s="88"/>
      <c r="DT355" s="88"/>
      <c r="DU355" s="88"/>
      <c r="DV355" s="88"/>
      <c r="DW355" s="88"/>
      <c r="DX355" s="88"/>
      <c r="DY355" s="88"/>
      <c r="DZ355" s="88"/>
      <c r="EA355" s="88"/>
      <c r="EB355" s="88"/>
      <c r="EC355" s="88"/>
      <c r="ED355" s="88"/>
      <c r="EE355" s="88"/>
      <c r="EF355" s="88"/>
      <c r="EG355" s="88"/>
      <c r="EH355" s="88"/>
      <c r="EI355" s="88"/>
      <c r="EJ355" s="88"/>
      <c r="EK355" s="88"/>
      <c r="EL355" s="88"/>
      <c r="EM355" s="88"/>
      <c r="EN355" s="88"/>
      <c r="EO355" s="88"/>
      <c r="EP355" s="88"/>
      <c r="EQ355" s="88"/>
      <c r="ER355" s="88"/>
      <c r="ES355" s="88"/>
      <c r="ET355" s="88"/>
      <c r="EU355" s="88"/>
      <c r="EV355" s="88"/>
      <c r="EW355" s="88"/>
      <c r="EX355" s="88"/>
      <c r="EY355" s="88"/>
      <c r="EZ355" s="88"/>
      <c r="FA355" s="88"/>
      <c r="FB355" s="88"/>
      <c r="FC355" s="88"/>
      <c r="FD355" s="88"/>
      <c r="FE355" s="88"/>
      <c r="FF355" s="88"/>
      <c r="FG355" s="88"/>
      <c r="FH355" s="88"/>
      <c r="FI355" s="88"/>
      <c r="FJ355" s="88"/>
      <c r="FK355" s="88"/>
      <c r="FL355" s="88"/>
      <c r="FM355" s="88"/>
      <c r="FN355" s="88"/>
      <c r="FO355" s="88"/>
      <c r="FP355" s="88"/>
      <c r="FQ355" s="88"/>
      <c r="FR355" s="88"/>
      <c r="FS355" s="88"/>
      <c r="FT355" s="88"/>
      <c r="FU355" s="88"/>
      <c r="FV355" s="88"/>
      <c r="FW355" s="88"/>
      <c r="FX355" s="88"/>
      <c r="FY355" s="88"/>
      <c r="FZ355" s="88"/>
      <c r="GA355" s="88"/>
      <c r="GB355" s="88"/>
      <c r="GC355" s="88"/>
      <c r="GD355" s="88"/>
      <c r="GE355" s="88"/>
      <c r="GF355" s="88"/>
      <c r="GG355" s="88"/>
      <c r="GH355" s="88"/>
      <c r="GI355" s="88"/>
      <c r="GJ355" s="88"/>
      <c r="GK355" s="88"/>
      <c r="GL355" s="88"/>
      <c r="GM355" s="88"/>
      <c r="GN355" s="88"/>
      <c r="GO355" s="88"/>
      <c r="GP355" s="88"/>
      <c r="GQ355" s="88"/>
      <c r="GR355" s="88"/>
      <c r="GS355" s="88"/>
      <c r="GT355" s="88"/>
      <c r="GU355" s="88"/>
      <c r="GV355" s="88"/>
      <c r="GW355" s="88"/>
      <c r="GX355" s="88"/>
      <c r="GY355" s="88"/>
      <c r="GZ355" s="88"/>
      <c r="HA355" s="88"/>
      <c r="HB355" s="88"/>
      <c r="HC355" s="88"/>
      <c r="HD355" s="88"/>
      <c r="HE355" s="88"/>
      <c r="HF355" s="88"/>
      <c r="HG355" s="88"/>
      <c r="HH355" s="88"/>
      <c r="HI355" s="88"/>
      <c r="HJ355" s="88"/>
      <c r="HK355" s="88"/>
      <c r="HL355" s="88"/>
      <c r="HM355" s="88"/>
      <c r="HN355" s="88"/>
      <c r="HO355" s="88"/>
      <c r="HP355" s="88"/>
      <c r="HQ355" s="88"/>
      <c r="HR355" s="88"/>
      <c r="HS355" s="88"/>
      <c r="HT355" s="88"/>
    </row>
    <row r="356" spans="1:228" s="47" customFormat="1" ht="19.5">
      <c r="A356" s="109" t="s">
        <v>248</v>
      </c>
      <c r="B356" s="110" t="s">
        <v>256</v>
      </c>
      <c r="C356" s="91">
        <v>270000000</v>
      </c>
      <c r="D356" s="79"/>
      <c r="E356" s="127"/>
      <c r="F356" s="127"/>
      <c r="G356" s="127"/>
      <c r="H356" s="127"/>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c r="CZ356" s="88"/>
      <c r="DA356" s="88"/>
      <c r="DB356" s="88"/>
      <c r="DC356" s="88"/>
      <c r="DD356" s="88"/>
      <c r="DE356" s="88"/>
      <c r="DF356" s="88"/>
      <c r="DG356" s="88"/>
      <c r="DH356" s="88"/>
      <c r="DI356" s="88"/>
      <c r="DJ356" s="88"/>
      <c r="DK356" s="88"/>
      <c r="DL356" s="88"/>
      <c r="DM356" s="88"/>
      <c r="DN356" s="88"/>
      <c r="DO356" s="88"/>
      <c r="DP356" s="88"/>
      <c r="DQ356" s="88"/>
      <c r="DR356" s="88"/>
      <c r="DS356" s="88"/>
      <c r="DT356" s="88"/>
      <c r="DU356" s="88"/>
      <c r="DV356" s="88"/>
      <c r="DW356" s="88"/>
      <c r="DX356" s="88"/>
      <c r="DY356" s="88"/>
      <c r="DZ356" s="88"/>
      <c r="EA356" s="88"/>
      <c r="EB356" s="88"/>
      <c r="EC356" s="88"/>
      <c r="ED356" s="88"/>
      <c r="EE356" s="88"/>
      <c r="EF356" s="88"/>
      <c r="EG356" s="88"/>
      <c r="EH356" s="88"/>
      <c r="EI356" s="88"/>
      <c r="EJ356" s="88"/>
      <c r="EK356" s="88"/>
      <c r="EL356" s="88"/>
      <c r="EM356" s="88"/>
      <c r="EN356" s="88"/>
      <c r="EO356" s="88"/>
      <c r="EP356" s="88"/>
      <c r="EQ356" s="88"/>
      <c r="ER356" s="88"/>
      <c r="ES356" s="88"/>
      <c r="ET356" s="88"/>
      <c r="EU356" s="88"/>
      <c r="EV356" s="88"/>
      <c r="EW356" s="88"/>
      <c r="EX356" s="88"/>
      <c r="EY356" s="88"/>
      <c r="EZ356" s="88"/>
      <c r="FA356" s="88"/>
      <c r="FB356" s="88"/>
      <c r="FC356" s="88"/>
      <c r="FD356" s="88"/>
      <c r="FE356" s="88"/>
      <c r="FF356" s="88"/>
      <c r="FG356" s="88"/>
      <c r="FH356" s="88"/>
      <c r="FI356" s="88"/>
      <c r="FJ356" s="88"/>
      <c r="FK356" s="88"/>
      <c r="FL356" s="88"/>
      <c r="FM356" s="88"/>
      <c r="FN356" s="88"/>
      <c r="FO356" s="88"/>
      <c r="FP356" s="88"/>
      <c r="FQ356" s="88"/>
      <c r="FR356" s="88"/>
      <c r="FS356" s="88"/>
      <c r="FT356" s="88"/>
      <c r="FU356" s="88"/>
      <c r="FV356" s="88"/>
      <c r="FW356" s="88"/>
      <c r="FX356" s="88"/>
      <c r="FY356" s="88"/>
      <c r="FZ356" s="88"/>
      <c r="GA356" s="88"/>
      <c r="GB356" s="88"/>
      <c r="GC356" s="88"/>
      <c r="GD356" s="88"/>
      <c r="GE356" s="88"/>
      <c r="GF356" s="88"/>
      <c r="GG356" s="88"/>
      <c r="GH356" s="88"/>
      <c r="GI356" s="88"/>
      <c r="GJ356" s="88"/>
      <c r="GK356" s="88"/>
      <c r="GL356" s="88"/>
      <c r="GM356" s="88"/>
      <c r="GN356" s="88"/>
      <c r="GO356" s="88"/>
      <c r="GP356" s="88"/>
      <c r="GQ356" s="88"/>
      <c r="GR356" s="88"/>
      <c r="GS356" s="88"/>
      <c r="GT356" s="88"/>
      <c r="GU356" s="88"/>
      <c r="GV356" s="88"/>
      <c r="GW356" s="88"/>
      <c r="GX356" s="88"/>
      <c r="GY356" s="88"/>
      <c r="GZ356" s="88"/>
      <c r="HA356" s="88"/>
      <c r="HB356" s="88"/>
      <c r="HC356" s="88"/>
      <c r="HD356" s="88"/>
      <c r="HE356" s="88"/>
      <c r="HF356" s="88"/>
      <c r="HG356" s="88"/>
      <c r="HH356" s="88"/>
      <c r="HI356" s="88"/>
      <c r="HJ356" s="88"/>
      <c r="HK356" s="88"/>
      <c r="HL356" s="88"/>
      <c r="HM356" s="88"/>
      <c r="HN356" s="88"/>
      <c r="HO356" s="88"/>
      <c r="HP356" s="88"/>
      <c r="HQ356" s="88"/>
      <c r="HR356" s="88"/>
      <c r="HS356" s="88"/>
      <c r="HT356" s="88"/>
    </row>
    <row r="357" spans="1:228" ht="19.5">
      <c r="A357" s="109" t="s">
        <v>91</v>
      </c>
      <c r="B357" s="110" t="s">
        <v>383</v>
      </c>
      <c r="C357" s="91"/>
      <c r="D357" s="79"/>
      <c r="E357" s="127"/>
      <c r="F357" s="127"/>
      <c r="G357" s="187"/>
      <c r="H357" s="187"/>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W357" s="62"/>
      <c r="GX357" s="62"/>
      <c r="GY357" s="62"/>
      <c r="GZ357" s="62"/>
      <c r="HA357" s="62"/>
      <c r="HB357" s="62"/>
      <c r="HC357" s="62"/>
      <c r="HD357" s="62"/>
      <c r="HE357" s="62"/>
      <c r="HF357" s="62"/>
      <c r="HG357" s="62"/>
      <c r="HH357" s="62"/>
      <c r="HI357" s="62"/>
      <c r="HJ357" s="62"/>
      <c r="HK357" s="62"/>
      <c r="HL357" s="62"/>
      <c r="HM357" s="62"/>
      <c r="HN357" s="62"/>
      <c r="HO357" s="62"/>
      <c r="HP357" s="62"/>
      <c r="HQ357" s="62"/>
      <c r="HR357" s="62"/>
      <c r="HS357" s="62"/>
      <c r="HT357" s="62"/>
    </row>
    <row r="358" spans="1:228" s="175" customFormat="1">
      <c r="A358" s="31" t="s">
        <v>225</v>
      </c>
      <c r="B358" s="101" t="s">
        <v>257</v>
      </c>
      <c r="C358" s="102">
        <v>1853000000</v>
      </c>
      <c r="D358" s="38"/>
      <c r="E358" s="116"/>
      <c r="F358" s="116"/>
      <c r="G358" s="117"/>
      <c r="H358" s="117"/>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W358" s="62"/>
      <c r="GX358" s="62"/>
      <c r="GY358" s="62"/>
      <c r="GZ358" s="62"/>
      <c r="HA358" s="62"/>
      <c r="HB358" s="62"/>
      <c r="HC358" s="62"/>
      <c r="HD358" s="62"/>
      <c r="HE358" s="62"/>
      <c r="HF358" s="62"/>
      <c r="HG358" s="62"/>
      <c r="HH358" s="62"/>
      <c r="HI358" s="62"/>
      <c r="HJ358" s="62"/>
      <c r="HK358" s="62"/>
      <c r="HL358" s="62"/>
      <c r="HM358" s="62"/>
      <c r="HN358" s="62"/>
      <c r="HO358" s="62"/>
      <c r="HP358" s="62"/>
      <c r="HQ358" s="62"/>
      <c r="HR358" s="62"/>
      <c r="HS358" s="62"/>
      <c r="HT358" s="62"/>
    </row>
    <row r="359" spans="1:228" s="175" customFormat="1" ht="37.5">
      <c r="A359" s="89" t="s">
        <v>258</v>
      </c>
      <c r="B359" s="194" t="s">
        <v>384</v>
      </c>
      <c r="C359" s="91">
        <v>200000000</v>
      </c>
      <c r="D359" s="79"/>
      <c r="E359" s="127"/>
      <c r="F359" s="127"/>
      <c r="G359" s="127"/>
      <c r="H359" s="127"/>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W359" s="62"/>
      <c r="GX359" s="62"/>
      <c r="GY359" s="62"/>
      <c r="GZ359" s="62"/>
      <c r="HA359" s="62"/>
      <c r="HB359" s="62"/>
      <c r="HC359" s="62"/>
      <c r="HD359" s="62"/>
      <c r="HE359" s="62"/>
      <c r="HF359" s="62"/>
      <c r="HG359" s="62"/>
      <c r="HH359" s="62"/>
      <c r="HI359" s="62"/>
      <c r="HJ359" s="62"/>
      <c r="HK359" s="62"/>
      <c r="HL359" s="62"/>
      <c r="HM359" s="62"/>
      <c r="HN359" s="62"/>
      <c r="HO359" s="62"/>
      <c r="HP359" s="62"/>
      <c r="HQ359" s="62"/>
      <c r="HR359" s="62"/>
      <c r="HS359" s="62"/>
      <c r="HT359" s="62"/>
    </row>
    <row r="360" spans="1:228" s="62" customFormat="1" ht="37.5">
      <c r="A360" s="89" t="s">
        <v>258</v>
      </c>
      <c r="B360" s="48" t="s">
        <v>385</v>
      </c>
      <c r="C360" s="91">
        <v>100000000</v>
      </c>
      <c r="D360" s="79"/>
      <c r="E360" s="127"/>
      <c r="F360" s="127"/>
      <c r="G360" s="127"/>
      <c r="H360" s="1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row>
    <row r="361" spans="1:228" s="62" customFormat="1" ht="75">
      <c r="A361" s="89" t="s">
        <v>258</v>
      </c>
      <c r="B361" s="48" t="s">
        <v>386</v>
      </c>
      <c r="C361" s="91">
        <v>150000000</v>
      </c>
      <c r="D361" s="79"/>
      <c r="E361" s="127"/>
      <c r="F361" s="127"/>
      <c r="G361" s="118"/>
      <c r="H361" s="118"/>
    </row>
    <row r="362" spans="1:228" s="62" customFormat="1" ht="56.25">
      <c r="A362" s="89" t="s">
        <v>258</v>
      </c>
      <c r="B362" s="48" t="s">
        <v>387</v>
      </c>
      <c r="C362" s="91">
        <v>110000000</v>
      </c>
      <c r="D362" s="79"/>
      <c r="E362" s="127"/>
      <c r="F362" s="127"/>
      <c r="G362" s="118"/>
      <c r="H362" s="118"/>
    </row>
    <row r="363" spans="1:228" s="62" customFormat="1" ht="37.5">
      <c r="A363" s="89" t="s">
        <v>258</v>
      </c>
      <c r="B363" s="48" t="s">
        <v>388</v>
      </c>
      <c r="C363" s="91">
        <v>400000000</v>
      </c>
      <c r="D363" s="79"/>
      <c r="E363" s="127"/>
      <c r="F363" s="127"/>
      <c r="G363" s="127"/>
      <c r="H363" s="1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row>
    <row r="364" spans="1:228" s="62" customFormat="1" ht="37.5">
      <c r="A364" s="89" t="s">
        <v>258</v>
      </c>
      <c r="B364" s="48" t="s">
        <v>389</v>
      </c>
      <c r="C364" s="91">
        <v>60000000</v>
      </c>
      <c r="D364" s="79"/>
      <c r="E364" s="127"/>
      <c r="F364" s="127"/>
      <c r="G364" s="127"/>
      <c r="H364" s="1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row>
    <row r="365" spans="1:228" s="88" customFormat="1" ht="37.5">
      <c r="A365" s="89" t="s">
        <v>258</v>
      </c>
      <c r="B365" s="48" t="s">
        <v>390</v>
      </c>
      <c r="C365" s="91">
        <v>50000000</v>
      </c>
      <c r="D365" s="79"/>
      <c r="E365" s="127"/>
      <c r="F365" s="127"/>
      <c r="G365" s="127"/>
      <c r="H365" s="127"/>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W365" s="62"/>
      <c r="GX365" s="62"/>
      <c r="GY365" s="62"/>
      <c r="GZ365" s="62"/>
      <c r="HA365" s="62"/>
      <c r="HB365" s="62"/>
      <c r="HC365" s="62"/>
      <c r="HD365" s="62"/>
      <c r="HE365" s="62"/>
      <c r="HF365" s="62"/>
      <c r="HG365" s="62"/>
      <c r="HH365" s="62"/>
      <c r="HI365" s="62"/>
      <c r="HJ365" s="62"/>
      <c r="HK365" s="62"/>
      <c r="HL365" s="62"/>
      <c r="HM365" s="62"/>
      <c r="HN365" s="62"/>
      <c r="HO365" s="62"/>
      <c r="HP365" s="62"/>
      <c r="HQ365" s="62"/>
      <c r="HR365" s="62"/>
      <c r="HS365" s="62"/>
      <c r="HT365" s="62"/>
    </row>
    <row r="366" spans="1:228" ht="37.5">
      <c r="A366" s="89" t="s">
        <v>258</v>
      </c>
      <c r="B366" s="48" t="s">
        <v>391</v>
      </c>
      <c r="C366" s="91">
        <v>230000000</v>
      </c>
      <c r="D366" s="79"/>
      <c r="E366" s="127"/>
      <c r="F366" s="127"/>
      <c r="G366" s="127"/>
      <c r="H366" s="127"/>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W366" s="62"/>
      <c r="GX366" s="62"/>
      <c r="GY366" s="62"/>
      <c r="GZ366" s="62"/>
      <c r="HA366" s="62"/>
      <c r="HB366" s="62"/>
      <c r="HC366" s="62"/>
      <c r="HD366" s="62"/>
      <c r="HE366" s="62"/>
      <c r="HF366" s="62"/>
      <c r="HG366" s="62"/>
      <c r="HH366" s="62"/>
      <c r="HI366" s="62"/>
      <c r="HJ366" s="62"/>
      <c r="HK366" s="62"/>
      <c r="HL366" s="62"/>
      <c r="HM366" s="62"/>
      <c r="HN366" s="62"/>
      <c r="HO366" s="62"/>
      <c r="HP366" s="62"/>
      <c r="HQ366" s="62"/>
      <c r="HR366" s="62"/>
      <c r="HS366" s="62"/>
      <c r="HT366" s="62"/>
    </row>
    <row r="367" spans="1:228">
      <c r="A367" s="89" t="s">
        <v>258</v>
      </c>
      <c r="B367" s="55" t="s">
        <v>153</v>
      </c>
      <c r="C367" s="91">
        <v>15000000</v>
      </c>
      <c r="D367" s="79"/>
      <c r="E367" s="127"/>
      <c r="F367" s="127"/>
      <c r="G367" s="127"/>
      <c r="H367" s="127"/>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W367" s="62"/>
      <c r="GX367" s="62"/>
      <c r="GY367" s="62"/>
      <c r="GZ367" s="62"/>
      <c r="HA367" s="62"/>
      <c r="HB367" s="62"/>
      <c r="HC367" s="62"/>
      <c r="HD367" s="62"/>
      <c r="HE367" s="62"/>
      <c r="HF367" s="62"/>
      <c r="HG367" s="62"/>
      <c r="HH367" s="62"/>
      <c r="HI367" s="62"/>
      <c r="HJ367" s="62"/>
      <c r="HK367" s="62"/>
      <c r="HL367" s="62"/>
      <c r="HM367" s="62"/>
      <c r="HN367" s="62"/>
      <c r="HO367" s="62"/>
      <c r="HP367" s="62"/>
      <c r="HQ367" s="62"/>
      <c r="HR367" s="62"/>
      <c r="HS367" s="62"/>
      <c r="HT367" s="62"/>
    </row>
    <row r="368" spans="1:228">
      <c r="A368" s="89"/>
      <c r="B368" s="55" t="s">
        <v>392</v>
      </c>
      <c r="C368" s="91">
        <v>15000000</v>
      </c>
      <c r="D368" s="79"/>
      <c r="E368" s="127"/>
      <c r="F368" s="127"/>
      <c r="G368" s="127"/>
      <c r="H368" s="127"/>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W368" s="62"/>
      <c r="GX368" s="62"/>
      <c r="GY368" s="62"/>
      <c r="GZ368" s="62"/>
      <c r="HA368" s="62"/>
      <c r="HB368" s="62"/>
      <c r="HC368" s="62"/>
      <c r="HD368" s="62"/>
      <c r="HE368" s="62"/>
      <c r="HF368" s="62"/>
      <c r="HG368" s="62"/>
      <c r="HH368" s="62"/>
      <c r="HI368" s="62"/>
      <c r="HJ368" s="62"/>
      <c r="HK368" s="62"/>
      <c r="HL368" s="62"/>
      <c r="HM368" s="62"/>
      <c r="HN368" s="62"/>
      <c r="HO368" s="62"/>
      <c r="HP368" s="62"/>
      <c r="HQ368" s="62"/>
      <c r="HR368" s="62"/>
      <c r="HS368" s="62"/>
      <c r="HT368" s="62"/>
    </row>
    <row r="369" spans="1:228" ht="37.5">
      <c r="A369" s="109" t="s">
        <v>91</v>
      </c>
      <c r="B369" s="48" t="s">
        <v>393</v>
      </c>
      <c r="C369" s="91">
        <v>330000000</v>
      </c>
      <c r="D369" s="79"/>
      <c r="E369" s="127"/>
      <c r="F369" s="127"/>
      <c r="G369" s="118"/>
      <c r="H369" s="118"/>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W369" s="62"/>
      <c r="GX369" s="62"/>
      <c r="GY369" s="62"/>
      <c r="GZ369" s="62"/>
      <c r="HA369" s="62"/>
      <c r="HB369" s="62"/>
      <c r="HC369" s="62"/>
      <c r="HD369" s="62"/>
      <c r="HE369" s="62"/>
      <c r="HF369" s="62"/>
      <c r="HG369" s="62"/>
      <c r="HH369" s="62"/>
      <c r="HI369" s="62"/>
      <c r="HJ369" s="62"/>
      <c r="HK369" s="62"/>
      <c r="HL369" s="62"/>
      <c r="HM369" s="62"/>
      <c r="HN369" s="62"/>
      <c r="HO369" s="62"/>
      <c r="HP369" s="62"/>
      <c r="HQ369" s="62"/>
      <c r="HR369" s="62"/>
      <c r="HS369" s="62"/>
      <c r="HT369" s="62"/>
    </row>
    <row r="370" spans="1:228" ht="37.5">
      <c r="A370" s="109" t="s">
        <v>91</v>
      </c>
      <c r="B370" s="48" t="s">
        <v>394</v>
      </c>
      <c r="C370" s="91">
        <v>50000000</v>
      </c>
      <c r="D370" s="79"/>
      <c r="E370" s="127"/>
      <c r="F370" s="127"/>
      <c r="G370" s="118"/>
      <c r="H370" s="118"/>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W370" s="62"/>
      <c r="GX370" s="62"/>
      <c r="GY370" s="62"/>
      <c r="GZ370" s="62"/>
      <c r="HA370" s="62"/>
      <c r="HB370" s="62"/>
      <c r="HC370" s="62"/>
      <c r="HD370" s="62"/>
      <c r="HE370" s="62"/>
      <c r="HF370" s="62"/>
      <c r="HG370" s="62"/>
      <c r="HH370" s="62"/>
      <c r="HI370" s="62"/>
      <c r="HJ370" s="62"/>
      <c r="HK370" s="62"/>
      <c r="HL370" s="62"/>
      <c r="HM370" s="62"/>
      <c r="HN370" s="62"/>
      <c r="HO370" s="62"/>
      <c r="HP370" s="62"/>
      <c r="HQ370" s="62"/>
      <c r="HR370" s="62"/>
      <c r="HS370" s="62"/>
      <c r="HT370" s="62"/>
    </row>
    <row r="371" spans="1:228">
      <c r="A371" s="109" t="s">
        <v>91</v>
      </c>
      <c r="B371" s="48" t="s">
        <v>395</v>
      </c>
      <c r="C371" s="91">
        <v>83000000</v>
      </c>
      <c r="D371" s="79"/>
      <c r="E371" s="127"/>
      <c r="F371" s="127"/>
      <c r="G371" s="118"/>
      <c r="H371" s="118"/>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W371" s="62"/>
      <c r="GX371" s="62"/>
      <c r="GY371" s="62"/>
      <c r="GZ371" s="62"/>
      <c r="HA371" s="62"/>
      <c r="HB371" s="62"/>
      <c r="HC371" s="62"/>
      <c r="HD371" s="62"/>
      <c r="HE371" s="62"/>
      <c r="HF371" s="62"/>
      <c r="HG371" s="62"/>
      <c r="HH371" s="62"/>
      <c r="HI371" s="62"/>
      <c r="HJ371" s="62"/>
      <c r="HK371" s="62"/>
      <c r="HL371" s="62"/>
      <c r="HM371" s="62"/>
      <c r="HN371" s="62"/>
      <c r="HO371" s="62"/>
      <c r="HP371" s="62"/>
      <c r="HQ371" s="62"/>
      <c r="HR371" s="62"/>
      <c r="HS371" s="62"/>
      <c r="HT371" s="62"/>
    </row>
    <row r="372" spans="1:228" ht="37.5">
      <c r="A372" s="89" t="s">
        <v>91</v>
      </c>
      <c r="B372" s="48" t="s">
        <v>396</v>
      </c>
      <c r="C372" s="91">
        <v>60000000</v>
      </c>
      <c r="D372" s="79"/>
      <c r="E372" s="127"/>
      <c r="F372" s="127"/>
      <c r="G372" s="127"/>
      <c r="H372" s="127"/>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8"/>
      <c r="BH372" s="88"/>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c r="CZ372" s="88"/>
      <c r="DA372" s="88"/>
      <c r="DB372" s="88"/>
      <c r="DC372" s="88"/>
      <c r="DD372" s="88"/>
      <c r="DE372" s="88"/>
      <c r="DF372" s="88"/>
      <c r="DG372" s="88"/>
      <c r="DH372" s="88"/>
      <c r="DI372" s="88"/>
      <c r="DJ372" s="88"/>
      <c r="DK372" s="88"/>
      <c r="DL372" s="88"/>
      <c r="DM372" s="88"/>
      <c r="DN372" s="88"/>
      <c r="DO372" s="88"/>
      <c r="DP372" s="88"/>
      <c r="DQ372" s="88"/>
      <c r="DR372" s="88"/>
      <c r="DS372" s="88"/>
      <c r="DT372" s="88"/>
      <c r="DU372" s="88"/>
      <c r="DV372" s="88"/>
      <c r="DW372" s="88"/>
      <c r="DX372" s="88"/>
      <c r="DY372" s="88"/>
      <c r="DZ372" s="88"/>
      <c r="EA372" s="88"/>
      <c r="EB372" s="88"/>
      <c r="EC372" s="88"/>
      <c r="ED372" s="88"/>
      <c r="EE372" s="88"/>
      <c r="EF372" s="88"/>
      <c r="EG372" s="88"/>
      <c r="EH372" s="88"/>
      <c r="EI372" s="88"/>
      <c r="EJ372" s="88"/>
      <c r="EK372" s="88"/>
      <c r="EL372" s="88"/>
      <c r="EM372" s="88"/>
      <c r="EN372" s="88"/>
      <c r="EO372" s="88"/>
      <c r="EP372" s="88"/>
      <c r="EQ372" s="88"/>
      <c r="ER372" s="88"/>
      <c r="ES372" s="88"/>
      <c r="ET372" s="88"/>
      <c r="EU372" s="88"/>
      <c r="EV372" s="88"/>
      <c r="EW372" s="88"/>
      <c r="EX372" s="88"/>
      <c r="EY372" s="88"/>
      <c r="EZ372" s="88"/>
      <c r="FA372" s="88"/>
      <c r="FB372" s="88"/>
      <c r="FC372" s="88"/>
      <c r="FD372" s="88"/>
      <c r="FE372" s="88"/>
      <c r="FF372" s="88"/>
      <c r="FG372" s="88"/>
      <c r="FH372" s="88"/>
      <c r="FI372" s="88"/>
      <c r="FJ372" s="88"/>
      <c r="FK372" s="88"/>
      <c r="FL372" s="88"/>
      <c r="FM372" s="88"/>
      <c r="FN372" s="88"/>
      <c r="FO372" s="88"/>
      <c r="FP372" s="88"/>
      <c r="FQ372" s="88"/>
      <c r="FR372" s="88"/>
      <c r="FS372" s="88"/>
      <c r="FT372" s="88"/>
      <c r="FU372" s="88"/>
      <c r="FV372" s="88"/>
      <c r="FW372" s="88"/>
      <c r="FX372" s="88"/>
      <c r="FY372" s="88"/>
      <c r="FZ372" s="88"/>
      <c r="GA372" s="88"/>
      <c r="GB372" s="88"/>
      <c r="GC372" s="88"/>
      <c r="GD372" s="88"/>
      <c r="GE372" s="88"/>
      <c r="GF372" s="88"/>
      <c r="GG372" s="88"/>
      <c r="GH372" s="88"/>
      <c r="GI372" s="88"/>
      <c r="GJ372" s="88"/>
      <c r="GK372" s="88"/>
      <c r="GL372" s="88"/>
      <c r="GM372" s="88"/>
      <c r="GN372" s="88"/>
      <c r="GO372" s="88"/>
      <c r="GP372" s="88"/>
      <c r="GQ372" s="88"/>
      <c r="GR372" s="88"/>
      <c r="GS372" s="88"/>
      <c r="GT372" s="88"/>
      <c r="GU372" s="88"/>
      <c r="GV372" s="88"/>
      <c r="GW372" s="88"/>
      <c r="GX372" s="88"/>
      <c r="GY372" s="88"/>
      <c r="GZ372" s="88"/>
      <c r="HA372" s="88"/>
      <c r="HB372" s="88"/>
      <c r="HC372" s="88"/>
      <c r="HD372" s="88"/>
      <c r="HE372" s="88"/>
      <c r="HF372" s="88"/>
      <c r="HG372" s="88"/>
      <c r="HH372" s="88"/>
      <c r="HI372" s="88"/>
      <c r="HJ372" s="88"/>
      <c r="HK372" s="88"/>
      <c r="HL372" s="88"/>
      <c r="HM372" s="88"/>
      <c r="HN372" s="88"/>
      <c r="HO372" s="88"/>
      <c r="HP372" s="88"/>
      <c r="HQ372" s="88"/>
      <c r="HR372" s="88"/>
      <c r="HS372" s="88"/>
      <c r="HT372" s="88"/>
    </row>
    <row r="373" spans="1:228" s="62" customFormat="1">
      <c r="A373" s="72" t="s">
        <v>261</v>
      </c>
      <c r="B373" s="105" t="s">
        <v>262</v>
      </c>
      <c r="C373" s="107">
        <v>185000000</v>
      </c>
      <c r="D373" s="76"/>
      <c r="E373" s="145"/>
      <c r="F373" s="145"/>
      <c r="G373" s="114"/>
      <c r="H373" s="114"/>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row>
    <row r="374" spans="1:228">
      <c r="A374" s="89"/>
      <c r="B374" s="90" t="s">
        <v>263</v>
      </c>
      <c r="C374" s="65">
        <v>185000000</v>
      </c>
      <c r="D374" s="76"/>
      <c r="E374" s="118"/>
      <c r="F374" s="118"/>
      <c r="G374" s="127"/>
      <c r="H374" s="127"/>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W374" s="62"/>
      <c r="GX374" s="62"/>
      <c r="GY374" s="62"/>
      <c r="GZ374" s="62"/>
      <c r="HA374" s="62"/>
      <c r="HB374" s="62"/>
      <c r="HC374" s="62"/>
      <c r="HD374" s="62"/>
      <c r="HE374" s="62"/>
      <c r="HF374" s="62"/>
      <c r="HG374" s="62"/>
      <c r="HH374" s="62"/>
      <c r="HI374" s="62"/>
      <c r="HJ374" s="62"/>
      <c r="HK374" s="62"/>
      <c r="HL374" s="62"/>
      <c r="HM374" s="62"/>
      <c r="HN374" s="62"/>
      <c r="HO374" s="62"/>
      <c r="HP374" s="62"/>
      <c r="HQ374" s="62"/>
      <c r="HR374" s="62"/>
      <c r="HS374" s="62"/>
      <c r="HT374" s="62"/>
    </row>
    <row r="375" spans="1:228" s="61" customFormat="1">
      <c r="A375" s="178">
        <v>5</v>
      </c>
      <c r="B375" s="179" t="s">
        <v>397</v>
      </c>
      <c r="C375" s="180">
        <v>2174000000</v>
      </c>
      <c r="D375" s="181"/>
      <c r="E375" s="182"/>
      <c r="F375" s="182"/>
      <c r="G375" s="195"/>
      <c r="H375" s="195"/>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row>
    <row r="376" spans="1:228" s="47" customFormat="1" ht="19.5">
      <c r="A376" s="31" t="s">
        <v>222</v>
      </c>
      <c r="B376" s="101" t="s">
        <v>252</v>
      </c>
      <c r="C376" s="102">
        <v>1778000000</v>
      </c>
      <c r="D376" s="38"/>
      <c r="E376" s="116"/>
      <c r="F376" s="116"/>
      <c r="G376" s="117"/>
      <c r="H376" s="117"/>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88"/>
      <c r="BH376" s="88"/>
      <c r="BI376" s="88"/>
      <c r="BJ376" s="88"/>
      <c r="BK376" s="88"/>
      <c r="BL376" s="88"/>
      <c r="BM376" s="88"/>
      <c r="BN376" s="88"/>
      <c r="BO376" s="88"/>
      <c r="BP376" s="88"/>
      <c r="BQ376" s="88"/>
      <c r="BR376" s="88"/>
      <c r="BS376" s="88"/>
      <c r="BT376" s="88"/>
      <c r="BU376" s="88"/>
      <c r="BV376" s="88"/>
      <c r="BW376" s="88"/>
      <c r="BX376" s="88"/>
      <c r="BY376" s="88"/>
      <c r="BZ376" s="88"/>
      <c r="CA376" s="88"/>
      <c r="CB376" s="88"/>
      <c r="CC376" s="88"/>
      <c r="CD376" s="88"/>
      <c r="CE376" s="88"/>
      <c r="CF376" s="88"/>
      <c r="CG376" s="88"/>
      <c r="CH376" s="88"/>
      <c r="CI376" s="88"/>
      <c r="CJ376" s="88"/>
      <c r="CK376" s="88"/>
      <c r="CL376" s="88"/>
      <c r="CM376" s="88"/>
      <c r="CN376" s="88"/>
      <c r="CO376" s="88"/>
      <c r="CP376" s="88"/>
      <c r="CQ376" s="88"/>
      <c r="CR376" s="88"/>
      <c r="CS376" s="88"/>
      <c r="CT376" s="88"/>
      <c r="CU376" s="88"/>
      <c r="CV376" s="88"/>
      <c r="CW376" s="88"/>
      <c r="CX376" s="88"/>
      <c r="CY376" s="88"/>
      <c r="CZ376" s="88"/>
      <c r="DA376" s="88"/>
      <c r="DB376" s="88"/>
      <c r="DC376" s="88"/>
      <c r="DD376" s="88"/>
      <c r="DE376" s="88"/>
      <c r="DF376" s="88"/>
      <c r="DG376" s="88"/>
      <c r="DH376" s="88"/>
      <c r="DI376" s="88"/>
      <c r="DJ376" s="88"/>
      <c r="DK376" s="88"/>
      <c r="DL376" s="88"/>
      <c r="DM376" s="88"/>
      <c r="DN376" s="88"/>
      <c r="DO376" s="88"/>
      <c r="DP376" s="88"/>
      <c r="DQ376" s="88"/>
      <c r="DR376" s="88"/>
      <c r="DS376" s="88"/>
      <c r="DT376" s="88"/>
      <c r="DU376" s="88"/>
      <c r="DV376" s="88"/>
      <c r="DW376" s="88"/>
      <c r="DX376" s="88"/>
      <c r="DY376" s="88"/>
      <c r="DZ376" s="88"/>
      <c r="EA376" s="88"/>
      <c r="EB376" s="88"/>
      <c r="EC376" s="88"/>
      <c r="ED376" s="88"/>
      <c r="EE376" s="88"/>
      <c r="EF376" s="88"/>
      <c r="EG376" s="88"/>
      <c r="EH376" s="88"/>
      <c r="EI376" s="88"/>
      <c r="EJ376" s="88"/>
      <c r="EK376" s="88"/>
      <c r="EL376" s="88"/>
      <c r="EM376" s="88"/>
      <c r="EN376" s="88"/>
      <c r="EO376" s="88"/>
      <c r="EP376" s="88"/>
      <c r="EQ376" s="88"/>
      <c r="ER376" s="88"/>
      <c r="ES376" s="88"/>
      <c r="ET376" s="88"/>
      <c r="EU376" s="88"/>
      <c r="EV376" s="88"/>
      <c r="EW376" s="88"/>
      <c r="EX376" s="88"/>
      <c r="EY376" s="88"/>
      <c r="EZ376" s="88"/>
      <c r="FA376" s="88"/>
      <c r="FB376" s="88"/>
      <c r="FC376" s="88"/>
      <c r="FD376" s="88"/>
      <c r="FE376" s="88"/>
      <c r="FF376" s="88"/>
      <c r="FG376" s="88"/>
      <c r="FH376" s="88"/>
      <c r="FI376" s="88"/>
      <c r="FJ376" s="88"/>
      <c r="FK376" s="88"/>
      <c r="FL376" s="88"/>
      <c r="FM376" s="88"/>
      <c r="FN376" s="88"/>
      <c r="FO376" s="88"/>
      <c r="FP376" s="88"/>
      <c r="FQ376" s="88"/>
      <c r="FR376" s="88"/>
      <c r="FS376" s="88"/>
      <c r="FT376" s="88"/>
      <c r="FU376" s="88"/>
      <c r="FV376" s="88"/>
      <c r="FW376" s="88"/>
      <c r="FX376" s="88"/>
      <c r="FY376" s="88"/>
      <c r="FZ376" s="88"/>
      <c r="GA376" s="88"/>
      <c r="GB376" s="88"/>
      <c r="GC376" s="88"/>
      <c r="GD376" s="88"/>
      <c r="GE376" s="88"/>
      <c r="GF376" s="88"/>
      <c r="GG376" s="88"/>
      <c r="GH376" s="88"/>
      <c r="GI376" s="88"/>
      <c r="GJ376" s="88"/>
      <c r="GK376" s="88"/>
      <c r="GL376" s="88"/>
      <c r="GM376" s="88"/>
      <c r="GN376" s="88"/>
      <c r="GO376" s="88"/>
      <c r="GP376" s="88"/>
      <c r="GQ376" s="88"/>
      <c r="GR376" s="88"/>
      <c r="GS376" s="88"/>
      <c r="GT376" s="88"/>
      <c r="GU376" s="88"/>
      <c r="GV376" s="88"/>
      <c r="GW376" s="88"/>
      <c r="GX376" s="88"/>
      <c r="GY376" s="88"/>
      <c r="GZ376" s="88"/>
      <c r="HA376" s="88"/>
      <c r="HB376" s="88"/>
      <c r="HC376" s="88"/>
      <c r="HD376" s="88"/>
      <c r="HE376" s="88"/>
      <c r="HF376" s="88"/>
      <c r="HG376" s="88"/>
      <c r="HH376" s="88"/>
      <c r="HI376" s="88"/>
      <c r="HJ376" s="88"/>
      <c r="HK376" s="88"/>
      <c r="HL376" s="88"/>
      <c r="HM376" s="88"/>
      <c r="HN376" s="88"/>
      <c r="HO376" s="88"/>
      <c r="HP376" s="88"/>
      <c r="HQ376" s="88"/>
      <c r="HR376" s="88"/>
      <c r="HS376" s="88"/>
      <c r="HT376" s="88"/>
    </row>
    <row r="377" spans="1:228" s="47" customFormat="1" ht="19.5">
      <c r="A377" s="72" t="s">
        <v>192</v>
      </c>
      <c r="B377" s="105" t="s">
        <v>292</v>
      </c>
      <c r="C377" s="91">
        <v>1778000000</v>
      </c>
      <c r="D377" s="79"/>
      <c r="E377" s="127"/>
      <c r="F377" s="127"/>
      <c r="G377" s="114"/>
      <c r="H377" s="114"/>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c r="AI377" s="88"/>
      <c r="AJ377" s="88"/>
      <c r="AK377" s="88"/>
      <c r="AL377" s="88"/>
      <c r="AM377" s="88"/>
      <c r="AN377" s="88"/>
      <c r="AO377" s="88"/>
      <c r="AP377" s="88"/>
      <c r="AQ377" s="88"/>
      <c r="AR377" s="88"/>
      <c r="AS377" s="88"/>
      <c r="AT377" s="88"/>
      <c r="AU377" s="88"/>
      <c r="AV377" s="88"/>
      <c r="AW377" s="88"/>
      <c r="AX377" s="88"/>
      <c r="AY377" s="88"/>
      <c r="AZ377" s="88"/>
      <c r="BA377" s="88"/>
      <c r="BB377" s="88"/>
      <c r="BC377" s="88"/>
      <c r="BD377" s="88"/>
      <c r="BE377" s="88"/>
      <c r="BF377" s="88"/>
      <c r="BG377" s="88"/>
      <c r="BH377" s="88"/>
      <c r="BI377" s="88"/>
      <c r="BJ377" s="88"/>
      <c r="BK377" s="88"/>
      <c r="BL377" s="88"/>
      <c r="BM377" s="88"/>
      <c r="BN377" s="88"/>
      <c r="BO377" s="88"/>
      <c r="BP377" s="88"/>
      <c r="BQ377" s="88"/>
      <c r="BR377" s="88"/>
      <c r="BS377" s="88"/>
      <c r="BT377" s="88"/>
      <c r="BU377" s="88"/>
      <c r="BV377" s="88"/>
      <c r="BW377" s="88"/>
      <c r="BX377" s="88"/>
      <c r="BY377" s="88"/>
      <c r="BZ377" s="88"/>
      <c r="CA377" s="88"/>
      <c r="CB377" s="88"/>
      <c r="CC377" s="88"/>
      <c r="CD377" s="88"/>
      <c r="CE377" s="88"/>
      <c r="CF377" s="88"/>
      <c r="CG377" s="88"/>
      <c r="CH377" s="88"/>
      <c r="CI377" s="88"/>
      <c r="CJ377" s="88"/>
      <c r="CK377" s="88"/>
      <c r="CL377" s="88"/>
      <c r="CM377" s="88"/>
      <c r="CN377" s="88"/>
      <c r="CO377" s="88"/>
      <c r="CP377" s="88"/>
      <c r="CQ377" s="88"/>
      <c r="CR377" s="88"/>
      <c r="CS377" s="88"/>
      <c r="CT377" s="88"/>
      <c r="CU377" s="88"/>
      <c r="CV377" s="88"/>
      <c r="CW377" s="88"/>
      <c r="CX377" s="88"/>
      <c r="CY377" s="88"/>
      <c r="CZ377" s="88"/>
      <c r="DA377" s="88"/>
      <c r="DB377" s="88"/>
      <c r="DC377" s="88"/>
      <c r="DD377" s="88"/>
      <c r="DE377" s="88"/>
      <c r="DF377" s="88"/>
      <c r="DG377" s="88"/>
      <c r="DH377" s="88"/>
      <c r="DI377" s="88"/>
      <c r="DJ377" s="88"/>
      <c r="DK377" s="88"/>
      <c r="DL377" s="88"/>
      <c r="DM377" s="88"/>
      <c r="DN377" s="88"/>
      <c r="DO377" s="88"/>
      <c r="DP377" s="88"/>
      <c r="DQ377" s="88"/>
      <c r="DR377" s="88"/>
      <c r="DS377" s="88"/>
      <c r="DT377" s="88"/>
      <c r="DU377" s="88"/>
      <c r="DV377" s="88"/>
      <c r="DW377" s="88"/>
      <c r="DX377" s="88"/>
      <c r="DY377" s="88"/>
      <c r="DZ377" s="88"/>
      <c r="EA377" s="88"/>
      <c r="EB377" s="88"/>
      <c r="EC377" s="88"/>
      <c r="ED377" s="88"/>
      <c r="EE377" s="88"/>
      <c r="EF377" s="88"/>
      <c r="EG377" s="88"/>
      <c r="EH377" s="88"/>
      <c r="EI377" s="88"/>
      <c r="EJ377" s="88"/>
      <c r="EK377" s="88"/>
      <c r="EL377" s="88"/>
      <c r="EM377" s="88"/>
      <c r="EN377" s="88"/>
      <c r="EO377" s="88"/>
      <c r="EP377" s="88"/>
      <c r="EQ377" s="88"/>
      <c r="ER377" s="88"/>
      <c r="ES377" s="88"/>
      <c r="ET377" s="88"/>
      <c r="EU377" s="88"/>
      <c r="EV377" s="88"/>
      <c r="EW377" s="88"/>
      <c r="EX377" s="88"/>
      <c r="EY377" s="88"/>
      <c r="EZ377" s="88"/>
      <c r="FA377" s="88"/>
      <c r="FB377" s="88"/>
      <c r="FC377" s="88"/>
      <c r="FD377" s="88"/>
      <c r="FE377" s="88"/>
      <c r="FF377" s="88"/>
      <c r="FG377" s="88"/>
      <c r="FH377" s="88"/>
      <c r="FI377" s="88"/>
      <c r="FJ377" s="88"/>
      <c r="FK377" s="88"/>
      <c r="FL377" s="88"/>
      <c r="FM377" s="88"/>
      <c r="FN377" s="88"/>
      <c r="FO377" s="88"/>
      <c r="FP377" s="88"/>
      <c r="FQ377" s="88"/>
      <c r="FR377" s="88"/>
      <c r="FS377" s="88"/>
      <c r="FT377" s="88"/>
      <c r="FU377" s="88"/>
      <c r="FV377" s="88"/>
      <c r="FW377" s="88"/>
      <c r="FX377" s="88"/>
      <c r="FY377" s="88"/>
      <c r="FZ377" s="88"/>
      <c r="GA377" s="88"/>
      <c r="GB377" s="88"/>
      <c r="GC377" s="88"/>
      <c r="GD377" s="88"/>
      <c r="GE377" s="88"/>
      <c r="GF377" s="88"/>
      <c r="GG377" s="88"/>
      <c r="GH377" s="88"/>
      <c r="GI377" s="88"/>
      <c r="GJ377" s="88"/>
      <c r="GK377" s="88"/>
      <c r="GL377" s="88"/>
      <c r="GM377" s="88"/>
      <c r="GN377" s="88"/>
      <c r="GO377" s="88"/>
      <c r="GP377" s="88"/>
      <c r="GQ377" s="88"/>
      <c r="GR377" s="88"/>
      <c r="GS377" s="88"/>
      <c r="GT377" s="88"/>
      <c r="GU377" s="88"/>
      <c r="GV377" s="88"/>
      <c r="GW377" s="88"/>
      <c r="GX377" s="88"/>
      <c r="GY377" s="88"/>
      <c r="GZ377" s="88"/>
      <c r="HA377" s="88"/>
      <c r="HB377" s="88"/>
      <c r="HC377" s="88"/>
      <c r="HD377" s="88"/>
      <c r="HE377" s="88"/>
      <c r="HF377" s="88"/>
      <c r="HG377" s="88"/>
      <c r="HH377" s="88"/>
      <c r="HI377" s="88"/>
      <c r="HJ377" s="88"/>
      <c r="HK377" s="88"/>
      <c r="HL377" s="88"/>
      <c r="HM377" s="88"/>
      <c r="HN377" s="88"/>
      <c r="HO377" s="88"/>
      <c r="HP377" s="88"/>
      <c r="HQ377" s="88"/>
      <c r="HR377" s="88"/>
      <c r="HS377" s="88"/>
      <c r="HT377" s="88"/>
    </row>
    <row r="378" spans="1:228" s="47" customFormat="1" ht="37.5">
      <c r="A378" s="109" t="s">
        <v>248</v>
      </c>
      <c r="B378" s="110" t="s">
        <v>398</v>
      </c>
      <c r="C378" s="91">
        <v>1346000000</v>
      </c>
      <c r="D378" s="79"/>
      <c r="E378" s="127"/>
      <c r="F378" s="127"/>
      <c r="G378" s="127"/>
      <c r="H378" s="127"/>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8"/>
      <c r="BH378" s="88"/>
      <c r="BI378" s="88"/>
      <c r="BJ378" s="88"/>
      <c r="BK378" s="88"/>
      <c r="BL378" s="88"/>
      <c r="BM378" s="88"/>
      <c r="BN378" s="88"/>
      <c r="BO378" s="88"/>
      <c r="BP378" s="88"/>
      <c r="BQ378" s="88"/>
      <c r="BR378" s="88"/>
      <c r="BS378" s="88"/>
      <c r="BT378" s="88"/>
      <c r="BU378" s="88"/>
      <c r="BV378" s="88"/>
      <c r="BW378" s="88"/>
      <c r="BX378" s="88"/>
      <c r="BY378" s="88"/>
      <c r="BZ378" s="88"/>
      <c r="CA378" s="88"/>
      <c r="CB378" s="88"/>
      <c r="CC378" s="88"/>
      <c r="CD378" s="88"/>
      <c r="CE378" s="88"/>
      <c r="CF378" s="88"/>
      <c r="CG378" s="88"/>
      <c r="CH378" s="88"/>
      <c r="CI378" s="88"/>
      <c r="CJ378" s="88"/>
      <c r="CK378" s="88"/>
      <c r="CL378" s="88"/>
      <c r="CM378" s="88"/>
      <c r="CN378" s="88"/>
      <c r="CO378" s="88"/>
      <c r="CP378" s="88"/>
      <c r="CQ378" s="88"/>
      <c r="CR378" s="88"/>
      <c r="CS378" s="88"/>
      <c r="CT378" s="88"/>
      <c r="CU378" s="88"/>
      <c r="CV378" s="88"/>
      <c r="CW378" s="88"/>
      <c r="CX378" s="88"/>
      <c r="CY378" s="88"/>
      <c r="CZ378" s="88"/>
      <c r="DA378" s="88"/>
      <c r="DB378" s="88"/>
      <c r="DC378" s="88"/>
      <c r="DD378" s="88"/>
      <c r="DE378" s="88"/>
      <c r="DF378" s="88"/>
      <c r="DG378" s="88"/>
      <c r="DH378" s="88"/>
      <c r="DI378" s="88"/>
      <c r="DJ378" s="88"/>
      <c r="DK378" s="88"/>
      <c r="DL378" s="88"/>
      <c r="DM378" s="88"/>
      <c r="DN378" s="88"/>
      <c r="DO378" s="88"/>
      <c r="DP378" s="88"/>
      <c r="DQ378" s="88"/>
      <c r="DR378" s="88"/>
      <c r="DS378" s="88"/>
      <c r="DT378" s="88"/>
      <c r="DU378" s="88"/>
      <c r="DV378" s="88"/>
      <c r="DW378" s="88"/>
      <c r="DX378" s="88"/>
      <c r="DY378" s="88"/>
      <c r="DZ378" s="88"/>
      <c r="EA378" s="88"/>
      <c r="EB378" s="88"/>
      <c r="EC378" s="88"/>
      <c r="ED378" s="88"/>
      <c r="EE378" s="88"/>
      <c r="EF378" s="88"/>
      <c r="EG378" s="88"/>
      <c r="EH378" s="88"/>
      <c r="EI378" s="88"/>
      <c r="EJ378" s="88"/>
      <c r="EK378" s="88"/>
      <c r="EL378" s="88"/>
      <c r="EM378" s="88"/>
      <c r="EN378" s="88"/>
      <c r="EO378" s="88"/>
      <c r="EP378" s="88"/>
      <c r="EQ378" s="88"/>
      <c r="ER378" s="88"/>
      <c r="ES378" s="88"/>
      <c r="ET378" s="88"/>
      <c r="EU378" s="88"/>
      <c r="EV378" s="88"/>
      <c r="EW378" s="88"/>
      <c r="EX378" s="88"/>
      <c r="EY378" s="88"/>
      <c r="EZ378" s="88"/>
      <c r="FA378" s="88"/>
      <c r="FB378" s="88"/>
      <c r="FC378" s="88"/>
      <c r="FD378" s="88"/>
      <c r="FE378" s="88"/>
      <c r="FF378" s="88"/>
      <c r="FG378" s="88"/>
      <c r="FH378" s="88"/>
      <c r="FI378" s="88"/>
      <c r="FJ378" s="88"/>
      <c r="FK378" s="88"/>
      <c r="FL378" s="88"/>
      <c r="FM378" s="88"/>
      <c r="FN378" s="88"/>
      <c r="FO378" s="88"/>
      <c r="FP378" s="88"/>
      <c r="FQ378" s="88"/>
      <c r="FR378" s="88"/>
      <c r="FS378" s="88"/>
      <c r="FT378" s="88"/>
      <c r="FU378" s="88"/>
      <c r="FV378" s="88"/>
      <c r="FW378" s="88"/>
      <c r="FX378" s="88"/>
      <c r="FY378" s="88"/>
      <c r="FZ378" s="88"/>
      <c r="GA378" s="88"/>
      <c r="GB378" s="88"/>
      <c r="GC378" s="88"/>
      <c r="GD378" s="88"/>
      <c r="GE378" s="88"/>
      <c r="GF378" s="88"/>
      <c r="GG378" s="88"/>
      <c r="GH378" s="88"/>
      <c r="GI378" s="88"/>
      <c r="GJ378" s="88"/>
      <c r="GK378" s="88"/>
      <c r="GL378" s="88"/>
      <c r="GM378" s="88"/>
      <c r="GN378" s="88"/>
      <c r="GO378" s="88"/>
      <c r="GP378" s="88"/>
      <c r="GQ378" s="88"/>
      <c r="GR378" s="88"/>
      <c r="GS378" s="88"/>
      <c r="GT378" s="88"/>
      <c r="GU378" s="88"/>
      <c r="GV378" s="88"/>
      <c r="GW378" s="88"/>
      <c r="GX378" s="88"/>
      <c r="GY378" s="88"/>
      <c r="GZ378" s="88"/>
      <c r="HA378" s="88"/>
      <c r="HB378" s="88"/>
      <c r="HC378" s="88"/>
      <c r="HD378" s="88"/>
      <c r="HE378" s="88"/>
      <c r="HF378" s="88"/>
      <c r="HG378" s="88"/>
      <c r="HH378" s="88"/>
      <c r="HI378" s="88"/>
      <c r="HJ378" s="88"/>
      <c r="HK378" s="88"/>
      <c r="HL378" s="88"/>
      <c r="HM378" s="88"/>
      <c r="HN378" s="88"/>
      <c r="HO378" s="88"/>
      <c r="HP378" s="88"/>
      <c r="HQ378" s="88"/>
      <c r="HR378" s="88"/>
      <c r="HS378" s="88"/>
      <c r="HT378" s="88"/>
    </row>
    <row r="379" spans="1:228" s="47" customFormat="1" ht="19.5">
      <c r="A379" s="109" t="s">
        <v>248</v>
      </c>
      <c r="B379" s="110" t="s">
        <v>256</v>
      </c>
      <c r="C379" s="91">
        <v>432000000</v>
      </c>
      <c r="D379" s="79"/>
      <c r="E379" s="127"/>
      <c r="F379" s="127"/>
      <c r="G379" s="127"/>
      <c r="H379" s="127"/>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88"/>
      <c r="BH379" s="88"/>
      <c r="BI379" s="88"/>
      <c r="BJ379" s="88"/>
      <c r="BK379" s="88"/>
      <c r="BL379" s="88"/>
      <c r="BM379" s="88"/>
      <c r="BN379" s="88"/>
      <c r="BO379" s="88"/>
      <c r="BP379" s="88"/>
      <c r="BQ379" s="88"/>
      <c r="BR379" s="88"/>
      <c r="BS379" s="88"/>
      <c r="BT379" s="88"/>
      <c r="BU379" s="88"/>
      <c r="BV379" s="88"/>
      <c r="BW379" s="88"/>
      <c r="BX379" s="88"/>
      <c r="BY379" s="88"/>
      <c r="BZ379" s="88"/>
      <c r="CA379" s="88"/>
      <c r="CB379" s="88"/>
      <c r="CC379" s="88"/>
      <c r="CD379" s="88"/>
      <c r="CE379" s="88"/>
      <c r="CF379" s="88"/>
      <c r="CG379" s="88"/>
      <c r="CH379" s="88"/>
      <c r="CI379" s="88"/>
      <c r="CJ379" s="88"/>
      <c r="CK379" s="88"/>
      <c r="CL379" s="88"/>
      <c r="CM379" s="88"/>
      <c r="CN379" s="88"/>
      <c r="CO379" s="88"/>
      <c r="CP379" s="88"/>
      <c r="CQ379" s="88"/>
      <c r="CR379" s="88"/>
      <c r="CS379" s="88"/>
      <c r="CT379" s="88"/>
      <c r="CU379" s="88"/>
      <c r="CV379" s="88"/>
      <c r="CW379" s="88"/>
      <c r="CX379" s="88"/>
      <c r="CY379" s="88"/>
      <c r="CZ379" s="88"/>
      <c r="DA379" s="88"/>
      <c r="DB379" s="88"/>
      <c r="DC379" s="88"/>
      <c r="DD379" s="88"/>
      <c r="DE379" s="88"/>
      <c r="DF379" s="88"/>
      <c r="DG379" s="88"/>
      <c r="DH379" s="88"/>
      <c r="DI379" s="88"/>
      <c r="DJ379" s="88"/>
      <c r="DK379" s="88"/>
      <c r="DL379" s="88"/>
      <c r="DM379" s="88"/>
      <c r="DN379" s="88"/>
      <c r="DO379" s="88"/>
      <c r="DP379" s="88"/>
      <c r="DQ379" s="88"/>
      <c r="DR379" s="88"/>
      <c r="DS379" s="88"/>
      <c r="DT379" s="88"/>
      <c r="DU379" s="88"/>
      <c r="DV379" s="88"/>
      <c r="DW379" s="88"/>
      <c r="DX379" s="88"/>
      <c r="DY379" s="88"/>
      <c r="DZ379" s="88"/>
      <c r="EA379" s="88"/>
      <c r="EB379" s="88"/>
      <c r="EC379" s="88"/>
      <c r="ED379" s="88"/>
      <c r="EE379" s="88"/>
      <c r="EF379" s="88"/>
      <c r="EG379" s="88"/>
      <c r="EH379" s="88"/>
      <c r="EI379" s="88"/>
      <c r="EJ379" s="88"/>
      <c r="EK379" s="88"/>
      <c r="EL379" s="88"/>
      <c r="EM379" s="88"/>
      <c r="EN379" s="88"/>
      <c r="EO379" s="88"/>
      <c r="EP379" s="88"/>
      <c r="EQ379" s="88"/>
      <c r="ER379" s="88"/>
      <c r="ES379" s="88"/>
      <c r="ET379" s="88"/>
      <c r="EU379" s="88"/>
      <c r="EV379" s="88"/>
      <c r="EW379" s="88"/>
      <c r="EX379" s="88"/>
      <c r="EY379" s="88"/>
      <c r="EZ379" s="88"/>
      <c r="FA379" s="88"/>
      <c r="FB379" s="88"/>
      <c r="FC379" s="88"/>
      <c r="FD379" s="88"/>
      <c r="FE379" s="88"/>
      <c r="FF379" s="88"/>
      <c r="FG379" s="88"/>
      <c r="FH379" s="88"/>
      <c r="FI379" s="88"/>
      <c r="FJ379" s="88"/>
      <c r="FK379" s="88"/>
      <c r="FL379" s="88"/>
      <c r="FM379" s="88"/>
      <c r="FN379" s="88"/>
      <c r="FO379" s="88"/>
      <c r="FP379" s="88"/>
      <c r="FQ379" s="88"/>
      <c r="FR379" s="88"/>
      <c r="FS379" s="88"/>
      <c r="FT379" s="88"/>
      <c r="FU379" s="88"/>
      <c r="FV379" s="88"/>
      <c r="FW379" s="88"/>
      <c r="FX379" s="88"/>
      <c r="FY379" s="88"/>
      <c r="FZ379" s="88"/>
      <c r="GA379" s="88"/>
      <c r="GB379" s="88"/>
      <c r="GC379" s="88"/>
      <c r="GD379" s="88"/>
      <c r="GE379" s="88"/>
      <c r="GF379" s="88"/>
      <c r="GG379" s="88"/>
      <c r="GH379" s="88"/>
      <c r="GI379" s="88"/>
      <c r="GJ379" s="88"/>
      <c r="GK379" s="88"/>
      <c r="GL379" s="88"/>
      <c r="GM379" s="88"/>
      <c r="GN379" s="88"/>
      <c r="GO379" s="88"/>
      <c r="GP379" s="88"/>
      <c r="GQ379" s="88"/>
      <c r="GR379" s="88"/>
      <c r="GS379" s="88"/>
      <c r="GT379" s="88"/>
      <c r="GU379" s="88"/>
      <c r="GV379" s="88"/>
      <c r="GW379" s="88"/>
      <c r="GX379" s="88"/>
      <c r="GY379" s="88"/>
      <c r="GZ379" s="88"/>
      <c r="HA379" s="88"/>
      <c r="HB379" s="88"/>
      <c r="HC379" s="88"/>
      <c r="HD379" s="88"/>
      <c r="HE379" s="88"/>
      <c r="HF379" s="88"/>
      <c r="HG379" s="88"/>
      <c r="HH379" s="88"/>
      <c r="HI379" s="88"/>
      <c r="HJ379" s="88"/>
      <c r="HK379" s="88"/>
      <c r="HL379" s="88"/>
      <c r="HM379" s="88"/>
      <c r="HN379" s="88"/>
      <c r="HO379" s="88"/>
      <c r="HP379" s="88"/>
      <c r="HQ379" s="88"/>
      <c r="HR379" s="88"/>
      <c r="HS379" s="88"/>
      <c r="HT379" s="88"/>
    </row>
    <row r="380" spans="1:228" s="62" customFormat="1">
      <c r="A380" s="31" t="s">
        <v>225</v>
      </c>
      <c r="B380" s="101" t="s">
        <v>257</v>
      </c>
      <c r="C380" s="102">
        <v>396000000</v>
      </c>
      <c r="D380" s="38"/>
      <c r="E380" s="116"/>
      <c r="F380" s="116"/>
      <c r="G380" s="117"/>
      <c r="H380" s="117"/>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61"/>
      <c r="GN380" s="61"/>
      <c r="GO380" s="61"/>
      <c r="GP380" s="61"/>
      <c r="GQ380" s="61"/>
      <c r="GR380" s="61"/>
      <c r="GS380" s="61"/>
      <c r="GT380" s="61"/>
      <c r="GU380" s="61"/>
      <c r="GV380" s="61"/>
      <c r="GW380" s="61"/>
      <c r="GX380" s="61"/>
      <c r="GY380" s="61"/>
      <c r="GZ380" s="61"/>
      <c r="HA380" s="61"/>
      <c r="HB380" s="61"/>
      <c r="HC380" s="61"/>
      <c r="HD380" s="61"/>
      <c r="HE380" s="61"/>
      <c r="HF380" s="61"/>
      <c r="HG380" s="61"/>
      <c r="HH380" s="61"/>
      <c r="HI380" s="61"/>
      <c r="HJ380" s="61"/>
      <c r="HK380" s="61"/>
      <c r="HL380" s="61"/>
      <c r="HM380" s="61"/>
      <c r="HN380" s="61"/>
      <c r="HO380" s="61"/>
      <c r="HP380" s="61"/>
      <c r="HQ380" s="61"/>
      <c r="HR380" s="61"/>
      <c r="HS380" s="61"/>
      <c r="HT380" s="61"/>
    </row>
    <row r="381" spans="1:228" s="62" customFormat="1">
      <c r="A381" s="89" t="s">
        <v>258</v>
      </c>
      <c r="B381" s="48" t="s">
        <v>399</v>
      </c>
      <c r="C381" s="74">
        <v>30000000</v>
      </c>
      <c r="D381" s="50"/>
      <c r="E381" s="114"/>
      <c r="F381" s="114"/>
      <c r="G381" s="127"/>
      <c r="H381" s="127"/>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61"/>
      <c r="GN381" s="61"/>
      <c r="GO381" s="61"/>
      <c r="GP381" s="61"/>
      <c r="GQ381" s="61"/>
      <c r="GR381" s="61"/>
      <c r="GS381" s="61"/>
      <c r="GT381" s="61"/>
      <c r="GU381" s="61"/>
      <c r="GV381" s="61"/>
      <c r="GW381" s="61"/>
      <c r="GX381" s="61"/>
      <c r="GY381" s="61"/>
      <c r="GZ381" s="61"/>
      <c r="HA381" s="61"/>
      <c r="HB381" s="61"/>
      <c r="HC381" s="61"/>
      <c r="HD381" s="61"/>
      <c r="HE381" s="61"/>
      <c r="HF381" s="61"/>
      <c r="HG381" s="61"/>
      <c r="HH381" s="61"/>
      <c r="HI381" s="61"/>
      <c r="HJ381" s="61"/>
      <c r="HK381" s="61"/>
      <c r="HL381" s="61"/>
      <c r="HM381" s="61"/>
      <c r="HN381" s="61"/>
      <c r="HO381" s="61"/>
      <c r="HP381" s="61"/>
      <c r="HQ381" s="61"/>
      <c r="HR381" s="61"/>
      <c r="HS381" s="61"/>
      <c r="HT381" s="61"/>
    </row>
    <row r="382" spans="1:228" s="62" customFormat="1">
      <c r="A382" s="89" t="s">
        <v>258</v>
      </c>
      <c r="B382" s="55" t="s">
        <v>400</v>
      </c>
      <c r="C382" s="23">
        <v>15000000</v>
      </c>
      <c r="D382" s="50"/>
      <c r="E382" s="115"/>
      <c r="F382" s="115"/>
      <c r="G382" s="118"/>
      <c r="H382" s="118"/>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FH382" s="61"/>
      <c r="FI382" s="61"/>
      <c r="FJ382" s="61"/>
      <c r="FK382" s="61"/>
      <c r="FL382" s="61"/>
      <c r="FM382" s="61"/>
      <c r="FN382" s="61"/>
      <c r="FO382" s="61"/>
      <c r="FP382" s="61"/>
      <c r="FQ382" s="61"/>
      <c r="FR382" s="61"/>
      <c r="FS382" s="61"/>
      <c r="FT382" s="61"/>
      <c r="FU382" s="61"/>
      <c r="FV382" s="61"/>
      <c r="FW382" s="61"/>
      <c r="FX382" s="61"/>
      <c r="FY382" s="61"/>
      <c r="FZ382" s="61"/>
      <c r="GA382" s="61"/>
      <c r="GB382" s="61"/>
      <c r="GC382" s="61"/>
      <c r="GD382" s="61"/>
      <c r="GE382" s="61"/>
      <c r="GF382" s="61"/>
      <c r="GG382" s="61"/>
      <c r="GH382" s="61"/>
      <c r="GI382" s="61"/>
      <c r="GJ382" s="61"/>
      <c r="GK382" s="61"/>
      <c r="GL382" s="61"/>
      <c r="GM382" s="61"/>
      <c r="GN382" s="61"/>
      <c r="GO382" s="61"/>
      <c r="GP382" s="61"/>
      <c r="GQ382" s="61"/>
      <c r="GR382" s="61"/>
      <c r="GS382" s="61"/>
      <c r="GT382" s="61"/>
      <c r="GU382" s="61"/>
      <c r="GV382" s="61"/>
      <c r="GW382" s="61"/>
      <c r="GX382" s="61"/>
      <c r="GY382" s="61"/>
      <c r="GZ382" s="61"/>
      <c r="HA382" s="61"/>
      <c r="HB382" s="61"/>
      <c r="HC382" s="61"/>
      <c r="HD382" s="61"/>
      <c r="HE382" s="61"/>
      <c r="HF382" s="61"/>
      <c r="HG382" s="61"/>
      <c r="HH382" s="61"/>
      <c r="HI382" s="61"/>
      <c r="HJ382" s="61"/>
      <c r="HK382" s="61"/>
      <c r="HL382" s="61"/>
      <c r="HM382" s="61"/>
      <c r="HN382" s="61"/>
      <c r="HO382" s="61"/>
      <c r="HP382" s="61"/>
      <c r="HQ382" s="61"/>
      <c r="HR382" s="61"/>
      <c r="HS382" s="61"/>
      <c r="HT382" s="61"/>
    </row>
    <row r="383" spans="1:228" s="62" customFormat="1" ht="37.5">
      <c r="A383" s="89" t="s">
        <v>258</v>
      </c>
      <c r="B383" s="48" t="s">
        <v>401</v>
      </c>
      <c r="C383" s="74">
        <v>100000000</v>
      </c>
      <c r="D383" s="50"/>
      <c r="E383" s="114"/>
      <c r="F383" s="114"/>
      <c r="G383" s="118"/>
      <c r="H383" s="118"/>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61"/>
      <c r="GN383" s="61"/>
      <c r="GO383" s="61"/>
      <c r="GP383" s="61"/>
      <c r="GQ383" s="61"/>
      <c r="GR383" s="61"/>
      <c r="GS383" s="61"/>
      <c r="GT383" s="61"/>
      <c r="GU383" s="61"/>
      <c r="GV383" s="61"/>
      <c r="GW383" s="61"/>
      <c r="GX383" s="61"/>
      <c r="GY383" s="61"/>
      <c r="GZ383" s="61"/>
      <c r="HA383" s="61"/>
      <c r="HB383" s="61"/>
      <c r="HC383" s="61"/>
      <c r="HD383" s="61"/>
      <c r="HE383" s="61"/>
      <c r="HF383" s="61"/>
      <c r="HG383" s="61"/>
      <c r="HH383" s="61"/>
      <c r="HI383" s="61"/>
      <c r="HJ383" s="61"/>
      <c r="HK383" s="61"/>
      <c r="HL383" s="61"/>
      <c r="HM383" s="61"/>
      <c r="HN383" s="61"/>
      <c r="HO383" s="61"/>
      <c r="HP383" s="61"/>
      <c r="HQ383" s="61"/>
      <c r="HR383" s="61"/>
      <c r="HS383" s="61"/>
      <c r="HT383" s="61"/>
    </row>
    <row r="384" spans="1:228" s="62" customFormat="1" ht="37.5">
      <c r="A384" s="89" t="s">
        <v>258</v>
      </c>
      <c r="B384" s="48" t="s">
        <v>402</v>
      </c>
      <c r="C384" s="74">
        <v>100000000</v>
      </c>
      <c r="D384" s="50"/>
      <c r="E384" s="114"/>
      <c r="F384" s="114"/>
      <c r="G384" s="118"/>
      <c r="H384" s="118"/>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61"/>
      <c r="FA384" s="61"/>
      <c r="FB384" s="61"/>
      <c r="FC384" s="61"/>
      <c r="FD384" s="61"/>
      <c r="FE384" s="61"/>
      <c r="FF384" s="61"/>
      <c r="FG384" s="61"/>
      <c r="FH384" s="61"/>
      <c r="FI384" s="61"/>
      <c r="FJ384" s="61"/>
      <c r="FK384" s="61"/>
      <c r="FL384" s="61"/>
      <c r="FM384" s="61"/>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row>
    <row r="385" spans="1:228" s="62" customFormat="1">
      <c r="A385" s="89" t="s">
        <v>258</v>
      </c>
      <c r="B385" s="48" t="s">
        <v>403</v>
      </c>
      <c r="C385" s="74">
        <v>20000000</v>
      </c>
      <c r="D385" s="50"/>
      <c r="E385" s="114"/>
      <c r="F385" s="114"/>
      <c r="G385" s="118"/>
      <c r="H385" s="118"/>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c r="EZ385" s="61"/>
      <c r="FA385" s="61"/>
      <c r="FB385" s="61"/>
      <c r="FC385" s="61"/>
      <c r="FD385" s="61"/>
      <c r="FE385" s="61"/>
      <c r="FF385" s="61"/>
      <c r="FG385" s="61"/>
      <c r="FH385" s="61"/>
      <c r="FI385" s="61"/>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61"/>
      <c r="GQ385" s="61"/>
      <c r="GR385" s="61"/>
      <c r="GS385" s="61"/>
      <c r="GT385" s="61"/>
      <c r="GU385" s="61"/>
      <c r="GV385" s="61"/>
      <c r="GW385" s="61"/>
      <c r="GX385" s="61"/>
      <c r="GY385" s="61"/>
      <c r="GZ385" s="61"/>
      <c r="HA385" s="61"/>
      <c r="HB385" s="61"/>
      <c r="HC385" s="61"/>
      <c r="HD385" s="61"/>
      <c r="HE385" s="61"/>
      <c r="HF385" s="61"/>
      <c r="HG385" s="61"/>
      <c r="HH385" s="61"/>
      <c r="HI385" s="61"/>
      <c r="HJ385" s="61"/>
      <c r="HK385" s="61"/>
      <c r="HL385" s="61"/>
      <c r="HM385" s="61"/>
      <c r="HN385" s="61"/>
      <c r="HO385" s="61"/>
      <c r="HP385" s="61"/>
      <c r="HQ385" s="61"/>
      <c r="HR385" s="61"/>
      <c r="HS385" s="61"/>
      <c r="HT385" s="61"/>
    </row>
    <row r="386" spans="1:228" s="62" customFormat="1">
      <c r="A386" s="89" t="s">
        <v>258</v>
      </c>
      <c r="B386" s="48" t="s">
        <v>404</v>
      </c>
      <c r="C386" s="74">
        <v>20000000</v>
      </c>
      <c r="D386" s="50"/>
      <c r="E386" s="114"/>
      <c r="F386" s="114"/>
      <c r="G386" s="118"/>
      <c r="H386" s="118"/>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61"/>
      <c r="FA386" s="61"/>
      <c r="FB386" s="61"/>
      <c r="FC386" s="61"/>
      <c r="FD386" s="61"/>
      <c r="FE386" s="61"/>
      <c r="FF386" s="61"/>
      <c r="FG386" s="61"/>
      <c r="FH386" s="61"/>
      <c r="FI386" s="61"/>
      <c r="FJ386" s="61"/>
      <c r="FK386" s="61"/>
      <c r="FL386" s="61"/>
      <c r="FM386" s="61"/>
      <c r="FN386" s="61"/>
      <c r="FO386" s="61"/>
      <c r="FP386" s="61"/>
      <c r="FQ386" s="61"/>
      <c r="FR386" s="61"/>
      <c r="FS386" s="61"/>
      <c r="FT386" s="61"/>
      <c r="FU386" s="61"/>
      <c r="FV386" s="61"/>
      <c r="FW386" s="61"/>
      <c r="FX386" s="61"/>
      <c r="FY386" s="61"/>
      <c r="FZ386" s="61"/>
      <c r="GA386" s="61"/>
      <c r="GB386" s="61"/>
      <c r="GC386" s="61"/>
      <c r="GD386" s="61"/>
      <c r="GE386" s="61"/>
      <c r="GF386" s="61"/>
      <c r="GG386" s="61"/>
      <c r="GH386" s="61"/>
      <c r="GI386" s="61"/>
      <c r="GJ386" s="61"/>
      <c r="GK386" s="61"/>
      <c r="GL386" s="61"/>
      <c r="GM386" s="61"/>
      <c r="GN386" s="61"/>
      <c r="GO386" s="61"/>
      <c r="GP386" s="61"/>
      <c r="GQ386" s="61"/>
      <c r="GR386" s="61"/>
      <c r="GS386" s="61"/>
      <c r="GT386" s="61"/>
      <c r="GU386" s="61"/>
      <c r="GV386" s="61"/>
      <c r="GW386" s="61"/>
      <c r="GX386" s="61"/>
      <c r="GY386" s="61"/>
      <c r="GZ386" s="61"/>
      <c r="HA386" s="61"/>
      <c r="HB386" s="61"/>
      <c r="HC386" s="61"/>
      <c r="HD386" s="61"/>
      <c r="HE386" s="61"/>
      <c r="HF386" s="61"/>
      <c r="HG386" s="61"/>
      <c r="HH386" s="61"/>
      <c r="HI386" s="61"/>
      <c r="HJ386" s="61"/>
      <c r="HK386" s="61"/>
      <c r="HL386" s="61"/>
      <c r="HM386" s="61"/>
      <c r="HN386" s="61"/>
      <c r="HO386" s="61"/>
      <c r="HP386" s="61"/>
      <c r="HQ386" s="61"/>
      <c r="HR386" s="61"/>
      <c r="HS386" s="61"/>
      <c r="HT386" s="61"/>
    </row>
    <row r="387" spans="1:228" s="62" customFormat="1">
      <c r="A387" s="89" t="s">
        <v>258</v>
      </c>
      <c r="B387" s="48" t="s">
        <v>405</v>
      </c>
      <c r="C387" s="74">
        <v>90000000</v>
      </c>
      <c r="D387" s="50"/>
      <c r="E387" s="114"/>
      <c r="F387" s="114"/>
      <c r="G387" s="118"/>
      <c r="H387" s="118"/>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61"/>
      <c r="FF387" s="61"/>
      <c r="FG387" s="61"/>
      <c r="FH387" s="61"/>
      <c r="FI387" s="61"/>
      <c r="FJ387" s="61"/>
      <c r="FK387" s="61"/>
      <c r="FL387" s="61"/>
      <c r="FM387" s="61"/>
      <c r="FN387" s="61"/>
      <c r="FO387" s="61"/>
      <c r="FP387" s="61"/>
      <c r="FQ387" s="61"/>
      <c r="FR387" s="61"/>
      <c r="FS387" s="61"/>
      <c r="FT387" s="61"/>
      <c r="FU387" s="61"/>
      <c r="FV387" s="61"/>
      <c r="FW387" s="61"/>
      <c r="FX387" s="61"/>
      <c r="FY387" s="61"/>
      <c r="FZ387" s="61"/>
      <c r="GA387" s="61"/>
      <c r="GB387" s="61"/>
      <c r="GC387" s="61"/>
      <c r="GD387" s="61"/>
      <c r="GE387" s="61"/>
      <c r="GF387" s="61"/>
      <c r="GG387" s="61"/>
      <c r="GH387" s="61"/>
      <c r="GI387" s="61"/>
      <c r="GJ387" s="61"/>
      <c r="GK387" s="61"/>
      <c r="GL387" s="61"/>
      <c r="GM387" s="61"/>
      <c r="GN387" s="61"/>
      <c r="GO387" s="61"/>
      <c r="GP387" s="61"/>
      <c r="GQ387" s="61"/>
      <c r="GR387" s="61"/>
      <c r="GS387" s="61"/>
      <c r="GT387" s="61"/>
      <c r="GU387" s="61"/>
      <c r="GV387" s="61"/>
      <c r="GW387" s="61"/>
      <c r="GX387" s="61"/>
      <c r="GY387" s="61"/>
      <c r="GZ387" s="61"/>
      <c r="HA387" s="61"/>
      <c r="HB387" s="61"/>
      <c r="HC387" s="61"/>
      <c r="HD387" s="61"/>
      <c r="HE387" s="61"/>
      <c r="HF387" s="61"/>
      <c r="HG387" s="61"/>
      <c r="HH387" s="61"/>
      <c r="HI387" s="61"/>
      <c r="HJ387" s="61"/>
      <c r="HK387" s="61"/>
      <c r="HL387" s="61"/>
      <c r="HM387" s="61"/>
      <c r="HN387" s="61"/>
      <c r="HO387" s="61"/>
      <c r="HP387" s="61"/>
      <c r="HQ387" s="61"/>
      <c r="HR387" s="61"/>
      <c r="HS387" s="61"/>
      <c r="HT387" s="61"/>
    </row>
    <row r="388" spans="1:228" s="62" customFormat="1">
      <c r="A388" s="89" t="s">
        <v>258</v>
      </c>
      <c r="B388" s="48" t="s">
        <v>406</v>
      </c>
      <c r="C388" s="74">
        <v>14000000</v>
      </c>
      <c r="D388" s="50"/>
      <c r="E388" s="114"/>
      <c r="F388" s="114"/>
      <c r="G388" s="118"/>
      <c r="H388" s="118"/>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61"/>
      <c r="FA388" s="61"/>
      <c r="FB388" s="61"/>
      <c r="FC388" s="61"/>
      <c r="FD388" s="61"/>
      <c r="FE388" s="61"/>
      <c r="FF388" s="61"/>
      <c r="FG388" s="61"/>
      <c r="FH388" s="61"/>
      <c r="FI388" s="61"/>
      <c r="FJ388" s="61"/>
      <c r="FK388" s="61"/>
      <c r="FL388" s="61"/>
      <c r="FM388" s="61"/>
      <c r="FN388" s="61"/>
      <c r="FO388" s="61"/>
      <c r="FP388" s="61"/>
      <c r="FQ388" s="61"/>
      <c r="FR388" s="61"/>
      <c r="FS388" s="61"/>
      <c r="FT388" s="61"/>
      <c r="FU388" s="61"/>
      <c r="FV388" s="61"/>
      <c r="FW388" s="61"/>
      <c r="FX388" s="61"/>
      <c r="FY388" s="61"/>
      <c r="FZ388" s="61"/>
      <c r="GA388" s="61"/>
      <c r="GB388" s="61"/>
      <c r="GC388" s="61"/>
      <c r="GD388" s="61"/>
      <c r="GE388" s="61"/>
      <c r="GF388" s="61"/>
      <c r="GG388" s="61"/>
      <c r="GH388" s="61"/>
      <c r="GI388" s="61"/>
      <c r="GJ388" s="61"/>
      <c r="GK388" s="61"/>
      <c r="GL388" s="61"/>
      <c r="GM388" s="61"/>
      <c r="GN388" s="61"/>
      <c r="GO388" s="61"/>
      <c r="GP388" s="61"/>
      <c r="GQ388" s="61"/>
      <c r="GR388" s="61"/>
      <c r="GS388" s="61"/>
      <c r="GT388" s="61"/>
      <c r="GU388" s="61"/>
      <c r="GV388" s="61"/>
      <c r="GW388" s="61"/>
      <c r="GX388" s="61"/>
      <c r="GY388" s="61"/>
      <c r="GZ388" s="61"/>
      <c r="HA388" s="61"/>
      <c r="HB388" s="61"/>
      <c r="HC388" s="61"/>
      <c r="HD388" s="61"/>
      <c r="HE388" s="61"/>
      <c r="HF388" s="61"/>
      <c r="HG388" s="61"/>
      <c r="HH388" s="61"/>
      <c r="HI388" s="61"/>
      <c r="HJ388" s="61"/>
      <c r="HK388" s="61"/>
      <c r="HL388" s="61"/>
      <c r="HM388" s="61"/>
      <c r="HN388" s="61"/>
      <c r="HO388" s="61"/>
      <c r="HP388" s="61"/>
      <c r="HQ388" s="61"/>
      <c r="HR388" s="61"/>
      <c r="HS388" s="61"/>
      <c r="HT388" s="61"/>
    </row>
    <row r="389" spans="1:228" s="62" customFormat="1">
      <c r="A389" s="89" t="s">
        <v>258</v>
      </c>
      <c r="B389" s="48" t="s">
        <v>407</v>
      </c>
      <c r="C389" s="74">
        <v>7000000</v>
      </c>
      <c r="D389" s="50"/>
      <c r="E389" s="114"/>
      <c r="F389" s="114"/>
      <c r="G389" s="118"/>
      <c r="H389" s="118"/>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61"/>
      <c r="FG389" s="61"/>
      <c r="FH389" s="61"/>
      <c r="FI389" s="61"/>
      <c r="FJ389" s="61"/>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61"/>
      <c r="GP389" s="61"/>
      <c r="GQ389" s="61"/>
      <c r="GR389" s="61"/>
      <c r="GS389" s="61"/>
      <c r="GT389" s="61"/>
      <c r="GU389" s="61"/>
      <c r="GV389" s="61"/>
      <c r="GW389" s="61"/>
      <c r="GX389" s="61"/>
      <c r="GY389" s="61"/>
      <c r="GZ389" s="61"/>
      <c r="HA389" s="61"/>
      <c r="HB389" s="61"/>
      <c r="HC389" s="61"/>
      <c r="HD389" s="61"/>
      <c r="HE389" s="61"/>
      <c r="HF389" s="61"/>
      <c r="HG389" s="61"/>
      <c r="HH389" s="61"/>
      <c r="HI389" s="61"/>
      <c r="HJ389" s="61"/>
      <c r="HK389" s="61"/>
      <c r="HL389" s="61"/>
      <c r="HM389" s="61"/>
      <c r="HN389" s="61"/>
      <c r="HO389" s="61"/>
      <c r="HP389" s="61"/>
      <c r="HQ389" s="61"/>
      <c r="HR389" s="61"/>
      <c r="HS389" s="61"/>
      <c r="HT389" s="61"/>
    </row>
    <row r="390" spans="1:228" s="62" customFormat="1">
      <c r="A390" s="72" t="s">
        <v>261</v>
      </c>
      <c r="B390" s="105" t="s">
        <v>262</v>
      </c>
      <c r="C390" s="107">
        <v>78300000</v>
      </c>
      <c r="D390" s="76"/>
      <c r="E390" s="145"/>
      <c r="F390" s="145"/>
      <c r="G390" s="114"/>
      <c r="H390" s="114"/>
    </row>
    <row r="391" spans="1:228" s="62" customFormat="1">
      <c r="A391" s="89"/>
      <c r="B391" s="90" t="s">
        <v>263</v>
      </c>
      <c r="C391" s="65">
        <v>78300000</v>
      </c>
      <c r="D391" s="79"/>
      <c r="E391" s="118"/>
      <c r="F391" s="118"/>
      <c r="G391" s="114"/>
      <c r="H391" s="114"/>
    </row>
    <row r="392" spans="1:228" s="62" customFormat="1">
      <c r="A392" s="89"/>
      <c r="B392" s="65"/>
      <c r="C392" s="65"/>
      <c r="D392" s="79"/>
      <c r="E392" s="118"/>
      <c r="F392" s="118"/>
      <c r="G392" s="127"/>
      <c r="H392" s="127"/>
    </row>
    <row r="393" spans="1:228" s="62" customFormat="1">
      <c r="A393" s="31">
        <v>6</v>
      </c>
      <c r="B393" s="101" t="s">
        <v>204</v>
      </c>
      <c r="C393" s="69">
        <v>3006000000</v>
      </c>
      <c r="D393" s="56"/>
      <c r="E393" s="117"/>
      <c r="F393" s="117"/>
      <c r="G393" s="133"/>
      <c r="H393" s="133"/>
    </row>
    <row r="394" spans="1:228" s="88" customFormat="1" ht="19.5">
      <c r="A394" s="31" t="s">
        <v>222</v>
      </c>
      <c r="B394" s="101" t="s">
        <v>252</v>
      </c>
      <c r="C394" s="84">
        <v>2116000000</v>
      </c>
      <c r="D394" s="92"/>
      <c r="E394" s="131"/>
      <c r="F394" s="131"/>
      <c r="G394" s="117"/>
      <c r="H394" s="117"/>
    </row>
    <row r="395" spans="1:228" s="62" customFormat="1" ht="37.5">
      <c r="A395" s="109" t="s">
        <v>248</v>
      </c>
      <c r="B395" s="110" t="s">
        <v>377</v>
      </c>
      <c r="C395" s="91">
        <v>1657000000</v>
      </c>
      <c r="D395" s="79"/>
      <c r="E395" s="127"/>
      <c r="F395" s="127"/>
      <c r="G395" s="118"/>
      <c r="H395" s="118"/>
    </row>
    <row r="396" spans="1:228" s="29" customFormat="1">
      <c r="A396" s="109" t="s">
        <v>248</v>
      </c>
      <c r="B396" s="110" t="s">
        <v>256</v>
      </c>
      <c r="C396" s="91">
        <v>459000000</v>
      </c>
      <c r="D396" s="79"/>
      <c r="E396" s="127"/>
      <c r="F396" s="127"/>
      <c r="G396" s="127"/>
      <c r="H396" s="1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row>
    <row r="397" spans="1:228" s="62" customFormat="1" ht="19.5">
      <c r="A397" s="31" t="s">
        <v>225</v>
      </c>
      <c r="B397" s="101" t="s">
        <v>257</v>
      </c>
      <c r="C397" s="102">
        <v>890000000</v>
      </c>
      <c r="D397" s="38"/>
      <c r="E397" s="116"/>
      <c r="F397" s="116"/>
      <c r="G397" s="131"/>
      <c r="H397" s="131"/>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row>
    <row r="398" spans="1:228" s="62" customFormat="1">
      <c r="A398" s="63" t="s">
        <v>91</v>
      </c>
      <c r="B398" s="48" t="s">
        <v>399</v>
      </c>
      <c r="C398" s="196">
        <v>30000000</v>
      </c>
      <c r="D398" s="197"/>
      <c r="E398" s="198"/>
      <c r="F398" s="198"/>
      <c r="G398" s="127" t="s">
        <v>408</v>
      </c>
      <c r="H398" s="127"/>
    </row>
    <row r="399" spans="1:228" s="62" customFormat="1">
      <c r="A399" s="63" t="s">
        <v>91</v>
      </c>
      <c r="B399" s="55" t="s">
        <v>409</v>
      </c>
      <c r="C399" s="196">
        <v>30000000</v>
      </c>
      <c r="D399" s="197"/>
      <c r="E399" s="198"/>
      <c r="F399" s="198"/>
      <c r="G399" s="127"/>
      <c r="H399" s="127"/>
    </row>
    <row r="400" spans="1:228" s="62" customFormat="1">
      <c r="A400" s="63" t="s">
        <v>91</v>
      </c>
      <c r="B400" s="55" t="s">
        <v>410</v>
      </c>
      <c r="C400" s="196">
        <v>400000000</v>
      </c>
      <c r="D400" s="197"/>
      <c r="E400" s="198"/>
      <c r="F400" s="198"/>
      <c r="G400" s="127"/>
      <c r="H400" s="127"/>
    </row>
    <row r="401" spans="1:228" s="62" customFormat="1">
      <c r="A401" s="63"/>
      <c r="B401" s="55" t="s">
        <v>411</v>
      </c>
      <c r="C401" s="196">
        <v>200000000</v>
      </c>
      <c r="D401" s="197"/>
      <c r="E401" s="198"/>
      <c r="F401" s="198"/>
      <c r="G401" s="127"/>
      <c r="H401" s="127"/>
    </row>
    <row r="402" spans="1:228" s="62" customFormat="1">
      <c r="A402" s="63"/>
      <c r="B402" s="48" t="s">
        <v>412</v>
      </c>
      <c r="C402" s="23">
        <v>50000000</v>
      </c>
      <c r="D402" s="50"/>
      <c r="E402" s="115"/>
      <c r="F402" s="115"/>
      <c r="G402" s="115"/>
      <c r="H402" s="115"/>
    </row>
    <row r="403" spans="1:228" s="62" customFormat="1">
      <c r="A403" s="63"/>
      <c r="B403" s="48" t="s">
        <v>413</v>
      </c>
      <c r="C403" s="23">
        <v>100000000</v>
      </c>
      <c r="D403" s="50"/>
      <c r="E403" s="115"/>
      <c r="F403" s="115"/>
      <c r="G403" s="115"/>
      <c r="H403" s="115"/>
    </row>
    <row r="404" spans="1:228" s="62" customFormat="1">
      <c r="A404" s="63"/>
      <c r="B404" s="48" t="s">
        <v>414</v>
      </c>
      <c r="C404" s="23">
        <v>30000000</v>
      </c>
      <c r="D404" s="50"/>
      <c r="E404" s="115"/>
      <c r="F404" s="115"/>
      <c r="G404" s="115"/>
      <c r="H404" s="115"/>
    </row>
    <row r="405" spans="1:228" ht="56.25">
      <c r="A405" s="63" t="s">
        <v>91</v>
      </c>
      <c r="B405" s="48" t="s">
        <v>415</v>
      </c>
      <c r="C405" s="23">
        <v>50000000</v>
      </c>
      <c r="D405" s="50"/>
      <c r="E405" s="115"/>
      <c r="F405" s="115"/>
      <c r="G405" s="127"/>
      <c r="H405" s="127"/>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c r="FY405" s="62"/>
      <c r="FZ405" s="62"/>
      <c r="GA405" s="62"/>
      <c r="GB405" s="62"/>
      <c r="GC405" s="62"/>
      <c r="GD405" s="62"/>
      <c r="GE405" s="62"/>
      <c r="GF405" s="62"/>
      <c r="GG405" s="62"/>
      <c r="GH405" s="62"/>
      <c r="GI405" s="62"/>
      <c r="GJ405" s="62"/>
      <c r="GK405" s="62"/>
      <c r="GL405" s="62"/>
      <c r="GM405" s="62"/>
      <c r="GN405" s="62"/>
      <c r="GO405" s="62"/>
      <c r="GP405" s="62"/>
      <c r="GQ405" s="62"/>
      <c r="GR405" s="62"/>
      <c r="GS405" s="62"/>
      <c r="GT405" s="62"/>
      <c r="GU405" s="62"/>
      <c r="GV405" s="62"/>
      <c r="GW405" s="62"/>
      <c r="GX405" s="62"/>
      <c r="GY405" s="62"/>
      <c r="GZ405" s="62"/>
      <c r="HA405" s="62"/>
      <c r="HB405" s="62"/>
      <c r="HC405" s="62"/>
      <c r="HD405" s="62"/>
      <c r="HE405" s="62"/>
      <c r="HF405" s="62"/>
      <c r="HG405" s="62"/>
      <c r="HH405" s="62"/>
      <c r="HI405" s="62"/>
      <c r="HJ405" s="62"/>
      <c r="HK405" s="62"/>
      <c r="HL405" s="62"/>
      <c r="HM405" s="62"/>
      <c r="HN405" s="62"/>
      <c r="HO405" s="62"/>
      <c r="HP405" s="62"/>
      <c r="HQ405" s="62"/>
      <c r="HR405" s="62"/>
      <c r="HS405" s="62"/>
      <c r="HT405" s="62"/>
    </row>
    <row r="406" spans="1:228">
      <c r="A406" s="72" t="s">
        <v>261</v>
      </c>
      <c r="B406" s="105" t="s">
        <v>262</v>
      </c>
      <c r="C406" s="107">
        <v>128900000</v>
      </c>
      <c r="D406" s="76"/>
      <c r="E406" s="145"/>
      <c r="F406" s="145"/>
      <c r="G406" s="114"/>
      <c r="H406" s="114"/>
    </row>
    <row r="407" spans="1:228">
      <c r="A407" s="89"/>
      <c r="B407" s="90" t="s">
        <v>263</v>
      </c>
      <c r="C407" s="65">
        <v>128900000</v>
      </c>
      <c r="D407" s="79"/>
      <c r="E407" s="118"/>
      <c r="F407" s="118"/>
      <c r="G407" s="114"/>
      <c r="H407" s="114"/>
    </row>
    <row r="408" spans="1:228" s="62" customFormat="1">
      <c r="A408" s="89"/>
      <c r="B408" s="65"/>
      <c r="C408" s="65"/>
      <c r="D408" s="79"/>
      <c r="E408" s="118"/>
      <c r="F408" s="118"/>
      <c r="G408" s="127"/>
      <c r="H408" s="1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row>
    <row r="409" spans="1:228" s="47" customFormat="1" ht="19.5">
      <c r="A409" s="31">
        <v>7</v>
      </c>
      <c r="B409" s="41" t="s">
        <v>206</v>
      </c>
      <c r="C409" s="69">
        <v>1399000000</v>
      </c>
      <c r="D409" s="56"/>
      <c r="E409" s="117"/>
      <c r="F409" s="117"/>
      <c r="G409" s="133"/>
      <c r="H409" s="133"/>
      <c r="I409" s="88"/>
      <c r="J409" s="88"/>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c r="BE409" s="88"/>
      <c r="BF409" s="88"/>
      <c r="BG409" s="88"/>
      <c r="BH409" s="88"/>
      <c r="BI409" s="88"/>
      <c r="BJ409" s="88"/>
      <c r="BK409" s="88"/>
      <c r="BL409" s="88"/>
      <c r="BM409" s="88"/>
      <c r="BN409" s="88"/>
      <c r="BO409" s="88"/>
      <c r="BP409" s="88"/>
      <c r="BQ409" s="88"/>
      <c r="BR409" s="88"/>
      <c r="BS409" s="88"/>
      <c r="BT409" s="88"/>
      <c r="BU409" s="88"/>
      <c r="BV409" s="88"/>
      <c r="BW409" s="88"/>
      <c r="BX409" s="88"/>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c r="CZ409" s="88"/>
      <c r="DA409" s="88"/>
      <c r="DB409" s="88"/>
      <c r="DC409" s="88"/>
      <c r="DD409" s="88"/>
      <c r="DE409" s="88"/>
      <c r="DF409" s="88"/>
      <c r="DG409" s="88"/>
      <c r="DH409" s="88"/>
      <c r="DI409" s="88"/>
      <c r="DJ409" s="88"/>
      <c r="DK409" s="88"/>
      <c r="DL409" s="88"/>
      <c r="DM409" s="88"/>
      <c r="DN409" s="88"/>
      <c r="DO409" s="88"/>
      <c r="DP409" s="88"/>
      <c r="DQ409" s="88"/>
      <c r="DR409" s="88"/>
      <c r="DS409" s="88"/>
      <c r="DT409" s="88"/>
      <c r="DU409" s="88"/>
      <c r="DV409" s="88"/>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8"/>
      <c r="EU409" s="88"/>
      <c r="EV409" s="88"/>
      <c r="EW409" s="88"/>
      <c r="EX409" s="88"/>
      <c r="EY409" s="88"/>
      <c r="EZ409" s="88"/>
      <c r="FA409" s="88"/>
      <c r="FB409" s="88"/>
      <c r="FC409" s="88"/>
      <c r="FD409" s="88"/>
      <c r="FE409" s="88"/>
      <c r="FF409" s="88"/>
      <c r="FG409" s="88"/>
      <c r="FH409" s="88"/>
      <c r="FI409" s="88"/>
      <c r="FJ409" s="88"/>
      <c r="FK409" s="88"/>
      <c r="FL409" s="88"/>
      <c r="FM409" s="88"/>
      <c r="FN409" s="88"/>
      <c r="FO409" s="88"/>
      <c r="FP409" s="88"/>
      <c r="FQ409" s="88"/>
      <c r="FR409" s="88"/>
      <c r="FS409" s="88"/>
      <c r="FT409" s="88"/>
      <c r="FU409" s="88"/>
      <c r="FV409" s="88"/>
      <c r="FW409" s="88"/>
      <c r="FX409" s="88"/>
      <c r="FY409" s="88"/>
      <c r="FZ409" s="88"/>
      <c r="GA409" s="88"/>
      <c r="GB409" s="88"/>
      <c r="GC409" s="88"/>
      <c r="GD409" s="88"/>
      <c r="GE409" s="88"/>
      <c r="GF409" s="88"/>
      <c r="GG409" s="88"/>
      <c r="GH409" s="88"/>
      <c r="GI409" s="88"/>
      <c r="GJ409" s="88"/>
      <c r="GK409" s="88"/>
      <c r="GL409" s="88"/>
      <c r="GM409" s="88"/>
      <c r="GN409" s="88"/>
      <c r="GO409" s="88"/>
      <c r="GP409" s="88"/>
      <c r="GQ409" s="88"/>
      <c r="GR409" s="88"/>
      <c r="GS409" s="88"/>
      <c r="GT409" s="88"/>
      <c r="GU409" s="88"/>
      <c r="GV409" s="88"/>
      <c r="GW409" s="88"/>
      <c r="GX409" s="88"/>
      <c r="GY409" s="88"/>
      <c r="GZ409" s="88"/>
      <c r="HA409" s="88"/>
      <c r="HB409" s="88"/>
      <c r="HC409" s="88"/>
      <c r="HD409" s="88"/>
      <c r="HE409" s="88"/>
      <c r="HF409" s="88"/>
      <c r="HG409" s="88"/>
      <c r="HH409" s="88"/>
      <c r="HI409" s="88"/>
      <c r="HJ409" s="88"/>
      <c r="HK409" s="88"/>
      <c r="HL409" s="88"/>
      <c r="HM409" s="88"/>
      <c r="HN409" s="88"/>
      <c r="HO409" s="88"/>
      <c r="HP409" s="88"/>
      <c r="HQ409" s="88"/>
      <c r="HR409" s="88"/>
      <c r="HS409" s="88"/>
      <c r="HT409" s="88"/>
    </row>
    <row r="410" spans="1:228" s="47" customFormat="1" ht="19.5">
      <c r="A410" s="31" t="s">
        <v>222</v>
      </c>
      <c r="B410" s="101" t="s">
        <v>252</v>
      </c>
      <c r="C410" s="84">
        <v>1180000000</v>
      </c>
      <c r="D410" s="92"/>
      <c r="E410" s="131"/>
      <c r="F410" s="131"/>
      <c r="G410" s="117"/>
      <c r="H410" s="117"/>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c r="BF410" s="88"/>
      <c r="BG410" s="88"/>
      <c r="BH410" s="88"/>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c r="CM410" s="88"/>
      <c r="CN410" s="88"/>
      <c r="CO410" s="88"/>
      <c r="CP410" s="88"/>
      <c r="CQ410" s="88"/>
      <c r="CR410" s="88"/>
      <c r="CS410" s="88"/>
      <c r="CT410" s="88"/>
      <c r="CU410" s="88"/>
      <c r="CV410" s="88"/>
      <c r="CW410" s="88"/>
      <c r="CX410" s="88"/>
      <c r="CY410" s="88"/>
      <c r="CZ410" s="88"/>
      <c r="DA410" s="88"/>
      <c r="DB410" s="88"/>
      <c r="DC410" s="88"/>
      <c r="DD410" s="88"/>
      <c r="DE410" s="88"/>
      <c r="DF410" s="88"/>
      <c r="DG410" s="88"/>
      <c r="DH410" s="88"/>
      <c r="DI410" s="88"/>
      <c r="DJ410" s="88"/>
      <c r="DK410" s="88"/>
      <c r="DL410" s="88"/>
      <c r="DM410" s="88"/>
      <c r="DN410" s="88"/>
      <c r="DO410" s="88"/>
      <c r="DP410" s="88"/>
      <c r="DQ410" s="88"/>
      <c r="DR410" s="88"/>
      <c r="DS410" s="88"/>
      <c r="DT410" s="88"/>
      <c r="DU410" s="88"/>
      <c r="DV410" s="88"/>
      <c r="DW410" s="88"/>
      <c r="DX410" s="88"/>
      <c r="DY410" s="88"/>
      <c r="DZ410" s="88"/>
      <c r="EA410" s="88"/>
      <c r="EB410" s="88"/>
      <c r="EC410" s="88"/>
      <c r="ED410" s="88"/>
      <c r="EE410" s="88"/>
      <c r="EF410" s="88"/>
      <c r="EG410" s="88"/>
      <c r="EH410" s="88"/>
      <c r="EI410" s="88"/>
      <c r="EJ410" s="88"/>
      <c r="EK410" s="88"/>
      <c r="EL410" s="88"/>
      <c r="EM410" s="88"/>
      <c r="EN410" s="88"/>
      <c r="EO410" s="88"/>
      <c r="EP410" s="88"/>
      <c r="EQ410" s="88"/>
      <c r="ER410" s="88"/>
      <c r="ES410" s="88"/>
      <c r="ET410" s="88"/>
      <c r="EU410" s="88"/>
      <c r="EV410" s="88"/>
      <c r="EW410" s="88"/>
      <c r="EX410" s="88"/>
      <c r="EY410" s="88"/>
      <c r="EZ410" s="88"/>
      <c r="FA410" s="88"/>
      <c r="FB410" s="88"/>
      <c r="FC410" s="88"/>
      <c r="FD410" s="88"/>
      <c r="FE410" s="88"/>
      <c r="FF410" s="88"/>
      <c r="FG410" s="88"/>
      <c r="FH410" s="88"/>
      <c r="FI410" s="88"/>
      <c r="FJ410" s="88"/>
      <c r="FK410" s="88"/>
      <c r="FL410" s="88"/>
      <c r="FM410" s="88"/>
      <c r="FN410" s="88"/>
      <c r="FO410" s="88"/>
      <c r="FP410" s="88"/>
      <c r="FQ410" s="88"/>
      <c r="FR410" s="88"/>
      <c r="FS410" s="88"/>
      <c r="FT410" s="88"/>
      <c r="FU410" s="88"/>
      <c r="FV410" s="88"/>
      <c r="FW410" s="88"/>
      <c r="FX410" s="88"/>
      <c r="FY410" s="88"/>
      <c r="FZ410" s="88"/>
      <c r="GA410" s="88"/>
      <c r="GB410" s="88"/>
      <c r="GC410" s="88"/>
      <c r="GD410" s="88"/>
      <c r="GE410" s="88"/>
      <c r="GF410" s="88"/>
      <c r="GG410" s="88"/>
      <c r="GH410" s="88"/>
      <c r="GI410" s="88"/>
      <c r="GJ410" s="88"/>
      <c r="GK410" s="88"/>
      <c r="GL410" s="88"/>
      <c r="GM410" s="88"/>
      <c r="GN410" s="88"/>
      <c r="GO410" s="88"/>
      <c r="GP410" s="88"/>
      <c r="GQ410" s="88"/>
      <c r="GR410" s="88"/>
      <c r="GS410" s="88"/>
      <c r="GT410" s="88"/>
      <c r="GU410" s="88"/>
      <c r="GV410" s="88"/>
      <c r="GW410" s="88"/>
      <c r="GX410" s="88"/>
      <c r="GY410" s="88"/>
      <c r="GZ410" s="88"/>
      <c r="HA410" s="88"/>
      <c r="HB410" s="88"/>
      <c r="HC410" s="88"/>
      <c r="HD410" s="88"/>
      <c r="HE410" s="88"/>
      <c r="HF410" s="88"/>
      <c r="HG410" s="88"/>
      <c r="HH410" s="88"/>
      <c r="HI410" s="88"/>
      <c r="HJ410" s="88"/>
      <c r="HK410" s="88"/>
      <c r="HL410" s="88"/>
      <c r="HM410" s="88"/>
      <c r="HN410" s="88"/>
      <c r="HO410" s="88"/>
      <c r="HP410" s="88"/>
      <c r="HQ410" s="88"/>
      <c r="HR410" s="88"/>
      <c r="HS410" s="88"/>
      <c r="HT410" s="88"/>
    </row>
    <row r="411" spans="1:228" s="47" customFormat="1" ht="37.5">
      <c r="A411" s="89" t="s">
        <v>258</v>
      </c>
      <c r="B411" s="110" t="s">
        <v>377</v>
      </c>
      <c r="C411" s="91">
        <v>937000000</v>
      </c>
      <c r="D411" s="79"/>
      <c r="E411" s="127"/>
      <c r="F411" s="127"/>
      <c r="G411" s="127"/>
      <c r="H411" s="127"/>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c r="BF411" s="88"/>
      <c r="BG411" s="88"/>
      <c r="BH411" s="88"/>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c r="CM411" s="88"/>
      <c r="CN411" s="88"/>
      <c r="CO411" s="88"/>
      <c r="CP411" s="88"/>
      <c r="CQ411" s="88"/>
      <c r="CR411" s="88"/>
      <c r="CS411" s="88"/>
      <c r="CT411" s="88"/>
      <c r="CU411" s="88"/>
      <c r="CV411" s="88"/>
      <c r="CW411" s="88"/>
      <c r="CX411" s="88"/>
      <c r="CY411" s="88"/>
      <c r="CZ411" s="88"/>
      <c r="DA411" s="88"/>
      <c r="DB411" s="88"/>
      <c r="DC411" s="88"/>
      <c r="DD411" s="88"/>
      <c r="DE411" s="88"/>
      <c r="DF411" s="88"/>
      <c r="DG411" s="88"/>
      <c r="DH411" s="88"/>
      <c r="DI411" s="88"/>
      <c r="DJ411" s="88"/>
      <c r="DK411" s="88"/>
      <c r="DL411" s="88"/>
      <c r="DM411" s="88"/>
      <c r="DN411" s="88"/>
      <c r="DO411" s="88"/>
      <c r="DP411" s="88"/>
      <c r="DQ411" s="88"/>
      <c r="DR411" s="88"/>
      <c r="DS411" s="88"/>
      <c r="DT411" s="88"/>
      <c r="DU411" s="88"/>
      <c r="DV411" s="88"/>
      <c r="DW411" s="88"/>
      <c r="DX411" s="88"/>
      <c r="DY411" s="88"/>
      <c r="DZ411" s="88"/>
      <c r="EA411" s="88"/>
      <c r="EB411" s="88"/>
      <c r="EC411" s="88"/>
      <c r="ED411" s="88"/>
      <c r="EE411" s="88"/>
      <c r="EF411" s="88"/>
      <c r="EG411" s="88"/>
      <c r="EH411" s="88"/>
      <c r="EI411" s="88"/>
      <c r="EJ411" s="88"/>
      <c r="EK411" s="88"/>
      <c r="EL411" s="88"/>
      <c r="EM411" s="88"/>
      <c r="EN411" s="88"/>
      <c r="EO411" s="88"/>
      <c r="EP411" s="88"/>
      <c r="EQ411" s="88"/>
      <c r="ER411" s="88"/>
      <c r="ES411" s="88"/>
      <c r="ET411" s="88"/>
      <c r="EU411" s="88"/>
      <c r="EV411" s="88"/>
      <c r="EW411" s="88"/>
      <c r="EX411" s="88"/>
      <c r="EY411" s="88"/>
      <c r="EZ411" s="88"/>
      <c r="FA411" s="88"/>
      <c r="FB411" s="88"/>
      <c r="FC411" s="88"/>
      <c r="FD411" s="88"/>
      <c r="FE411" s="88"/>
      <c r="FF411" s="88"/>
      <c r="FG411" s="88"/>
      <c r="FH411" s="88"/>
      <c r="FI411" s="88"/>
      <c r="FJ411" s="88"/>
      <c r="FK411" s="88"/>
      <c r="FL411" s="88"/>
      <c r="FM411" s="88"/>
      <c r="FN411" s="88"/>
      <c r="FO411" s="88"/>
      <c r="FP411" s="88"/>
      <c r="FQ411" s="88"/>
      <c r="FR411" s="88"/>
      <c r="FS411" s="88"/>
      <c r="FT411" s="88"/>
      <c r="FU411" s="88"/>
      <c r="FV411" s="88"/>
      <c r="FW411" s="88"/>
      <c r="FX411" s="88"/>
      <c r="FY411" s="88"/>
      <c r="FZ411" s="88"/>
      <c r="GA411" s="88"/>
      <c r="GB411" s="88"/>
      <c r="GC411" s="88"/>
      <c r="GD411" s="88"/>
      <c r="GE411" s="88"/>
      <c r="GF411" s="88"/>
      <c r="GG411" s="88"/>
      <c r="GH411" s="88"/>
      <c r="GI411" s="88"/>
      <c r="GJ411" s="88"/>
      <c r="GK411" s="88"/>
      <c r="GL411" s="88"/>
      <c r="GM411" s="88"/>
      <c r="GN411" s="88"/>
      <c r="GO411" s="88"/>
      <c r="GP411" s="88"/>
      <c r="GQ411" s="88"/>
      <c r="GR411" s="88"/>
      <c r="GS411" s="88"/>
      <c r="GT411" s="88"/>
      <c r="GU411" s="88"/>
      <c r="GV411" s="88"/>
      <c r="GW411" s="88"/>
      <c r="GX411" s="88"/>
      <c r="GY411" s="88"/>
      <c r="GZ411" s="88"/>
      <c r="HA411" s="88"/>
      <c r="HB411" s="88"/>
      <c r="HC411" s="88"/>
      <c r="HD411" s="88"/>
      <c r="HE411" s="88"/>
      <c r="HF411" s="88"/>
      <c r="HG411" s="88"/>
      <c r="HH411" s="88"/>
      <c r="HI411" s="88"/>
      <c r="HJ411" s="88"/>
      <c r="HK411" s="88"/>
      <c r="HL411" s="88"/>
      <c r="HM411" s="88"/>
      <c r="HN411" s="88"/>
      <c r="HO411" s="88"/>
      <c r="HP411" s="88"/>
      <c r="HQ411" s="88"/>
      <c r="HR411" s="88"/>
      <c r="HS411" s="88"/>
      <c r="HT411" s="88"/>
    </row>
    <row r="412" spans="1:228" s="47" customFormat="1" ht="19.5">
      <c r="A412" s="89" t="s">
        <v>258</v>
      </c>
      <c r="B412" s="110" t="s">
        <v>256</v>
      </c>
      <c r="C412" s="91">
        <v>243000000</v>
      </c>
      <c r="D412" s="79"/>
      <c r="E412" s="127"/>
      <c r="F412" s="127"/>
      <c r="G412" s="127"/>
      <c r="H412" s="127"/>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c r="BE412" s="88"/>
      <c r="BF412" s="88"/>
      <c r="BG412" s="88"/>
      <c r="BH412" s="88"/>
      <c r="BI412" s="88"/>
      <c r="BJ412" s="88"/>
      <c r="BK412" s="88"/>
      <c r="BL412" s="88"/>
      <c r="BM412" s="88"/>
      <c r="BN412" s="88"/>
      <c r="BO412" s="88"/>
      <c r="BP412" s="88"/>
      <c r="BQ412" s="88"/>
      <c r="BR412" s="88"/>
      <c r="BS412" s="88"/>
      <c r="BT412" s="88"/>
      <c r="BU412" s="88"/>
      <c r="BV412" s="88"/>
      <c r="BW412" s="88"/>
      <c r="BX412" s="88"/>
      <c r="BY412" s="88"/>
      <c r="BZ412" s="88"/>
      <c r="CA412" s="88"/>
      <c r="CB412" s="88"/>
      <c r="CC412" s="88"/>
      <c r="CD412" s="88"/>
      <c r="CE412" s="88"/>
      <c r="CF412" s="88"/>
      <c r="CG412" s="88"/>
      <c r="CH412" s="88"/>
      <c r="CI412" s="88"/>
      <c r="CJ412" s="88"/>
      <c r="CK412" s="88"/>
      <c r="CL412" s="88"/>
      <c r="CM412" s="88"/>
      <c r="CN412" s="88"/>
      <c r="CO412" s="88"/>
      <c r="CP412" s="88"/>
      <c r="CQ412" s="88"/>
      <c r="CR412" s="88"/>
      <c r="CS412" s="88"/>
      <c r="CT412" s="88"/>
      <c r="CU412" s="88"/>
      <c r="CV412" s="88"/>
      <c r="CW412" s="88"/>
      <c r="CX412" s="88"/>
      <c r="CY412" s="88"/>
      <c r="CZ412" s="88"/>
      <c r="DA412" s="88"/>
      <c r="DB412" s="88"/>
      <c r="DC412" s="88"/>
      <c r="DD412" s="88"/>
      <c r="DE412" s="88"/>
      <c r="DF412" s="88"/>
      <c r="DG412" s="88"/>
      <c r="DH412" s="88"/>
      <c r="DI412" s="88"/>
      <c r="DJ412" s="88"/>
      <c r="DK412" s="88"/>
      <c r="DL412" s="88"/>
      <c r="DM412" s="88"/>
      <c r="DN412" s="88"/>
      <c r="DO412" s="88"/>
      <c r="DP412" s="88"/>
      <c r="DQ412" s="88"/>
      <c r="DR412" s="88"/>
      <c r="DS412" s="88"/>
      <c r="DT412" s="88"/>
      <c r="DU412" s="88"/>
      <c r="DV412" s="88"/>
      <c r="DW412" s="88"/>
      <c r="DX412" s="88"/>
      <c r="DY412" s="88"/>
      <c r="DZ412" s="88"/>
      <c r="EA412" s="88"/>
      <c r="EB412" s="88"/>
      <c r="EC412" s="88"/>
      <c r="ED412" s="88"/>
      <c r="EE412" s="88"/>
      <c r="EF412" s="88"/>
      <c r="EG412" s="88"/>
      <c r="EH412" s="88"/>
      <c r="EI412" s="88"/>
      <c r="EJ412" s="88"/>
      <c r="EK412" s="88"/>
      <c r="EL412" s="88"/>
      <c r="EM412" s="88"/>
      <c r="EN412" s="88"/>
      <c r="EO412" s="88"/>
      <c r="EP412" s="88"/>
      <c r="EQ412" s="88"/>
      <c r="ER412" s="88"/>
      <c r="ES412" s="88"/>
      <c r="ET412" s="88"/>
      <c r="EU412" s="88"/>
      <c r="EV412" s="88"/>
      <c r="EW412" s="88"/>
      <c r="EX412" s="88"/>
      <c r="EY412" s="88"/>
      <c r="EZ412" s="88"/>
      <c r="FA412" s="88"/>
      <c r="FB412" s="88"/>
      <c r="FC412" s="88"/>
      <c r="FD412" s="88"/>
      <c r="FE412" s="88"/>
      <c r="FF412" s="88"/>
      <c r="FG412" s="88"/>
      <c r="FH412" s="88"/>
      <c r="FI412" s="88"/>
      <c r="FJ412" s="88"/>
      <c r="FK412" s="88"/>
      <c r="FL412" s="88"/>
      <c r="FM412" s="88"/>
      <c r="FN412" s="88"/>
      <c r="FO412" s="88"/>
      <c r="FP412" s="88"/>
      <c r="FQ412" s="88"/>
      <c r="FR412" s="88"/>
      <c r="FS412" s="88"/>
      <c r="FT412" s="88"/>
      <c r="FU412" s="88"/>
      <c r="FV412" s="88"/>
      <c r="FW412" s="88"/>
      <c r="FX412" s="88"/>
      <c r="FY412" s="88"/>
      <c r="FZ412" s="88"/>
      <c r="GA412" s="88"/>
      <c r="GB412" s="88"/>
      <c r="GC412" s="88"/>
      <c r="GD412" s="88"/>
      <c r="GE412" s="88"/>
      <c r="GF412" s="88"/>
      <c r="GG412" s="88"/>
      <c r="GH412" s="88"/>
      <c r="GI412" s="88"/>
      <c r="GJ412" s="88"/>
      <c r="GK412" s="88"/>
      <c r="GL412" s="88"/>
      <c r="GM412" s="88"/>
      <c r="GN412" s="88"/>
      <c r="GO412" s="88"/>
      <c r="GP412" s="88"/>
      <c r="GQ412" s="88"/>
      <c r="GR412" s="88"/>
      <c r="GS412" s="88"/>
      <c r="GT412" s="88"/>
      <c r="GU412" s="88"/>
      <c r="GV412" s="88"/>
      <c r="GW412" s="88"/>
      <c r="GX412" s="88"/>
      <c r="GY412" s="88"/>
      <c r="GZ412" s="88"/>
      <c r="HA412" s="88"/>
      <c r="HB412" s="88"/>
      <c r="HC412" s="88"/>
      <c r="HD412" s="88"/>
      <c r="HE412" s="88"/>
      <c r="HF412" s="88"/>
      <c r="HG412" s="88"/>
      <c r="HH412" s="88"/>
      <c r="HI412" s="88"/>
      <c r="HJ412" s="88"/>
      <c r="HK412" s="88"/>
      <c r="HL412" s="88"/>
      <c r="HM412" s="88"/>
      <c r="HN412" s="88"/>
      <c r="HO412" s="88"/>
      <c r="HP412" s="88"/>
      <c r="HQ412" s="88"/>
      <c r="HR412" s="88"/>
      <c r="HS412" s="88"/>
      <c r="HT412" s="88"/>
    </row>
    <row r="413" spans="1:228" s="62" customFormat="1" ht="19.5">
      <c r="A413" s="109" t="s">
        <v>91</v>
      </c>
      <c r="B413" s="110" t="s">
        <v>416</v>
      </c>
      <c r="C413" s="91"/>
      <c r="D413" s="79"/>
      <c r="E413" s="127"/>
      <c r="F413" s="127"/>
      <c r="G413" s="187"/>
      <c r="H413" s="18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row>
    <row r="414" spans="1:228" s="88" customFormat="1" ht="19.5">
      <c r="A414" s="31" t="s">
        <v>225</v>
      </c>
      <c r="B414" s="101" t="s">
        <v>257</v>
      </c>
      <c r="C414" s="102">
        <v>219000000</v>
      </c>
      <c r="D414" s="38"/>
      <c r="E414" s="116"/>
      <c r="F414" s="116"/>
      <c r="G414" s="131"/>
      <c r="H414" s="13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71"/>
      <c r="CI414" s="71"/>
      <c r="CJ414" s="71"/>
      <c r="CK414" s="71"/>
      <c r="CL414" s="71"/>
      <c r="CM414" s="71"/>
      <c r="CN414" s="71"/>
      <c r="CO414" s="71"/>
      <c r="CP414" s="71"/>
      <c r="CQ414" s="71"/>
      <c r="CR414" s="71"/>
      <c r="CS414" s="71"/>
      <c r="CT414" s="71"/>
      <c r="CU414" s="71"/>
      <c r="CV414" s="71"/>
      <c r="CW414" s="71"/>
      <c r="CX414" s="71"/>
      <c r="CY414" s="71"/>
      <c r="CZ414" s="71"/>
      <c r="DA414" s="71"/>
      <c r="DB414" s="71"/>
      <c r="DC414" s="71"/>
      <c r="DD414" s="71"/>
      <c r="DE414" s="71"/>
      <c r="DF414" s="71"/>
      <c r="DG414" s="71"/>
      <c r="DH414" s="71"/>
      <c r="DI414" s="71"/>
      <c r="DJ414" s="71"/>
      <c r="DK414" s="71"/>
      <c r="DL414" s="71"/>
      <c r="DM414" s="71"/>
      <c r="DN414" s="71"/>
      <c r="DO414" s="71"/>
      <c r="DP414" s="71"/>
      <c r="DQ414" s="71"/>
      <c r="DR414" s="71"/>
      <c r="DS414" s="71"/>
      <c r="DT414" s="71"/>
      <c r="DU414" s="71"/>
      <c r="DV414" s="71"/>
      <c r="DW414" s="71"/>
      <c r="DX414" s="71"/>
      <c r="DY414" s="71"/>
      <c r="DZ414" s="71"/>
      <c r="EA414" s="71"/>
      <c r="EB414" s="71"/>
      <c r="EC414" s="71"/>
      <c r="ED414" s="71"/>
      <c r="EE414" s="71"/>
      <c r="EF414" s="71"/>
      <c r="EG414" s="71"/>
      <c r="EH414" s="71"/>
      <c r="EI414" s="71"/>
      <c r="EJ414" s="71"/>
      <c r="EK414" s="71"/>
      <c r="EL414" s="71"/>
      <c r="EM414" s="71"/>
      <c r="EN414" s="71"/>
      <c r="EO414" s="71"/>
      <c r="EP414" s="71"/>
      <c r="EQ414" s="71"/>
      <c r="ER414" s="71"/>
      <c r="ES414" s="71"/>
      <c r="ET414" s="71"/>
      <c r="EU414" s="71"/>
      <c r="EV414" s="71"/>
      <c r="EW414" s="71"/>
      <c r="EX414" s="71"/>
      <c r="EY414" s="71"/>
      <c r="EZ414" s="71"/>
      <c r="FA414" s="71"/>
      <c r="FB414" s="71"/>
      <c r="FC414" s="71"/>
      <c r="FD414" s="71"/>
      <c r="FE414" s="71"/>
      <c r="FF414" s="71"/>
      <c r="FG414" s="71"/>
      <c r="FH414" s="71"/>
      <c r="FI414" s="71"/>
      <c r="FJ414" s="71"/>
      <c r="FK414" s="71"/>
      <c r="FL414" s="71"/>
      <c r="FM414" s="71"/>
      <c r="FN414" s="71"/>
      <c r="FO414" s="71"/>
      <c r="FP414" s="71"/>
      <c r="FQ414" s="71"/>
      <c r="FR414" s="71"/>
      <c r="FS414" s="71"/>
      <c r="FT414" s="71"/>
      <c r="FU414" s="71"/>
      <c r="FV414" s="71"/>
      <c r="FW414" s="71"/>
      <c r="FX414" s="71"/>
      <c r="FY414" s="71"/>
      <c r="FZ414" s="71"/>
      <c r="GA414" s="71"/>
      <c r="GB414" s="71"/>
      <c r="GC414" s="71"/>
      <c r="GD414" s="71"/>
      <c r="GE414" s="71"/>
      <c r="GF414" s="71"/>
      <c r="GG414" s="71"/>
      <c r="GH414" s="71"/>
      <c r="GI414" s="71"/>
      <c r="GJ414" s="71"/>
      <c r="GK414" s="71"/>
      <c r="GL414" s="71"/>
      <c r="GM414" s="71"/>
      <c r="GN414" s="71"/>
      <c r="GO414" s="71"/>
      <c r="GP414" s="71"/>
      <c r="GQ414" s="71"/>
      <c r="GR414" s="71"/>
      <c r="GS414" s="71"/>
      <c r="GT414" s="71"/>
      <c r="GU414" s="71"/>
      <c r="GV414" s="71"/>
      <c r="GW414" s="71"/>
      <c r="GX414" s="71"/>
      <c r="GY414" s="71"/>
      <c r="GZ414" s="71"/>
      <c r="HA414" s="71"/>
      <c r="HB414" s="71"/>
      <c r="HC414" s="71"/>
      <c r="HD414" s="71"/>
      <c r="HE414" s="71"/>
      <c r="HF414" s="71"/>
      <c r="HG414" s="71"/>
      <c r="HH414" s="71"/>
      <c r="HI414" s="71"/>
      <c r="HJ414" s="71"/>
      <c r="HK414" s="71"/>
      <c r="HL414" s="71"/>
      <c r="HM414" s="71"/>
      <c r="HN414" s="71"/>
      <c r="HO414" s="71"/>
      <c r="HP414" s="71"/>
      <c r="HQ414" s="71"/>
      <c r="HR414" s="71"/>
      <c r="HS414" s="71"/>
      <c r="HT414" s="71"/>
    </row>
    <row r="415" spans="1:228" s="62" customFormat="1">
      <c r="A415" s="89" t="s">
        <v>258</v>
      </c>
      <c r="B415" s="55" t="s">
        <v>399</v>
      </c>
      <c r="C415" s="196">
        <v>30000000</v>
      </c>
      <c r="D415" s="197"/>
      <c r="E415" s="198"/>
      <c r="F415" s="198"/>
      <c r="G415" s="127"/>
      <c r="H415" s="1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row>
    <row r="416" spans="1:228" s="62" customFormat="1">
      <c r="A416" s="89" t="s">
        <v>258</v>
      </c>
      <c r="B416" s="55" t="s">
        <v>409</v>
      </c>
      <c r="C416" s="196">
        <v>15000000</v>
      </c>
      <c r="D416" s="197"/>
      <c r="E416" s="198"/>
      <c r="F416" s="198"/>
      <c r="G416" s="127"/>
      <c r="H416" s="127"/>
    </row>
    <row r="417" spans="1:228" s="62" customFormat="1">
      <c r="A417" s="89" t="s">
        <v>258</v>
      </c>
      <c r="B417" s="55" t="s">
        <v>417</v>
      </c>
      <c r="C417" s="196"/>
      <c r="D417" s="197"/>
      <c r="E417" s="198"/>
      <c r="F417" s="198"/>
      <c r="G417" s="198"/>
      <c r="H417" s="198"/>
    </row>
    <row r="418" spans="1:228" s="62" customFormat="1">
      <c r="A418" s="89" t="s">
        <v>258</v>
      </c>
      <c r="B418" s="55" t="s">
        <v>418</v>
      </c>
      <c r="C418" s="196"/>
      <c r="D418" s="197"/>
      <c r="E418" s="198"/>
      <c r="F418" s="198"/>
      <c r="G418" s="198"/>
      <c r="H418" s="198"/>
    </row>
    <row r="419" spans="1:228" s="62" customFormat="1">
      <c r="A419" s="89" t="s">
        <v>258</v>
      </c>
      <c r="B419" s="55" t="s">
        <v>419</v>
      </c>
      <c r="C419" s="196">
        <v>60000000</v>
      </c>
      <c r="D419" s="197"/>
      <c r="E419" s="198"/>
      <c r="F419" s="198"/>
      <c r="G419" s="198"/>
      <c r="H419" s="198"/>
    </row>
    <row r="420" spans="1:228" s="62" customFormat="1">
      <c r="A420" s="89" t="s">
        <v>258</v>
      </c>
      <c r="B420" s="55" t="s">
        <v>145</v>
      </c>
      <c r="C420" s="196">
        <v>7000000</v>
      </c>
      <c r="D420" s="197"/>
      <c r="E420" s="198"/>
      <c r="F420" s="198"/>
      <c r="G420" s="198"/>
      <c r="H420" s="198"/>
    </row>
    <row r="421" spans="1:228" s="62" customFormat="1">
      <c r="A421" s="89" t="s">
        <v>258</v>
      </c>
      <c r="B421" s="55" t="s">
        <v>420</v>
      </c>
      <c r="C421" s="196">
        <v>7000000</v>
      </c>
      <c r="D421" s="197"/>
      <c r="E421" s="198"/>
      <c r="F421" s="198"/>
      <c r="G421" s="198"/>
      <c r="H421" s="198"/>
    </row>
    <row r="422" spans="1:228" s="62" customFormat="1">
      <c r="A422" s="89" t="s">
        <v>258</v>
      </c>
      <c r="B422" s="48" t="s">
        <v>421</v>
      </c>
      <c r="C422" s="74">
        <v>70000000</v>
      </c>
      <c r="D422" s="197"/>
      <c r="E422" s="198"/>
      <c r="F422" s="198"/>
      <c r="G422" s="127"/>
      <c r="H422" s="127"/>
    </row>
    <row r="423" spans="1:228" s="62" customFormat="1">
      <c r="A423" s="89" t="s">
        <v>258</v>
      </c>
      <c r="B423" s="48" t="s">
        <v>422</v>
      </c>
      <c r="C423" s="91">
        <v>30000000</v>
      </c>
      <c r="D423" s="79"/>
      <c r="E423" s="127"/>
      <c r="F423" s="127"/>
      <c r="G423" s="127"/>
      <c r="H423" s="1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row>
    <row r="424" spans="1:228" s="62" customFormat="1">
      <c r="A424" s="72" t="s">
        <v>261</v>
      </c>
      <c r="B424" s="105" t="s">
        <v>262</v>
      </c>
      <c r="C424" s="107">
        <v>41700000</v>
      </c>
      <c r="D424" s="76"/>
      <c r="E424" s="145"/>
      <c r="F424" s="145"/>
      <c r="G424" s="114"/>
      <c r="H424" s="114"/>
    </row>
    <row r="425" spans="1:228" s="62" customFormat="1">
      <c r="A425" s="89"/>
      <c r="B425" s="90" t="s">
        <v>263</v>
      </c>
      <c r="C425" s="91">
        <v>41700000</v>
      </c>
      <c r="D425" s="79"/>
      <c r="E425" s="127"/>
      <c r="F425" s="127"/>
      <c r="G425" s="114"/>
      <c r="H425" s="114"/>
    </row>
    <row r="426" spans="1:228" s="62" customFormat="1">
      <c r="A426" s="89"/>
      <c r="B426" s="65"/>
      <c r="C426" s="91"/>
      <c r="D426" s="79"/>
      <c r="E426" s="127"/>
      <c r="F426" s="127"/>
      <c r="G426" s="114"/>
      <c r="H426" s="114"/>
    </row>
    <row r="427" spans="1:228" s="61" customFormat="1">
      <c r="A427" s="32">
        <v>8</v>
      </c>
      <c r="B427" s="41" t="s">
        <v>423</v>
      </c>
      <c r="C427" s="37">
        <v>1653000000</v>
      </c>
      <c r="D427" s="38"/>
      <c r="E427" s="123"/>
      <c r="F427" s="123"/>
      <c r="G427" s="132"/>
      <c r="H427" s="13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c r="FY427" s="62"/>
      <c r="FZ427" s="62"/>
      <c r="GA427" s="62"/>
      <c r="GB427" s="62"/>
      <c r="GC427" s="62"/>
      <c r="GD427" s="62"/>
      <c r="GE427" s="62"/>
      <c r="GF427" s="62"/>
      <c r="GG427" s="62"/>
      <c r="GH427" s="62"/>
      <c r="GI427" s="62"/>
      <c r="GJ427" s="62"/>
      <c r="GK427" s="62"/>
      <c r="GL427" s="62"/>
      <c r="GM427" s="62"/>
      <c r="GN427" s="62"/>
      <c r="GO427" s="62"/>
      <c r="GP427" s="62"/>
      <c r="GQ427" s="62"/>
      <c r="GR427" s="62"/>
      <c r="GS427" s="62"/>
      <c r="GT427" s="62"/>
      <c r="GU427" s="62"/>
      <c r="GV427" s="62"/>
      <c r="GW427" s="62"/>
      <c r="GX427" s="62"/>
      <c r="GY427" s="62"/>
      <c r="GZ427" s="62"/>
      <c r="HA427" s="62"/>
      <c r="HB427" s="62"/>
      <c r="HC427" s="62"/>
      <c r="HD427" s="62"/>
      <c r="HE427" s="62"/>
      <c r="HF427" s="62"/>
      <c r="HG427" s="62"/>
      <c r="HH427" s="62"/>
      <c r="HI427" s="62"/>
      <c r="HJ427" s="62"/>
      <c r="HK427" s="62"/>
      <c r="HL427" s="62"/>
      <c r="HM427" s="62"/>
      <c r="HN427" s="62"/>
      <c r="HO427" s="62"/>
      <c r="HP427" s="62"/>
      <c r="HQ427" s="62"/>
      <c r="HR427" s="62"/>
      <c r="HS427" s="62"/>
      <c r="HT427" s="62"/>
    </row>
    <row r="428" spans="1:228" s="47" customFormat="1" ht="19.5">
      <c r="A428" s="31" t="s">
        <v>222</v>
      </c>
      <c r="B428" s="101" t="s">
        <v>252</v>
      </c>
      <c r="C428" s="84">
        <v>948000000</v>
      </c>
      <c r="D428" s="92"/>
      <c r="E428" s="131"/>
      <c r="F428" s="131"/>
      <c r="G428" s="117"/>
      <c r="H428" s="117"/>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c r="CM428" s="88"/>
      <c r="CN428" s="88"/>
      <c r="CO428" s="88"/>
      <c r="CP428" s="88"/>
      <c r="CQ428" s="88"/>
      <c r="CR428" s="88"/>
      <c r="CS428" s="88"/>
      <c r="CT428" s="88"/>
      <c r="CU428" s="88"/>
      <c r="CV428" s="88"/>
      <c r="CW428" s="88"/>
      <c r="CX428" s="88"/>
      <c r="CY428" s="88"/>
      <c r="CZ428" s="88"/>
      <c r="DA428" s="88"/>
      <c r="DB428" s="88"/>
      <c r="DC428" s="88"/>
      <c r="DD428" s="88"/>
      <c r="DE428" s="88"/>
      <c r="DF428" s="88"/>
      <c r="DG428" s="88"/>
      <c r="DH428" s="88"/>
      <c r="DI428" s="88"/>
      <c r="DJ428" s="88"/>
      <c r="DK428" s="88"/>
      <c r="DL428" s="88"/>
      <c r="DM428" s="88"/>
      <c r="DN428" s="88"/>
      <c r="DO428" s="88"/>
      <c r="DP428" s="88"/>
      <c r="DQ428" s="88"/>
      <c r="DR428" s="88"/>
      <c r="DS428" s="88"/>
      <c r="DT428" s="88"/>
      <c r="DU428" s="88"/>
      <c r="DV428" s="88"/>
      <c r="DW428" s="88"/>
      <c r="DX428" s="88"/>
      <c r="DY428" s="88"/>
      <c r="DZ428" s="88"/>
      <c r="EA428" s="88"/>
      <c r="EB428" s="88"/>
      <c r="EC428" s="88"/>
      <c r="ED428" s="88"/>
      <c r="EE428" s="88"/>
      <c r="EF428" s="88"/>
      <c r="EG428" s="88"/>
      <c r="EH428" s="88"/>
      <c r="EI428" s="88"/>
      <c r="EJ428" s="88"/>
      <c r="EK428" s="88"/>
      <c r="EL428" s="88"/>
      <c r="EM428" s="88"/>
      <c r="EN428" s="88"/>
      <c r="EO428" s="88"/>
      <c r="EP428" s="88"/>
      <c r="EQ428" s="88"/>
      <c r="ER428" s="88"/>
      <c r="ES428" s="88"/>
      <c r="ET428" s="88"/>
      <c r="EU428" s="88"/>
      <c r="EV428" s="88"/>
      <c r="EW428" s="88"/>
      <c r="EX428" s="88"/>
      <c r="EY428" s="88"/>
      <c r="EZ428" s="88"/>
      <c r="FA428" s="88"/>
      <c r="FB428" s="88"/>
      <c r="FC428" s="88"/>
      <c r="FD428" s="88"/>
      <c r="FE428" s="88"/>
      <c r="FF428" s="88"/>
      <c r="FG428" s="88"/>
      <c r="FH428" s="88"/>
      <c r="FI428" s="88"/>
      <c r="FJ428" s="88"/>
      <c r="FK428" s="88"/>
      <c r="FL428" s="88"/>
      <c r="FM428" s="88"/>
      <c r="FN428" s="88"/>
      <c r="FO428" s="88"/>
      <c r="FP428" s="88"/>
      <c r="FQ428" s="88"/>
      <c r="FR428" s="88"/>
      <c r="FS428" s="88"/>
      <c r="FT428" s="88"/>
      <c r="FU428" s="88"/>
      <c r="FV428" s="88"/>
      <c r="FW428" s="88"/>
      <c r="FX428" s="88"/>
      <c r="FY428" s="88"/>
      <c r="FZ428" s="88"/>
      <c r="GA428" s="88"/>
      <c r="GB428" s="88"/>
      <c r="GC428" s="88"/>
      <c r="GD428" s="88"/>
      <c r="GE428" s="88"/>
      <c r="GF428" s="88"/>
      <c r="GG428" s="88"/>
      <c r="GH428" s="88"/>
      <c r="GI428" s="88"/>
      <c r="GJ428" s="88"/>
      <c r="GK428" s="88"/>
      <c r="GL428" s="88"/>
      <c r="GM428" s="88"/>
      <c r="GN428" s="88"/>
      <c r="GO428" s="88"/>
      <c r="GP428" s="88"/>
      <c r="GQ428" s="88"/>
      <c r="GR428" s="88"/>
      <c r="GS428" s="88"/>
      <c r="GT428" s="88"/>
      <c r="GU428" s="88"/>
      <c r="GV428" s="88"/>
      <c r="GW428" s="88"/>
      <c r="GX428" s="88"/>
      <c r="GY428" s="88"/>
      <c r="GZ428" s="88"/>
      <c r="HA428" s="88"/>
      <c r="HB428" s="88"/>
      <c r="HC428" s="88"/>
      <c r="HD428" s="88"/>
      <c r="HE428" s="88"/>
      <c r="HF428" s="88"/>
      <c r="HG428" s="88"/>
      <c r="HH428" s="88"/>
      <c r="HI428" s="88"/>
      <c r="HJ428" s="88"/>
      <c r="HK428" s="88"/>
      <c r="HL428" s="88"/>
      <c r="HM428" s="88"/>
      <c r="HN428" s="88"/>
      <c r="HO428" s="88"/>
      <c r="HP428" s="88"/>
      <c r="HQ428" s="88"/>
      <c r="HR428" s="88"/>
      <c r="HS428" s="88"/>
      <c r="HT428" s="88"/>
    </row>
    <row r="429" spans="1:228" s="47" customFormat="1" ht="37.5">
      <c r="A429" s="89" t="s">
        <v>258</v>
      </c>
      <c r="B429" s="110" t="s">
        <v>377</v>
      </c>
      <c r="C429" s="91">
        <v>732000000</v>
      </c>
      <c r="D429" s="79"/>
      <c r="E429" s="127"/>
      <c r="F429" s="127"/>
      <c r="G429" s="127"/>
      <c r="H429" s="127"/>
      <c r="I429" s="88"/>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c r="CM429" s="88"/>
      <c r="CN429" s="88"/>
      <c r="CO429" s="88"/>
      <c r="CP429" s="88"/>
      <c r="CQ429" s="88"/>
      <c r="CR429" s="88"/>
      <c r="CS429" s="88"/>
      <c r="CT429" s="88"/>
      <c r="CU429" s="88"/>
      <c r="CV429" s="88"/>
      <c r="CW429" s="88"/>
      <c r="CX429" s="88"/>
      <c r="CY429" s="88"/>
      <c r="CZ429" s="88"/>
      <c r="DA429" s="88"/>
      <c r="DB429" s="88"/>
      <c r="DC429" s="88"/>
      <c r="DD429" s="88"/>
      <c r="DE429" s="88"/>
      <c r="DF429" s="88"/>
      <c r="DG429" s="88"/>
      <c r="DH429" s="88"/>
      <c r="DI429" s="88"/>
      <c r="DJ429" s="88"/>
      <c r="DK429" s="88"/>
      <c r="DL429" s="88"/>
      <c r="DM429" s="88"/>
      <c r="DN429" s="88"/>
      <c r="DO429" s="88"/>
      <c r="DP429" s="88"/>
      <c r="DQ429" s="88"/>
      <c r="DR429" s="88"/>
      <c r="DS429" s="88"/>
      <c r="DT429" s="88"/>
      <c r="DU429" s="88"/>
      <c r="DV429" s="88"/>
      <c r="DW429" s="88"/>
      <c r="DX429" s="88"/>
      <c r="DY429" s="88"/>
      <c r="DZ429" s="88"/>
      <c r="EA429" s="88"/>
      <c r="EB429" s="88"/>
      <c r="EC429" s="88"/>
      <c r="ED429" s="88"/>
      <c r="EE429" s="88"/>
      <c r="EF429" s="88"/>
      <c r="EG429" s="88"/>
      <c r="EH429" s="88"/>
      <c r="EI429" s="88"/>
      <c r="EJ429" s="88"/>
      <c r="EK429" s="88"/>
      <c r="EL429" s="88"/>
      <c r="EM429" s="88"/>
      <c r="EN429" s="88"/>
      <c r="EO429" s="88"/>
      <c r="EP429" s="88"/>
      <c r="EQ429" s="88"/>
      <c r="ER429" s="88"/>
      <c r="ES429" s="88"/>
      <c r="ET429" s="88"/>
      <c r="EU429" s="88"/>
      <c r="EV429" s="88"/>
      <c r="EW429" s="88"/>
      <c r="EX429" s="88"/>
      <c r="EY429" s="88"/>
      <c r="EZ429" s="88"/>
      <c r="FA429" s="88"/>
      <c r="FB429" s="88"/>
      <c r="FC429" s="88"/>
      <c r="FD429" s="88"/>
      <c r="FE429" s="88"/>
      <c r="FF429" s="88"/>
      <c r="FG429" s="88"/>
      <c r="FH429" s="88"/>
      <c r="FI429" s="88"/>
      <c r="FJ429" s="88"/>
      <c r="FK429" s="88"/>
      <c r="FL429" s="88"/>
      <c r="FM429" s="88"/>
      <c r="FN429" s="88"/>
      <c r="FO429" s="88"/>
      <c r="FP429" s="88"/>
      <c r="FQ429" s="88"/>
      <c r="FR429" s="88"/>
      <c r="FS429" s="88"/>
      <c r="FT429" s="88"/>
      <c r="FU429" s="88"/>
      <c r="FV429" s="88"/>
      <c r="FW429" s="88"/>
      <c r="FX429" s="88"/>
      <c r="FY429" s="88"/>
      <c r="FZ429" s="88"/>
      <c r="GA429" s="88"/>
      <c r="GB429" s="88"/>
      <c r="GC429" s="88"/>
      <c r="GD429" s="88"/>
      <c r="GE429" s="88"/>
      <c r="GF429" s="88"/>
      <c r="GG429" s="88"/>
      <c r="GH429" s="88"/>
      <c r="GI429" s="88"/>
      <c r="GJ429" s="88"/>
      <c r="GK429" s="88"/>
      <c r="GL429" s="88"/>
      <c r="GM429" s="88"/>
      <c r="GN429" s="88"/>
      <c r="GO429" s="88"/>
      <c r="GP429" s="88"/>
      <c r="GQ429" s="88"/>
      <c r="GR429" s="88"/>
      <c r="GS429" s="88"/>
      <c r="GT429" s="88"/>
      <c r="GU429" s="88"/>
      <c r="GV429" s="88"/>
      <c r="GW429" s="88"/>
      <c r="GX429" s="88"/>
      <c r="GY429" s="88"/>
      <c r="GZ429" s="88"/>
      <c r="HA429" s="88"/>
      <c r="HB429" s="88"/>
      <c r="HC429" s="88"/>
      <c r="HD429" s="88"/>
      <c r="HE429" s="88"/>
      <c r="HF429" s="88"/>
      <c r="HG429" s="88"/>
      <c r="HH429" s="88"/>
      <c r="HI429" s="88"/>
      <c r="HJ429" s="88"/>
      <c r="HK429" s="88"/>
      <c r="HL429" s="88"/>
      <c r="HM429" s="88"/>
      <c r="HN429" s="88"/>
      <c r="HO429" s="88"/>
      <c r="HP429" s="88"/>
      <c r="HQ429" s="88"/>
      <c r="HR429" s="88"/>
      <c r="HS429" s="88"/>
      <c r="HT429" s="88"/>
    </row>
    <row r="430" spans="1:228" s="47" customFormat="1" ht="19.5">
      <c r="A430" s="89" t="s">
        <v>258</v>
      </c>
      <c r="B430" s="110" t="s">
        <v>256</v>
      </c>
      <c r="C430" s="91">
        <v>216000000</v>
      </c>
      <c r="D430" s="79"/>
      <c r="E430" s="127"/>
      <c r="F430" s="127"/>
      <c r="G430" s="127"/>
      <c r="H430" s="127"/>
      <c r="I430" s="88"/>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c r="AI430" s="88"/>
      <c r="AJ430" s="88"/>
      <c r="AK430" s="88"/>
      <c r="AL430" s="88"/>
      <c r="AM430" s="88"/>
      <c r="AN430" s="88"/>
      <c r="AO430" s="88"/>
      <c r="AP430" s="88"/>
      <c r="AQ430" s="88"/>
      <c r="AR430" s="88"/>
      <c r="AS430" s="88"/>
      <c r="AT430" s="88"/>
      <c r="AU430" s="88"/>
      <c r="AV430" s="88"/>
      <c r="AW430" s="88"/>
      <c r="AX430" s="88"/>
      <c r="AY430" s="88"/>
      <c r="AZ430" s="88"/>
      <c r="BA430" s="88"/>
      <c r="BB430" s="88"/>
      <c r="BC430" s="88"/>
      <c r="BD430" s="88"/>
      <c r="BE430" s="88"/>
      <c r="BF430" s="88"/>
      <c r="BG430" s="88"/>
      <c r="BH430" s="88"/>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c r="CI430" s="88"/>
      <c r="CJ430" s="88"/>
      <c r="CK430" s="88"/>
      <c r="CL430" s="88"/>
      <c r="CM430" s="88"/>
      <c r="CN430" s="88"/>
      <c r="CO430" s="88"/>
      <c r="CP430" s="88"/>
      <c r="CQ430" s="88"/>
      <c r="CR430" s="88"/>
      <c r="CS430" s="88"/>
      <c r="CT430" s="88"/>
      <c r="CU430" s="88"/>
      <c r="CV430" s="88"/>
      <c r="CW430" s="88"/>
      <c r="CX430" s="88"/>
      <c r="CY430" s="88"/>
      <c r="CZ430" s="88"/>
      <c r="DA430" s="88"/>
      <c r="DB430" s="88"/>
      <c r="DC430" s="88"/>
      <c r="DD430" s="88"/>
      <c r="DE430" s="88"/>
      <c r="DF430" s="88"/>
      <c r="DG430" s="88"/>
      <c r="DH430" s="88"/>
      <c r="DI430" s="88"/>
      <c r="DJ430" s="88"/>
      <c r="DK430" s="88"/>
      <c r="DL430" s="88"/>
      <c r="DM430" s="88"/>
      <c r="DN430" s="88"/>
      <c r="DO430" s="88"/>
      <c r="DP430" s="88"/>
      <c r="DQ430" s="88"/>
      <c r="DR430" s="88"/>
      <c r="DS430" s="88"/>
      <c r="DT430" s="88"/>
      <c r="DU430" s="88"/>
      <c r="DV430" s="88"/>
      <c r="DW430" s="88"/>
      <c r="DX430" s="88"/>
      <c r="DY430" s="88"/>
      <c r="DZ430" s="88"/>
      <c r="EA430" s="88"/>
      <c r="EB430" s="88"/>
      <c r="EC430" s="88"/>
      <c r="ED430" s="88"/>
      <c r="EE430" s="88"/>
      <c r="EF430" s="88"/>
      <c r="EG430" s="88"/>
      <c r="EH430" s="88"/>
      <c r="EI430" s="88"/>
      <c r="EJ430" s="88"/>
      <c r="EK430" s="88"/>
      <c r="EL430" s="88"/>
      <c r="EM430" s="88"/>
      <c r="EN430" s="88"/>
      <c r="EO430" s="88"/>
      <c r="EP430" s="88"/>
      <c r="EQ430" s="88"/>
      <c r="ER430" s="88"/>
      <c r="ES430" s="88"/>
      <c r="ET430" s="88"/>
      <c r="EU430" s="88"/>
      <c r="EV430" s="88"/>
      <c r="EW430" s="88"/>
      <c r="EX430" s="88"/>
      <c r="EY430" s="88"/>
      <c r="EZ430" s="88"/>
      <c r="FA430" s="88"/>
      <c r="FB430" s="88"/>
      <c r="FC430" s="88"/>
      <c r="FD430" s="88"/>
      <c r="FE430" s="88"/>
      <c r="FF430" s="88"/>
      <c r="FG430" s="88"/>
      <c r="FH430" s="88"/>
      <c r="FI430" s="88"/>
      <c r="FJ430" s="88"/>
      <c r="FK430" s="88"/>
      <c r="FL430" s="88"/>
      <c r="FM430" s="88"/>
      <c r="FN430" s="88"/>
      <c r="FO430" s="88"/>
      <c r="FP430" s="88"/>
      <c r="FQ430" s="88"/>
      <c r="FR430" s="88"/>
      <c r="FS430" s="88"/>
      <c r="FT430" s="88"/>
      <c r="FU430" s="88"/>
      <c r="FV430" s="88"/>
      <c r="FW430" s="88"/>
      <c r="FX430" s="88"/>
      <c r="FY430" s="88"/>
      <c r="FZ430" s="88"/>
      <c r="GA430" s="88"/>
      <c r="GB430" s="88"/>
      <c r="GC430" s="88"/>
      <c r="GD430" s="88"/>
      <c r="GE430" s="88"/>
      <c r="GF430" s="88"/>
      <c r="GG430" s="88"/>
      <c r="GH430" s="88"/>
      <c r="GI430" s="88"/>
      <c r="GJ430" s="88"/>
      <c r="GK430" s="88"/>
      <c r="GL430" s="88"/>
      <c r="GM430" s="88"/>
      <c r="GN430" s="88"/>
      <c r="GO430" s="88"/>
      <c r="GP430" s="88"/>
      <c r="GQ430" s="88"/>
      <c r="GR430" s="88"/>
      <c r="GS430" s="88"/>
      <c r="GT430" s="88"/>
      <c r="GU430" s="88"/>
      <c r="GV430" s="88"/>
      <c r="GW430" s="88"/>
      <c r="GX430" s="88"/>
      <c r="GY430" s="88"/>
      <c r="GZ430" s="88"/>
      <c r="HA430" s="88"/>
      <c r="HB430" s="88"/>
      <c r="HC430" s="88"/>
      <c r="HD430" s="88"/>
      <c r="HE430" s="88"/>
      <c r="HF430" s="88"/>
      <c r="HG430" s="88"/>
      <c r="HH430" s="88"/>
      <c r="HI430" s="88"/>
      <c r="HJ430" s="88"/>
      <c r="HK430" s="88"/>
      <c r="HL430" s="88"/>
      <c r="HM430" s="88"/>
      <c r="HN430" s="88"/>
      <c r="HO430" s="88"/>
      <c r="HP430" s="88"/>
      <c r="HQ430" s="88"/>
      <c r="HR430" s="88"/>
      <c r="HS430" s="88"/>
      <c r="HT430" s="88"/>
    </row>
    <row r="431" spans="1:228" s="62" customFormat="1" ht="19.5">
      <c r="A431" s="31" t="s">
        <v>225</v>
      </c>
      <c r="B431" s="101" t="s">
        <v>257</v>
      </c>
      <c r="C431" s="199">
        <v>705000000</v>
      </c>
      <c r="D431" s="200"/>
      <c r="E431" s="201"/>
      <c r="F431" s="201"/>
      <c r="G431" s="131"/>
      <c r="H431" s="131"/>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G431" s="47"/>
      <c r="CH431" s="47"/>
      <c r="CI431" s="47"/>
      <c r="CJ431" s="47"/>
      <c r="CK431" s="47"/>
      <c r="CL431" s="47"/>
      <c r="CM431" s="47"/>
      <c r="CN431" s="47"/>
      <c r="CO431" s="47"/>
      <c r="CP431" s="47"/>
      <c r="CQ431" s="47"/>
      <c r="CR431" s="47"/>
      <c r="CS431" s="47"/>
      <c r="CT431" s="47"/>
      <c r="CU431" s="47"/>
      <c r="CV431" s="47"/>
      <c r="CW431" s="47"/>
      <c r="CX431" s="47"/>
      <c r="CY431" s="47"/>
      <c r="CZ431" s="47"/>
      <c r="DA431" s="47"/>
      <c r="DB431" s="47"/>
      <c r="DC431" s="47"/>
      <c r="DD431" s="47"/>
      <c r="DE431" s="47"/>
      <c r="DF431" s="47"/>
      <c r="DG431" s="47"/>
      <c r="DH431" s="47"/>
      <c r="DI431" s="47"/>
      <c r="DJ431" s="47"/>
      <c r="DK431" s="47"/>
      <c r="DL431" s="47"/>
      <c r="DM431" s="47"/>
      <c r="DN431" s="47"/>
      <c r="DO431" s="47"/>
      <c r="DP431" s="47"/>
      <c r="DQ431" s="47"/>
      <c r="DR431" s="47"/>
      <c r="DS431" s="47"/>
      <c r="DT431" s="47"/>
      <c r="DU431" s="47"/>
      <c r="DV431" s="47"/>
      <c r="DW431" s="47"/>
      <c r="DX431" s="47"/>
      <c r="DY431" s="47"/>
      <c r="DZ431" s="47"/>
      <c r="EA431" s="47"/>
      <c r="EB431" s="47"/>
      <c r="EC431" s="47"/>
      <c r="ED431" s="47"/>
      <c r="EE431" s="47"/>
      <c r="EF431" s="47"/>
      <c r="EG431" s="47"/>
      <c r="EH431" s="47"/>
      <c r="EI431" s="47"/>
      <c r="EJ431" s="47"/>
      <c r="EK431" s="47"/>
      <c r="EL431" s="47"/>
      <c r="EM431" s="47"/>
      <c r="EN431" s="47"/>
      <c r="EO431" s="47"/>
      <c r="EP431" s="47"/>
      <c r="EQ431" s="47"/>
      <c r="ER431" s="47"/>
      <c r="ES431" s="47"/>
      <c r="ET431" s="47"/>
      <c r="EU431" s="47"/>
      <c r="EV431" s="47"/>
      <c r="EW431" s="47"/>
      <c r="EX431" s="47"/>
      <c r="EY431" s="47"/>
      <c r="EZ431" s="47"/>
      <c r="FA431" s="47"/>
      <c r="FB431" s="47"/>
      <c r="FC431" s="47"/>
      <c r="FD431" s="47"/>
      <c r="FE431" s="47"/>
      <c r="FF431" s="47"/>
      <c r="FG431" s="47"/>
      <c r="FH431" s="47"/>
      <c r="FI431" s="47"/>
      <c r="FJ431" s="47"/>
      <c r="FK431" s="47"/>
      <c r="FL431" s="47"/>
      <c r="FM431" s="47"/>
      <c r="FN431" s="47"/>
      <c r="FO431" s="47"/>
      <c r="FP431" s="47"/>
      <c r="FQ431" s="47"/>
      <c r="FR431" s="47"/>
      <c r="FS431" s="47"/>
      <c r="FT431" s="47"/>
      <c r="FU431" s="47"/>
      <c r="FV431" s="47"/>
      <c r="FW431" s="47"/>
      <c r="FX431" s="47"/>
      <c r="FY431" s="47"/>
      <c r="FZ431" s="47"/>
      <c r="GA431" s="47"/>
      <c r="GB431" s="47"/>
      <c r="GC431" s="47"/>
      <c r="GD431" s="47"/>
      <c r="GE431" s="47"/>
      <c r="GF431" s="47"/>
      <c r="GG431" s="47"/>
      <c r="GH431" s="47"/>
      <c r="GI431" s="47"/>
      <c r="GJ431" s="47"/>
      <c r="GK431" s="47"/>
      <c r="GL431" s="47"/>
      <c r="GM431" s="47"/>
      <c r="GN431" s="47"/>
      <c r="GO431" s="47"/>
      <c r="GP431" s="47"/>
      <c r="GQ431" s="47"/>
      <c r="GR431" s="47"/>
      <c r="GS431" s="47"/>
      <c r="GT431" s="47"/>
      <c r="GU431" s="47"/>
      <c r="GV431" s="47"/>
      <c r="GW431" s="47"/>
      <c r="GX431" s="47"/>
      <c r="GY431" s="47"/>
      <c r="GZ431" s="47"/>
      <c r="HA431" s="47"/>
      <c r="HB431" s="47"/>
      <c r="HC431" s="47"/>
      <c r="HD431" s="47"/>
      <c r="HE431" s="47"/>
      <c r="HF431" s="47"/>
      <c r="HG431" s="47"/>
      <c r="HH431" s="47"/>
      <c r="HI431" s="47"/>
      <c r="HJ431" s="47"/>
      <c r="HK431" s="47"/>
      <c r="HL431" s="47"/>
      <c r="HM431" s="47"/>
      <c r="HN431" s="47"/>
      <c r="HO431" s="47"/>
      <c r="HP431" s="47"/>
      <c r="HQ431" s="47"/>
      <c r="HR431" s="47"/>
      <c r="HS431" s="47"/>
      <c r="HT431" s="47"/>
    </row>
    <row r="432" spans="1:228" s="62" customFormat="1">
      <c r="A432" s="63" t="s">
        <v>258</v>
      </c>
      <c r="B432" s="48" t="s">
        <v>424</v>
      </c>
      <c r="C432" s="65">
        <v>30000000</v>
      </c>
      <c r="D432" s="79"/>
      <c r="E432" s="118"/>
      <c r="F432" s="118"/>
      <c r="G432" s="118"/>
      <c r="H432" s="118"/>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c r="GU432" s="27"/>
      <c r="GV432" s="27"/>
      <c r="GW432" s="27"/>
      <c r="GX432" s="27"/>
      <c r="GY432" s="27"/>
      <c r="GZ432" s="27"/>
      <c r="HA432" s="27"/>
      <c r="HB432" s="27"/>
      <c r="HC432" s="27"/>
      <c r="HD432" s="27"/>
      <c r="HE432" s="27"/>
      <c r="HF432" s="27"/>
      <c r="HG432" s="27"/>
      <c r="HH432" s="27"/>
      <c r="HI432" s="27"/>
      <c r="HJ432" s="27"/>
      <c r="HK432" s="27"/>
      <c r="HL432" s="27"/>
      <c r="HM432" s="27"/>
      <c r="HN432" s="27"/>
      <c r="HO432" s="27"/>
      <c r="HP432" s="27"/>
      <c r="HQ432" s="27"/>
      <c r="HR432" s="27"/>
      <c r="HS432" s="27"/>
      <c r="HT432" s="27"/>
    </row>
    <row r="433" spans="1:228" s="62" customFormat="1">
      <c r="A433" s="63" t="s">
        <v>258</v>
      </c>
      <c r="B433" s="55" t="s">
        <v>409</v>
      </c>
      <c r="C433" s="202">
        <v>15000000</v>
      </c>
      <c r="D433" s="79"/>
      <c r="E433" s="203"/>
      <c r="F433" s="203"/>
      <c r="G433" s="203"/>
      <c r="H433" s="203"/>
    </row>
    <row r="434" spans="1:228" s="62" customFormat="1">
      <c r="A434" s="63" t="s">
        <v>258</v>
      </c>
      <c r="B434" s="48" t="s">
        <v>425</v>
      </c>
      <c r="C434" s="202">
        <v>150000000</v>
      </c>
      <c r="D434" s="79"/>
      <c r="E434" s="203"/>
      <c r="F434" s="203"/>
      <c r="G434" s="203"/>
      <c r="H434" s="203"/>
    </row>
    <row r="435" spans="1:228" s="62" customFormat="1">
      <c r="A435" s="63"/>
      <c r="B435" s="48" t="s">
        <v>426</v>
      </c>
      <c r="C435" s="202">
        <v>45000000</v>
      </c>
      <c r="D435" s="79"/>
      <c r="E435" s="203"/>
      <c r="F435" s="203"/>
      <c r="G435" s="203"/>
      <c r="H435" s="203"/>
    </row>
    <row r="436" spans="1:228" s="62" customFormat="1">
      <c r="A436" s="63" t="s">
        <v>91</v>
      </c>
      <c r="B436" s="48" t="s">
        <v>417</v>
      </c>
      <c r="C436" s="202">
        <v>60000000</v>
      </c>
      <c r="D436" s="79"/>
      <c r="E436" s="203"/>
      <c r="F436" s="203"/>
      <c r="G436" s="203"/>
      <c r="H436" s="203"/>
    </row>
    <row r="437" spans="1:228" s="62" customFormat="1">
      <c r="A437" s="63" t="s">
        <v>91</v>
      </c>
      <c r="B437" s="48" t="s">
        <v>427</v>
      </c>
      <c r="C437" s="202">
        <v>30000000</v>
      </c>
      <c r="D437" s="79"/>
      <c r="E437" s="203"/>
      <c r="F437" s="203"/>
      <c r="G437" s="203"/>
      <c r="H437" s="203"/>
    </row>
    <row r="438" spans="1:228" s="62" customFormat="1" ht="56.25">
      <c r="A438" s="63" t="s">
        <v>258</v>
      </c>
      <c r="B438" s="48" t="s">
        <v>428</v>
      </c>
      <c r="C438" s="65">
        <v>375000000</v>
      </c>
      <c r="D438" s="79"/>
      <c r="E438" s="118"/>
      <c r="F438" s="118"/>
      <c r="G438" s="118"/>
      <c r="H438" s="118"/>
    </row>
    <row r="439" spans="1:228" s="62" customFormat="1">
      <c r="A439" s="63"/>
      <c r="B439" s="194" t="s">
        <v>429</v>
      </c>
      <c r="C439" s="65">
        <v>40000000</v>
      </c>
      <c r="D439" s="79"/>
      <c r="E439" s="118"/>
      <c r="F439" s="118"/>
      <c r="G439" s="118"/>
      <c r="H439" s="118"/>
    </row>
    <row r="440" spans="1:228" s="62" customFormat="1">
      <c r="A440" s="63"/>
      <c r="B440" s="194" t="s">
        <v>430</v>
      </c>
      <c r="C440" s="65">
        <v>175000000</v>
      </c>
      <c r="D440" s="79"/>
      <c r="E440" s="118"/>
      <c r="F440" s="118"/>
      <c r="G440" s="118"/>
      <c r="H440" s="118"/>
    </row>
    <row r="441" spans="1:228" s="62" customFormat="1">
      <c r="A441" s="63"/>
      <c r="B441" s="194" t="s">
        <v>431</v>
      </c>
      <c r="C441" s="65">
        <v>160000000</v>
      </c>
      <c r="D441" s="79"/>
      <c r="E441" s="118"/>
      <c r="F441" s="118"/>
      <c r="G441" s="118"/>
      <c r="H441" s="118"/>
    </row>
    <row r="442" spans="1:228" s="62" customFormat="1">
      <c r="A442" s="72" t="s">
        <v>261</v>
      </c>
      <c r="B442" s="105" t="s">
        <v>262</v>
      </c>
      <c r="C442" s="107">
        <v>87600000</v>
      </c>
      <c r="D442" s="76"/>
      <c r="E442" s="145"/>
      <c r="F442" s="145"/>
      <c r="G442" s="127"/>
      <c r="H442" s="127"/>
    </row>
    <row r="443" spans="1:228" s="29" customFormat="1">
      <c r="A443" s="32">
        <v>9</v>
      </c>
      <c r="B443" s="41" t="s">
        <v>208</v>
      </c>
      <c r="C443" s="42">
        <v>2042100000</v>
      </c>
      <c r="D443" s="56"/>
      <c r="E443" s="119"/>
      <c r="F443" s="119"/>
      <c r="G443" s="132"/>
      <c r="H443" s="13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c r="FY443" s="62"/>
      <c r="FZ443" s="62"/>
      <c r="GA443" s="62"/>
      <c r="GB443" s="62"/>
      <c r="GC443" s="62"/>
      <c r="GD443" s="62"/>
      <c r="GE443" s="62"/>
      <c r="GF443" s="62"/>
      <c r="GG443" s="62"/>
      <c r="GH443" s="62"/>
      <c r="GI443" s="62"/>
      <c r="GJ443" s="62"/>
      <c r="GK443" s="62"/>
      <c r="GL443" s="62"/>
      <c r="GM443" s="62"/>
      <c r="GN443" s="62"/>
      <c r="GO443" s="62"/>
      <c r="GP443" s="62"/>
      <c r="GQ443" s="62"/>
      <c r="GR443" s="62"/>
      <c r="GS443" s="62"/>
      <c r="GT443" s="62"/>
      <c r="GU443" s="62"/>
      <c r="GV443" s="62"/>
      <c r="GW443" s="62"/>
      <c r="GX443" s="62"/>
      <c r="GY443" s="62"/>
      <c r="GZ443" s="62"/>
      <c r="HA443" s="62"/>
      <c r="HB443" s="62"/>
      <c r="HC443" s="62"/>
      <c r="HD443" s="62"/>
      <c r="HE443" s="62"/>
      <c r="HF443" s="62"/>
      <c r="HG443" s="62"/>
      <c r="HH443" s="62"/>
      <c r="HI443" s="62"/>
      <c r="HJ443" s="62"/>
      <c r="HK443" s="62"/>
      <c r="HL443" s="62"/>
      <c r="HM443" s="62"/>
      <c r="HN443" s="62"/>
      <c r="HO443" s="62"/>
      <c r="HP443" s="62"/>
      <c r="HQ443" s="62"/>
      <c r="HR443" s="62"/>
      <c r="HS443" s="62"/>
      <c r="HT443" s="62"/>
    </row>
    <row r="444" spans="1:228" s="43" customFormat="1" ht="19.5">
      <c r="A444" s="31" t="s">
        <v>222</v>
      </c>
      <c r="B444" s="101" t="s">
        <v>252</v>
      </c>
      <c r="C444" s="69">
        <v>439000000</v>
      </c>
      <c r="D444" s="56"/>
      <c r="E444" s="117"/>
      <c r="F444" s="117"/>
      <c r="G444" s="117"/>
      <c r="H444" s="117"/>
      <c r="I444" s="88"/>
      <c r="J444" s="88"/>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c r="AI444" s="88"/>
      <c r="AJ444" s="88"/>
      <c r="AK444" s="88"/>
      <c r="AL444" s="88"/>
      <c r="AM444" s="88"/>
      <c r="AN444" s="88"/>
      <c r="AO444" s="88"/>
      <c r="AP444" s="88"/>
      <c r="AQ444" s="88"/>
      <c r="AR444" s="88"/>
      <c r="AS444" s="88"/>
      <c r="AT444" s="88"/>
      <c r="AU444" s="88"/>
      <c r="AV444" s="88"/>
      <c r="AW444" s="88"/>
      <c r="AX444" s="88"/>
      <c r="AY444" s="88"/>
      <c r="AZ444" s="88"/>
      <c r="BA444" s="88"/>
      <c r="BB444" s="88"/>
      <c r="BC444" s="88"/>
      <c r="BD444" s="88"/>
      <c r="BE444" s="88"/>
      <c r="BF444" s="88"/>
      <c r="BG444" s="88"/>
      <c r="BH444" s="88"/>
      <c r="BI444" s="88"/>
      <c r="BJ444" s="88"/>
      <c r="BK444" s="88"/>
      <c r="BL444" s="88"/>
      <c r="BM444" s="88"/>
      <c r="BN444" s="88"/>
      <c r="BO444" s="88"/>
      <c r="BP444" s="88"/>
      <c r="BQ444" s="88"/>
      <c r="BR444" s="88"/>
      <c r="BS444" s="88"/>
      <c r="BT444" s="88"/>
      <c r="BU444" s="88"/>
      <c r="BV444" s="88"/>
      <c r="BW444" s="88"/>
      <c r="BX444" s="88"/>
      <c r="BY444" s="88"/>
      <c r="BZ444" s="88"/>
      <c r="CA444" s="88"/>
      <c r="CB444" s="88"/>
      <c r="CC444" s="88"/>
      <c r="CD444" s="88"/>
      <c r="CE444" s="88"/>
      <c r="CF444" s="88"/>
      <c r="CG444" s="88"/>
      <c r="CH444" s="88"/>
      <c r="CI444" s="88"/>
      <c r="CJ444" s="88"/>
      <c r="CK444" s="88"/>
      <c r="CL444" s="88"/>
      <c r="CM444" s="88"/>
      <c r="CN444" s="88"/>
      <c r="CO444" s="88"/>
      <c r="CP444" s="88"/>
      <c r="CQ444" s="88"/>
      <c r="CR444" s="88"/>
      <c r="CS444" s="88"/>
      <c r="CT444" s="88"/>
      <c r="CU444" s="88"/>
      <c r="CV444" s="88"/>
      <c r="CW444" s="88"/>
      <c r="CX444" s="88"/>
      <c r="CY444" s="88"/>
      <c r="CZ444" s="88"/>
      <c r="DA444" s="88"/>
      <c r="DB444" s="88"/>
      <c r="DC444" s="88"/>
      <c r="DD444" s="88"/>
      <c r="DE444" s="88"/>
      <c r="DF444" s="88"/>
      <c r="DG444" s="88"/>
      <c r="DH444" s="88"/>
      <c r="DI444" s="88"/>
      <c r="DJ444" s="88"/>
      <c r="DK444" s="88"/>
      <c r="DL444" s="88"/>
      <c r="DM444" s="88"/>
      <c r="DN444" s="88"/>
      <c r="DO444" s="88"/>
      <c r="DP444" s="88"/>
      <c r="DQ444" s="88"/>
      <c r="DR444" s="88"/>
      <c r="DS444" s="88"/>
      <c r="DT444" s="88"/>
      <c r="DU444" s="88"/>
      <c r="DV444" s="88"/>
      <c r="DW444" s="88"/>
      <c r="DX444" s="88"/>
      <c r="DY444" s="88"/>
      <c r="DZ444" s="88"/>
      <c r="EA444" s="88"/>
      <c r="EB444" s="88"/>
      <c r="EC444" s="88"/>
      <c r="ED444" s="88"/>
      <c r="EE444" s="88"/>
      <c r="EF444" s="88"/>
      <c r="EG444" s="88"/>
      <c r="EH444" s="88"/>
      <c r="EI444" s="88"/>
      <c r="EJ444" s="88"/>
      <c r="EK444" s="88"/>
      <c r="EL444" s="88"/>
      <c r="EM444" s="88"/>
      <c r="EN444" s="88"/>
      <c r="EO444" s="88"/>
      <c r="EP444" s="88"/>
      <c r="EQ444" s="88"/>
      <c r="ER444" s="88"/>
      <c r="ES444" s="88"/>
      <c r="ET444" s="88"/>
      <c r="EU444" s="88"/>
      <c r="EV444" s="88"/>
      <c r="EW444" s="88"/>
      <c r="EX444" s="88"/>
      <c r="EY444" s="88"/>
      <c r="EZ444" s="88"/>
      <c r="FA444" s="88"/>
      <c r="FB444" s="88"/>
      <c r="FC444" s="88"/>
      <c r="FD444" s="88"/>
      <c r="FE444" s="88"/>
      <c r="FF444" s="88"/>
      <c r="FG444" s="88"/>
      <c r="FH444" s="88"/>
      <c r="FI444" s="88"/>
      <c r="FJ444" s="88"/>
      <c r="FK444" s="88"/>
      <c r="FL444" s="88"/>
      <c r="FM444" s="88"/>
      <c r="FN444" s="88"/>
      <c r="FO444" s="88"/>
      <c r="FP444" s="88"/>
      <c r="FQ444" s="88"/>
      <c r="FR444" s="88"/>
      <c r="FS444" s="88"/>
      <c r="FT444" s="88"/>
      <c r="FU444" s="88"/>
      <c r="FV444" s="88"/>
      <c r="FW444" s="88"/>
      <c r="FX444" s="88"/>
      <c r="FY444" s="88"/>
      <c r="FZ444" s="88"/>
      <c r="GA444" s="88"/>
      <c r="GB444" s="88"/>
      <c r="GC444" s="88"/>
      <c r="GD444" s="88"/>
      <c r="GE444" s="88"/>
      <c r="GF444" s="88"/>
      <c r="GG444" s="88"/>
      <c r="GH444" s="88"/>
      <c r="GI444" s="88"/>
      <c r="GJ444" s="88"/>
      <c r="GK444" s="88"/>
      <c r="GL444" s="88"/>
      <c r="GM444" s="88"/>
      <c r="GN444" s="88"/>
      <c r="GO444" s="88"/>
      <c r="GP444" s="88"/>
      <c r="GQ444" s="88"/>
      <c r="GR444" s="88"/>
      <c r="GS444" s="88"/>
      <c r="GT444" s="88"/>
      <c r="GU444" s="88"/>
      <c r="GV444" s="88"/>
      <c r="GW444" s="88"/>
      <c r="GX444" s="88"/>
      <c r="GY444" s="88"/>
      <c r="GZ444" s="88"/>
      <c r="HA444" s="88"/>
      <c r="HB444" s="88"/>
      <c r="HC444" s="88"/>
      <c r="HD444" s="88"/>
      <c r="HE444" s="88"/>
      <c r="HF444" s="88"/>
      <c r="HG444" s="88"/>
      <c r="HH444" s="88"/>
      <c r="HI444" s="88"/>
      <c r="HJ444" s="88"/>
      <c r="HK444" s="88"/>
      <c r="HL444" s="88"/>
      <c r="HM444" s="88"/>
      <c r="HN444" s="88"/>
      <c r="HO444" s="88"/>
      <c r="HP444" s="88"/>
      <c r="HQ444" s="88"/>
      <c r="HR444" s="88"/>
      <c r="HS444" s="88"/>
      <c r="HT444" s="88"/>
    </row>
    <row r="445" spans="1:228" s="61" customFormat="1" ht="37.5">
      <c r="A445" s="89" t="s">
        <v>258</v>
      </c>
      <c r="B445" s="110" t="s">
        <v>377</v>
      </c>
      <c r="C445" s="91">
        <v>331000000</v>
      </c>
      <c r="D445" s="79"/>
      <c r="E445" s="127"/>
      <c r="F445" s="127"/>
      <c r="G445" s="127"/>
      <c r="H445" s="127"/>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c r="FY445" s="62"/>
      <c r="FZ445" s="62"/>
      <c r="GA445" s="62"/>
      <c r="GB445" s="62"/>
      <c r="GC445" s="62"/>
      <c r="GD445" s="62"/>
      <c r="GE445" s="62"/>
      <c r="GF445" s="62"/>
      <c r="GG445" s="62"/>
      <c r="GH445" s="62"/>
      <c r="GI445" s="62"/>
      <c r="GJ445" s="62"/>
      <c r="GK445" s="62"/>
      <c r="GL445" s="62"/>
      <c r="GM445" s="62"/>
      <c r="GN445" s="62"/>
      <c r="GO445" s="62"/>
      <c r="GP445" s="62"/>
      <c r="GQ445" s="62"/>
      <c r="GR445" s="62"/>
      <c r="GS445" s="62"/>
      <c r="GT445" s="62"/>
      <c r="GU445" s="62"/>
      <c r="GV445" s="62"/>
      <c r="GW445" s="62"/>
      <c r="GX445" s="62"/>
      <c r="GY445" s="62"/>
      <c r="GZ445" s="62"/>
      <c r="HA445" s="62"/>
      <c r="HB445" s="62"/>
      <c r="HC445" s="62"/>
      <c r="HD445" s="62"/>
      <c r="HE445" s="62"/>
      <c r="HF445" s="62"/>
      <c r="HG445" s="62"/>
      <c r="HH445" s="62"/>
      <c r="HI445" s="62"/>
      <c r="HJ445" s="62"/>
      <c r="HK445" s="62"/>
      <c r="HL445" s="62"/>
      <c r="HM445" s="62"/>
      <c r="HN445" s="62"/>
      <c r="HO445" s="62"/>
      <c r="HP445" s="62"/>
      <c r="HQ445" s="62"/>
      <c r="HR445" s="62"/>
      <c r="HS445" s="62"/>
      <c r="HT445" s="62"/>
    </row>
    <row r="446" spans="1:228" s="47" customFormat="1" ht="19.5">
      <c r="A446" s="89" t="s">
        <v>258</v>
      </c>
      <c r="B446" s="110" t="s">
        <v>256</v>
      </c>
      <c r="C446" s="91">
        <v>108000000</v>
      </c>
      <c r="D446" s="79"/>
      <c r="E446" s="127"/>
      <c r="F446" s="127"/>
      <c r="G446" s="114"/>
      <c r="H446" s="114"/>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88"/>
      <c r="ET446" s="88"/>
      <c r="EU446" s="88"/>
      <c r="EV446" s="88"/>
      <c r="EW446" s="88"/>
      <c r="EX446" s="88"/>
      <c r="EY446" s="88"/>
      <c r="EZ446" s="88"/>
      <c r="FA446" s="88"/>
      <c r="FB446" s="88"/>
      <c r="FC446" s="88"/>
      <c r="FD446" s="88"/>
      <c r="FE446" s="88"/>
      <c r="FF446" s="88"/>
      <c r="FG446" s="88"/>
      <c r="FH446" s="88"/>
      <c r="FI446" s="88"/>
      <c r="FJ446" s="88"/>
      <c r="FK446" s="88"/>
      <c r="FL446" s="88"/>
      <c r="FM446" s="88"/>
      <c r="FN446" s="88"/>
      <c r="FO446" s="88"/>
      <c r="FP446" s="88"/>
      <c r="FQ446" s="88"/>
      <c r="FR446" s="88"/>
      <c r="FS446" s="88"/>
      <c r="FT446" s="88"/>
      <c r="FU446" s="88"/>
      <c r="FV446" s="88"/>
      <c r="FW446" s="88"/>
      <c r="FX446" s="88"/>
      <c r="FY446" s="88"/>
      <c r="FZ446" s="88"/>
      <c r="GA446" s="88"/>
      <c r="GB446" s="88"/>
      <c r="GC446" s="88"/>
      <c r="GD446" s="88"/>
      <c r="GE446" s="88"/>
      <c r="GF446" s="88"/>
      <c r="GG446" s="88"/>
      <c r="GH446" s="88"/>
      <c r="GI446" s="88"/>
      <c r="GJ446" s="88"/>
      <c r="GK446" s="88"/>
      <c r="GL446" s="88"/>
      <c r="GM446" s="88"/>
      <c r="GN446" s="88"/>
      <c r="GO446" s="88"/>
      <c r="GP446" s="88"/>
      <c r="GQ446" s="88"/>
      <c r="GR446" s="88"/>
      <c r="GS446" s="88"/>
      <c r="GT446" s="88"/>
      <c r="GU446" s="88"/>
      <c r="GV446" s="88"/>
      <c r="GW446" s="88"/>
      <c r="GX446" s="88"/>
      <c r="GY446" s="88"/>
      <c r="GZ446" s="88"/>
      <c r="HA446" s="88"/>
      <c r="HB446" s="88"/>
      <c r="HC446" s="88"/>
      <c r="HD446" s="88"/>
      <c r="HE446" s="88"/>
      <c r="HF446" s="88"/>
      <c r="HG446" s="88"/>
      <c r="HH446" s="88"/>
      <c r="HI446" s="88"/>
      <c r="HJ446" s="88"/>
      <c r="HK446" s="88"/>
      <c r="HL446" s="88"/>
      <c r="HM446" s="88"/>
      <c r="HN446" s="88"/>
      <c r="HO446" s="88"/>
      <c r="HP446" s="88"/>
      <c r="HQ446" s="88"/>
      <c r="HR446" s="88"/>
      <c r="HS446" s="88"/>
      <c r="HT446" s="88"/>
    </row>
    <row r="447" spans="1:228" s="62" customFormat="1" ht="19.5">
      <c r="A447" s="31" t="s">
        <v>225</v>
      </c>
      <c r="B447" s="101" t="s">
        <v>257</v>
      </c>
      <c r="C447" s="102">
        <v>1603100000</v>
      </c>
      <c r="D447" s="38"/>
      <c r="E447" s="116"/>
      <c r="F447" s="116"/>
      <c r="G447" s="131"/>
      <c r="H447" s="131"/>
    </row>
    <row r="448" spans="1:228" s="62" customFormat="1">
      <c r="A448" s="63" t="s">
        <v>258</v>
      </c>
      <c r="B448" s="55" t="s">
        <v>432</v>
      </c>
      <c r="C448" s="65">
        <v>30000000</v>
      </c>
      <c r="D448" s="79"/>
      <c r="E448" s="118"/>
      <c r="F448" s="118"/>
      <c r="G448" s="118"/>
      <c r="H448" s="118"/>
    </row>
    <row r="449" spans="1:228" s="62" customFormat="1" ht="37.5">
      <c r="A449" s="63" t="s">
        <v>258</v>
      </c>
      <c r="B449" s="55" t="s">
        <v>433</v>
      </c>
      <c r="C449" s="65">
        <v>33600000</v>
      </c>
      <c r="D449" s="79"/>
      <c r="E449" s="118"/>
      <c r="F449" s="118"/>
      <c r="G449" s="118"/>
      <c r="H449" s="118"/>
    </row>
    <row r="450" spans="1:228" s="62" customFormat="1">
      <c r="A450" s="63" t="s">
        <v>258</v>
      </c>
      <c r="B450" s="48" t="s">
        <v>409</v>
      </c>
      <c r="C450" s="65">
        <v>30000000</v>
      </c>
      <c r="D450" s="79"/>
      <c r="E450" s="118"/>
      <c r="F450" s="118"/>
      <c r="G450" s="118"/>
      <c r="H450" s="118"/>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c r="EO450" s="61"/>
      <c r="EP450" s="61"/>
      <c r="EQ450" s="61"/>
      <c r="ER450" s="61"/>
      <c r="ES450" s="61"/>
      <c r="ET450" s="61"/>
      <c r="EU450" s="61"/>
      <c r="EV450" s="61"/>
      <c r="EW450" s="61"/>
      <c r="EX450" s="61"/>
      <c r="EY450" s="61"/>
      <c r="EZ450" s="61"/>
      <c r="FA450" s="61"/>
      <c r="FB450" s="61"/>
      <c r="FC450" s="61"/>
      <c r="FD450" s="61"/>
      <c r="FE450" s="61"/>
      <c r="FF450" s="61"/>
      <c r="FG450" s="61"/>
      <c r="FH450" s="61"/>
      <c r="FI450" s="61"/>
      <c r="FJ450" s="61"/>
      <c r="FK450" s="61"/>
      <c r="FL450" s="61"/>
      <c r="FM450" s="61"/>
      <c r="FN450" s="61"/>
      <c r="FO450" s="61"/>
      <c r="FP450" s="61"/>
      <c r="FQ450" s="61"/>
      <c r="FR450" s="61"/>
      <c r="FS450" s="61"/>
      <c r="FT450" s="61"/>
      <c r="FU450" s="61"/>
      <c r="FV450" s="61"/>
      <c r="FW450" s="61"/>
      <c r="FX450" s="61"/>
      <c r="FY450" s="61"/>
      <c r="FZ450" s="61"/>
      <c r="GA450" s="61"/>
      <c r="GB450" s="61"/>
      <c r="GC450" s="61"/>
      <c r="GD450" s="61"/>
      <c r="GE450" s="61"/>
      <c r="GF450" s="61"/>
      <c r="GG450" s="61"/>
      <c r="GH450" s="61"/>
      <c r="GI450" s="61"/>
      <c r="GJ450" s="61"/>
      <c r="GK450" s="61"/>
      <c r="GL450" s="61"/>
      <c r="GM450" s="61"/>
      <c r="GN450" s="61"/>
      <c r="GO450" s="61"/>
      <c r="GP450" s="61"/>
      <c r="GQ450" s="61"/>
      <c r="GR450" s="61"/>
      <c r="GS450" s="61"/>
      <c r="GT450" s="61"/>
      <c r="GU450" s="61"/>
      <c r="GV450" s="61"/>
      <c r="GW450" s="61"/>
      <c r="GX450" s="61"/>
      <c r="GY450" s="61"/>
      <c r="GZ450" s="61"/>
      <c r="HA450" s="61"/>
      <c r="HB450" s="61"/>
      <c r="HC450" s="61"/>
      <c r="HD450" s="61"/>
      <c r="HE450" s="61"/>
      <c r="HF450" s="61"/>
      <c r="HG450" s="61"/>
      <c r="HH450" s="61"/>
      <c r="HI450" s="61"/>
      <c r="HJ450" s="61"/>
      <c r="HK450" s="61"/>
      <c r="HL450" s="61"/>
      <c r="HM450" s="61"/>
      <c r="HN450" s="61"/>
      <c r="HO450" s="61"/>
      <c r="HP450" s="61"/>
      <c r="HQ450" s="61"/>
      <c r="HR450" s="61"/>
      <c r="HS450" s="61"/>
      <c r="HT450" s="61"/>
    </row>
    <row r="451" spans="1:228" s="128" customFormat="1" ht="75">
      <c r="A451" s="63" t="s">
        <v>258</v>
      </c>
      <c r="B451" s="48" t="s">
        <v>434</v>
      </c>
      <c r="C451" s="65">
        <v>350000000</v>
      </c>
      <c r="D451" s="79"/>
      <c r="E451" s="118"/>
      <c r="F451" s="118"/>
      <c r="G451" s="118"/>
      <c r="H451" s="118"/>
    </row>
    <row r="452" spans="1:228" s="62" customFormat="1" ht="75">
      <c r="A452" s="63"/>
      <c r="B452" s="204" t="s">
        <v>435</v>
      </c>
      <c r="C452" s="65">
        <v>80000000</v>
      </c>
      <c r="D452" s="79"/>
      <c r="E452" s="118"/>
      <c r="F452" s="118"/>
      <c r="G452" s="118"/>
      <c r="H452" s="118"/>
    </row>
    <row r="453" spans="1:228" s="62" customFormat="1" ht="56.25">
      <c r="A453" s="63"/>
      <c r="B453" s="204" t="s">
        <v>436</v>
      </c>
      <c r="C453" s="65">
        <v>270000000</v>
      </c>
      <c r="D453" s="79"/>
      <c r="E453" s="118"/>
      <c r="F453" s="118"/>
      <c r="G453" s="118"/>
      <c r="H453" s="118"/>
    </row>
    <row r="454" spans="1:228" s="62" customFormat="1">
      <c r="A454" s="63" t="s">
        <v>258</v>
      </c>
      <c r="B454" s="48" t="s">
        <v>437</v>
      </c>
      <c r="C454" s="65">
        <v>25000000</v>
      </c>
      <c r="D454" s="79"/>
      <c r="E454" s="118"/>
      <c r="F454" s="118"/>
      <c r="G454" s="118"/>
      <c r="H454" s="118"/>
    </row>
    <row r="455" spans="1:228" s="128" customFormat="1" ht="37.5">
      <c r="A455" s="63" t="s">
        <v>91</v>
      </c>
      <c r="B455" s="48" t="s">
        <v>438</v>
      </c>
      <c r="C455" s="65">
        <v>73000000</v>
      </c>
      <c r="D455" s="79"/>
      <c r="E455" s="118"/>
      <c r="F455" s="118"/>
      <c r="G455" s="118"/>
      <c r="H455" s="118"/>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00"/>
      <c r="EA455" s="100"/>
      <c r="EB455" s="100"/>
      <c r="EC455" s="100"/>
      <c r="ED455" s="100"/>
      <c r="EE455" s="100"/>
      <c r="EF455" s="100"/>
      <c r="EG455" s="100"/>
      <c r="EH455" s="100"/>
      <c r="EI455" s="100"/>
      <c r="EJ455" s="100"/>
      <c r="EK455" s="100"/>
      <c r="EL455" s="100"/>
      <c r="EM455" s="100"/>
      <c r="EN455" s="100"/>
      <c r="EO455" s="100"/>
      <c r="EP455" s="100"/>
      <c r="EQ455" s="100"/>
      <c r="ER455" s="100"/>
      <c r="ES455" s="100"/>
      <c r="ET455" s="100"/>
      <c r="EU455" s="100"/>
      <c r="EV455" s="100"/>
      <c r="EW455" s="100"/>
      <c r="EX455" s="100"/>
      <c r="EY455" s="100"/>
      <c r="EZ455" s="100"/>
      <c r="FA455" s="100"/>
      <c r="FB455" s="100"/>
      <c r="FC455" s="100"/>
      <c r="FD455" s="100"/>
      <c r="FE455" s="100"/>
      <c r="FF455" s="100"/>
      <c r="FG455" s="100"/>
      <c r="FH455" s="100"/>
      <c r="FI455" s="100"/>
      <c r="FJ455" s="100"/>
      <c r="FK455" s="100"/>
      <c r="FL455" s="100"/>
      <c r="FM455" s="100"/>
      <c r="FN455" s="100"/>
      <c r="FO455" s="100"/>
      <c r="FP455" s="100"/>
      <c r="FQ455" s="100"/>
      <c r="FR455" s="100"/>
      <c r="FS455" s="100"/>
      <c r="FT455" s="100"/>
      <c r="FU455" s="100"/>
      <c r="FV455" s="100"/>
      <c r="FW455" s="100"/>
      <c r="FX455" s="100"/>
      <c r="FY455" s="100"/>
      <c r="FZ455" s="100"/>
      <c r="GA455" s="100"/>
      <c r="GB455" s="100"/>
      <c r="GC455" s="100"/>
      <c r="GD455" s="100"/>
      <c r="GE455" s="100"/>
      <c r="GF455" s="100"/>
      <c r="GG455" s="100"/>
      <c r="GH455" s="100"/>
      <c r="GI455" s="100"/>
      <c r="GJ455" s="100"/>
      <c r="GK455" s="100"/>
      <c r="GL455" s="100"/>
      <c r="GM455" s="100"/>
      <c r="GN455" s="100"/>
      <c r="GO455" s="100"/>
      <c r="GP455" s="100"/>
      <c r="GQ455" s="100"/>
      <c r="GR455" s="100"/>
      <c r="GS455" s="100"/>
      <c r="GT455" s="100"/>
      <c r="GU455" s="100"/>
      <c r="GV455" s="100"/>
      <c r="GW455" s="100"/>
      <c r="GX455" s="100"/>
      <c r="GY455" s="100"/>
      <c r="GZ455" s="100"/>
      <c r="HA455" s="100"/>
      <c r="HB455" s="100"/>
      <c r="HC455" s="100"/>
      <c r="HD455" s="100"/>
      <c r="HE455" s="100"/>
      <c r="HF455" s="100"/>
      <c r="HG455" s="100"/>
      <c r="HH455" s="100"/>
      <c r="HI455" s="100"/>
      <c r="HJ455" s="100"/>
      <c r="HK455" s="100"/>
      <c r="HL455" s="100"/>
      <c r="HM455" s="100"/>
      <c r="HN455" s="100"/>
      <c r="HO455" s="100"/>
      <c r="HP455" s="100"/>
      <c r="HQ455" s="100"/>
      <c r="HR455" s="100"/>
      <c r="HS455" s="100"/>
      <c r="HT455" s="100"/>
    </row>
    <row r="456" spans="1:228" s="128" customFormat="1">
      <c r="A456" s="63" t="s">
        <v>91</v>
      </c>
      <c r="B456" s="48" t="s">
        <v>439</v>
      </c>
      <c r="C456" s="65">
        <v>70000000</v>
      </c>
      <c r="D456" s="79"/>
      <c r="E456" s="118"/>
      <c r="F456" s="118"/>
      <c r="G456" s="118"/>
      <c r="H456" s="118"/>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c r="EU456" s="100"/>
      <c r="EV456" s="100"/>
      <c r="EW456" s="100"/>
      <c r="EX456" s="100"/>
      <c r="EY456" s="100"/>
      <c r="EZ456" s="100"/>
      <c r="FA456" s="100"/>
      <c r="FB456" s="100"/>
      <c r="FC456" s="100"/>
      <c r="FD456" s="100"/>
      <c r="FE456" s="100"/>
      <c r="FF456" s="100"/>
      <c r="FG456" s="100"/>
      <c r="FH456" s="100"/>
      <c r="FI456" s="100"/>
      <c r="FJ456" s="100"/>
      <c r="FK456" s="100"/>
      <c r="FL456" s="100"/>
      <c r="FM456" s="100"/>
      <c r="FN456" s="100"/>
      <c r="FO456" s="100"/>
      <c r="FP456" s="100"/>
      <c r="FQ456" s="100"/>
      <c r="FR456" s="100"/>
      <c r="FS456" s="100"/>
      <c r="FT456" s="100"/>
      <c r="FU456" s="100"/>
      <c r="FV456" s="100"/>
      <c r="FW456" s="100"/>
      <c r="FX456" s="100"/>
      <c r="FY456" s="100"/>
      <c r="FZ456" s="100"/>
      <c r="GA456" s="100"/>
      <c r="GB456" s="100"/>
      <c r="GC456" s="100"/>
      <c r="GD456" s="100"/>
      <c r="GE456" s="100"/>
      <c r="GF456" s="100"/>
      <c r="GG456" s="100"/>
      <c r="GH456" s="100"/>
      <c r="GI456" s="100"/>
      <c r="GJ456" s="100"/>
      <c r="GK456" s="100"/>
      <c r="GL456" s="100"/>
      <c r="GM456" s="100"/>
      <c r="GN456" s="100"/>
      <c r="GO456" s="100"/>
      <c r="GP456" s="100"/>
      <c r="GQ456" s="100"/>
      <c r="GR456" s="100"/>
      <c r="GS456" s="100"/>
      <c r="GT456" s="100"/>
      <c r="GU456" s="100"/>
      <c r="GV456" s="100"/>
      <c r="GW456" s="100"/>
      <c r="GX456" s="100"/>
      <c r="GY456" s="100"/>
      <c r="GZ456" s="100"/>
      <c r="HA456" s="100"/>
      <c r="HB456" s="100"/>
      <c r="HC456" s="100"/>
      <c r="HD456" s="100"/>
      <c r="HE456" s="100"/>
      <c r="HF456" s="100"/>
      <c r="HG456" s="100"/>
      <c r="HH456" s="100"/>
      <c r="HI456" s="100"/>
      <c r="HJ456" s="100"/>
      <c r="HK456" s="100"/>
      <c r="HL456" s="100"/>
      <c r="HM456" s="100"/>
      <c r="HN456" s="100"/>
      <c r="HO456" s="100"/>
      <c r="HP456" s="100"/>
      <c r="HQ456" s="100"/>
      <c r="HR456" s="100"/>
      <c r="HS456" s="100"/>
      <c r="HT456" s="100"/>
    </row>
    <row r="457" spans="1:228" s="128" customFormat="1">
      <c r="A457" s="63" t="s">
        <v>258</v>
      </c>
      <c r="B457" s="48" t="s">
        <v>440</v>
      </c>
      <c r="C457" s="65">
        <v>68000000</v>
      </c>
      <c r="D457" s="79"/>
      <c r="E457" s="118"/>
      <c r="F457" s="118"/>
      <c r="G457" s="118"/>
      <c r="H457" s="118"/>
    </row>
    <row r="458" spans="1:228" s="128" customFormat="1">
      <c r="A458" s="63"/>
      <c r="B458" s="48"/>
      <c r="C458" s="65">
        <v>0</v>
      </c>
      <c r="D458" s="79"/>
      <c r="E458" s="118"/>
      <c r="F458" s="118"/>
      <c r="G458" s="118"/>
      <c r="H458" s="118"/>
    </row>
    <row r="459" spans="1:228" s="128" customFormat="1">
      <c r="A459" s="63" t="s">
        <v>258</v>
      </c>
      <c r="B459" s="48" t="s">
        <v>441</v>
      </c>
      <c r="C459" s="65">
        <v>60000000</v>
      </c>
      <c r="D459" s="79"/>
      <c r="E459" s="118"/>
      <c r="F459" s="118"/>
      <c r="G459" s="118"/>
      <c r="H459" s="118"/>
    </row>
    <row r="460" spans="1:228" s="128" customFormat="1">
      <c r="A460" s="63" t="s">
        <v>258</v>
      </c>
      <c r="B460" s="48" t="s">
        <v>442</v>
      </c>
      <c r="C460" s="65">
        <v>8500000</v>
      </c>
      <c r="D460" s="79"/>
      <c r="E460" s="118"/>
      <c r="F460" s="118"/>
      <c r="G460" s="118"/>
      <c r="H460" s="118"/>
    </row>
    <row r="461" spans="1:228" s="128" customFormat="1" ht="37.5">
      <c r="A461" s="63" t="s">
        <v>258</v>
      </c>
      <c r="B461" s="48" t="s">
        <v>443</v>
      </c>
      <c r="C461" s="65">
        <v>150000000</v>
      </c>
      <c r="D461" s="79"/>
      <c r="E461" s="118"/>
      <c r="F461" s="118"/>
      <c r="G461" s="146"/>
      <c r="H461" s="146"/>
    </row>
    <row r="462" spans="1:228" s="128" customFormat="1">
      <c r="A462" s="63" t="s">
        <v>258</v>
      </c>
      <c r="B462" s="48" t="s">
        <v>444</v>
      </c>
      <c r="C462" s="65">
        <v>370000000</v>
      </c>
      <c r="D462" s="79"/>
      <c r="E462" s="118"/>
      <c r="F462" s="118"/>
      <c r="G462" s="146"/>
      <c r="H462" s="146"/>
    </row>
    <row r="463" spans="1:228" s="128" customFormat="1" ht="37.5">
      <c r="A463" s="63" t="s">
        <v>258</v>
      </c>
      <c r="B463" s="48" t="s">
        <v>445</v>
      </c>
      <c r="C463" s="65">
        <v>20000000</v>
      </c>
      <c r="D463" s="79"/>
      <c r="E463" s="118"/>
      <c r="F463" s="118"/>
      <c r="G463" s="146"/>
      <c r="H463" s="146"/>
    </row>
    <row r="464" spans="1:228" s="128" customFormat="1">
      <c r="A464" s="63" t="s">
        <v>258</v>
      </c>
      <c r="B464" s="48" t="s">
        <v>446</v>
      </c>
      <c r="C464" s="65">
        <v>15000000</v>
      </c>
      <c r="D464" s="79"/>
      <c r="E464" s="118"/>
      <c r="F464" s="118"/>
      <c r="G464" s="146"/>
      <c r="H464" s="146"/>
    </row>
    <row r="465" spans="1:228" s="128" customFormat="1" ht="37.5">
      <c r="A465" s="63" t="s">
        <v>258</v>
      </c>
      <c r="B465" s="48" t="s">
        <v>447</v>
      </c>
      <c r="C465" s="65">
        <v>150000000</v>
      </c>
      <c r="D465" s="79"/>
      <c r="E465" s="118"/>
      <c r="F465" s="118"/>
      <c r="G465" s="146"/>
      <c r="H465" s="146"/>
    </row>
    <row r="466" spans="1:228" s="128" customFormat="1" ht="56.25">
      <c r="A466" s="63" t="s">
        <v>258</v>
      </c>
      <c r="B466" s="48" t="s">
        <v>448</v>
      </c>
      <c r="C466" s="65">
        <v>150000000</v>
      </c>
      <c r="D466" s="79"/>
      <c r="E466" s="118"/>
      <c r="F466" s="118"/>
      <c r="G466" s="146"/>
      <c r="H466" s="146"/>
    </row>
    <row r="467" spans="1:228" s="62" customFormat="1">
      <c r="A467" s="72" t="s">
        <v>261</v>
      </c>
      <c r="B467" s="105" t="s">
        <v>262</v>
      </c>
      <c r="C467" s="107">
        <v>147450000</v>
      </c>
      <c r="D467" s="76"/>
      <c r="E467" s="145"/>
      <c r="F467" s="145"/>
      <c r="G467" s="127"/>
      <c r="H467" s="127"/>
    </row>
    <row r="468" spans="1:228" s="62" customFormat="1">
      <c r="A468" s="89"/>
      <c r="B468" s="90" t="s">
        <v>263</v>
      </c>
      <c r="C468" s="91">
        <v>147450000</v>
      </c>
      <c r="D468" s="79"/>
      <c r="E468" s="127"/>
      <c r="F468" s="127"/>
      <c r="G468" s="127"/>
      <c r="H468" s="127"/>
    </row>
    <row r="469" spans="1:228">
      <c r="A469" s="89"/>
      <c r="B469" s="65"/>
      <c r="C469" s="91"/>
      <c r="D469" s="79"/>
      <c r="E469" s="127"/>
      <c r="F469" s="127"/>
      <c r="G469" s="114"/>
      <c r="H469" s="114"/>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62"/>
      <c r="EC469" s="62"/>
      <c r="ED469" s="62"/>
      <c r="EE469" s="62"/>
      <c r="EF469" s="62"/>
      <c r="EG469" s="62"/>
      <c r="EH469" s="62"/>
      <c r="EI469" s="62"/>
      <c r="EJ469" s="62"/>
      <c r="EK469" s="62"/>
      <c r="EL469" s="62"/>
      <c r="EM469" s="62"/>
      <c r="EN469" s="62"/>
      <c r="EO469" s="62"/>
      <c r="EP469" s="62"/>
      <c r="EQ469" s="62"/>
      <c r="ER469" s="62"/>
      <c r="ES469" s="62"/>
      <c r="ET469" s="62"/>
      <c r="EU469" s="62"/>
      <c r="EV469" s="62"/>
      <c r="EW469" s="62"/>
      <c r="EX469" s="62"/>
      <c r="EY469" s="62"/>
      <c r="EZ469" s="62"/>
      <c r="FA469" s="62"/>
      <c r="FB469" s="62"/>
      <c r="FC469" s="62"/>
      <c r="FD469" s="62"/>
      <c r="FE469" s="62"/>
      <c r="FF469" s="62"/>
      <c r="FG469" s="62"/>
      <c r="FH469" s="62"/>
      <c r="FI469" s="62"/>
      <c r="FJ469" s="62"/>
      <c r="FK469" s="62"/>
      <c r="FL469" s="62"/>
      <c r="FM469" s="62"/>
      <c r="FN469" s="62"/>
      <c r="FO469" s="62"/>
      <c r="FP469" s="62"/>
      <c r="FQ469" s="62"/>
      <c r="FR469" s="62"/>
      <c r="FS469" s="62"/>
      <c r="FT469" s="62"/>
      <c r="FU469" s="62"/>
      <c r="FV469" s="62"/>
      <c r="FW469" s="62"/>
      <c r="FX469" s="62"/>
      <c r="FY469" s="62"/>
      <c r="FZ469" s="62"/>
      <c r="GA469" s="62"/>
      <c r="GB469" s="62"/>
      <c r="GC469" s="62"/>
      <c r="GD469" s="62"/>
      <c r="GE469" s="62"/>
      <c r="GF469" s="62"/>
      <c r="GG469" s="62"/>
      <c r="GH469" s="62"/>
      <c r="GI469" s="62"/>
      <c r="GJ469" s="62"/>
      <c r="GK469" s="62"/>
      <c r="GL469" s="62"/>
      <c r="GM469" s="62"/>
      <c r="GN469" s="62"/>
      <c r="GO469" s="62"/>
      <c r="GP469" s="62"/>
      <c r="GQ469" s="62"/>
      <c r="GR469" s="62"/>
      <c r="GS469" s="62"/>
      <c r="GT469" s="62"/>
      <c r="GU469" s="62"/>
      <c r="GV469" s="62"/>
      <c r="GW469" s="62"/>
      <c r="GX469" s="62"/>
      <c r="GY469" s="62"/>
      <c r="GZ469" s="62"/>
      <c r="HA469" s="62"/>
      <c r="HB469" s="62"/>
      <c r="HC469" s="62"/>
      <c r="HD469" s="62"/>
      <c r="HE469" s="62"/>
      <c r="HF469" s="62"/>
      <c r="HG469" s="62"/>
      <c r="HH469" s="62"/>
      <c r="HI469" s="62"/>
      <c r="HJ469" s="62"/>
      <c r="HK469" s="62"/>
      <c r="HL469" s="62"/>
      <c r="HM469" s="62"/>
      <c r="HN469" s="62"/>
      <c r="HO469" s="62"/>
      <c r="HP469" s="62"/>
      <c r="HQ469" s="62"/>
      <c r="HR469" s="62"/>
      <c r="HS469" s="62"/>
      <c r="HT469" s="62"/>
    </row>
    <row r="470" spans="1:228" s="62" customFormat="1">
      <c r="A470" s="32">
        <v>10</v>
      </c>
      <c r="B470" s="41" t="s">
        <v>449</v>
      </c>
      <c r="C470" s="42">
        <v>1128000000</v>
      </c>
      <c r="D470" s="56"/>
      <c r="E470" s="119"/>
      <c r="F470" s="119"/>
      <c r="G470" s="126"/>
      <c r="H470" s="126"/>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row>
    <row r="471" spans="1:228" s="88" customFormat="1" ht="19.5">
      <c r="A471" s="31" t="s">
        <v>222</v>
      </c>
      <c r="B471" s="101" t="s">
        <v>252</v>
      </c>
      <c r="C471" s="102">
        <v>1083000000</v>
      </c>
      <c r="D471" s="38"/>
      <c r="E471" s="116"/>
      <c r="F471" s="116"/>
      <c r="G471" s="117"/>
      <c r="H471" s="117"/>
      <c r="I471" s="71"/>
      <c r="J471" s="71"/>
      <c r="K471" s="71"/>
      <c r="L471" s="71"/>
      <c r="M471" s="71"/>
      <c r="N471" s="71"/>
      <c r="O471" s="71"/>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c r="AT471" s="71"/>
      <c r="AU471" s="71"/>
      <c r="AV471" s="71"/>
      <c r="AW471" s="71"/>
      <c r="AX471" s="71"/>
      <c r="AY471" s="71"/>
      <c r="AZ471" s="71"/>
      <c r="BA471" s="71"/>
      <c r="BB471" s="71"/>
      <c r="BC471" s="71"/>
      <c r="BD471" s="71"/>
      <c r="BE471" s="71"/>
      <c r="BF471" s="71"/>
      <c r="BG471" s="71"/>
      <c r="BH471" s="71"/>
      <c r="BI471" s="71"/>
      <c r="BJ471" s="71"/>
      <c r="BK471" s="71"/>
      <c r="BL471" s="71"/>
      <c r="BM471" s="71"/>
      <c r="BN471" s="71"/>
      <c r="BO471" s="71"/>
      <c r="BP471" s="71"/>
      <c r="BQ471" s="71"/>
      <c r="BR471" s="71"/>
      <c r="BS471" s="71"/>
      <c r="BT471" s="71"/>
      <c r="BU471" s="71"/>
      <c r="BV471" s="71"/>
      <c r="BW471" s="71"/>
      <c r="BX471" s="71"/>
      <c r="BY471" s="71"/>
      <c r="BZ471" s="71"/>
      <c r="CA471" s="71"/>
      <c r="CB471" s="71"/>
      <c r="CC471" s="71"/>
      <c r="CD471" s="71"/>
      <c r="CE471" s="71"/>
      <c r="CF471" s="71"/>
      <c r="CG471" s="71"/>
      <c r="CH471" s="71"/>
      <c r="CI471" s="71"/>
      <c r="CJ471" s="71"/>
      <c r="CK471" s="71"/>
      <c r="CL471" s="71"/>
      <c r="CM471" s="71"/>
      <c r="CN471" s="71"/>
      <c r="CO471" s="71"/>
      <c r="CP471" s="71"/>
      <c r="CQ471" s="71"/>
      <c r="CR471" s="71"/>
      <c r="CS471" s="71"/>
      <c r="CT471" s="71"/>
      <c r="CU471" s="71"/>
      <c r="CV471" s="71"/>
      <c r="CW471" s="71"/>
      <c r="CX471" s="71"/>
      <c r="CY471" s="71"/>
      <c r="CZ471" s="71"/>
      <c r="DA471" s="71"/>
      <c r="DB471" s="71"/>
      <c r="DC471" s="71"/>
      <c r="DD471" s="71"/>
      <c r="DE471" s="71"/>
      <c r="DF471" s="71"/>
      <c r="DG471" s="71"/>
      <c r="DH471" s="71"/>
      <c r="DI471" s="71"/>
      <c r="DJ471" s="71"/>
      <c r="DK471" s="71"/>
      <c r="DL471" s="71"/>
      <c r="DM471" s="71"/>
      <c r="DN471" s="71"/>
      <c r="DO471" s="71"/>
      <c r="DP471" s="71"/>
      <c r="DQ471" s="71"/>
      <c r="DR471" s="71"/>
      <c r="DS471" s="71"/>
      <c r="DT471" s="71"/>
      <c r="DU471" s="71"/>
      <c r="DV471" s="71"/>
      <c r="DW471" s="71"/>
      <c r="DX471" s="71"/>
      <c r="DY471" s="71"/>
      <c r="DZ471" s="71"/>
      <c r="EA471" s="71"/>
      <c r="EB471" s="71"/>
      <c r="EC471" s="71"/>
      <c r="ED471" s="71"/>
      <c r="EE471" s="71"/>
      <c r="EF471" s="71"/>
      <c r="EG471" s="71"/>
      <c r="EH471" s="71"/>
      <c r="EI471" s="71"/>
      <c r="EJ471" s="71"/>
      <c r="EK471" s="71"/>
      <c r="EL471" s="71"/>
      <c r="EM471" s="71"/>
      <c r="EN471" s="71"/>
      <c r="EO471" s="71"/>
      <c r="EP471" s="71"/>
      <c r="EQ471" s="71"/>
      <c r="ER471" s="71"/>
      <c r="ES471" s="71"/>
      <c r="ET471" s="71"/>
      <c r="EU471" s="71"/>
      <c r="EV471" s="71"/>
      <c r="EW471" s="71"/>
      <c r="EX471" s="71"/>
      <c r="EY471" s="71"/>
      <c r="EZ471" s="71"/>
      <c r="FA471" s="71"/>
      <c r="FB471" s="71"/>
      <c r="FC471" s="71"/>
      <c r="FD471" s="71"/>
      <c r="FE471" s="71"/>
      <c r="FF471" s="71"/>
      <c r="FG471" s="71"/>
      <c r="FH471" s="71"/>
      <c r="FI471" s="71"/>
      <c r="FJ471" s="71"/>
      <c r="FK471" s="71"/>
      <c r="FL471" s="71"/>
      <c r="FM471" s="71"/>
      <c r="FN471" s="71"/>
      <c r="FO471" s="71"/>
      <c r="FP471" s="71"/>
      <c r="FQ471" s="71"/>
      <c r="FR471" s="71"/>
      <c r="FS471" s="71"/>
      <c r="FT471" s="71"/>
      <c r="FU471" s="71"/>
      <c r="FV471" s="71"/>
      <c r="FW471" s="71"/>
      <c r="FX471" s="71"/>
      <c r="FY471" s="71"/>
      <c r="FZ471" s="71"/>
      <c r="GA471" s="71"/>
      <c r="GB471" s="71"/>
      <c r="GC471" s="71"/>
      <c r="GD471" s="71"/>
      <c r="GE471" s="71"/>
      <c r="GF471" s="71"/>
      <c r="GG471" s="71"/>
      <c r="GH471" s="71"/>
      <c r="GI471" s="71"/>
      <c r="GJ471" s="71"/>
      <c r="GK471" s="71"/>
      <c r="GL471" s="71"/>
      <c r="GM471" s="71"/>
      <c r="GN471" s="71"/>
      <c r="GO471" s="71"/>
      <c r="GP471" s="71"/>
      <c r="GQ471" s="71"/>
      <c r="GR471" s="71"/>
      <c r="GS471" s="71"/>
      <c r="GT471" s="71"/>
      <c r="GU471" s="71"/>
      <c r="GV471" s="71"/>
      <c r="GW471" s="71"/>
      <c r="GX471" s="71"/>
      <c r="GY471" s="71"/>
      <c r="GZ471" s="71"/>
      <c r="HA471" s="71"/>
      <c r="HB471" s="71"/>
      <c r="HC471" s="71"/>
      <c r="HD471" s="71"/>
      <c r="HE471" s="71"/>
      <c r="HF471" s="71"/>
      <c r="HG471" s="71"/>
      <c r="HH471" s="71"/>
      <c r="HI471" s="71"/>
      <c r="HJ471" s="71"/>
      <c r="HK471" s="71"/>
      <c r="HL471" s="71"/>
      <c r="HM471" s="71"/>
      <c r="HN471" s="71"/>
      <c r="HO471" s="71"/>
      <c r="HP471" s="71"/>
      <c r="HQ471" s="71"/>
      <c r="HR471" s="71"/>
      <c r="HS471" s="71"/>
      <c r="HT471" s="71"/>
    </row>
    <row r="472" spans="1:228" s="47" customFormat="1" ht="37.5">
      <c r="A472" s="89" t="s">
        <v>258</v>
      </c>
      <c r="B472" s="110" t="s">
        <v>377</v>
      </c>
      <c r="C472" s="91">
        <v>894000000</v>
      </c>
      <c r="D472" s="79"/>
      <c r="E472" s="127"/>
      <c r="F472" s="127"/>
      <c r="G472" s="118"/>
      <c r="H472" s="118"/>
      <c r="I472" s="88"/>
      <c r="J472" s="88"/>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c r="BE472" s="88"/>
      <c r="BF472" s="88"/>
      <c r="BG472" s="88"/>
      <c r="BH472" s="88"/>
      <c r="BI472" s="88"/>
      <c r="BJ472" s="88"/>
      <c r="BK472" s="88"/>
      <c r="BL472" s="88"/>
      <c r="BM472" s="88"/>
      <c r="BN472" s="88"/>
      <c r="BO472" s="88"/>
      <c r="BP472" s="88"/>
      <c r="BQ472" s="88"/>
      <c r="BR472" s="88"/>
      <c r="BS472" s="88"/>
      <c r="BT472" s="88"/>
      <c r="BU472" s="88"/>
      <c r="BV472" s="88"/>
      <c r="BW472" s="88"/>
      <c r="BX472" s="88"/>
      <c r="BY472" s="88"/>
      <c r="BZ472" s="88"/>
      <c r="CA472" s="88"/>
      <c r="CB472" s="88"/>
      <c r="CC472" s="88"/>
      <c r="CD472" s="88"/>
      <c r="CE472" s="88"/>
      <c r="CF472" s="88"/>
      <c r="CG472" s="88"/>
      <c r="CH472" s="88"/>
      <c r="CI472" s="88"/>
      <c r="CJ472" s="88"/>
      <c r="CK472" s="88"/>
      <c r="CL472" s="88"/>
      <c r="CM472" s="88"/>
      <c r="CN472" s="88"/>
      <c r="CO472" s="88"/>
      <c r="CP472" s="88"/>
      <c r="CQ472" s="88"/>
      <c r="CR472" s="88"/>
      <c r="CS472" s="88"/>
      <c r="CT472" s="88"/>
      <c r="CU472" s="88"/>
      <c r="CV472" s="88"/>
      <c r="CW472" s="88"/>
      <c r="CX472" s="88"/>
      <c r="CY472" s="88"/>
      <c r="CZ472" s="88"/>
      <c r="DA472" s="88"/>
      <c r="DB472" s="88"/>
      <c r="DC472" s="88"/>
      <c r="DD472" s="88"/>
      <c r="DE472" s="88"/>
      <c r="DF472" s="88"/>
      <c r="DG472" s="88"/>
      <c r="DH472" s="88"/>
      <c r="DI472" s="88"/>
      <c r="DJ472" s="88"/>
      <c r="DK472" s="88"/>
      <c r="DL472" s="88"/>
      <c r="DM472" s="88"/>
      <c r="DN472" s="88"/>
      <c r="DO472" s="88"/>
      <c r="DP472" s="88"/>
      <c r="DQ472" s="88"/>
      <c r="DR472" s="88"/>
      <c r="DS472" s="88"/>
      <c r="DT472" s="88"/>
      <c r="DU472" s="88"/>
      <c r="DV472" s="88"/>
      <c r="DW472" s="88"/>
      <c r="DX472" s="88"/>
      <c r="DY472" s="88"/>
      <c r="DZ472" s="88"/>
      <c r="EA472" s="88"/>
      <c r="EB472" s="88"/>
      <c r="EC472" s="88"/>
      <c r="ED472" s="88"/>
      <c r="EE472" s="88"/>
      <c r="EF472" s="88"/>
      <c r="EG472" s="88"/>
      <c r="EH472" s="88"/>
      <c r="EI472" s="88"/>
      <c r="EJ472" s="88"/>
      <c r="EK472" s="88"/>
      <c r="EL472" s="88"/>
      <c r="EM472" s="88"/>
      <c r="EN472" s="88"/>
      <c r="EO472" s="88"/>
      <c r="EP472" s="88"/>
      <c r="EQ472" s="88"/>
      <c r="ER472" s="88"/>
      <c r="ES472" s="88"/>
      <c r="ET472" s="88"/>
      <c r="EU472" s="88"/>
      <c r="EV472" s="88"/>
      <c r="EW472" s="88"/>
      <c r="EX472" s="88"/>
      <c r="EY472" s="88"/>
      <c r="EZ472" s="88"/>
      <c r="FA472" s="88"/>
      <c r="FB472" s="88"/>
      <c r="FC472" s="88"/>
      <c r="FD472" s="88"/>
      <c r="FE472" s="88"/>
      <c r="FF472" s="88"/>
      <c r="FG472" s="88"/>
      <c r="FH472" s="88"/>
      <c r="FI472" s="88"/>
      <c r="FJ472" s="88"/>
      <c r="FK472" s="88"/>
      <c r="FL472" s="88"/>
      <c r="FM472" s="88"/>
      <c r="FN472" s="88"/>
      <c r="FO472" s="88"/>
      <c r="FP472" s="88"/>
      <c r="FQ472" s="88"/>
      <c r="FR472" s="88"/>
      <c r="FS472" s="88"/>
      <c r="FT472" s="88"/>
      <c r="FU472" s="88"/>
      <c r="FV472" s="88"/>
      <c r="FW472" s="88"/>
      <c r="FX472" s="88"/>
      <c r="FY472" s="88"/>
      <c r="FZ472" s="88"/>
      <c r="GA472" s="88"/>
      <c r="GB472" s="88"/>
      <c r="GC472" s="88"/>
      <c r="GD472" s="88"/>
      <c r="GE472" s="88"/>
      <c r="GF472" s="88"/>
      <c r="GG472" s="88"/>
      <c r="GH472" s="88"/>
      <c r="GI472" s="88"/>
      <c r="GJ472" s="88"/>
      <c r="GK472" s="88"/>
      <c r="GL472" s="88"/>
      <c r="GM472" s="88"/>
      <c r="GN472" s="88"/>
      <c r="GO472" s="88"/>
      <c r="GP472" s="88"/>
      <c r="GQ472" s="88"/>
      <c r="GR472" s="88"/>
      <c r="GS472" s="88"/>
      <c r="GT472" s="88"/>
      <c r="GU472" s="88"/>
      <c r="GV472" s="88"/>
      <c r="GW472" s="88"/>
      <c r="GX472" s="88"/>
      <c r="GY472" s="88"/>
      <c r="GZ472" s="88"/>
      <c r="HA472" s="88"/>
      <c r="HB472" s="88"/>
      <c r="HC472" s="88"/>
      <c r="HD472" s="88"/>
      <c r="HE472" s="88"/>
      <c r="HF472" s="88"/>
      <c r="HG472" s="88"/>
      <c r="HH472" s="88"/>
      <c r="HI472" s="88"/>
      <c r="HJ472" s="88"/>
      <c r="HK472" s="88"/>
      <c r="HL472" s="88"/>
      <c r="HM472" s="88"/>
      <c r="HN472" s="88"/>
      <c r="HO472" s="88"/>
      <c r="HP472" s="88"/>
      <c r="HQ472" s="88"/>
      <c r="HR472" s="88"/>
      <c r="HS472" s="88"/>
      <c r="HT472" s="88"/>
    </row>
    <row r="473" spans="1:228" s="47" customFormat="1" ht="19.5">
      <c r="A473" s="89" t="s">
        <v>258</v>
      </c>
      <c r="B473" s="110" t="s">
        <v>256</v>
      </c>
      <c r="C473" s="91">
        <v>189000000</v>
      </c>
      <c r="D473" s="79"/>
      <c r="E473" s="127"/>
      <c r="F473" s="127"/>
      <c r="G473" s="127"/>
      <c r="H473" s="127"/>
      <c r="I473" s="88"/>
      <c r="J473" s="88"/>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88"/>
      <c r="BH473" s="88"/>
      <c r="BI473" s="88"/>
      <c r="BJ473" s="88"/>
      <c r="BK473" s="88"/>
      <c r="BL473" s="88"/>
      <c r="BM473" s="88"/>
      <c r="BN473" s="88"/>
      <c r="BO473" s="88"/>
      <c r="BP473" s="88"/>
      <c r="BQ473" s="88"/>
      <c r="BR473" s="88"/>
      <c r="BS473" s="88"/>
      <c r="BT473" s="88"/>
      <c r="BU473" s="88"/>
      <c r="BV473" s="88"/>
      <c r="BW473" s="88"/>
      <c r="BX473" s="88"/>
      <c r="BY473" s="88"/>
      <c r="BZ473" s="88"/>
      <c r="CA473" s="88"/>
      <c r="CB473" s="88"/>
      <c r="CC473" s="88"/>
      <c r="CD473" s="88"/>
      <c r="CE473" s="88"/>
      <c r="CF473" s="88"/>
      <c r="CG473" s="88"/>
      <c r="CH473" s="88"/>
      <c r="CI473" s="88"/>
      <c r="CJ473" s="88"/>
      <c r="CK473" s="88"/>
      <c r="CL473" s="88"/>
      <c r="CM473" s="88"/>
      <c r="CN473" s="88"/>
      <c r="CO473" s="88"/>
      <c r="CP473" s="88"/>
      <c r="CQ473" s="88"/>
      <c r="CR473" s="88"/>
      <c r="CS473" s="88"/>
      <c r="CT473" s="88"/>
      <c r="CU473" s="88"/>
      <c r="CV473" s="88"/>
      <c r="CW473" s="88"/>
      <c r="CX473" s="88"/>
      <c r="CY473" s="88"/>
      <c r="CZ473" s="88"/>
      <c r="DA473" s="88"/>
      <c r="DB473" s="88"/>
      <c r="DC473" s="88"/>
      <c r="DD473" s="88"/>
      <c r="DE473" s="88"/>
      <c r="DF473" s="88"/>
      <c r="DG473" s="88"/>
      <c r="DH473" s="88"/>
      <c r="DI473" s="88"/>
      <c r="DJ473" s="88"/>
      <c r="DK473" s="88"/>
      <c r="DL473" s="88"/>
      <c r="DM473" s="88"/>
      <c r="DN473" s="88"/>
      <c r="DO473" s="88"/>
      <c r="DP473" s="88"/>
      <c r="DQ473" s="88"/>
      <c r="DR473" s="88"/>
      <c r="DS473" s="88"/>
      <c r="DT473" s="88"/>
      <c r="DU473" s="88"/>
      <c r="DV473" s="88"/>
      <c r="DW473" s="88"/>
      <c r="DX473" s="88"/>
      <c r="DY473" s="88"/>
      <c r="DZ473" s="88"/>
      <c r="EA473" s="88"/>
      <c r="EB473" s="88"/>
      <c r="EC473" s="88"/>
      <c r="ED473" s="88"/>
      <c r="EE473" s="88"/>
      <c r="EF473" s="88"/>
      <c r="EG473" s="88"/>
      <c r="EH473" s="88"/>
      <c r="EI473" s="88"/>
      <c r="EJ473" s="88"/>
      <c r="EK473" s="88"/>
      <c r="EL473" s="88"/>
      <c r="EM473" s="88"/>
      <c r="EN473" s="88"/>
      <c r="EO473" s="88"/>
      <c r="EP473" s="88"/>
      <c r="EQ473" s="88"/>
      <c r="ER473" s="88"/>
      <c r="ES473" s="88"/>
      <c r="ET473" s="88"/>
      <c r="EU473" s="88"/>
      <c r="EV473" s="88"/>
      <c r="EW473" s="88"/>
      <c r="EX473" s="88"/>
      <c r="EY473" s="88"/>
      <c r="EZ473" s="88"/>
      <c r="FA473" s="88"/>
      <c r="FB473" s="88"/>
      <c r="FC473" s="88"/>
      <c r="FD473" s="88"/>
      <c r="FE473" s="88"/>
      <c r="FF473" s="88"/>
      <c r="FG473" s="88"/>
      <c r="FH473" s="88"/>
      <c r="FI473" s="88"/>
      <c r="FJ473" s="88"/>
      <c r="FK473" s="88"/>
      <c r="FL473" s="88"/>
      <c r="FM473" s="88"/>
      <c r="FN473" s="88"/>
      <c r="FO473" s="88"/>
      <c r="FP473" s="88"/>
      <c r="FQ473" s="88"/>
      <c r="FR473" s="88"/>
      <c r="FS473" s="88"/>
      <c r="FT473" s="88"/>
      <c r="FU473" s="88"/>
      <c r="FV473" s="88"/>
      <c r="FW473" s="88"/>
      <c r="FX473" s="88"/>
      <c r="FY473" s="88"/>
      <c r="FZ473" s="88"/>
      <c r="GA473" s="88"/>
      <c r="GB473" s="88"/>
      <c r="GC473" s="88"/>
      <c r="GD473" s="88"/>
      <c r="GE473" s="88"/>
      <c r="GF473" s="88"/>
      <c r="GG473" s="88"/>
      <c r="GH473" s="88"/>
      <c r="GI473" s="88"/>
      <c r="GJ473" s="88"/>
      <c r="GK473" s="88"/>
      <c r="GL473" s="88"/>
      <c r="GM473" s="88"/>
      <c r="GN473" s="88"/>
      <c r="GO473" s="88"/>
      <c r="GP473" s="88"/>
      <c r="GQ473" s="88"/>
      <c r="GR473" s="88"/>
      <c r="GS473" s="88"/>
      <c r="GT473" s="88"/>
      <c r="GU473" s="88"/>
      <c r="GV473" s="88"/>
      <c r="GW473" s="88"/>
      <c r="GX473" s="88"/>
      <c r="GY473" s="88"/>
      <c r="GZ473" s="88"/>
      <c r="HA473" s="88"/>
      <c r="HB473" s="88"/>
      <c r="HC473" s="88"/>
      <c r="HD473" s="88"/>
      <c r="HE473" s="88"/>
      <c r="HF473" s="88"/>
      <c r="HG473" s="88"/>
      <c r="HH473" s="88"/>
      <c r="HI473" s="88"/>
      <c r="HJ473" s="88"/>
      <c r="HK473" s="88"/>
      <c r="HL473" s="88"/>
      <c r="HM473" s="88"/>
      <c r="HN473" s="88"/>
      <c r="HO473" s="88"/>
      <c r="HP473" s="88"/>
      <c r="HQ473" s="88"/>
      <c r="HR473" s="88"/>
      <c r="HS473" s="88"/>
      <c r="HT473" s="88"/>
    </row>
    <row r="474" spans="1:228" s="62" customFormat="1" ht="19.5">
      <c r="A474" s="31" t="s">
        <v>225</v>
      </c>
      <c r="B474" s="101" t="s">
        <v>257</v>
      </c>
      <c r="C474" s="102">
        <v>45000000</v>
      </c>
      <c r="D474" s="38"/>
      <c r="E474" s="116"/>
      <c r="F474" s="116"/>
      <c r="G474" s="131"/>
      <c r="H474" s="131"/>
    </row>
    <row r="475" spans="1:228">
      <c r="A475" s="72"/>
      <c r="B475" s="48" t="s">
        <v>79</v>
      </c>
      <c r="C475" s="74">
        <v>30000000</v>
      </c>
      <c r="D475" s="50"/>
      <c r="E475" s="114"/>
      <c r="F475" s="114"/>
      <c r="G475" s="114"/>
      <c r="H475" s="114"/>
    </row>
    <row r="476" spans="1:228">
      <c r="A476" s="72" t="s">
        <v>258</v>
      </c>
      <c r="B476" s="48" t="s">
        <v>450</v>
      </c>
      <c r="C476" s="74">
        <v>15000000</v>
      </c>
      <c r="D476" s="50"/>
      <c r="E476" s="114"/>
      <c r="F476" s="114"/>
      <c r="G476" s="114"/>
      <c r="H476" s="114"/>
    </row>
    <row r="477" spans="1:228" s="62" customFormat="1" ht="19.5">
      <c r="A477" s="31" t="s">
        <v>261</v>
      </c>
      <c r="B477" s="101" t="s">
        <v>262</v>
      </c>
      <c r="C477" s="102">
        <v>18900000</v>
      </c>
      <c r="D477" s="38"/>
      <c r="E477" s="116"/>
      <c r="F477" s="116"/>
      <c r="G477" s="131"/>
      <c r="H477" s="131"/>
    </row>
    <row r="478" spans="1:228" s="62" customFormat="1">
      <c r="A478" s="89"/>
      <c r="B478" s="90" t="s">
        <v>263</v>
      </c>
      <c r="C478" s="91">
        <v>18900000</v>
      </c>
      <c r="D478" s="79"/>
      <c r="E478" s="127"/>
      <c r="F478" s="127"/>
      <c r="G478" s="114"/>
      <c r="H478" s="114"/>
    </row>
    <row r="479" spans="1:228" s="62" customFormat="1">
      <c r="A479" s="89"/>
      <c r="B479" s="65"/>
      <c r="C479" s="91"/>
      <c r="D479" s="79"/>
      <c r="E479" s="127"/>
      <c r="F479" s="127"/>
      <c r="G479" s="114"/>
      <c r="H479" s="114"/>
    </row>
    <row r="480" spans="1:228" s="62" customFormat="1">
      <c r="A480" s="32" t="s">
        <v>451</v>
      </c>
      <c r="B480" s="41" t="s">
        <v>452</v>
      </c>
      <c r="C480" s="42">
        <v>23798000000</v>
      </c>
      <c r="D480" s="56"/>
      <c r="E480" s="119"/>
      <c r="F480" s="119"/>
      <c r="G480" s="132"/>
      <c r="H480" s="132"/>
    </row>
    <row r="481" spans="1:228" s="62" customFormat="1">
      <c r="A481" s="32">
        <v>1</v>
      </c>
      <c r="B481" s="41" t="s">
        <v>209</v>
      </c>
      <c r="C481" s="42">
        <v>22652000000</v>
      </c>
      <c r="D481" s="56"/>
      <c r="E481" s="119"/>
      <c r="F481" s="119"/>
      <c r="G481" s="132"/>
      <c r="H481" s="132"/>
    </row>
    <row r="482" spans="1:228" s="62" customFormat="1">
      <c r="A482" s="31" t="s">
        <v>222</v>
      </c>
      <c r="B482" s="101" t="s">
        <v>252</v>
      </c>
      <c r="C482" s="102">
        <f>10887000000-180000000</f>
        <v>10707000000</v>
      </c>
      <c r="D482" s="38"/>
      <c r="E482" s="116"/>
      <c r="F482" s="116"/>
      <c r="G482" s="114"/>
      <c r="H482" s="114"/>
    </row>
    <row r="483" spans="1:228" s="47" customFormat="1" ht="37.5">
      <c r="A483" s="89" t="s">
        <v>258</v>
      </c>
      <c r="B483" s="110" t="s">
        <v>377</v>
      </c>
      <c r="C483" s="91">
        <v>8718000000</v>
      </c>
      <c r="D483" s="79"/>
      <c r="E483" s="127"/>
      <c r="F483" s="127"/>
      <c r="G483" s="165" t="s">
        <v>453</v>
      </c>
      <c r="H483" s="165"/>
      <c r="I483" s="88"/>
      <c r="J483" s="88"/>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c r="DQ483" s="88"/>
      <c r="DR483" s="88"/>
      <c r="DS483" s="88"/>
      <c r="DT483" s="88"/>
      <c r="DU483" s="88"/>
      <c r="DV483" s="88"/>
      <c r="DW483" s="88"/>
      <c r="DX483" s="88"/>
      <c r="DY483" s="88"/>
      <c r="DZ483" s="88"/>
      <c r="EA483" s="88"/>
      <c r="EB483" s="88"/>
      <c r="EC483" s="88"/>
      <c r="ED483" s="88"/>
      <c r="EE483" s="88"/>
      <c r="EF483" s="88"/>
      <c r="EG483" s="88"/>
      <c r="EH483" s="88"/>
      <c r="EI483" s="88"/>
      <c r="EJ483" s="88"/>
      <c r="EK483" s="88"/>
      <c r="EL483" s="88"/>
      <c r="EM483" s="88"/>
      <c r="EN483" s="88"/>
      <c r="EO483" s="88"/>
      <c r="EP483" s="88"/>
      <c r="EQ483" s="88"/>
      <c r="ER483" s="88"/>
      <c r="ES483" s="88"/>
      <c r="ET483" s="88"/>
      <c r="EU483" s="88"/>
      <c r="EV483" s="88"/>
      <c r="EW483" s="88"/>
      <c r="EX483" s="88"/>
      <c r="EY483" s="88"/>
      <c r="EZ483" s="88"/>
      <c r="FA483" s="88"/>
      <c r="FB483" s="88"/>
      <c r="FC483" s="88"/>
      <c r="FD483" s="88"/>
      <c r="FE483" s="88"/>
      <c r="FF483" s="88"/>
      <c r="FG483" s="88"/>
      <c r="FH483" s="88"/>
      <c r="FI483" s="88"/>
      <c r="FJ483" s="88"/>
      <c r="FK483" s="88"/>
      <c r="FL483" s="88"/>
      <c r="FM483" s="88"/>
      <c r="FN483" s="88"/>
      <c r="FO483" s="88"/>
      <c r="FP483" s="88"/>
      <c r="FQ483" s="88"/>
      <c r="FR483" s="88"/>
      <c r="FS483" s="88"/>
      <c r="FT483" s="88"/>
      <c r="FU483" s="88"/>
      <c r="FV483" s="88"/>
      <c r="FW483" s="88"/>
      <c r="FX483" s="88"/>
      <c r="FY483" s="88"/>
      <c r="FZ483" s="88"/>
      <c r="GA483" s="88"/>
      <c r="GB483" s="88"/>
      <c r="GC483" s="88"/>
      <c r="GD483" s="88"/>
      <c r="GE483" s="88"/>
      <c r="GF483" s="88"/>
      <c r="GG483" s="88"/>
      <c r="GH483" s="88"/>
      <c r="GI483" s="88"/>
      <c r="GJ483" s="88"/>
      <c r="GK483" s="88"/>
      <c r="GL483" s="88"/>
      <c r="GM483" s="88"/>
      <c r="GN483" s="88"/>
      <c r="GO483" s="88"/>
      <c r="GP483" s="88"/>
      <c r="GQ483" s="88"/>
      <c r="GR483" s="88"/>
      <c r="GS483" s="88"/>
      <c r="GT483" s="88"/>
      <c r="GU483" s="88"/>
      <c r="GV483" s="88"/>
      <c r="GW483" s="88"/>
      <c r="GX483" s="88"/>
      <c r="GY483" s="88"/>
      <c r="GZ483" s="88"/>
      <c r="HA483" s="88"/>
      <c r="HB483" s="88"/>
      <c r="HC483" s="88"/>
      <c r="HD483" s="88"/>
      <c r="HE483" s="88"/>
      <c r="HF483" s="88"/>
      <c r="HG483" s="88"/>
      <c r="HH483" s="88"/>
      <c r="HI483" s="88"/>
      <c r="HJ483" s="88"/>
      <c r="HK483" s="88"/>
      <c r="HL483" s="88"/>
      <c r="HM483" s="88"/>
      <c r="HN483" s="88"/>
      <c r="HO483" s="88"/>
      <c r="HP483" s="88"/>
      <c r="HQ483" s="88"/>
      <c r="HR483" s="88"/>
      <c r="HS483" s="88"/>
      <c r="HT483" s="88"/>
    </row>
    <row r="484" spans="1:228" s="47" customFormat="1" ht="19.5">
      <c r="A484" s="109" t="s">
        <v>91</v>
      </c>
      <c r="B484" s="110" t="s">
        <v>256</v>
      </c>
      <c r="C484" s="91">
        <v>1989000000</v>
      </c>
      <c r="D484" s="79"/>
      <c r="E484" s="127"/>
      <c r="F484" s="127"/>
      <c r="G484" s="139"/>
      <c r="H484" s="139"/>
      <c r="I484" s="88"/>
      <c r="J484" s="88"/>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c r="BE484" s="88"/>
      <c r="BF484" s="88"/>
      <c r="BG484" s="88"/>
      <c r="BH484" s="88"/>
      <c r="BI484" s="88"/>
      <c r="BJ484" s="88"/>
      <c r="BK484" s="88"/>
      <c r="BL484" s="88"/>
      <c r="BM484" s="88"/>
      <c r="BN484" s="88"/>
      <c r="BO484" s="88"/>
      <c r="BP484" s="88"/>
      <c r="BQ484" s="88"/>
      <c r="BR484" s="88"/>
      <c r="BS484" s="88"/>
      <c r="BT484" s="88"/>
      <c r="BU484" s="88"/>
      <c r="BV484" s="88"/>
      <c r="BW484" s="88"/>
      <c r="BX484" s="88"/>
      <c r="BY484" s="88"/>
      <c r="BZ484" s="88"/>
      <c r="CA484" s="88"/>
      <c r="CB484" s="88"/>
      <c r="CC484" s="88"/>
      <c r="CD484" s="88"/>
      <c r="CE484" s="88"/>
      <c r="CF484" s="88"/>
      <c r="CG484" s="88"/>
      <c r="CH484" s="88"/>
      <c r="CI484" s="88"/>
      <c r="CJ484" s="88"/>
      <c r="CK484" s="88"/>
      <c r="CL484" s="88"/>
      <c r="CM484" s="88"/>
      <c r="CN484" s="88"/>
      <c r="CO484" s="88"/>
      <c r="CP484" s="88"/>
      <c r="CQ484" s="88"/>
      <c r="CR484" s="88"/>
      <c r="CS484" s="88"/>
      <c r="CT484" s="88"/>
      <c r="CU484" s="88"/>
      <c r="CV484" s="88"/>
      <c r="CW484" s="88"/>
      <c r="CX484" s="88"/>
      <c r="CY484" s="88"/>
      <c r="CZ484" s="88"/>
      <c r="DA484" s="88"/>
      <c r="DB484" s="88"/>
      <c r="DC484" s="88"/>
      <c r="DD484" s="88"/>
      <c r="DE484" s="88"/>
      <c r="DF484" s="88"/>
      <c r="DG484" s="88"/>
      <c r="DH484" s="88"/>
      <c r="DI484" s="88"/>
      <c r="DJ484" s="88"/>
      <c r="DK484" s="88"/>
      <c r="DL484" s="88"/>
      <c r="DM484" s="88"/>
      <c r="DN484" s="88"/>
      <c r="DO484" s="88"/>
      <c r="DP484" s="88"/>
      <c r="DQ484" s="88"/>
      <c r="DR484" s="88"/>
      <c r="DS484" s="88"/>
      <c r="DT484" s="88"/>
      <c r="DU484" s="88"/>
      <c r="DV484" s="88"/>
      <c r="DW484" s="88"/>
      <c r="DX484" s="88"/>
      <c r="DY484" s="88"/>
      <c r="DZ484" s="88"/>
      <c r="EA484" s="88"/>
      <c r="EB484" s="88"/>
      <c r="EC484" s="88"/>
      <c r="ED484" s="88"/>
      <c r="EE484" s="88"/>
      <c r="EF484" s="88"/>
      <c r="EG484" s="88"/>
      <c r="EH484" s="88"/>
      <c r="EI484" s="88"/>
      <c r="EJ484" s="88"/>
      <c r="EK484" s="88"/>
      <c r="EL484" s="88"/>
      <c r="EM484" s="88"/>
      <c r="EN484" s="88"/>
      <c r="EO484" s="88"/>
      <c r="EP484" s="88"/>
      <c r="EQ484" s="88"/>
      <c r="ER484" s="88"/>
      <c r="ES484" s="88"/>
      <c r="ET484" s="88"/>
      <c r="EU484" s="88"/>
      <c r="EV484" s="88"/>
      <c r="EW484" s="88"/>
      <c r="EX484" s="88"/>
      <c r="EY484" s="88"/>
      <c r="EZ484" s="88"/>
      <c r="FA484" s="88"/>
      <c r="FB484" s="88"/>
      <c r="FC484" s="88"/>
      <c r="FD484" s="88"/>
      <c r="FE484" s="88"/>
      <c r="FF484" s="88"/>
      <c r="FG484" s="88"/>
      <c r="FH484" s="88"/>
      <c r="FI484" s="88"/>
      <c r="FJ484" s="88"/>
      <c r="FK484" s="88"/>
      <c r="FL484" s="88"/>
      <c r="FM484" s="88"/>
      <c r="FN484" s="88"/>
      <c r="FO484" s="88"/>
      <c r="FP484" s="88"/>
      <c r="FQ484" s="88"/>
      <c r="FR484" s="88"/>
      <c r="FS484" s="88"/>
      <c r="FT484" s="88"/>
      <c r="FU484" s="88"/>
      <c r="FV484" s="88"/>
      <c r="FW484" s="88"/>
      <c r="FX484" s="88"/>
      <c r="FY484" s="88"/>
      <c r="FZ484" s="88"/>
      <c r="GA484" s="88"/>
      <c r="GB484" s="88"/>
      <c r="GC484" s="88"/>
      <c r="GD484" s="88"/>
      <c r="GE484" s="88"/>
      <c r="GF484" s="88"/>
      <c r="GG484" s="88"/>
      <c r="GH484" s="88"/>
      <c r="GI484" s="88"/>
      <c r="GJ484" s="88"/>
      <c r="GK484" s="88"/>
      <c r="GL484" s="88"/>
      <c r="GM484" s="88"/>
      <c r="GN484" s="88"/>
      <c r="GO484" s="88"/>
      <c r="GP484" s="88"/>
      <c r="GQ484" s="88"/>
      <c r="GR484" s="88"/>
      <c r="GS484" s="88"/>
      <c r="GT484" s="88"/>
      <c r="GU484" s="88"/>
      <c r="GV484" s="88"/>
      <c r="GW484" s="88"/>
      <c r="GX484" s="88"/>
      <c r="GY484" s="88"/>
      <c r="GZ484" s="88"/>
      <c r="HA484" s="88"/>
      <c r="HB484" s="88"/>
      <c r="HC484" s="88"/>
      <c r="HD484" s="88"/>
      <c r="HE484" s="88"/>
      <c r="HF484" s="88"/>
      <c r="HG484" s="88"/>
      <c r="HH484" s="88"/>
      <c r="HI484" s="88"/>
      <c r="HJ484" s="88"/>
      <c r="HK484" s="88"/>
      <c r="HL484" s="88"/>
      <c r="HM484" s="88"/>
      <c r="HN484" s="88"/>
      <c r="HO484" s="88"/>
      <c r="HP484" s="88"/>
      <c r="HQ484" s="88"/>
      <c r="HR484" s="88"/>
      <c r="HS484" s="88"/>
      <c r="HT484" s="88"/>
    </row>
    <row r="485" spans="1:228" s="47" customFormat="1" ht="19.5">
      <c r="A485" s="109" t="s">
        <v>91</v>
      </c>
      <c r="B485" s="110" t="s">
        <v>256</v>
      </c>
      <c r="C485" s="91"/>
      <c r="D485" s="79"/>
      <c r="E485" s="127"/>
      <c r="F485" s="127"/>
      <c r="G485" s="139"/>
      <c r="H485" s="139"/>
      <c r="I485" s="88"/>
      <c r="J485" s="88"/>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c r="CM485" s="88"/>
      <c r="CN485" s="88"/>
      <c r="CO485" s="88"/>
      <c r="CP485" s="88"/>
      <c r="CQ485" s="88"/>
      <c r="CR485" s="88"/>
      <c r="CS485" s="88"/>
      <c r="CT485" s="88"/>
      <c r="CU485" s="88"/>
      <c r="CV485" s="88"/>
      <c r="CW485" s="88"/>
      <c r="CX485" s="88"/>
      <c r="CY485" s="88"/>
      <c r="CZ485" s="88"/>
      <c r="DA485" s="88"/>
      <c r="DB485" s="88"/>
      <c r="DC485" s="88"/>
      <c r="DD485" s="88"/>
      <c r="DE485" s="88"/>
      <c r="DF485" s="88"/>
      <c r="DG485" s="88"/>
      <c r="DH485" s="88"/>
      <c r="DI485" s="88"/>
      <c r="DJ485" s="88"/>
      <c r="DK485" s="88"/>
      <c r="DL485" s="88"/>
      <c r="DM485" s="88"/>
      <c r="DN485" s="88"/>
      <c r="DO485" s="88"/>
      <c r="DP485" s="88"/>
      <c r="DQ485" s="88"/>
      <c r="DR485" s="88"/>
      <c r="DS485" s="88"/>
      <c r="DT485" s="88"/>
      <c r="DU485" s="88"/>
      <c r="DV485" s="88"/>
      <c r="DW485" s="88"/>
      <c r="DX485" s="88"/>
      <c r="DY485" s="88"/>
      <c r="DZ485" s="88"/>
      <c r="EA485" s="88"/>
      <c r="EB485" s="88"/>
      <c r="EC485" s="88"/>
      <c r="ED485" s="88"/>
      <c r="EE485" s="88"/>
      <c r="EF485" s="88"/>
      <c r="EG485" s="88"/>
      <c r="EH485" s="88"/>
      <c r="EI485" s="88"/>
      <c r="EJ485" s="88"/>
      <c r="EK485" s="88"/>
      <c r="EL485" s="88"/>
      <c r="EM485" s="88"/>
      <c r="EN485" s="88"/>
      <c r="EO485" s="88"/>
      <c r="EP485" s="88"/>
      <c r="EQ485" s="88"/>
      <c r="ER485" s="88"/>
      <c r="ES485" s="88"/>
      <c r="ET485" s="88"/>
      <c r="EU485" s="88"/>
      <c r="EV485" s="88"/>
      <c r="EW485" s="88"/>
      <c r="EX485" s="88"/>
      <c r="EY485" s="88"/>
      <c r="EZ485" s="88"/>
      <c r="FA485" s="88"/>
      <c r="FB485" s="88"/>
      <c r="FC485" s="88"/>
      <c r="FD485" s="88"/>
      <c r="FE485" s="88"/>
      <c r="FF485" s="88"/>
      <c r="FG485" s="88"/>
      <c r="FH485" s="88"/>
      <c r="FI485" s="88"/>
      <c r="FJ485" s="88"/>
      <c r="FK485" s="88"/>
      <c r="FL485" s="88"/>
      <c r="FM485" s="88"/>
      <c r="FN485" s="88"/>
      <c r="FO485" s="88"/>
      <c r="FP485" s="88"/>
      <c r="FQ485" s="88"/>
      <c r="FR485" s="88"/>
      <c r="FS485" s="88"/>
      <c r="FT485" s="88"/>
      <c r="FU485" s="88"/>
      <c r="FV485" s="88"/>
      <c r="FW485" s="88"/>
      <c r="FX485" s="88"/>
      <c r="FY485" s="88"/>
      <c r="FZ485" s="88"/>
      <c r="GA485" s="88"/>
      <c r="GB485" s="88"/>
      <c r="GC485" s="88"/>
      <c r="GD485" s="88"/>
      <c r="GE485" s="88"/>
      <c r="GF485" s="88"/>
      <c r="GG485" s="88"/>
      <c r="GH485" s="88"/>
      <c r="GI485" s="88"/>
      <c r="GJ485" s="88"/>
      <c r="GK485" s="88"/>
      <c r="GL485" s="88"/>
      <c r="GM485" s="88"/>
      <c r="GN485" s="88"/>
      <c r="GO485" s="88"/>
      <c r="GP485" s="88"/>
      <c r="GQ485" s="88"/>
      <c r="GR485" s="88"/>
      <c r="GS485" s="88"/>
      <c r="GT485" s="88"/>
      <c r="GU485" s="88"/>
      <c r="GV485" s="88"/>
      <c r="GW485" s="88"/>
      <c r="GX485" s="88"/>
      <c r="GY485" s="88"/>
      <c r="GZ485" s="88"/>
      <c r="HA485" s="88"/>
      <c r="HB485" s="88"/>
      <c r="HC485" s="88"/>
      <c r="HD485" s="88"/>
      <c r="HE485" s="88"/>
      <c r="HF485" s="88"/>
      <c r="HG485" s="88"/>
      <c r="HH485" s="88"/>
      <c r="HI485" s="88"/>
      <c r="HJ485" s="88"/>
      <c r="HK485" s="88"/>
      <c r="HL485" s="88"/>
      <c r="HM485" s="88"/>
      <c r="HN485" s="88"/>
      <c r="HO485" s="88"/>
      <c r="HP485" s="88"/>
      <c r="HQ485" s="88"/>
      <c r="HR485" s="88"/>
      <c r="HS485" s="88"/>
      <c r="HT485" s="88"/>
    </row>
    <row r="486" spans="1:228" s="61" customFormat="1">
      <c r="A486" s="205" t="s">
        <v>225</v>
      </c>
      <c r="B486" s="206" t="s">
        <v>454</v>
      </c>
      <c r="C486" s="102">
        <v>993300000</v>
      </c>
      <c r="D486" s="38"/>
      <c r="E486" s="116"/>
      <c r="F486" s="116"/>
      <c r="G486" s="176"/>
      <c r="H486" s="176"/>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62"/>
      <c r="FH486" s="62"/>
      <c r="FI486" s="62"/>
      <c r="FJ486" s="62"/>
      <c r="FK486" s="62"/>
      <c r="FL486" s="62"/>
      <c r="FM486" s="62"/>
      <c r="FN486" s="62"/>
      <c r="FO486" s="62"/>
      <c r="FP486" s="62"/>
      <c r="FQ486" s="62"/>
      <c r="FR486" s="62"/>
      <c r="FS486" s="62"/>
      <c r="FT486" s="62"/>
      <c r="FU486" s="62"/>
      <c r="FV486" s="62"/>
      <c r="FW486" s="62"/>
      <c r="FX486" s="62"/>
      <c r="FY486" s="62"/>
      <c r="FZ486" s="62"/>
      <c r="GA486" s="62"/>
      <c r="GB486" s="62"/>
      <c r="GC486" s="62"/>
      <c r="GD486" s="62"/>
      <c r="GE486" s="62"/>
      <c r="GF486" s="62"/>
      <c r="GG486" s="62"/>
      <c r="GH486" s="62"/>
      <c r="GI486" s="62"/>
      <c r="GJ486" s="62"/>
      <c r="GK486" s="62"/>
      <c r="GL486" s="62"/>
      <c r="GM486" s="62"/>
      <c r="GN486" s="62"/>
      <c r="GO486" s="62"/>
      <c r="GP486" s="62"/>
      <c r="GQ486" s="62"/>
      <c r="GR486" s="62"/>
      <c r="GS486" s="62"/>
      <c r="GT486" s="62"/>
      <c r="GU486" s="62"/>
      <c r="GV486" s="62"/>
      <c r="GW486" s="62"/>
      <c r="GX486" s="62"/>
      <c r="GY486" s="62"/>
      <c r="GZ486" s="62"/>
      <c r="HA486" s="62"/>
      <c r="HB486" s="62"/>
      <c r="HC486" s="62"/>
      <c r="HD486" s="62"/>
      <c r="HE486" s="62"/>
      <c r="HF486" s="62"/>
      <c r="HG486" s="62"/>
      <c r="HH486" s="62"/>
      <c r="HI486" s="62"/>
      <c r="HJ486" s="62"/>
      <c r="HK486" s="62"/>
      <c r="HL486" s="62"/>
      <c r="HM486" s="62"/>
      <c r="HN486" s="62"/>
      <c r="HO486" s="62"/>
      <c r="HP486" s="62"/>
      <c r="HQ486" s="62"/>
      <c r="HR486" s="62"/>
      <c r="HS486" s="62"/>
      <c r="HT486" s="62"/>
    </row>
    <row r="487" spans="1:228" s="61" customFormat="1" ht="37.5">
      <c r="A487" s="99" t="s">
        <v>91</v>
      </c>
      <c r="B487" s="48" t="s">
        <v>455</v>
      </c>
      <c r="C487" s="23">
        <v>108000000</v>
      </c>
      <c r="D487" s="50"/>
      <c r="E487" s="115"/>
      <c r="F487" s="115"/>
      <c r="G487" s="176"/>
      <c r="H487" s="176"/>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62"/>
      <c r="FH487" s="62"/>
      <c r="FI487" s="62"/>
      <c r="FJ487" s="62"/>
      <c r="FK487" s="62"/>
      <c r="FL487" s="62"/>
      <c r="FM487" s="62"/>
      <c r="FN487" s="62"/>
      <c r="FO487" s="62"/>
      <c r="FP487" s="62"/>
      <c r="FQ487" s="62"/>
      <c r="FR487" s="62"/>
      <c r="FS487" s="62"/>
      <c r="FT487" s="62"/>
      <c r="FU487" s="62"/>
      <c r="FV487" s="62"/>
      <c r="FW487" s="62"/>
      <c r="FX487" s="62"/>
      <c r="FY487" s="62"/>
      <c r="FZ487" s="62"/>
      <c r="GA487" s="62"/>
      <c r="GB487" s="62"/>
      <c r="GC487" s="62"/>
      <c r="GD487" s="62"/>
      <c r="GE487" s="62"/>
      <c r="GF487" s="62"/>
      <c r="GG487" s="62"/>
      <c r="GH487" s="62"/>
      <c r="GI487" s="62"/>
      <c r="GJ487" s="62"/>
      <c r="GK487" s="62"/>
      <c r="GL487" s="62"/>
      <c r="GM487" s="62"/>
      <c r="GN487" s="62"/>
      <c r="GO487" s="62"/>
      <c r="GP487" s="62"/>
      <c r="GQ487" s="62"/>
      <c r="GR487" s="62"/>
      <c r="GS487" s="62"/>
      <c r="GT487" s="62"/>
      <c r="GU487" s="62"/>
      <c r="GV487" s="62"/>
      <c r="GW487" s="62"/>
      <c r="GX487" s="62"/>
      <c r="GY487" s="62"/>
      <c r="GZ487" s="62"/>
      <c r="HA487" s="62"/>
      <c r="HB487" s="62"/>
      <c r="HC487" s="62"/>
      <c r="HD487" s="62"/>
      <c r="HE487" s="62"/>
      <c r="HF487" s="62"/>
      <c r="HG487" s="62"/>
      <c r="HH487" s="62"/>
      <c r="HI487" s="62"/>
      <c r="HJ487" s="62"/>
      <c r="HK487" s="62"/>
      <c r="HL487" s="62"/>
      <c r="HM487" s="62"/>
      <c r="HN487" s="62"/>
      <c r="HO487" s="62"/>
      <c r="HP487" s="62"/>
      <c r="HQ487" s="62"/>
      <c r="HR487" s="62"/>
      <c r="HS487" s="62"/>
      <c r="HT487" s="62"/>
    </row>
    <row r="488" spans="1:228" s="61" customFormat="1" ht="37.5">
      <c r="A488" s="99" t="s">
        <v>91</v>
      </c>
      <c r="B488" s="48" t="s">
        <v>456</v>
      </c>
      <c r="C488" s="23">
        <v>225300000</v>
      </c>
      <c r="D488" s="50"/>
      <c r="E488" s="115"/>
      <c r="F488" s="115"/>
      <c r="G488" s="176"/>
      <c r="H488" s="176"/>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62"/>
      <c r="FH488" s="62"/>
      <c r="FI488" s="62"/>
      <c r="FJ488" s="62"/>
      <c r="FK488" s="62"/>
      <c r="FL488" s="62"/>
      <c r="FM488" s="62"/>
      <c r="FN488" s="62"/>
      <c r="FO488" s="62"/>
      <c r="FP488" s="62"/>
      <c r="FQ488" s="62"/>
      <c r="FR488" s="62"/>
      <c r="FS488" s="62"/>
      <c r="FT488" s="62"/>
      <c r="FU488" s="62"/>
      <c r="FV488" s="62"/>
      <c r="FW488" s="62"/>
      <c r="FX488" s="62"/>
      <c r="FY488" s="62"/>
      <c r="FZ488" s="62"/>
      <c r="GA488" s="62"/>
      <c r="GB488" s="62"/>
      <c r="GC488" s="62"/>
      <c r="GD488" s="62"/>
      <c r="GE488" s="62"/>
      <c r="GF488" s="62"/>
      <c r="GG488" s="62"/>
      <c r="GH488" s="62"/>
      <c r="GI488" s="62"/>
      <c r="GJ488" s="62"/>
      <c r="GK488" s="62"/>
      <c r="GL488" s="62"/>
      <c r="GM488" s="62"/>
      <c r="GN488" s="62"/>
      <c r="GO488" s="62"/>
      <c r="GP488" s="62"/>
      <c r="GQ488" s="62"/>
      <c r="GR488" s="62"/>
      <c r="GS488" s="62"/>
      <c r="GT488" s="62"/>
      <c r="GU488" s="62"/>
      <c r="GV488" s="62"/>
      <c r="GW488" s="62"/>
      <c r="GX488" s="62"/>
      <c r="GY488" s="62"/>
      <c r="GZ488" s="62"/>
      <c r="HA488" s="62"/>
      <c r="HB488" s="62"/>
      <c r="HC488" s="62"/>
      <c r="HD488" s="62"/>
      <c r="HE488" s="62"/>
      <c r="HF488" s="62"/>
      <c r="HG488" s="62"/>
      <c r="HH488" s="62"/>
      <c r="HI488" s="62"/>
      <c r="HJ488" s="62"/>
      <c r="HK488" s="62"/>
      <c r="HL488" s="62"/>
      <c r="HM488" s="62"/>
      <c r="HN488" s="62"/>
      <c r="HO488" s="62"/>
      <c r="HP488" s="62"/>
      <c r="HQ488" s="62"/>
      <c r="HR488" s="62"/>
      <c r="HS488" s="62"/>
      <c r="HT488" s="62"/>
    </row>
    <row r="489" spans="1:228" s="61" customFormat="1">
      <c r="A489" s="99" t="s">
        <v>91</v>
      </c>
      <c r="B489" s="48" t="s">
        <v>457</v>
      </c>
      <c r="C489" s="23">
        <v>60000000</v>
      </c>
      <c r="D489" s="50"/>
      <c r="E489" s="115"/>
      <c r="F489" s="115"/>
      <c r="G489" s="176"/>
      <c r="H489" s="176"/>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62"/>
      <c r="FH489" s="62"/>
      <c r="FI489" s="62"/>
      <c r="FJ489" s="62"/>
      <c r="FK489" s="62"/>
      <c r="FL489" s="62"/>
      <c r="FM489" s="62"/>
      <c r="FN489" s="62"/>
      <c r="FO489" s="62"/>
      <c r="FP489" s="62"/>
      <c r="FQ489" s="62"/>
      <c r="FR489" s="62"/>
      <c r="FS489" s="62"/>
      <c r="FT489" s="62"/>
      <c r="FU489" s="62"/>
      <c r="FV489" s="62"/>
      <c r="FW489" s="62"/>
      <c r="FX489" s="62"/>
      <c r="FY489" s="62"/>
      <c r="FZ489" s="62"/>
      <c r="GA489" s="62"/>
      <c r="GB489" s="62"/>
      <c r="GC489" s="62"/>
      <c r="GD489" s="62"/>
      <c r="GE489" s="62"/>
      <c r="GF489" s="62"/>
      <c r="GG489" s="62"/>
      <c r="GH489" s="62"/>
      <c r="GI489" s="62"/>
      <c r="GJ489" s="62"/>
      <c r="GK489" s="62"/>
      <c r="GL489" s="62"/>
      <c r="GM489" s="62"/>
      <c r="GN489" s="62"/>
      <c r="GO489" s="62"/>
      <c r="GP489" s="62"/>
      <c r="GQ489" s="62"/>
      <c r="GR489" s="62"/>
      <c r="GS489" s="62"/>
      <c r="GT489" s="62"/>
      <c r="GU489" s="62"/>
      <c r="GV489" s="62"/>
      <c r="GW489" s="62"/>
      <c r="GX489" s="62"/>
      <c r="GY489" s="62"/>
      <c r="GZ489" s="62"/>
      <c r="HA489" s="62"/>
      <c r="HB489" s="62"/>
      <c r="HC489" s="62"/>
      <c r="HD489" s="62"/>
      <c r="HE489" s="62"/>
      <c r="HF489" s="62"/>
      <c r="HG489" s="62"/>
      <c r="HH489" s="62"/>
      <c r="HI489" s="62"/>
      <c r="HJ489" s="62"/>
      <c r="HK489" s="62"/>
      <c r="HL489" s="62"/>
      <c r="HM489" s="62"/>
      <c r="HN489" s="62"/>
      <c r="HO489" s="62"/>
      <c r="HP489" s="62"/>
      <c r="HQ489" s="62"/>
      <c r="HR489" s="62"/>
      <c r="HS489" s="62"/>
      <c r="HT489" s="62"/>
    </row>
    <row r="490" spans="1:228" s="61" customFormat="1" ht="37.5">
      <c r="A490" s="21" t="s">
        <v>91</v>
      </c>
      <c r="B490" s="48" t="s">
        <v>458</v>
      </c>
      <c r="C490" s="23">
        <v>210000000</v>
      </c>
      <c r="D490" s="50"/>
      <c r="E490" s="115"/>
      <c r="F490" s="115"/>
      <c r="G490" s="176"/>
      <c r="H490" s="176"/>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62"/>
      <c r="FH490" s="62"/>
      <c r="FI490" s="62"/>
      <c r="FJ490" s="62"/>
      <c r="FK490" s="62"/>
      <c r="FL490" s="62"/>
      <c r="FM490" s="62"/>
      <c r="FN490" s="62"/>
      <c r="FO490" s="62"/>
      <c r="FP490" s="62"/>
      <c r="FQ490" s="62"/>
      <c r="FR490" s="62"/>
      <c r="FS490" s="62"/>
      <c r="FT490" s="62"/>
      <c r="FU490" s="62"/>
      <c r="FV490" s="62"/>
      <c r="FW490" s="62"/>
      <c r="FX490" s="62"/>
      <c r="FY490" s="62"/>
      <c r="FZ490" s="62"/>
      <c r="GA490" s="62"/>
      <c r="GB490" s="62"/>
      <c r="GC490" s="62"/>
      <c r="GD490" s="62"/>
      <c r="GE490" s="62"/>
      <c r="GF490" s="62"/>
      <c r="GG490" s="62"/>
      <c r="GH490" s="62"/>
      <c r="GI490" s="62"/>
      <c r="GJ490" s="62"/>
      <c r="GK490" s="62"/>
      <c r="GL490" s="62"/>
      <c r="GM490" s="62"/>
      <c r="GN490" s="62"/>
      <c r="GO490" s="62"/>
      <c r="GP490" s="62"/>
      <c r="GQ490" s="62"/>
      <c r="GR490" s="62"/>
      <c r="GS490" s="62"/>
      <c r="GT490" s="62"/>
      <c r="GU490" s="62"/>
      <c r="GV490" s="62"/>
      <c r="GW490" s="62"/>
      <c r="GX490" s="62"/>
      <c r="GY490" s="62"/>
      <c r="GZ490" s="62"/>
      <c r="HA490" s="62"/>
      <c r="HB490" s="62"/>
      <c r="HC490" s="62"/>
      <c r="HD490" s="62"/>
      <c r="HE490" s="62"/>
      <c r="HF490" s="62"/>
      <c r="HG490" s="62"/>
      <c r="HH490" s="62"/>
      <c r="HI490" s="62"/>
      <c r="HJ490" s="62"/>
      <c r="HK490" s="62"/>
      <c r="HL490" s="62"/>
      <c r="HM490" s="62"/>
      <c r="HN490" s="62"/>
      <c r="HO490" s="62"/>
      <c r="HP490" s="62"/>
      <c r="HQ490" s="62"/>
      <c r="HR490" s="62"/>
      <c r="HS490" s="62"/>
      <c r="HT490" s="62"/>
    </row>
    <row r="491" spans="1:228" s="61" customFormat="1" ht="37.5">
      <c r="A491" s="99" t="s">
        <v>91</v>
      </c>
      <c r="B491" s="48" t="s">
        <v>459</v>
      </c>
      <c r="C491" s="23">
        <v>25000000</v>
      </c>
      <c r="D491" s="50"/>
      <c r="E491" s="115"/>
      <c r="F491" s="115"/>
      <c r="G491" s="176"/>
      <c r="H491" s="176"/>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62"/>
      <c r="EC491" s="62"/>
      <c r="ED491" s="62"/>
      <c r="EE491" s="62"/>
      <c r="EF491" s="62"/>
      <c r="EG491" s="62"/>
      <c r="EH491" s="62"/>
      <c r="EI491" s="62"/>
      <c r="EJ491" s="62"/>
      <c r="EK491" s="62"/>
      <c r="EL491" s="62"/>
      <c r="EM491" s="62"/>
      <c r="EN491" s="62"/>
      <c r="EO491" s="62"/>
      <c r="EP491" s="62"/>
      <c r="EQ491" s="62"/>
      <c r="ER491" s="62"/>
      <c r="ES491" s="62"/>
      <c r="ET491" s="62"/>
      <c r="EU491" s="62"/>
      <c r="EV491" s="62"/>
      <c r="EW491" s="62"/>
      <c r="EX491" s="62"/>
      <c r="EY491" s="62"/>
      <c r="EZ491" s="62"/>
      <c r="FA491" s="62"/>
      <c r="FB491" s="62"/>
      <c r="FC491" s="62"/>
      <c r="FD491" s="62"/>
      <c r="FE491" s="62"/>
      <c r="FF491" s="62"/>
      <c r="FG491" s="62"/>
      <c r="FH491" s="62"/>
      <c r="FI491" s="62"/>
      <c r="FJ491" s="62"/>
      <c r="FK491" s="62"/>
      <c r="FL491" s="62"/>
      <c r="FM491" s="62"/>
      <c r="FN491" s="62"/>
      <c r="FO491" s="62"/>
      <c r="FP491" s="62"/>
      <c r="FQ491" s="62"/>
      <c r="FR491" s="62"/>
      <c r="FS491" s="62"/>
      <c r="FT491" s="62"/>
      <c r="FU491" s="62"/>
      <c r="FV491" s="62"/>
      <c r="FW491" s="62"/>
      <c r="FX491" s="62"/>
      <c r="FY491" s="62"/>
      <c r="FZ491" s="62"/>
      <c r="GA491" s="62"/>
      <c r="GB491" s="62"/>
      <c r="GC491" s="62"/>
      <c r="GD491" s="62"/>
      <c r="GE491" s="62"/>
      <c r="GF491" s="62"/>
      <c r="GG491" s="62"/>
      <c r="GH491" s="62"/>
      <c r="GI491" s="62"/>
      <c r="GJ491" s="62"/>
      <c r="GK491" s="62"/>
      <c r="GL491" s="62"/>
      <c r="GM491" s="62"/>
      <c r="GN491" s="62"/>
      <c r="GO491" s="62"/>
      <c r="GP491" s="62"/>
      <c r="GQ491" s="62"/>
      <c r="GR491" s="62"/>
      <c r="GS491" s="62"/>
      <c r="GT491" s="62"/>
      <c r="GU491" s="62"/>
      <c r="GV491" s="62"/>
      <c r="GW491" s="62"/>
      <c r="GX491" s="62"/>
      <c r="GY491" s="62"/>
      <c r="GZ491" s="62"/>
      <c r="HA491" s="62"/>
      <c r="HB491" s="62"/>
      <c r="HC491" s="62"/>
      <c r="HD491" s="62"/>
      <c r="HE491" s="62"/>
      <c r="HF491" s="62"/>
      <c r="HG491" s="62"/>
      <c r="HH491" s="62"/>
      <c r="HI491" s="62"/>
      <c r="HJ491" s="62"/>
      <c r="HK491" s="62"/>
      <c r="HL491" s="62"/>
      <c r="HM491" s="62"/>
      <c r="HN491" s="62"/>
      <c r="HO491" s="62"/>
      <c r="HP491" s="62"/>
      <c r="HQ491" s="62"/>
      <c r="HR491" s="62"/>
      <c r="HS491" s="62"/>
      <c r="HT491" s="62"/>
    </row>
    <row r="492" spans="1:228" s="61" customFormat="1">
      <c r="A492" s="99" t="s">
        <v>91</v>
      </c>
      <c r="B492" s="48" t="s">
        <v>460</v>
      </c>
      <c r="C492" s="23">
        <v>286000000</v>
      </c>
      <c r="D492" s="50"/>
      <c r="E492" s="115"/>
      <c r="F492" s="115"/>
      <c r="G492" s="176"/>
      <c r="H492" s="176"/>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62"/>
      <c r="EC492" s="62"/>
      <c r="ED492" s="62"/>
      <c r="EE492" s="62"/>
      <c r="EF492" s="62"/>
      <c r="EG492" s="62"/>
      <c r="EH492" s="62"/>
      <c r="EI492" s="62"/>
      <c r="EJ492" s="62"/>
      <c r="EK492" s="62"/>
      <c r="EL492" s="62"/>
      <c r="EM492" s="62"/>
      <c r="EN492" s="62"/>
      <c r="EO492" s="62"/>
      <c r="EP492" s="62"/>
      <c r="EQ492" s="62"/>
      <c r="ER492" s="62"/>
      <c r="ES492" s="62"/>
      <c r="ET492" s="62"/>
      <c r="EU492" s="62"/>
      <c r="EV492" s="62"/>
      <c r="EW492" s="62"/>
      <c r="EX492" s="62"/>
      <c r="EY492" s="62"/>
      <c r="EZ492" s="62"/>
      <c r="FA492" s="62"/>
      <c r="FB492" s="62"/>
      <c r="FC492" s="62"/>
      <c r="FD492" s="62"/>
      <c r="FE492" s="62"/>
      <c r="FF492" s="62"/>
      <c r="FG492" s="62"/>
      <c r="FH492" s="62"/>
      <c r="FI492" s="62"/>
      <c r="FJ492" s="62"/>
      <c r="FK492" s="62"/>
      <c r="FL492" s="62"/>
      <c r="FM492" s="62"/>
      <c r="FN492" s="62"/>
      <c r="FO492" s="62"/>
      <c r="FP492" s="62"/>
      <c r="FQ492" s="62"/>
      <c r="FR492" s="62"/>
      <c r="FS492" s="62"/>
      <c r="FT492" s="62"/>
      <c r="FU492" s="62"/>
      <c r="FV492" s="62"/>
      <c r="FW492" s="62"/>
      <c r="FX492" s="62"/>
      <c r="FY492" s="62"/>
      <c r="FZ492" s="62"/>
      <c r="GA492" s="62"/>
      <c r="GB492" s="62"/>
      <c r="GC492" s="62"/>
      <c r="GD492" s="62"/>
      <c r="GE492" s="62"/>
      <c r="GF492" s="62"/>
      <c r="GG492" s="62"/>
      <c r="GH492" s="62"/>
      <c r="GI492" s="62"/>
      <c r="GJ492" s="62"/>
      <c r="GK492" s="62"/>
      <c r="GL492" s="62"/>
      <c r="GM492" s="62"/>
      <c r="GN492" s="62"/>
      <c r="GO492" s="62"/>
      <c r="GP492" s="62"/>
      <c r="GQ492" s="62"/>
      <c r="GR492" s="62"/>
      <c r="GS492" s="62"/>
      <c r="GT492" s="62"/>
      <c r="GU492" s="62"/>
      <c r="GV492" s="62"/>
      <c r="GW492" s="62"/>
      <c r="GX492" s="62"/>
      <c r="GY492" s="62"/>
      <c r="GZ492" s="62"/>
      <c r="HA492" s="62"/>
      <c r="HB492" s="62"/>
      <c r="HC492" s="62"/>
      <c r="HD492" s="62"/>
      <c r="HE492" s="62"/>
      <c r="HF492" s="62"/>
      <c r="HG492" s="62"/>
      <c r="HH492" s="62"/>
      <c r="HI492" s="62"/>
      <c r="HJ492" s="62"/>
      <c r="HK492" s="62"/>
      <c r="HL492" s="62"/>
      <c r="HM492" s="62"/>
      <c r="HN492" s="62"/>
      <c r="HO492" s="62"/>
      <c r="HP492" s="62"/>
      <c r="HQ492" s="62"/>
      <c r="HR492" s="62"/>
      <c r="HS492" s="62"/>
      <c r="HT492" s="62"/>
    </row>
    <row r="493" spans="1:228" s="61" customFormat="1">
      <c r="A493" s="99" t="s">
        <v>91</v>
      </c>
      <c r="B493" s="48" t="s">
        <v>461</v>
      </c>
      <c r="C493" s="23">
        <v>54000000</v>
      </c>
      <c r="D493" s="50"/>
      <c r="E493" s="115"/>
      <c r="F493" s="115"/>
      <c r="G493" s="176"/>
      <c r="H493" s="176"/>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62"/>
      <c r="EC493" s="62"/>
      <c r="ED493" s="62"/>
      <c r="EE493" s="62"/>
      <c r="EF493" s="62"/>
      <c r="EG493" s="62"/>
      <c r="EH493" s="62"/>
      <c r="EI493" s="62"/>
      <c r="EJ493" s="62"/>
      <c r="EK493" s="62"/>
      <c r="EL493" s="62"/>
      <c r="EM493" s="62"/>
      <c r="EN493" s="62"/>
      <c r="EO493" s="62"/>
      <c r="EP493" s="62"/>
      <c r="EQ493" s="62"/>
      <c r="ER493" s="62"/>
      <c r="ES493" s="62"/>
      <c r="ET493" s="62"/>
      <c r="EU493" s="62"/>
      <c r="EV493" s="62"/>
      <c r="EW493" s="62"/>
      <c r="EX493" s="62"/>
      <c r="EY493" s="62"/>
      <c r="EZ493" s="62"/>
      <c r="FA493" s="62"/>
      <c r="FB493" s="62"/>
      <c r="FC493" s="62"/>
      <c r="FD493" s="62"/>
      <c r="FE493" s="62"/>
      <c r="FF493" s="62"/>
      <c r="FG493" s="62"/>
      <c r="FH493" s="62"/>
      <c r="FI493" s="62"/>
      <c r="FJ493" s="62"/>
      <c r="FK493" s="62"/>
      <c r="FL493" s="62"/>
      <c r="FM493" s="62"/>
      <c r="FN493" s="62"/>
      <c r="FO493" s="62"/>
      <c r="FP493" s="62"/>
      <c r="FQ493" s="62"/>
      <c r="FR493" s="62"/>
      <c r="FS493" s="62"/>
      <c r="FT493" s="62"/>
      <c r="FU493" s="62"/>
      <c r="FV493" s="62"/>
      <c r="FW493" s="62"/>
      <c r="FX493" s="62"/>
      <c r="FY493" s="62"/>
      <c r="FZ493" s="62"/>
      <c r="GA493" s="62"/>
      <c r="GB493" s="62"/>
      <c r="GC493" s="62"/>
      <c r="GD493" s="62"/>
      <c r="GE493" s="62"/>
      <c r="GF493" s="62"/>
      <c r="GG493" s="62"/>
      <c r="GH493" s="62"/>
      <c r="GI493" s="62"/>
      <c r="GJ493" s="62"/>
      <c r="GK493" s="62"/>
      <c r="GL493" s="62"/>
      <c r="GM493" s="62"/>
      <c r="GN493" s="62"/>
      <c r="GO493" s="62"/>
      <c r="GP493" s="62"/>
      <c r="GQ493" s="62"/>
      <c r="GR493" s="62"/>
      <c r="GS493" s="62"/>
      <c r="GT493" s="62"/>
      <c r="GU493" s="62"/>
      <c r="GV493" s="62"/>
      <c r="GW493" s="62"/>
      <c r="GX493" s="62"/>
      <c r="GY493" s="62"/>
      <c r="GZ493" s="62"/>
      <c r="HA493" s="62"/>
      <c r="HB493" s="62"/>
      <c r="HC493" s="62"/>
      <c r="HD493" s="62"/>
      <c r="HE493" s="62"/>
      <c r="HF493" s="62"/>
      <c r="HG493" s="62"/>
      <c r="HH493" s="62"/>
      <c r="HI493" s="62"/>
      <c r="HJ493" s="62"/>
      <c r="HK493" s="62"/>
      <c r="HL493" s="62"/>
      <c r="HM493" s="62"/>
      <c r="HN493" s="62"/>
      <c r="HO493" s="62"/>
      <c r="HP493" s="62"/>
      <c r="HQ493" s="62"/>
      <c r="HR493" s="62"/>
      <c r="HS493" s="62"/>
      <c r="HT493" s="62"/>
    </row>
    <row r="494" spans="1:228" s="61" customFormat="1" ht="37.5">
      <c r="A494" s="99" t="s">
        <v>91</v>
      </c>
      <c r="B494" s="48" t="s">
        <v>462</v>
      </c>
      <c r="C494" s="23">
        <v>25000000</v>
      </c>
      <c r="D494" s="50"/>
      <c r="E494" s="115"/>
      <c r="F494" s="115"/>
      <c r="G494" s="176"/>
      <c r="H494" s="176"/>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c r="FL494" s="62"/>
      <c r="FM494" s="62"/>
      <c r="FN494" s="62"/>
      <c r="FO494" s="62"/>
      <c r="FP494" s="62"/>
      <c r="FQ494" s="62"/>
      <c r="FR494" s="62"/>
      <c r="FS494" s="62"/>
      <c r="FT494" s="62"/>
      <c r="FU494" s="62"/>
      <c r="FV494" s="62"/>
      <c r="FW494" s="62"/>
      <c r="FX494" s="62"/>
      <c r="FY494" s="62"/>
      <c r="FZ494" s="62"/>
      <c r="GA494" s="62"/>
      <c r="GB494" s="62"/>
      <c r="GC494" s="62"/>
      <c r="GD494" s="62"/>
      <c r="GE494" s="62"/>
      <c r="GF494" s="62"/>
      <c r="GG494" s="62"/>
      <c r="GH494" s="62"/>
      <c r="GI494" s="62"/>
      <c r="GJ494" s="62"/>
      <c r="GK494" s="62"/>
      <c r="GL494" s="62"/>
      <c r="GM494" s="62"/>
      <c r="GN494" s="62"/>
      <c r="GO494" s="62"/>
      <c r="GP494" s="62"/>
      <c r="GQ494" s="62"/>
      <c r="GR494" s="62"/>
      <c r="GS494" s="62"/>
      <c r="GT494" s="62"/>
      <c r="GU494" s="62"/>
      <c r="GV494" s="62"/>
      <c r="GW494" s="62"/>
      <c r="GX494" s="62"/>
      <c r="GY494" s="62"/>
      <c r="GZ494" s="62"/>
      <c r="HA494" s="62"/>
      <c r="HB494" s="62"/>
      <c r="HC494" s="62"/>
      <c r="HD494" s="62"/>
      <c r="HE494" s="62"/>
      <c r="HF494" s="62"/>
      <c r="HG494" s="62"/>
      <c r="HH494" s="62"/>
      <c r="HI494" s="62"/>
      <c r="HJ494" s="62"/>
      <c r="HK494" s="62"/>
      <c r="HL494" s="62"/>
      <c r="HM494" s="62"/>
      <c r="HN494" s="62"/>
      <c r="HO494" s="62"/>
      <c r="HP494" s="62"/>
      <c r="HQ494" s="62"/>
      <c r="HR494" s="62"/>
      <c r="HS494" s="62"/>
      <c r="HT494" s="62"/>
    </row>
    <row r="495" spans="1:228" s="61" customFormat="1" ht="19.5">
      <c r="A495" s="31" t="s">
        <v>261</v>
      </c>
      <c r="B495" s="101" t="s">
        <v>463</v>
      </c>
      <c r="C495" s="207">
        <f>SUM(C496:C516)</f>
        <v>7006000000</v>
      </c>
      <c r="D495" s="208"/>
      <c r="E495" s="209"/>
      <c r="F495" s="209"/>
      <c r="G495" s="131"/>
      <c r="H495" s="131"/>
    </row>
    <row r="496" spans="1:228" s="61" customFormat="1">
      <c r="A496" s="49" t="s">
        <v>258</v>
      </c>
      <c r="B496" s="48" t="s">
        <v>464</v>
      </c>
      <c r="C496" s="65">
        <v>80000000</v>
      </c>
      <c r="D496" s="79"/>
      <c r="E496" s="118"/>
      <c r="F496" s="118"/>
      <c r="G496" s="171"/>
      <c r="H496" s="171"/>
    </row>
    <row r="497" spans="1:228" s="61" customFormat="1">
      <c r="A497" s="49" t="s">
        <v>258</v>
      </c>
      <c r="B497" s="48" t="s">
        <v>465</v>
      </c>
      <c r="C497" s="65">
        <v>50000000</v>
      </c>
      <c r="D497" s="79"/>
      <c r="E497" s="118"/>
      <c r="F497" s="118"/>
      <c r="G497" s="115"/>
      <c r="H497" s="115"/>
    </row>
    <row r="498" spans="1:228" s="61" customFormat="1">
      <c r="A498" s="49" t="s">
        <v>258</v>
      </c>
      <c r="B498" s="48" t="s">
        <v>466</v>
      </c>
      <c r="C498" s="65">
        <v>250000000</v>
      </c>
      <c r="D498" s="79"/>
      <c r="E498" s="118"/>
      <c r="F498" s="118"/>
      <c r="G498" s="210"/>
      <c r="H498" s="210"/>
    </row>
    <row r="499" spans="1:228" s="61" customFormat="1">
      <c r="A499" s="49" t="s">
        <v>258</v>
      </c>
      <c r="B499" s="48" t="s">
        <v>467</v>
      </c>
      <c r="C499" s="65">
        <v>95000000</v>
      </c>
      <c r="D499" s="79"/>
      <c r="E499" s="118"/>
      <c r="F499" s="118"/>
      <c r="G499" s="210"/>
      <c r="H499" s="210"/>
    </row>
    <row r="500" spans="1:228" s="61" customFormat="1" ht="75">
      <c r="A500" s="49" t="s">
        <v>258</v>
      </c>
      <c r="B500" s="48" t="s">
        <v>468</v>
      </c>
      <c r="C500" s="65">
        <v>650000000</v>
      </c>
      <c r="D500" s="79"/>
      <c r="E500" s="118"/>
      <c r="F500" s="118"/>
      <c r="G500" s="210"/>
      <c r="H500" s="210"/>
    </row>
    <row r="501" spans="1:228" s="47" customFormat="1" ht="19.5">
      <c r="A501" s="49" t="s">
        <v>258</v>
      </c>
      <c r="B501" s="48" t="s">
        <v>469</v>
      </c>
      <c r="C501" s="65">
        <v>1000000000</v>
      </c>
      <c r="D501" s="1850"/>
      <c r="E501" s="118"/>
      <c r="F501" s="118"/>
      <c r="G501" s="211"/>
      <c r="H501" s="211"/>
    </row>
    <row r="502" spans="1:228" s="47" customFormat="1" ht="19.5">
      <c r="A502" s="49"/>
      <c r="B502" s="48" t="s">
        <v>470</v>
      </c>
      <c r="C502" s="65">
        <v>120000000</v>
      </c>
      <c r="D502" s="1850"/>
      <c r="E502" s="118"/>
      <c r="F502" s="118"/>
      <c r="G502" s="211"/>
      <c r="H502" s="211"/>
    </row>
    <row r="503" spans="1:228" s="47" customFormat="1" ht="37.5">
      <c r="A503" s="49"/>
      <c r="B503" s="48" t="s">
        <v>471</v>
      </c>
      <c r="C503" s="65">
        <v>1200000000</v>
      </c>
      <c r="D503" s="1850"/>
      <c r="E503" s="118"/>
      <c r="F503" s="118"/>
      <c r="G503" s="211"/>
      <c r="H503" s="211"/>
    </row>
    <row r="504" spans="1:228" s="61" customFormat="1" ht="37.5">
      <c r="A504" s="49" t="s">
        <v>258</v>
      </c>
      <c r="B504" s="48" t="s">
        <v>472</v>
      </c>
      <c r="C504" s="65">
        <v>300000000</v>
      </c>
      <c r="D504" s="79"/>
      <c r="E504" s="118"/>
      <c r="F504" s="118"/>
      <c r="G504" s="210"/>
      <c r="H504" s="210"/>
    </row>
    <row r="505" spans="1:228" s="61" customFormat="1">
      <c r="A505" s="49" t="s">
        <v>258</v>
      </c>
      <c r="B505" s="48" t="s">
        <v>473</v>
      </c>
      <c r="C505" s="65">
        <v>250000000</v>
      </c>
      <c r="D505" s="79"/>
      <c r="E505" s="118"/>
      <c r="F505" s="118"/>
      <c r="G505" s="210"/>
      <c r="H505" s="210"/>
    </row>
    <row r="506" spans="1:228" ht="37.5">
      <c r="A506" s="49" t="s">
        <v>258</v>
      </c>
      <c r="B506" s="48" t="s">
        <v>474</v>
      </c>
      <c r="C506" s="65">
        <v>1500000000</v>
      </c>
      <c r="D506" s="79"/>
      <c r="E506" s="118"/>
      <c r="F506" s="118"/>
      <c r="G506" s="118"/>
      <c r="H506" s="118"/>
    </row>
    <row r="507" spans="1:228" ht="37.5">
      <c r="A507" s="49" t="s">
        <v>258</v>
      </c>
      <c r="B507" s="48" t="s">
        <v>475</v>
      </c>
      <c r="C507" s="65">
        <v>120000000</v>
      </c>
      <c r="D507" s="79"/>
      <c r="E507" s="118"/>
      <c r="F507" s="118"/>
      <c r="G507" s="118"/>
      <c r="H507" s="118"/>
    </row>
    <row r="508" spans="1:228" ht="37.5">
      <c r="A508" s="49" t="s">
        <v>258</v>
      </c>
      <c r="B508" s="48" t="s">
        <v>476</v>
      </c>
      <c r="C508" s="65">
        <v>80000000</v>
      </c>
      <c r="D508" s="79"/>
      <c r="E508" s="118"/>
      <c r="F508" s="118"/>
      <c r="G508" s="118"/>
      <c r="H508" s="118"/>
    </row>
    <row r="509" spans="1:228" s="61" customFormat="1">
      <c r="A509" s="49" t="s">
        <v>258</v>
      </c>
      <c r="B509" s="48" t="s">
        <v>477</v>
      </c>
      <c r="C509" s="65">
        <v>75000000</v>
      </c>
      <c r="D509" s="79"/>
      <c r="E509" s="118"/>
      <c r="F509" s="118"/>
      <c r="G509" s="118"/>
      <c r="H509" s="118"/>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27"/>
      <c r="DX509" s="27"/>
      <c r="DY509" s="27"/>
      <c r="DZ509" s="27"/>
      <c r="EA509" s="27"/>
      <c r="EB509" s="27"/>
      <c r="EC509" s="27"/>
      <c r="ED509" s="27"/>
      <c r="EE509" s="27"/>
      <c r="EF509" s="27"/>
      <c r="EG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c r="FH509" s="27"/>
      <c r="FI509" s="27"/>
      <c r="FJ509" s="27"/>
      <c r="FK509" s="27"/>
      <c r="FL509" s="27"/>
      <c r="FM509" s="27"/>
      <c r="FN509" s="27"/>
      <c r="FO509" s="27"/>
      <c r="FP509" s="27"/>
      <c r="FQ509" s="27"/>
      <c r="FR509" s="27"/>
      <c r="FS509" s="27"/>
      <c r="FT509" s="27"/>
      <c r="FU509" s="27"/>
      <c r="FV509" s="27"/>
      <c r="FW509" s="27"/>
      <c r="FX509" s="27"/>
      <c r="FY509" s="27"/>
      <c r="FZ509" s="27"/>
      <c r="GA509" s="27"/>
      <c r="GB509" s="27"/>
      <c r="GC509" s="27"/>
      <c r="GD509" s="27"/>
      <c r="GE509" s="27"/>
      <c r="GF509" s="27"/>
      <c r="GG509" s="27"/>
      <c r="GH509" s="27"/>
      <c r="GI509" s="27"/>
      <c r="GJ509" s="27"/>
      <c r="GK509" s="27"/>
      <c r="GL509" s="27"/>
      <c r="GM509" s="27"/>
      <c r="GN509" s="27"/>
      <c r="GO509" s="27"/>
      <c r="GP509" s="27"/>
      <c r="GQ509" s="27"/>
      <c r="GR509" s="27"/>
      <c r="GS509" s="27"/>
      <c r="GT509" s="27"/>
      <c r="GU509" s="27"/>
      <c r="GV509" s="27"/>
      <c r="GW509" s="27"/>
      <c r="GX509" s="27"/>
      <c r="GY509" s="27"/>
      <c r="GZ509" s="27"/>
      <c r="HA509" s="27"/>
      <c r="HB509" s="27"/>
      <c r="HC509" s="27"/>
      <c r="HD509" s="27"/>
      <c r="HE509" s="27"/>
      <c r="HF509" s="27"/>
      <c r="HG509" s="27"/>
      <c r="HH509" s="27"/>
      <c r="HI509" s="27"/>
      <c r="HJ509" s="27"/>
      <c r="HK509" s="27"/>
      <c r="HL509" s="27"/>
      <c r="HM509" s="27"/>
      <c r="HN509" s="27"/>
      <c r="HO509" s="27"/>
      <c r="HP509" s="27"/>
      <c r="HQ509" s="27"/>
      <c r="HR509" s="27"/>
      <c r="HS509" s="27"/>
      <c r="HT509" s="27"/>
    </row>
    <row r="510" spans="1:228" s="61" customFormat="1">
      <c r="A510" s="49" t="s">
        <v>258</v>
      </c>
      <c r="B510" s="48" t="s">
        <v>478</v>
      </c>
      <c r="C510" s="65">
        <v>80000000</v>
      </c>
      <c r="D510" s="79"/>
      <c r="E510" s="118"/>
      <c r="F510" s="118"/>
      <c r="G510" s="118"/>
      <c r="H510" s="118"/>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c r="FI510" s="27"/>
      <c r="FJ510" s="27"/>
      <c r="FK510" s="27"/>
      <c r="FL510" s="27"/>
      <c r="FM510" s="27"/>
      <c r="FN510" s="27"/>
      <c r="FO510" s="27"/>
      <c r="FP510" s="27"/>
      <c r="FQ510" s="27"/>
      <c r="FR510" s="27"/>
      <c r="FS510" s="27"/>
      <c r="FT510" s="27"/>
      <c r="FU510" s="27"/>
      <c r="FV510" s="27"/>
      <c r="FW510" s="27"/>
      <c r="FX510" s="27"/>
      <c r="FY510" s="27"/>
      <c r="FZ510" s="27"/>
      <c r="GA510" s="27"/>
      <c r="GB510" s="27"/>
      <c r="GC510" s="27"/>
      <c r="GD510" s="27"/>
      <c r="GE510" s="27"/>
      <c r="GF510" s="27"/>
      <c r="GG510" s="27"/>
      <c r="GH510" s="27"/>
      <c r="GI510" s="27"/>
      <c r="GJ510" s="27"/>
      <c r="GK510" s="27"/>
      <c r="GL510" s="27"/>
      <c r="GM510" s="27"/>
      <c r="GN510" s="27"/>
      <c r="GO510" s="27"/>
      <c r="GP510" s="27"/>
      <c r="GQ510" s="27"/>
      <c r="GR510" s="27"/>
      <c r="GS510" s="27"/>
      <c r="GT510" s="27"/>
      <c r="GU510" s="27"/>
      <c r="GV510" s="27"/>
      <c r="GW510" s="27"/>
      <c r="GX510" s="27"/>
      <c r="GY510" s="27"/>
      <c r="GZ510" s="27"/>
      <c r="HA510" s="27"/>
      <c r="HB510" s="27"/>
      <c r="HC510" s="27"/>
      <c r="HD510" s="27"/>
      <c r="HE510" s="27"/>
      <c r="HF510" s="27"/>
      <c r="HG510" s="27"/>
      <c r="HH510" s="27"/>
      <c r="HI510" s="27"/>
      <c r="HJ510" s="27"/>
      <c r="HK510" s="27"/>
      <c r="HL510" s="27"/>
      <c r="HM510" s="27"/>
      <c r="HN510" s="27"/>
      <c r="HO510" s="27"/>
      <c r="HP510" s="27"/>
      <c r="HQ510" s="27"/>
      <c r="HR510" s="27"/>
      <c r="HS510" s="27"/>
      <c r="HT510" s="27"/>
    </row>
    <row r="511" spans="1:228" s="61" customFormat="1" ht="37.5">
      <c r="A511" s="49" t="s">
        <v>258</v>
      </c>
      <c r="B511" s="48" t="s">
        <v>479</v>
      </c>
      <c r="C511" s="65">
        <v>300000000</v>
      </c>
      <c r="D511" s="79"/>
      <c r="E511" s="118"/>
      <c r="F511" s="118"/>
      <c r="G511" s="118"/>
      <c r="H511" s="118"/>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27"/>
      <c r="DX511" s="27"/>
      <c r="DY511" s="27"/>
      <c r="DZ511" s="27"/>
      <c r="EA511" s="27"/>
      <c r="EB511" s="27"/>
      <c r="EC511" s="27"/>
      <c r="ED511" s="27"/>
      <c r="EE511" s="27"/>
      <c r="EF511" s="27"/>
      <c r="EG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c r="FH511" s="27"/>
      <c r="FI511" s="27"/>
      <c r="FJ511" s="27"/>
      <c r="FK511" s="27"/>
      <c r="FL511" s="27"/>
      <c r="FM511" s="27"/>
      <c r="FN511" s="27"/>
      <c r="FO511" s="27"/>
      <c r="FP511" s="27"/>
      <c r="FQ511" s="27"/>
      <c r="FR511" s="27"/>
      <c r="FS511" s="27"/>
      <c r="FT511" s="27"/>
      <c r="FU511" s="27"/>
      <c r="FV511" s="27"/>
      <c r="FW511" s="27"/>
      <c r="FX511" s="27"/>
      <c r="FY511" s="27"/>
      <c r="FZ511" s="27"/>
      <c r="GA511" s="27"/>
      <c r="GB511" s="27"/>
      <c r="GC511" s="27"/>
      <c r="GD511" s="27"/>
      <c r="GE511" s="27"/>
      <c r="GF511" s="27"/>
      <c r="GG511" s="27"/>
      <c r="GH511" s="27"/>
      <c r="GI511" s="27"/>
      <c r="GJ511" s="27"/>
      <c r="GK511" s="27"/>
      <c r="GL511" s="27"/>
      <c r="GM511" s="27"/>
      <c r="GN511" s="27"/>
      <c r="GO511" s="27"/>
      <c r="GP511" s="27"/>
      <c r="GQ511" s="27"/>
      <c r="GR511" s="27"/>
      <c r="GS511" s="27"/>
      <c r="GT511" s="27"/>
      <c r="GU511" s="27"/>
      <c r="GV511" s="27"/>
      <c r="GW511" s="27"/>
      <c r="GX511" s="27"/>
      <c r="GY511" s="27"/>
      <c r="GZ511" s="27"/>
      <c r="HA511" s="27"/>
      <c r="HB511" s="27"/>
      <c r="HC511" s="27"/>
      <c r="HD511" s="27"/>
      <c r="HE511" s="27"/>
      <c r="HF511" s="27"/>
      <c r="HG511" s="27"/>
      <c r="HH511" s="27"/>
      <c r="HI511" s="27"/>
      <c r="HJ511" s="27"/>
      <c r="HK511" s="27"/>
      <c r="HL511" s="27"/>
      <c r="HM511" s="27"/>
      <c r="HN511" s="27"/>
      <c r="HO511" s="27"/>
      <c r="HP511" s="27"/>
      <c r="HQ511" s="27"/>
      <c r="HR511" s="27"/>
      <c r="HS511" s="27"/>
      <c r="HT511" s="27"/>
    </row>
    <row r="512" spans="1:228" s="61" customFormat="1" ht="37.5">
      <c r="A512" s="49" t="s">
        <v>258</v>
      </c>
      <c r="B512" s="48" t="s">
        <v>480</v>
      </c>
      <c r="C512" s="65">
        <v>101000000</v>
      </c>
      <c r="D512" s="79"/>
      <c r="E512" s="118"/>
      <c r="F512" s="118"/>
      <c r="G512" s="118"/>
      <c r="H512" s="118"/>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27"/>
      <c r="DX512" s="27"/>
      <c r="DY512" s="27"/>
      <c r="DZ512" s="27"/>
      <c r="EA512" s="27"/>
      <c r="EB512" s="27"/>
      <c r="EC512" s="27"/>
      <c r="ED512" s="27"/>
      <c r="EE512" s="27"/>
      <c r="EF512" s="27"/>
      <c r="EG512" s="27"/>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F512" s="27"/>
      <c r="FG512" s="27"/>
      <c r="FH512" s="27"/>
      <c r="FI512" s="27"/>
      <c r="FJ512" s="27"/>
      <c r="FK512" s="27"/>
      <c r="FL512" s="27"/>
      <c r="FM512" s="27"/>
      <c r="FN512" s="27"/>
      <c r="FO512" s="27"/>
      <c r="FP512" s="27"/>
      <c r="FQ512" s="27"/>
      <c r="FR512" s="27"/>
      <c r="FS512" s="27"/>
      <c r="FT512" s="27"/>
      <c r="FU512" s="27"/>
      <c r="FV512" s="27"/>
      <c r="FW512" s="27"/>
      <c r="FX512" s="27"/>
      <c r="FY512" s="27"/>
      <c r="FZ512" s="27"/>
      <c r="GA512" s="27"/>
      <c r="GB512" s="27"/>
      <c r="GC512" s="27"/>
      <c r="GD512" s="27"/>
      <c r="GE512" s="27"/>
      <c r="GF512" s="27"/>
      <c r="GG512" s="27"/>
      <c r="GH512" s="27"/>
      <c r="GI512" s="27"/>
      <c r="GJ512" s="27"/>
      <c r="GK512" s="27"/>
      <c r="GL512" s="27"/>
      <c r="GM512" s="27"/>
      <c r="GN512" s="27"/>
      <c r="GO512" s="27"/>
      <c r="GP512" s="27"/>
      <c r="GQ512" s="27"/>
      <c r="GR512" s="27"/>
      <c r="GS512" s="27"/>
      <c r="GT512" s="27"/>
      <c r="GU512" s="27"/>
      <c r="GV512" s="27"/>
      <c r="GW512" s="27"/>
      <c r="GX512" s="27"/>
      <c r="GY512" s="27"/>
      <c r="GZ512" s="27"/>
      <c r="HA512" s="27"/>
      <c r="HB512" s="27"/>
      <c r="HC512" s="27"/>
      <c r="HD512" s="27"/>
      <c r="HE512" s="27"/>
      <c r="HF512" s="27"/>
      <c r="HG512" s="27"/>
      <c r="HH512" s="27"/>
      <c r="HI512" s="27"/>
      <c r="HJ512" s="27"/>
      <c r="HK512" s="27"/>
      <c r="HL512" s="27"/>
      <c r="HM512" s="27"/>
      <c r="HN512" s="27"/>
      <c r="HO512" s="27"/>
      <c r="HP512" s="27"/>
      <c r="HQ512" s="27"/>
      <c r="HR512" s="27"/>
      <c r="HS512" s="27"/>
      <c r="HT512" s="27"/>
    </row>
    <row r="513" spans="1:228" s="61" customFormat="1" ht="37.5">
      <c r="A513" s="49" t="s">
        <v>258</v>
      </c>
      <c r="B513" s="48" t="s">
        <v>481</v>
      </c>
      <c r="C513" s="65">
        <v>50000000</v>
      </c>
      <c r="D513" s="79"/>
      <c r="E513" s="118"/>
      <c r="F513" s="118"/>
      <c r="G513" s="118"/>
      <c r="H513" s="118"/>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27"/>
      <c r="DX513" s="27"/>
      <c r="DY513" s="27"/>
      <c r="DZ513" s="27"/>
      <c r="EA513" s="27"/>
      <c r="EB513" s="27"/>
      <c r="EC513" s="27"/>
      <c r="ED513" s="27"/>
      <c r="EE513" s="27"/>
      <c r="EF513" s="27"/>
      <c r="EG513" s="27"/>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F513" s="27"/>
      <c r="FG513" s="27"/>
      <c r="FH513" s="27"/>
      <c r="FI513" s="27"/>
      <c r="FJ513" s="27"/>
      <c r="FK513" s="27"/>
      <c r="FL513" s="27"/>
      <c r="FM513" s="27"/>
      <c r="FN513" s="27"/>
      <c r="FO513" s="27"/>
      <c r="FP513" s="27"/>
      <c r="FQ513" s="27"/>
      <c r="FR513" s="27"/>
      <c r="FS513" s="27"/>
      <c r="FT513" s="27"/>
      <c r="FU513" s="27"/>
      <c r="FV513" s="27"/>
      <c r="FW513" s="27"/>
      <c r="FX513" s="27"/>
      <c r="FY513" s="27"/>
      <c r="FZ513" s="27"/>
      <c r="GA513" s="27"/>
      <c r="GB513" s="27"/>
      <c r="GC513" s="27"/>
      <c r="GD513" s="27"/>
      <c r="GE513" s="27"/>
      <c r="GF513" s="27"/>
      <c r="GG513" s="27"/>
      <c r="GH513" s="27"/>
      <c r="GI513" s="27"/>
      <c r="GJ513" s="27"/>
      <c r="GK513" s="27"/>
      <c r="GL513" s="27"/>
      <c r="GM513" s="27"/>
      <c r="GN513" s="27"/>
      <c r="GO513" s="27"/>
      <c r="GP513" s="27"/>
      <c r="GQ513" s="27"/>
      <c r="GR513" s="27"/>
      <c r="GS513" s="27"/>
      <c r="GT513" s="27"/>
      <c r="GU513" s="27"/>
      <c r="GV513" s="27"/>
      <c r="GW513" s="27"/>
      <c r="GX513" s="27"/>
      <c r="GY513" s="27"/>
      <c r="GZ513" s="27"/>
      <c r="HA513" s="27"/>
      <c r="HB513" s="27"/>
      <c r="HC513" s="27"/>
      <c r="HD513" s="27"/>
      <c r="HE513" s="27"/>
      <c r="HF513" s="27"/>
      <c r="HG513" s="27"/>
      <c r="HH513" s="27"/>
      <c r="HI513" s="27"/>
      <c r="HJ513" s="27"/>
      <c r="HK513" s="27"/>
      <c r="HL513" s="27"/>
      <c r="HM513" s="27"/>
      <c r="HN513" s="27"/>
      <c r="HO513" s="27"/>
      <c r="HP513" s="27"/>
      <c r="HQ513" s="27"/>
      <c r="HR513" s="27"/>
      <c r="HS513" s="27"/>
      <c r="HT513" s="27"/>
    </row>
    <row r="514" spans="1:228" s="61" customFormat="1" ht="56.25">
      <c r="A514" s="49" t="s">
        <v>258</v>
      </c>
      <c r="B514" s="48" t="s">
        <v>482</v>
      </c>
      <c r="C514" s="65">
        <v>450000000</v>
      </c>
      <c r="D514" s="79"/>
      <c r="E514" s="118"/>
      <c r="F514" s="118"/>
      <c r="G514" s="118"/>
      <c r="H514" s="118"/>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27"/>
      <c r="DX514" s="27"/>
      <c r="DY514" s="27"/>
      <c r="DZ514" s="27"/>
      <c r="EA514" s="27"/>
      <c r="EB514" s="27"/>
      <c r="EC514" s="27"/>
      <c r="ED514" s="27"/>
      <c r="EE514" s="27"/>
      <c r="EF514" s="27"/>
      <c r="EG514" s="27"/>
      <c r="EH514" s="27"/>
      <c r="EI514" s="27"/>
      <c r="EJ514" s="27"/>
      <c r="EK514" s="27"/>
      <c r="EL514" s="27"/>
      <c r="EM514" s="27"/>
      <c r="EN514" s="27"/>
      <c r="EO514" s="27"/>
      <c r="EP514" s="27"/>
      <c r="EQ514" s="27"/>
      <c r="ER514" s="27"/>
      <c r="ES514" s="27"/>
      <c r="ET514" s="27"/>
      <c r="EU514" s="27"/>
      <c r="EV514" s="27"/>
      <c r="EW514" s="27"/>
      <c r="EX514" s="27"/>
      <c r="EY514" s="27"/>
      <c r="EZ514" s="27"/>
      <c r="FA514" s="27"/>
      <c r="FB514" s="27"/>
      <c r="FC514" s="27"/>
      <c r="FD514" s="27"/>
      <c r="FE514" s="27"/>
      <c r="FF514" s="27"/>
      <c r="FG514" s="27"/>
      <c r="FH514" s="27"/>
      <c r="FI514" s="27"/>
      <c r="FJ514" s="27"/>
      <c r="FK514" s="27"/>
      <c r="FL514" s="27"/>
      <c r="FM514" s="27"/>
      <c r="FN514" s="27"/>
      <c r="FO514" s="27"/>
      <c r="FP514" s="27"/>
      <c r="FQ514" s="27"/>
      <c r="FR514" s="27"/>
      <c r="FS514" s="27"/>
      <c r="FT514" s="27"/>
      <c r="FU514" s="27"/>
      <c r="FV514" s="27"/>
      <c r="FW514" s="27"/>
      <c r="FX514" s="27"/>
      <c r="FY514" s="27"/>
      <c r="FZ514" s="27"/>
      <c r="GA514" s="27"/>
      <c r="GB514" s="27"/>
      <c r="GC514" s="27"/>
      <c r="GD514" s="27"/>
      <c r="GE514" s="27"/>
      <c r="GF514" s="27"/>
      <c r="GG514" s="27"/>
      <c r="GH514" s="27"/>
      <c r="GI514" s="27"/>
      <c r="GJ514" s="27"/>
      <c r="GK514" s="27"/>
      <c r="GL514" s="27"/>
      <c r="GM514" s="27"/>
      <c r="GN514" s="27"/>
      <c r="GO514" s="27"/>
      <c r="GP514" s="27"/>
      <c r="GQ514" s="27"/>
      <c r="GR514" s="27"/>
      <c r="GS514" s="27"/>
      <c r="GT514" s="27"/>
      <c r="GU514" s="27"/>
      <c r="GV514" s="27"/>
      <c r="GW514" s="27"/>
      <c r="GX514" s="27"/>
      <c r="GY514" s="27"/>
      <c r="GZ514" s="27"/>
      <c r="HA514" s="27"/>
      <c r="HB514" s="27"/>
      <c r="HC514" s="27"/>
      <c r="HD514" s="27"/>
      <c r="HE514" s="27"/>
      <c r="HF514" s="27"/>
      <c r="HG514" s="27"/>
      <c r="HH514" s="27"/>
      <c r="HI514" s="27"/>
      <c r="HJ514" s="27"/>
      <c r="HK514" s="27"/>
      <c r="HL514" s="27"/>
      <c r="HM514" s="27"/>
      <c r="HN514" s="27"/>
      <c r="HO514" s="27"/>
      <c r="HP514" s="27"/>
      <c r="HQ514" s="27"/>
      <c r="HR514" s="27"/>
      <c r="HS514" s="27"/>
      <c r="HT514" s="27"/>
    </row>
    <row r="515" spans="1:228" s="61" customFormat="1" ht="75">
      <c r="A515" s="49" t="s">
        <v>258</v>
      </c>
      <c r="B515" s="48" t="s">
        <v>483</v>
      </c>
      <c r="C515" s="65">
        <v>30000000</v>
      </c>
      <c r="D515" s="79"/>
      <c r="E515" s="118"/>
      <c r="F515" s="118"/>
      <c r="G515" s="118"/>
      <c r="H515" s="118"/>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c r="GU515" s="27"/>
      <c r="GV515" s="27"/>
      <c r="GW515" s="27"/>
      <c r="GX515" s="27"/>
      <c r="GY515" s="27"/>
      <c r="GZ515" s="27"/>
      <c r="HA515" s="27"/>
      <c r="HB515" s="27"/>
      <c r="HC515" s="27"/>
      <c r="HD515" s="27"/>
      <c r="HE515" s="27"/>
      <c r="HF515" s="27"/>
      <c r="HG515" s="27"/>
      <c r="HH515" s="27"/>
      <c r="HI515" s="27"/>
      <c r="HJ515" s="27"/>
      <c r="HK515" s="27"/>
      <c r="HL515" s="27"/>
      <c r="HM515" s="27"/>
      <c r="HN515" s="27"/>
      <c r="HO515" s="27"/>
      <c r="HP515" s="27"/>
      <c r="HQ515" s="27"/>
      <c r="HR515" s="27"/>
      <c r="HS515" s="27"/>
      <c r="HT515" s="27"/>
    </row>
    <row r="516" spans="1:228">
      <c r="A516" s="49" t="s">
        <v>258</v>
      </c>
      <c r="B516" s="48" t="s">
        <v>484</v>
      </c>
      <c r="C516" s="65">
        <v>225000000</v>
      </c>
      <c r="D516" s="79"/>
      <c r="E516" s="118"/>
      <c r="F516" s="118"/>
      <c r="G516" s="118"/>
      <c r="H516" s="118"/>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61"/>
      <c r="FG516" s="61"/>
      <c r="FH516" s="61"/>
      <c r="FI516" s="61"/>
      <c r="FJ516" s="61"/>
      <c r="FK516" s="61"/>
      <c r="FL516" s="61"/>
      <c r="FM516" s="61"/>
      <c r="FN516" s="61"/>
      <c r="FO516" s="61"/>
      <c r="FP516" s="61"/>
      <c r="FQ516" s="61"/>
      <c r="FR516" s="61"/>
      <c r="FS516" s="61"/>
      <c r="FT516" s="61"/>
      <c r="FU516" s="61"/>
      <c r="FV516" s="61"/>
      <c r="FW516" s="61"/>
      <c r="FX516" s="61"/>
      <c r="FY516" s="61"/>
      <c r="FZ516" s="61"/>
      <c r="GA516" s="61"/>
      <c r="GB516" s="61"/>
      <c r="GC516" s="61"/>
      <c r="GD516" s="61"/>
      <c r="GE516" s="61"/>
      <c r="GF516" s="61"/>
      <c r="GG516" s="61"/>
      <c r="GH516" s="61"/>
      <c r="GI516" s="61"/>
      <c r="GJ516" s="61"/>
      <c r="GK516" s="61"/>
      <c r="GL516" s="61"/>
      <c r="GM516" s="61"/>
      <c r="GN516" s="61"/>
      <c r="GO516" s="61"/>
      <c r="GP516" s="61"/>
      <c r="GQ516" s="61"/>
      <c r="GR516" s="61"/>
      <c r="GS516" s="61"/>
      <c r="GT516" s="61"/>
      <c r="GU516" s="61"/>
      <c r="GV516" s="61"/>
      <c r="GW516" s="61"/>
      <c r="GX516" s="61"/>
      <c r="GY516" s="61"/>
      <c r="GZ516" s="61"/>
      <c r="HA516" s="61"/>
      <c r="HB516" s="61"/>
      <c r="HC516" s="61"/>
      <c r="HD516" s="61"/>
      <c r="HE516" s="61"/>
      <c r="HF516" s="61"/>
      <c r="HG516" s="61"/>
      <c r="HH516" s="61"/>
      <c r="HI516" s="61"/>
      <c r="HJ516" s="61"/>
      <c r="HK516" s="61"/>
      <c r="HL516" s="61"/>
      <c r="HM516" s="61"/>
      <c r="HN516" s="61"/>
      <c r="HO516" s="61"/>
      <c r="HP516" s="61"/>
      <c r="HQ516" s="61"/>
      <c r="HR516" s="61"/>
      <c r="HS516" s="61"/>
      <c r="HT516" s="61"/>
    </row>
    <row r="517" spans="1:228">
      <c r="A517" s="72" t="s">
        <v>261</v>
      </c>
      <c r="B517" s="105" t="s">
        <v>262</v>
      </c>
      <c r="C517" s="107">
        <v>904750000</v>
      </c>
      <c r="D517" s="76"/>
      <c r="E517" s="145"/>
      <c r="F517" s="145"/>
      <c r="G517" s="127"/>
      <c r="H517" s="127"/>
    </row>
    <row r="518" spans="1:228">
      <c r="A518" s="89"/>
      <c r="B518" s="90" t="s">
        <v>263</v>
      </c>
      <c r="C518" s="91">
        <v>833000000</v>
      </c>
      <c r="D518" s="79"/>
      <c r="E518" s="127"/>
      <c r="F518" s="127"/>
      <c r="G518" s="127"/>
      <c r="H518" s="127"/>
    </row>
    <row r="519" spans="1:228">
      <c r="A519" s="89"/>
      <c r="B519" s="65"/>
      <c r="C519" s="91"/>
      <c r="D519" s="79"/>
      <c r="E519" s="127"/>
      <c r="F519" s="127"/>
      <c r="G519" s="114"/>
      <c r="H519" s="114"/>
    </row>
    <row r="520" spans="1:228" s="61" customFormat="1">
      <c r="A520" s="31" t="s">
        <v>298</v>
      </c>
      <c r="B520" s="101" t="s">
        <v>485</v>
      </c>
      <c r="C520" s="102">
        <v>4535700000</v>
      </c>
      <c r="D520" s="38"/>
      <c r="E520" s="116"/>
      <c r="F520" s="116"/>
      <c r="G520" s="117"/>
      <c r="H520" s="117"/>
    </row>
    <row r="521" spans="1:228" s="61" customFormat="1" ht="37.5">
      <c r="A521" s="63" t="s">
        <v>258</v>
      </c>
      <c r="B521" s="23" t="s">
        <v>486</v>
      </c>
      <c r="C521" s="65">
        <v>100000000</v>
      </c>
      <c r="D521" s="79"/>
      <c r="E521" s="118"/>
      <c r="F521" s="118"/>
      <c r="G521" s="118"/>
      <c r="H521" s="118"/>
    </row>
    <row r="522" spans="1:228" s="61" customFormat="1">
      <c r="A522" s="63" t="s">
        <v>258</v>
      </c>
      <c r="B522" s="48" t="s">
        <v>487</v>
      </c>
      <c r="C522" s="65">
        <v>80000000</v>
      </c>
      <c r="D522" s="79"/>
      <c r="E522" s="118"/>
      <c r="F522" s="118"/>
      <c r="G522" s="118"/>
      <c r="H522" s="118"/>
    </row>
    <row r="523" spans="1:228" s="61" customFormat="1" ht="37.5">
      <c r="A523" s="63" t="s">
        <v>258</v>
      </c>
      <c r="B523" s="55" t="s">
        <v>488</v>
      </c>
      <c r="C523" s="65">
        <v>200000000</v>
      </c>
      <c r="D523" s="79"/>
      <c r="E523" s="118"/>
      <c r="F523" s="118"/>
      <c r="G523" s="118"/>
      <c r="H523" s="118"/>
    </row>
    <row r="524" spans="1:228" s="61" customFormat="1" ht="37.5">
      <c r="A524" s="63" t="s">
        <v>258</v>
      </c>
      <c r="B524" s="55" t="s">
        <v>489</v>
      </c>
      <c r="C524" s="65">
        <v>200000000</v>
      </c>
      <c r="D524" s="79"/>
      <c r="E524" s="118"/>
      <c r="F524" s="118"/>
      <c r="G524" s="118"/>
      <c r="H524" s="118"/>
    </row>
    <row r="525" spans="1:228" s="61" customFormat="1" ht="37.5">
      <c r="A525" s="63" t="s">
        <v>258</v>
      </c>
      <c r="B525" s="55" t="s">
        <v>490</v>
      </c>
      <c r="C525" s="65">
        <v>300000000</v>
      </c>
      <c r="D525" s="79"/>
      <c r="E525" s="118"/>
      <c r="F525" s="118"/>
      <c r="G525" s="118"/>
      <c r="H525" s="118"/>
    </row>
    <row r="526" spans="1:228" s="61" customFormat="1" ht="37.5">
      <c r="A526" s="63" t="s">
        <v>258</v>
      </c>
      <c r="B526" s="55" t="s">
        <v>491</v>
      </c>
      <c r="C526" s="65">
        <v>300000000</v>
      </c>
      <c r="D526" s="79"/>
      <c r="E526" s="118"/>
      <c r="F526" s="118"/>
      <c r="G526" s="118"/>
      <c r="H526" s="118"/>
    </row>
    <row r="527" spans="1:228" s="29" customFormat="1">
      <c r="A527" s="63" t="s">
        <v>258</v>
      </c>
      <c r="B527" s="55" t="s">
        <v>492</v>
      </c>
      <c r="C527" s="23">
        <v>30000000</v>
      </c>
      <c r="D527" s="50"/>
      <c r="E527" s="115"/>
      <c r="F527" s="115"/>
      <c r="G527" s="115"/>
      <c r="H527" s="115"/>
    </row>
    <row r="528" spans="1:228" s="61" customFormat="1">
      <c r="A528" s="63" t="s">
        <v>258</v>
      </c>
      <c r="B528" s="48" t="s">
        <v>493</v>
      </c>
      <c r="C528" s="65">
        <v>200000000</v>
      </c>
      <c r="D528" s="79"/>
      <c r="E528" s="118"/>
      <c r="F528" s="118"/>
      <c r="G528" s="118"/>
      <c r="H528" s="118"/>
    </row>
    <row r="529" spans="1:228" s="61" customFormat="1" ht="37.5">
      <c r="A529" s="63" t="s">
        <v>258</v>
      </c>
      <c r="B529" s="48" t="s">
        <v>494</v>
      </c>
      <c r="C529" s="65">
        <v>725700000</v>
      </c>
      <c r="D529" s="79"/>
      <c r="E529" s="118"/>
      <c r="F529" s="118"/>
      <c r="G529" s="118"/>
      <c r="H529" s="118"/>
    </row>
    <row r="530" spans="1:228" s="61" customFormat="1">
      <c r="A530" s="63" t="s">
        <v>258</v>
      </c>
      <c r="B530" s="48" t="s">
        <v>495</v>
      </c>
      <c r="C530" s="65">
        <v>300000000</v>
      </c>
      <c r="D530" s="79"/>
      <c r="E530" s="118"/>
      <c r="F530" s="118"/>
      <c r="G530" s="210"/>
      <c r="H530" s="210"/>
    </row>
    <row r="531" spans="1:228" s="61" customFormat="1" ht="37.5">
      <c r="A531" s="63" t="s">
        <v>258</v>
      </c>
      <c r="B531" s="48" t="s">
        <v>496</v>
      </c>
      <c r="C531" s="65">
        <v>1700000000</v>
      </c>
      <c r="D531" s="79"/>
      <c r="E531" s="118"/>
      <c r="F531" s="118"/>
      <c r="G531" s="118"/>
      <c r="H531" s="118"/>
    </row>
    <row r="532" spans="1:228" s="61" customFormat="1">
      <c r="A532" s="63" t="s">
        <v>258</v>
      </c>
      <c r="B532" s="48" t="s">
        <v>497</v>
      </c>
      <c r="C532" s="65">
        <v>400000000</v>
      </c>
      <c r="D532" s="79"/>
      <c r="E532" s="118"/>
      <c r="F532" s="118"/>
      <c r="G532" s="118"/>
      <c r="H532" s="118"/>
    </row>
    <row r="533" spans="1:228">
      <c r="A533" s="72" t="s">
        <v>261</v>
      </c>
      <c r="B533" s="105" t="s">
        <v>262</v>
      </c>
      <c r="C533" s="107">
        <v>413570000</v>
      </c>
      <c r="D533" s="76"/>
      <c r="E533" s="145"/>
      <c r="F533" s="145"/>
      <c r="G533" s="114"/>
      <c r="H533" s="114"/>
    </row>
    <row r="534" spans="1:228">
      <c r="A534" s="89"/>
      <c r="B534" s="90" t="s">
        <v>263</v>
      </c>
      <c r="C534" s="65">
        <v>413570000</v>
      </c>
      <c r="D534" s="79"/>
      <c r="E534" s="118"/>
      <c r="F534" s="118"/>
      <c r="G534" s="114"/>
      <c r="H534" s="114"/>
    </row>
    <row r="535" spans="1:228">
      <c r="A535" s="63"/>
      <c r="B535" s="65" t="s">
        <v>281</v>
      </c>
      <c r="C535" s="65"/>
      <c r="D535" s="79"/>
      <c r="E535" s="118"/>
      <c r="F535" s="118"/>
      <c r="G535" s="115"/>
      <c r="H535" s="115"/>
    </row>
    <row r="536" spans="1:228" s="47" customFormat="1" ht="37.5">
      <c r="A536" s="32">
        <v>2</v>
      </c>
      <c r="B536" s="41" t="s">
        <v>498</v>
      </c>
      <c r="C536" s="42">
        <v>540000000</v>
      </c>
      <c r="D536" s="56"/>
      <c r="E536" s="119"/>
      <c r="F536" s="119"/>
      <c r="G536" s="126"/>
      <c r="H536" s="126"/>
      <c r="I536" s="88"/>
      <c r="J536" s="88"/>
      <c r="K536" s="88"/>
      <c r="L536" s="88"/>
      <c r="M536" s="88"/>
      <c r="N536" s="88"/>
      <c r="O536" s="88"/>
      <c r="P536" s="88"/>
      <c r="Q536" s="88"/>
      <c r="R536" s="88"/>
      <c r="S536" s="88"/>
      <c r="T536" s="88"/>
      <c r="U536" s="88"/>
      <c r="V536" s="88"/>
      <c r="W536" s="88"/>
      <c r="X536" s="88"/>
      <c r="Y536" s="88"/>
      <c r="Z536" s="88"/>
      <c r="AA536" s="88"/>
      <c r="AB536" s="88"/>
      <c r="AC536" s="88"/>
      <c r="AD536" s="88"/>
      <c r="AE536" s="88"/>
      <c r="AF536" s="88"/>
      <c r="AG536" s="88"/>
      <c r="AH536" s="88"/>
      <c r="AI536" s="88"/>
      <c r="AJ536" s="88"/>
      <c r="AK536" s="88"/>
      <c r="AL536" s="88"/>
      <c r="AM536" s="88"/>
      <c r="AN536" s="88"/>
      <c r="AO536" s="88"/>
      <c r="AP536" s="88"/>
      <c r="AQ536" s="88"/>
      <c r="AR536" s="88"/>
      <c r="AS536" s="88"/>
      <c r="AT536" s="88"/>
      <c r="AU536" s="88"/>
      <c r="AV536" s="88"/>
      <c r="AW536" s="88"/>
      <c r="AX536" s="88"/>
      <c r="AY536" s="88"/>
      <c r="AZ536" s="88"/>
      <c r="BA536" s="88"/>
      <c r="BB536" s="88"/>
      <c r="BC536" s="88"/>
      <c r="BD536" s="88"/>
      <c r="BE536" s="88"/>
      <c r="BF536" s="88"/>
      <c r="BG536" s="88"/>
      <c r="BH536" s="88"/>
      <c r="BI536" s="88"/>
      <c r="BJ536" s="88"/>
      <c r="BK536" s="88"/>
      <c r="BL536" s="88"/>
      <c r="BM536" s="88"/>
      <c r="BN536" s="88"/>
      <c r="BO536" s="88"/>
      <c r="BP536" s="88"/>
      <c r="BQ536" s="88"/>
      <c r="BR536" s="88"/>
      <c r="BS536" s="88"/>
      <c r="BT536" s="88"/>
      <c r="BU536" s="88"/>
      <c r="BV536" s="88"/>
      <c r="BW536" s="88"/>
      <c r="BX536" s="88"/>
      <c r="BY536" s="88"/>
      <c r="BZ536" s="88"/>
      <c r="CA536" s="88"/>
      <c r="CB536" s="88"/>
      <c r="CC536" s="88"/>
      <c r="CD536" s="88"/>
      <c r="CE536" s="88"/>
      <c r="CF536" s="88"/>
      <c r="CG536" s="88"/>
      <c r="CH536" s="88"/>
      <c r="CI536" s="88"/>
      <c r="CJ536" s="88"/>
      <c r="CK536" s="88"/>
      <c r="CL536" s="88"/>
      <c r="CM536" s="88"/>
      <c r="CN536" s="88"/>
      <c r="CO536" s="88"/>
      <c r="CP536" s="88"/>
      <c r="CQ536" s="88"/>
      <c r="CR536" s="88"/>
      <c r="CS536" s="88"/>
      <c r="CT536" s="88"/>
      <c r="CU536" s="88"/>
      <c r="CV536" s="88"/>
      <c r="CW536" s="88"/>
      <c r="CX536" s="88"/>
      <c r="CY536" s="88"/>
      <c r="CZ536" s="88"/>
      <c r="DA536" s="88"/>
      <c r="DB536" s="88"/>
      <c r="DC536" s="88"/>
      <c r="DD536" s="88"/>
      <c r="DE536" s="88"/>
      <c r="DF536" s="88"/>
      <c r="DG536" s="88"/>
      <c r="DH536" s="88"/>
      <c r="DI536" s="88"/>
      <c r="DJ536" s="88"/>
      <c r="DK536" s="88"/>
      <c r="DL536" s="88"/>
      <c r="DM536" s="88"/>
      <c r="DN536" s="88"/>
      <c r="DO536" s="88"/>
      <c r="DP536" s="88"/>
      <c r="DQ536" s="88"/>
      <c r="DR536" s="88"/>
      <c r="DS536" s="88"/>
      <c r="DT536" s="88"/>
      <c r="DU536" s="88"/>
      <c r="DV536" s="88"/>
      <c r="DW536" s="88"/>
      <c r="DX536" s="88"/>
      <c r="DY536" s="88"/>
      <c r="DZ536" s="88"/>
      <c r="EA536" s="88"/>
      <c r="EB536" s="88"/>
      <c r="EC536" s="88"/>
      <c r="ED536" s="88"/>
      <c r="EE536" s="88"/>
      <c r="EF536" s="88"/>
      <c r="EG536" s="88"/>
      <c r="EH536" s="88"/>
      <c r="EI536" s="88"/>
      <c r="EJ536" s="88"/>
      <c r="EK536" s="88"/>
      <c r="EL536" s="88"/>
      <c r="EM536" s="88"/>
      <c r="EN536" s="88"/>
      <c r="EO536" s="88"/>
      <c r="EP536" s="88"/>
      <c r="EQ536" s="88"/>
      <c r="ER536" s="88"/>
      <c r="ES536" s="88"/>
      <c r="ET536" s="88"/>
      <c r="EU536" s="88"/>
      <c r="EV536" s="88"/>
      <c r="EW536" s="88"/>
      <c r="EX536" s="88"/>
      <c r="EY536" s="88"/>
      <c r="EZ536" s="88"/>
      <c r="FA536" s="88"/>
      <c r="FB536" s="88"/>
      <c r="FC536" s="88"/>
      <c r="FD536" s="88"/>
      <c r="FE536" s="88"/>
      <c r="FF536" s="88"/>
      <c r="FG536" s="88"/>
      <c r="FH536" s="88"/>
      <c r="FI536" s="88"/>
      <c r="FJ536" s="88"/>
      <c r="FK536" s="88"/>
      <c r="FL536" s="88"/>
      <c r="FM536" s="88"/>
      <c r="FN536" s="88"/>
      <c r="FO536" s="88"/>
      <c r="FP536" s="88"/>
      <c r="FQ536" s="88"/>
      <c r="FR536" s="88"/>
      <c r="FS536" s="88"/>
      <c r="FT536" s="88"/>
      <c r="FU536" s="88"/>
      <c r="FV536" s="88"/>
      <c r="FW536" s="88"/>
      <c r="FX536" s="88"/>
      <c r="FY536" s="88"/>
      <c r="FZ536" s="88"/>
      <c r="GA536" s="88"/>
      <c r="GB536" s="88"/>
      <c r="GC536" s="88"/>
      <c r="GD536" s="88"/>
      <c r="GE536" s="88"/>
      <c r="GF536" s="88"/>
      <c r="GG536" s="88"/>
      <c r="GH536" s="88"/>
      <c r="GI536" s="88"/>
      <c r="GJ536" s="88"/>
      <c r="GK536" s="88"/>
      <c r="GL536" s="88"/>
      <c r="GM536" s="88"/>
      <c r="GN536" s="88"/>
      <c r="GO536" s="88"/>
      <c r="GP536" s="88"/>
      <c r="GQ536" s="88"/>
      <c r="GR536" s="88"/>
      <c r="GS536" s="88"/>
      <c r="GT536" s="88"/>
      <c r="GU536" s="88"/>
      <c r="GV536" s="88"/>
      <c r="GW536" s="88"/>
      <c r="GX536" s="88"/>
      <c r="GY536" s="88"/>
      <c r="GZ536" s="88"/>
      <c r="HA536" s="88"/>
      <c r="HB536" s="88"/>
      <c r="HC536" s="88"/>
      <c r="HD536" s="88"/>
      <c r="HE536" s="88"/>
      <c r="HF536" s="88"/>
      <c r="HG536" s="88"/>
      <c r="HH536" s="88"/>
      <c r="HI536" s="88"/>
      <c r="HJ536" s="88"/>
      <c r="HK536" s="88"/>
      <c r="HL536" s="88"/>
      <c r="HM536" s="88"/>
      <c r="HN536" s="88"/>
      <c r="HO536" s="88"/>
      <c r="HP536" s="88"/>
      <c r="HQ536" s="88"/>
      <c r="HR536" s="88"/>
      <c r="HS536" s="88"/>
      <c r="HT536" s="88"/>
    </row>
    <row r="537" spans="1:228" ht="37.5">
      <c r="A537" s="63" t="s">
        <v>91</v>
      </c>
      <c r="B537" s="48" t="s">
        <v>499</v>
      </c>
      <c r="C537" s="23">
        <v>40000000</v>
      </c>
      <c r="D537" s="50"/>
      <c r="E537" s="115"/>
      <c r="F537" s="115"/>
      <c r="G537" s="115"/>
      <c r="H537" s="115"/>
      <c r="I537" s="88"/>
      <c r="J537" s="88"/>
      <c r="K537" s="88"/>
      <c r="L537" s="88"/>
      <c r="M537" s="88"/>
      <c r="N537" s="88"/>
      <c r="O537" s="88"/>
      <c r="P537" s="88"/>
      <c r="Q537" s="88"/>
      <c r="R537" s="88"/>
      <c r="S537" s="88"/>
      <c r="T537" s="88"/>
      <c r="U537" s="88"/>
      <c r="V537" s="88"/>
      <c r="W537" s="88"/>
      <c r="X537" s="88"/>
      <c r="Y537" s="88"/>
      <c r="Z537" s="88"/>
      <c r="AA537" s="88"/>
      <c r="AB537" s="88"/>
      <c r="AC537" s="88"/>
      <c r="AD537" s="88"/>
      <c r="AE537" s="88"/>
      <c r="AF537" s="88"/>
      <c r="AG537" s="88"/>
      <c r="AH537" s="88"/>
      <c r="AI537" s="88"/>
      <c r="AJ537" s="88"/>
      <c r="AK537" s="88"/>
      <c r="AL537" s="88"/>
      <c r="AM537" s="88"/>
      <c r="AN537" s="88"/>
      <c r="AO537" s="88"/>
      <c r="AP537" s="88"/>
      <c r="AQ537" s="88"/>
      <c r="AR537" s="88"/>
      <c r="AS537" s="88"/>
      <c r="AT537" s="88"/>
      <c r="AU537" s="88"/>
      <c r="AV537" s="88"/>
      <c r="AW537" s="88"/>
      <c r="AX537" s="88"/>
      <c r="AY537" s="88"/>
      <c r="AZ537" s="88"/>
      <c r="BA537" s="88"/>
      <c r="BB537" s="88"/>
      <c r="BC537" s="88"/>
      <c r="BD537" s="88"/>
      <c r="BE537" s="88"/>
      <c r="BF537" s="88"/>
      <c r="BG537" s="88"/>
      <c r="BH537" s="88"/>
      <c r="BI537" s="88"/>
      <c r="BJ537" s="88"/>
      <c r="BK537" s="88"/>
      <c r="BL537" s="88"/>
      <c r="BM537" s="88"/>
      <c r="BN537" s="88"/>
      <c r="BO537" s="88"/>
      <c r="BP537" s="88"/>
      <c r="BQ537" s="88"/>
      <c r="BR537" s="88"/>
      <c r="BS537" s="88"/>
      <c r="BT537" s="88"/>
      <c r="BU537" s="88"/>
      <c r="BV537" s="88"/>
      <c r="BW537" s="88"/>
      <c r="BX537" s="88"/>
      <c r="BY537" s="88"/>
      <c r="BZ537" s="88"/>
      <c r="CA537" s="88"/>
      <c r="CB537" s="88"/>
      <c r="CC537" s="88"/>
      <c r="CD537" s="88"/>
      <c r="CE537" s="88"/>
      <c r="CF537" s="88"/>
      <c r="CG537" s="88"/>
      <c r="CH537" s="88"/>
      <c r="CI537" s="88"/>
      <c r="CJ537" s="88"/>
      <c r="CK537" s="88"/>
      <c r="CL537" s="88"/>
      <c r="CM537" s="88"/>
      <c r="CN537" s="88"/>
      <c r="CO537" s="88"/>
      <c r="CP537" s="88"/>
      <c r="CQ537" s="88"/>
      <c r="CR537" s="88"/>
      <c r="CS537" s="88"/>
      <c r="CT537" s="88"/>
      <c r="CU537" s="88"/>
      <c r="CV537" s="88"/>
      <c r="CW537" s="88"/>
      <c r="CX537" s="88"/>
      <c r="CY537" s="88"/>
      <c r="CZ537" s="88"/>
      <c r="DA537" s="88"/>
      <c r="DB537" s="88"/>
      <c r="DC537" s="88"/>
      <c r="DD537" s="88"/>
      <c r="DE537" s="88"/>
      <c r="DF537" s="88"/>
      <c r="DG537" s="88"/>
      <c r="DH537" s="88"/>
      <c r="DI537" s="88"/>
      <c r="DJ537" s="88"/>
      <c r="DK537" s="88"/>
      <c r="DL537" s="88"/>
      <c r="DM537" s="88"/>
      <c r="DN537" s="88"/>
      <c r="DO537" s="88"/>
      <c r="DP537" s="88"/>
      <c r="DQ537" s="88"/>
      <c r="DR537" s="88"/>
      <c r="DS537" s="88"/>
      <c r="DT537" s="88"/>
      <c r="DU537" s="88"/>
      <c r="DV537" s="88"/>
      <c r="DW537" s="88"/>
      <c r="DX537" s="88"/>
      <c r="DY537" s="88"/>
      <c r="DZ537" s="88"/>
      <c r="EA537" s="88"/>
      <c r="EB537" s="88"/>
      <c r="EC537" s="88"/>
      <c r="ED537" s="88"/>
      <c r="EE537" s="88"/>
      <c r="EF537" s="88"/>
      <c r="EG537" s="88"/>
      <c r="EH537" s="88"/>
      <c r="EI537" s="88"/>
      <c r="EJ537" s="88"/>
      <c r="EK537" s="88"/>
      <c r="EL537" s="88"/>
      <c r="EM537" s="88"/>
      <c r="EN537" s="88"/>
      <c r="EO537" s="88"/>
      <c r="EP537" s="88"/>
      <c r="EQ537" s="88"/>
      <c r="ER537" s="88"/>
      <c r="ES537" s="88"/>
      <c r="ET537" s="88"/>
      <c r="EU537" s="88"/>
      <c r="EV537" s="88"/>
      <c r="EW537" s="88"/>
      <c r="EX537" s="88"/>
      <c r="EY537" s="88"/>
      <c r="EZ537" s="88"/>
      <c r="FA537" s="88"/>
      <c r="FB537" s="88"/>
      <c r="FC537" s="88"/>
      <c r="FD537" s="88"/>
      <c r="FE537" s="88"/>
      <c r="FF537" s="88"/>
      <c r="FG537" s="88"/>
      <c r="FH537" s="88"/>
      <c r="FI537" s="88"/>
      <c r="FJ537" s="88"/>
      <c r="FK537" s="88"/>
      <c r="FL537" s="88"/>
      <c r="FM537" s="88"/>
      <c r="FN537" s="88"/>
      <c r="FO537" s="88"/>
      <c r="FP537" s="88"/>
      <c r="FQ537" s="88"/>
      <c r="FR537" s="88"/>
      <c r="FS537" s="88"/>
      <c r="FT537" s="88"/>
      <c r="FU537" s="88"/>
      <c r="FV537" s="88"/>
      <c r="FW537" s="88"/>
      <c r="FX537" s="88"/>
      <c r="FY537" s="88"/>
      <c r="FZ537" s="88"/>
      <c r="GA537" s="88"/>
      <c r="GB537" s="88"/>
      <c r="GC537" s="88"/>
      <c r="GD537" s="88"/>
      <c r="GE537" s="88"/>
      <c r="GF537" s="88"/>
      <c r="GG537" s="88"/>
      <c r="GH537" s="88"/>
      <c r="GI537" s="88"/>
      <c r="GJ537" s="88"/>
      <c r="GK537" s="88"/>
      <c r="GL537" s="88"/>
      <c r="GM537" s="88"/>
      <c r="GN537" s="88"/>
      <c r="GO537" s="88"/>
      <c r="GP537" s="88"/>
      <c r="GQ537" s="88"/>
      <c r="GR537" s="88"/>
      <c r="GS537" s="88"/>
      <c r="GT537" s="88"/>
      <c r="GU537" s="88"/>
      <c r="GV537" s="88"/>
      <c r="GW537" s="88"/>
      <c r="GX537" s="88"/>
      <c r="GY537" s="88"/>
      <c r="GZ537" s="88"/>
      <c r="HA537" s="88"/>
      <c r="HB537" s="88"/>
      <c r="HC537" s="88"/>
      <c r="HD537" s="88"/>
      <c r="HE537" s="88"/>
      <c r="HF537" s="88"/>
      <c r="HG537" s="88"/>
      <c r="HH537" s="88"/>
      <c r="HI537" s="88"/>
      <c r="HJ537" s="88"/>
      <c r="HK537" s="88"/>
      <c r="HL537" s="88"/>
      <c r="HM537" s="88"/>
      <c r="HN537" s="88"/>
      <c r="HO537" s="88"/>
      <c r="HP537" s="88"/>
      <c r="HQ537" s="88"/>
      <c r="HR537" s="88"/>
      <c r="HS537" s="88"/>
      <c r="HT537" s="88"/>
    </row>
    <row r="538" spans="1:228" ht="37.5">
      <c r="A538" s="63" t="s">
        <v>258</v>
      </c>
      <c r="B538" s="48" t="s">
        <v>500</v>
      </c>
      <c r="C538" s="23">
        <v>30000000</v>
      </c>
      <c r="D538" s="50"/>
      <c r="E538" s="115"/>
      <c r="F538" s="115"/>
      <c r="G538" s="115"/>
      <c r="H538" s="115"/>
      <c r="I538" s="88"/>
      <c r="J538" s="88"/>
      <c r="K538" s="88"/>
      <c r="L538" s="88"/>
      <c r="M538" s="88"/>
      <c r="N538" s="88"/>
      <c r="O538" s="88"/>
      <c r="P538" s="88"/>
      <c r="Q538" s="88"/>
      <c r="R538" s="88"/>
      <c r="S538" s="88"/>
      <c r="T538" s="88"/>
      <c r="U538" s="88"/>
      <c r="V538" s="88"/>
      <c r="W538" s="88"/>
      <c r="X538" s="88"/>
      <c r="Y538" s="88"/>
      <c r="Z538" s="88"/>
      <c r="AA538" s="88"/>
      <c r="AB538" s="88"/>
      <c r="AC538" s="88"/>
      <c r="AD538" s="88"/>
      <c r="AE538" s="88"/>
      <c r="AF538" s="88"/>
      <c r="AG538" s="88"/>
      <c r="AH538" s="88"/>
      <c r="AI538" s="88"/>
      <c r="AJ538" s="88"/>
      <c r="AK538" s="88"/>
      <c r="AL538" s="88"/>
      <c r="AM538" s="88"/>
      <c r="AN538" s="88"/>
      <c r="AO538" s="88"/>
      <c r="AP538" s="88"/>
      <c r="AQ538" s="88"/>
      <c r="AR538" s="88"/>
      <c r="AS538" s="88"/>
      <c r="AT538" s="88"/>
      <c r="AU538" s="88"/>
      <c r="AV538" s="88"/>
      <c r="AW538" s="88"/>
      <c r="AX538" s="88"/>
      <c r="AY538" s="88"/>
      <c r="AZ538" s="88"/>
      <c r="BA538" s="88"/>
      <c r="BB538" s="88"/>
      <c r="BC538" s="88"/>
      <c r="BD538" s="88"/>
      <c r="BE538" s="88"/>
      <c r="BF538" s="88"/>
      <c r="BG538" s="88"/>
      <c r="BH538" s="88"/>
      <c r="BI538" s="88"/>
      <c r="BJ538" s="88"/>
      <c r="BK538" s="88"/>
      <c r="BL538" s="88"/>
      <c r="BM538" s="88"/>
      <c r="BN538" s="88"/>
      <c r="BO538" s="88"/>
      <c r="BP538" s="88"/>
      <c r="BQ538" s="88"/>
      <c r="BR538" s="88"/>
      <c r="BS538" s="88"/>
      <c r="BT538" s="88"/>
      <c r="BU538" s="88"/>
      <c r="BV538" s="88"/>
      <c r="BW538" s="88"/>
      <c r="BX538" s="88"/>
      <c r="BY538" s="88"/>
      <c r="BZ538" s="88"/>
      <c r="CA538" s="88"/>
      <c r="CB538" s="88"/>
      <c r="CC538" s="88"/>
      <c r="CD538" s="88"/>
      <c r="CE538" s="88"/>
      <c r="CF538" s="88"/>
      <c r="CG538" s="88"/>
      <c r="CH538" s="88"/>
      <c r="CI538" s="88"/>
      <c r="CJ538" s="88"/>
      <c r="CK538" s="88"/>
      <c r="CL538" s="88"/>
      <c r="CM538" s="88"/>
      <c r="CN538" s="88"/>
      <c r="CO538" s="88"/>
      <c r="CP538" s="88"/>
      <c r="CQ538" s="88"/>
      <c r="CR538" s="88"/>
      <c r="CS538" s="88"/>
      <c r="CT538" s="88"/>
      <c r="CU538" s="88"/>
      <c r="CV538" s="88"/>
      <c r="CW538" s="88"/>
      <c r="CX538" s="88"/>
      <c r="CY538" s="88"/>
      <c r="CZ538" s="88"/>
      <c r="DA538" s="88"/>
      <c r="DB538" s="88"/>
      <c r="DC538" s="88"/>
      <c r="DD538" s="88"/>
      <c r="DE538" s="88"/>
      <c r="DF538" s="88"/>
      <c r="DG538" s="88"/>
      <c r="DH538" s="88"/>
      <c r="DI538" s="88"/>
      <c r="DJ538" s="88"/>
      <c r="DK538" s="88"/>
      <c r="DL538" s="88"/>
      <c r="DM538" s="88"/>
      <c r="DN538" s="88"/>
      <c r="DO538" s="88"/>
      <c r="DP538" s="88"/>
      <c r="DQ538" s="88"/>
      <c r="DR538" s="88"/>
      <c r="DS538" s="88"/>
      <c r="DT538" s="88"/>
      <c r="DU538" s="88"/>
      <c r="DV538" s="88"/>
      <c r="DW538" s="88"/>
      <c r="DX538" s="88"/>
      <c r="DY538" s="88"/>
      <c r="DZ538" s="88"/>
      <c r="EA538" s="88"/>
      <c r="EB538" s="88"/>
      <c r="EC538" s="88"/>
      <c r="ED538" s="88"/>
      <c r="EE538" s="88"/>
      <c r="EF538" s="88"/>
      <c r="EG538" s="88"/>
      <c r="EH538" s="88"/>
      <c r="EI538" s="88"/>
      <c r="EJ538" s="88"/>
      <c r="EK538" s="88"/>
      <c r="EL538" s="88"/>
      <c r="EM538" s="88"/>
      <c r="EN538" s="88"/>
      <c r="EO538" s="88"/>
      <c r="EP538" s="88"/>
      <c r="EQ538" s="88"/>
      <c r="ER538" s="88"/>
      <c r="ES538" s="88"/>
      <c r="ET538" s="88"/>
      <c r="EU538" s="88"/>
      <c r="EV538" s="88"/>
      <c r="EW538" s="88"/>
      <c r="EX538" s="88"/>
      <c r="EY538" s="88"/>
      <c r="EZ538" s="88"/>
      <c r="FA538" s="88"/>
      <c r="FB538" s="88"/>
      <c r="FC538" s="88"/>
      <c r="FD538" s="88"/>
      <c r="FE538" s="88"/>
      <c r="FF538" s="88"/>
      <c r="FG538" s="88"/>
      <c r="FH538" s="88"/>
      <c r="FI538" s="88"/>
      <c r="FJ538" s="88"/>
      <c r="FK538" s="88"/>
      <c r="FL538" s="88"/>
      <c r="FM538" s="88"/>
      <c r="FN538" s="88"/>
      <c r="FO538" s="88"/>
      <c r="FP538" s="88"/>
      <c r="FQ538" s="88"/>
      <c r="FR538" s="88"/>
      <c r="FS538" s="88"/>
      <c r="FT538" s="88"/>
      <c r="FU538" s="88"/>
      <c r="FV538" s="88"/>
      <c r="FW538" s="88"/>
      <c r="FX538" s="88"/>
      <c r="FY538" s="88"/>
      <c r="FZ538" s="88"/>
      <c r="GA538" s="88"/>
      <c r="GB538" s="88"/>
      <c r="GC538" s="88"/>
      <c r="GD538" s="88"/>
      <c r="GE538" s="88"/>
      <c r="GF538" s="88"/>
      <c r="GG538" s="88"/>
      <c r="GH538" s="88"/>
      <c r="GI538" s="88"/>
      <c r="GJ538" s="88"/>
      <c r="GK538" s="88"/>
      <c r="GL538" s="88"/>
      <c r="GM538" s="88"/>
      <c r="GN538" s="88"/>
      <c r="GO538" s="88"/>
      <c r="GP538" s="88"/>
      <c r="GQ538" s="88"/>
      <c r="GR538" s="88"/>
      <c r="GS538" s="88"/>
      <c r="GT538" s="88"/>
      <c r="GU538" s="88"/>
      <c r="GV538" s="88"/>
      <c r="GW538" s="88"/>
      <c r="GX538" s="88"/>
      <c r="GY538" s="88"/>
      <c r="GZ538" s="88"/>
      <c r="HA538" s="88"/>
      <c r="HB538" s="88"/>
      <c r="HC538" s="88"/>
      <c r="HD538" s="88"/>
      <c r="HE538" s="88"/>
      <c r="HF538" s="88"/>
      <c r="HG538" s="88"/>
      <c r="HH538" s="88"/>
      <c r="HI538" s="88"/>
      <c r="HJ538" s="88"/>
      <c r="HK538" s="88"/>
      <c r="HL538" s="88"/>
      <c r="HM538" s="88"/>
      <c r="HN538" s="88"/>
      <c r="HO538" s="88"/>
      <c r="HP538" s="88"/>
      <c r="HQ538" s="88"/>
      <c r="HR538" s="88"/>
      <c r="HS538" s="88"/>
      <c r="HT538" s="88"/>
    </row>
    <row r="539" spans="1:228" ht="19.5">
      <c r="A539" s="63" t="s">
        <v>258</v>
      </c>
      <c r="B539" s="48" t="s">
        <v>501</v>
      </c>
      <c r="C539" s="23">
        <v>200000000</v>
      </c>
      <c r="D539" s="50"/>
      <c r="E539" s="115"/>
      <c r="F539" s="115"/>
      <c r="G539" s="115"/>
      <c r="H539" s="115"/>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88"/>
      <c r="AN539" s="88"/>
      <c r="AO539" s="88"/>
      <c r="AP539" s="88"/>
      <c r="AQ539" s="88"/>
      <c r="AR539" s="88"/>
      <c r="AS539" s="88"/>
      <c r="AT539" s="88"/>
      <c r="AU539" s="88"/>
      <c r="AV539" s="88"/>
      <c r="AW539" s="88"/>
      <c r="AX539" s="88"/>
      <c r="AY539" s="88"/>
      <c r="AZ539" s="88"/>
      <c r="BA539" s="88"/>
      <c r="BB539" s="88"/>
      <c r="BC539" s="88"/>
      <c r="BD539" s="88"/>
      <c r="BE539" s="88"/>
      <c r="BF539" s="88"/>
      <c r="BG539" s="88"/>
      <c r="BH539" s="88"/>
      <c r="BI539" s="88"/>
      <c r="BJ539" s="88"/>
      <c r="BK539" s="88"/>
      <c r="BL539" s="88"/>
      <c r="BM539" s="88"/>
      <c r="BN539" s="88"/>
      <c r="BO539" s="88"/>
      <c r="BP539" s="88"/>
      <c r="BQ539" s="88"/>
      <c r="BR539" s="88"/>
      <c r="BS539" s="88"/>
      <c r="BT539" s="88"/>
      <c r="BU539" s="88"/>
      <c r="BV539" s="88"/>
      <c r="BW539" s="88"/>
      <c r="BX539" s="88"/>
      <c r="BY539" s="88"/>
      <c r="BZ539" s="88"/>
      <c r="CA539" s="88"/>
      <c r="CB539" s="88"/>
      <c r="CC539" s="88"/>
      <c r="CD539" s="88"/>
      <c r="CE539" s="88"/>
      <c r="CF539" s="88"/>
      <c r="CG539" s="88"/>
      <c r="CH539" s="88"/>
      <c r="CI539" s="88"/>
      <c r="CJ539" s="88"/>
      <c r="CK539" s="88"/>
      <c r="CL539" s="88"/>
      <c r="CM539" s="88"/>
      <c r="CN539" s="88"/>
      <c r="CO539" s="88"/>
      <c r="CP539" s="88"/>
      <c r="CQ539" s="88"/>
      <c r="CR539" s="88"/>
      <c r="CS539" s="88"/>
      <c r="CT539" s="88"/>
      <c r="CU539" s="88"/>
      <c r="CV539" s="88"/>
      <c r="CW539" s="88"/>
      <c r="CX539" s="88"/>
      <c r="CY539" s="88"/>
      <c r="CZ539" s="88"/>
      <c r="DA539" s="88"/>
      <c r="DB539" s="88"/>
      <c r="DC539" s="88"/>
      <c r="DD539" s="88"/>
      <c r="DE539" s="88"/>
      <c r="DF539" s="88"/>
      <c r="DG539" s="88"/>
      <c r="DH539" s="88"/>
      <c r="DI539" s="88"/>
      <c r="DJ539" s="88"/>
      <c r="DK539" s="88"/>
      <c r="DL539" s="88"/>
      <c r="DM539" s="88"/>
      <c r="DN539" s="88"/>
      <c r="DO539" s="88"/>
      <c r="DP539" s="88"/>
      <c r="DQ539" s="88"/>
      <c r="DR539" s="88"/>
      <c r="DS539" s="88"/>
      <c r="DT539" s="88"/>
      <c r="DU539" s="88"/>
      <c r="DV539" s="88"/>
      <c r="DW539" s="88"/>
      <c r="DX539" s="88"/>
      <c r="DY539" s="88"/>
      <c r="DZ539" s="88"/>
      <c r="EA539" s="88"/>
      <c r="EB539" s="88"/>
      <c r="EC539" s="88"/>
      <c r="ED539" s="88"/>
      <c r="EE539" s="88"/>
      <c r="EF539" s="88"/>
      <c r="EG539" s="88"/>
      <c r="EH539" s="88"/>
      <c r="EI539" s="88"/>
      <c r="EJ539" s="88"/>
      <c r="EK539" s="88"/>
      <c r="EL539" s="88"/>
      <c r="EM539" s="88"/>
      <c r="EN539" s="88"/>
      <c r="EO539" s="88"/>
      <c r="EP539" s="88"/>
      <c r="EQ539" s="88"/>
      <c r="ER539" s="88"/>
      <c r="ES539" s="88"/>
      <c r="ET539" s="88"/>
      <c r="EU539" s="88"/>
      <c r="EV539" s="88"/>
      <c r="EW539" s="88"/>
      <c r="EX539" s="88"/>
      <c r="EY539" s="88"/>
      <c r="EZ539" s="88"/>
      <c r="FA539" s="88"/>
      <c r="FB539" s="88"/>
      <c r="FC539" s="88"/>
      <c r="FD539" s="88"/>
      <c r="FE539" s="88"/>
      <c r="FF539" s="88"/>
      <c r="FG539" s="88"/>
      <c r="FH539" s="88"/>
      <c r="FI539" s="88"/>
      <c r="FJ539" s="88"/>
      <c r="FK539" s="88"/>
      <c r="FL539" s="88"/>
      <c r="FM539" s="88"/>
      <c r="FN539" s="88"/>
      <c r="FO539" s="88"/>
      <c r="FP539" s="88"/>
      <c r="FQ539" s="88"/>
      <c r="FR539" s="88"/>
      <c r="FS539" s="88"/>
      <c r="FT539" s="88"/>
      <c r="FU539" s="88"/>
      <c r="FV539" s="88"/>
      <c r="FW539" s="88"/>
      <c r="FX539" s="88"/>
      <c r="FY539" s="88"/>
      <c r="FZ539" s="88"/>
      <c r="GA539" s="88"/>
      <c r="GB539" s="88"/>
      <c r="GC539" s="88"/>
      <c r="GD539" s="88"/>
      <c r="GE539" s="88"/>
      <c r="GF539" s="88"/>
      <c r="GG539" s="88"/>
      <c r="GH539" s="88"/>
      <c r="GI539" s="88"/>
      <c r="GJ539" s="88"/>
      <c r="GK539" s="88"/>
      <c r="GL539" s="88"/>
      <c r="GM539" s="88"/>
      <c r="GN539" s="88"/>
      <c r="GO539" s="88"/>
      <c r="GP539" s="88"/>
      <c r="GQ539" s="88"/>
      <c r="GR539" s="88"/>
      <c r="GS539" s="88"/>
      <c r="GT539" s="88"/>
      <c r="GU539" s="88"/>
      <c r="GV539" s="88"/>
      <c r="GW539" s="88"/>
      <c r="GX539" s="88"/>
      <c r="GY539" s="88"/>
      <c r="GZ539" s="88"/>
      <c r="HA539" s="88"/>
      <c r="HB539" s="88"/>
      <c r="HC539" s="88"/>
      <c r="HD539" s="88"/>
      <c r="HE539" s="88"/>
      <c r="HF539" s="88"/>
      <c r="HG539" s="88"/>
      <c r="HH539" s="88"/>
      <c r="HI539" s="88"/>
      <c r="HJ539" s="88"/>
      <c r="HK539" s="88"/>
      <c r="HL539" s="88"/>
      <c r="HM539" s="88"/>
      <c r="HN539" s="88"/>
      <c r="HO539" s="88"/>
      <c r="HP539" s="88"/>
      <c r="HQ539" s="88"/>
      <c r="HR539" s="88"/>
      <c r="HS539" s="88"/>
      <c r="HT539" s="88"/>
    </row>
    <row r="540" spans="1:228" s="62" customFormat="1" ht="37.5">
      <c r="A540" s="63" t="s">
        <v>91</v>
      </c>
      <c r="B540" s="48" t="s">
        <v>502</v>
      </c>
      <c r="C540" s="23">
        <v>20000000</v>
      </c>
      <c r="D540" s="50"/>
      <c r="E540" s="115"/>
      <c r="F540" s="115"/>
      <c r="G540" s="115"/>
      <c r="H540" s="115"/>
    </row>
    <row r="541" spans="1:228" s="62" customFormat="1" ht="37.5">
      <c r="A541" s="63" t="s">
        <v>91</v>
      </c>
      <c r="B541" s="48" t="s">
        <v>503</v>
      </c>
      <c r="C541" s="23">
        <v>20000000</v>
      </c>
      <c r="D541" s="50"/>
      <c r="E541" s="115"/>
      <c r="F541" s="115"/>
      <c r="G541" s="115"/>
      <c r="H541" s="115"/>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27"/>
      <c r="DX541" s="27"/>
      <c r="DY541" s="27"/>
      <c r="DZ541" s="27"/>
      <c r="EA541" s="27"/>
      <c r="EB541" s="27"/>
      <c r="EC541" s="27"/>
      <c r="ED541" s="27"/>
      <c r="EE541" s="27"/>
      <c r="EF541" s="27"/>
      <c r="EG541" s="27"/>
      <c r="EH541" s="27"/>
      <c r="EI541" s="27"/>
      <c r="EJ541" s="27"/>
      <c r="EK541" s="27"/>
      <c r="EL541" s="27"/>
      <c r="EM541" s="27"/>
      <c r="EN541" s="27"/>
      <c r="EO541" s="27"/>
      <c r="EP541" s="27"/>
      <c r="EQ541" s="27"/>
      <c r="ER541" s="27"/>
      <c r="ES541" s="27"/>
      <c r="ET541" s="27"/>
      <c r="EU541" s="27"/>
      <c r="EV541" s="27"/>
      <c r="EW541" s="27"/>
      <c r="EX541" s="27"/>
      <c r="EY541" s="27"/>
      <c r="EZ541" s="27"/>
      <c r="FA541" s="27"/>
      <c r="FB541" s="27"/>
      <c r="FC541" s="27"/>
      <c r="FD541" s="27"/>
      <c r="FE541" s="27"/>
      <c r="FF541" s="27"/>
      <c r="FG541" s="27"/>
      <c r="FH541" s="27"/>
      <c r="FI541" s="27"/>
      <c r="FJ541" s="27"/>
      <c r="FK541" s="27"/>
      <c r="FL541" s="27"/>
      <c r="FM541" s="27"/>
      <c r="FN541" s="27"/>
      <c r="FO541" s="27"/>
      <c r="FP541" s="27"/>
      <c r="FQ541" s="27"/>
      <c r="FR541" s="27"/>
      <c r="FS541" s="27"/>
      <c r="FT541" s="27"/>
      <c r="FU541" s="27"/>
      <c r="FV541" s="27"/>
      <c r="FW541" s="27"/>
      <c r="FX541" s="27"/>
      <c r="FY541" s="27"/>
      <c r="FZ541" s="27"/>
      <c r="GA541" s="27"/>
      <c r="GB541" s="27"/>
      <c r="GC541" s="27"/>
      <c r="GD541" s="27"/>
      <c r="GE541" s="27"/>
      <c r="GF541" s="27"/>
      <c r="GG541" s="27"/>
      <c r="GH541" s="27"/>
      <c r="GI541" s="27"/>
      <c r="GJ541" s="27"/>
      <c r="GK541" s="27"/>
      <c r="GL541" s="27"/>
      <c r="GM541" s="27"/>
      <c r="GN541" s="27"/>
      <c r="GO541" s="27"/>
      <c r="GP541" s="27"/>
      <c r="GQ541" s="27"/>
      <c r="GR541" s="27"/>
      <c r="GS541" s="27"/>
      <c r="GT541" s="27"/>
      <c r="GU541" s="27"/>
      <c r="GV541" s="27"/>
      <c r="GW541" s="27"/>
      <c r="GX541" s="27"/>
      <c r="GY541" s="27"/>
      <c r="GZ541" s="27"/>
      <c r="HA541" s="27"/>
      <c r="HB541" s="27"/>
      <c r="HC541" s="27"/>
      <c r="HD541" s="27"/>
      <c r="HE541" s="27"/>
      <c r="HF541" s="27"/>
      <c r="HG541" s="27"/>
      <c r="HH541" s="27"/>
      <c r="HI541" s="27"/>
      <c r="HJ541" s="27"/>
      <c r="HK541" s="27"/>
      <c r="HL541" s="27"/>
      <c r="HM541" s="27"/>
      <c r="HN541" s="27"/>
      <c r="HO541" s="27"/>
      <c r="HP541" s="27"/>
      <c r="HQ541" s="27"/>
      <c r="HR541" s="27"/>
      <c r="HS541" s="27"/>
      <c r="HT541" s="27"/>
    </row>
    <row r="542" spans="1:228" s="62" customFormat="1">
      <c r="A542" s="63" t="s">
        <v>91</v>
      </c>
      <c r="B542" s="48" t="s">
        <v>504</v>
      </c>
      <c r="C542" s="23">
        <v>130000000</v>
      </c>
      <c r="D542" s="50"/>
      <c r="E542" s="115"/>
      <c r="F542" s="115"/>
      <c r="G542" s="118"/>
      <c r="H542" s="118"/>
    </row>
    <row r="543" spans="1:228">
      <c r="A543" s="63" t="s">
        <v>91</v>
      </c>
      <c r="B543" s="48" t="s">
        <v>505</v>
      </c>
      <c r="C543" s="23">
        <v>100000000</v>
      </c>
      <c r="D543" s="50"/>
      <c r="E543" s="115"/>
      <c r="F543" s="115"/>
      <c r="G543" s="118"/>
      <c r="H543" s="118"/>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62"/>
      <c r="DU543" s="62"/>
      <c r="DV543" s="62"/>
      <c r="DW543" s="62"/>
      <c r="DX543" s="62"/>
      <c r="DY543" s="62"/>
      <c r="DZ543" s="62"/>
      <c r="EA543" s="62"/>
      <c r="EB543" s="62"/>
      <c r="EC543" s="62"/>
      <c r="ED543" s="62"/>
      <c r="EE543" s="62"/>
      <c r="EF543" s="62"/>
      <c r="EG543" s="62"/>
      <c r="EH543" s="62"/>
      <c r="EI543" s="62"/>
      <c r="EJ543" s="62"/>
      <c r="EK543" s="62"/>
      <c r="EL543" s="62"/>
      <c r="EM543" s="62"/>
      <c r="EN543" s="62"/>
      <c r="EO543" s="62"/>
      <c r="EP543" s="62"/>
      <c r="EQ543" s="62"/>
      <c r="ER543" s="62"/>
      <c r="ES543" s="62"/>
      <c r="ET543" s="62"/>
      <c r="EU543" s="62"/>
      <c r="EV543" s="62"/>
      <c r="EW543" s="62"/>
      <c r="EX543" s="62"/>
      <c r="EY543" s="62"/>
      <c r="EZ543" s="62"/>
      <c r="FA543" s="62"/>
      <c r="FB543" s="62"/>
      <c r="FC543" s="62"/>
      <c r="FD543" s="62"/>
      <c r="FE543" s="62"/>
      <c r="FF543" s="62"/>
      <c r="FG543" s="62"/>
      <c r="FH543" s="62"/>
      <c r="FI543" s="62"/>
      <c r="FJ543" s="62"/>
      <c r="FK543" s="62"/>
      <c r="FL543" s="62"/>
      <c r="FM543" s="62"/>
      <c r="FN543" s="62"/>
      <c r="FO543" s="62"/>
      <c r="FP543" s="62"/>
      <c r="FQ543" s="62"/>
      <c r="FR543" s="62"/>
      <c r="FS543" s="62"/>
      <c r="FT543" s="62"/>
      <c r="FU543" s="62"/>
      <c r="FV543" s="62"/>
      <c r="FW543" s="62"/>
      <c r="FX543" s="62"/>
      <c r="FY543" s="62"/>
      <c r="FZ543" s="62"/>
      <c r="GA543" s="62"/>
      <c r="GB543" s="62"/>
      <c r="GC543" s="62"/>
      <c r="GD543" s="62"/>
      <c r="GE543" s="62"/>
      <c r="GF543" s="62"/>
      <c r="GG543" s="62"/>
      <c r="GH543" s="62"/>
      <c r="GI543" s="62"/>
      <c r="GJ543" s="62"/>
      <c r="GK543" s="62"/>
      <c r="GL543" s="62"/>
      <c r="GM543" s="62"/>
      <c r="GN543" s="62"/>
      <c r="GO543" s="62"/>
      <c r="GP543" s="62"/>
      <c r="GQ543" s="62"/>
      <c r="GR543" s="62"/>
      <c r="GS543" s="62"/>
      <c r="GT543" s="62"/>
      <c r="GU543" s="62"/>
      <c r="GV543" s="62"/>
      <c r="GW543" s="62"/>
      <c r="GX543" s="62"/>
      <c r="GY543" s="62"/>
      <c r="GZ543" s="62"/>
      <c r="HA543" s="62"/>
      <c r="HB543" s="62"/>
      <c r="HC543" s="62"/>
      <c r="HD543" s="62"/>
      <c r="HE543" s="62"/>
      <c r="HF543" s="62"/>
      <c r="HG543" s="62"/>
      <c r="HH543" s="62"/>
      <c r="HI543" s="62"/>
      <c r="HJ543" s="62"/>
      <c r="HK543" s="62"/>
      <c r="HL543" s="62"/>
      <c r="HM543" s="62"/>
      <c r="HN543" s="62"/>
      <c r="HO543" s="62"/>
      <c r="HP543" s="62"/>
      <c r="HQ543" s="62"/>
      <c r="HR543" s="62"/>
      <c r="HS543" s="62"/>
      <c r="HT543" s="62"/>
    </row>
    <row r="544" spans="1:228" s="62" customFormat="1">
      <c r="A544" s="72"/>
      <c r="B544" s="105" t="s">
        <v>262</v>
      </c>
      <c r="C544" s="107">
        <v>55000000</v>
      </c>
      <c r="D544" s="76"/>
      <c r="E544" s="145"/>
      <c r="F544" s="145"/>
      <c r="G544" s="127"/>
      <c r="H544" s="1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27"/>
      <c r="DX544" s="27"/>
      <c r="DY544" s="27"/>
      <c r="DZ544" s="27"/>
      <c r="EA544" s="27"/>
      <c r="EB544" s="27"/>
      <c r="EC544" s="27"/>
      <c r="ED544" s="27"/>
      <c r="EE544" s="27"/>
      <c r="EF544" s="27"/>
      <c r="EG544" s="27"/>
      <c r="EH544" s="27"/>
      <c r="EI544" s="27"/>
      <c r="EJ544" s="27"/>
      <c r="EK544" s="27"/>
      <c r="EL544" s="27"/>
      <c r="EM544" s="27"/>
      <c r="EN544" s="27"/>
      <c r="EO544" s="27"/>
      <c r="EP544" s="27"/>
      <c r="EQ544" s="27"/>
      <c r="ER544" s="27"/>
      <c r="ES544" s="27"/>
      <c r="ET544" s="27"/>
      <c r="EU544" s="27"/>
      <c r="EV544" s="27"/>
      <c r="EW544" s="27"/>
      <c r="EX544" s="27"/>
      <c r="EY544" s="27"/>
      <c r="EZ544" s="27"/>
      <c r="FA544" s="27"/>
      <c r="FB544" s="27"/>
      <c r="FC544" s="27"/>
      <c r="FD544" s="27"/>
      <c r="FE544" s="27"/>
      <c r="FF544" s="27"/>
      <c r="FG544" s="27"/>
      <c r="FH544" s="27"/>
      <c r="FI544" s="27"/>
      <c r="FJ544" s="27"/>
      <c r="FK544" s="27"/>
      <c r="FL544" s="27"/>
      <c r="FM544" s="27"/>
      <c r="FN544" s="27"/>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c r="GU544" s="27"/>
      <c r="GV544" s="27"/>
      <c r="GW544" s="27"/>
      <c r="GX544" s="27"/>
      <c r="GY544" s="27"/>
      <c r="GZ544" s="27"/>
      <c r="HA544" s="27"/>
      <c r="HB544" s="27"/>
      <c r="HC544" s="27"/>
      <c r="HD544" s="27"/>
      <c r="HE544" s="27"/>
      <c r="HF544" s="27"/>
      <c r="HG544" s="27"/>
      <c r="HH544" s="27"/>
      <c r="HI544" s="27"/>
      <c r="HJ544" s="27"/>
      <c r="HK544" s="27"/>
      <c r="HL544" s="27"/>
      <c r="HM544" s="27"/>
      <c r="HN544" s="27"/>
      <c r="HO544" s="27"/>
      <c r="HP544" s="27"/>
      <c r="HQ544" s="27"/>
      <c r="HR544" s="27"/>
      <c r="HS544" s="27"/>
      <c r="HT544" s="27"/>
    </row>
    <row r="545" spans="1:228">
      <c r="A545" s="89"/>
      <c r="B545" s="90" t="s">
        <v>263</v>
      </c>
      <c r="C545" s="65">
        <v>50000000</v>
      </c>
      <c r="D545" s="79"/>
      <c r="E545" s="118"/>
      <c r="F545" s="118"/>
      <c r="G545" s="127"/>
      <c r="H545" s="127"/>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O545" s="62"/>
      <c r="DP545" s="62"/>
      <c r="DQ545" s="62"/>
      <c r="DR545" s="62"/>
      <c r="DS545" s="62"/>
      <c r="DT545" s="62"/>
      <c r="DU545" s="62"/>
      <c r="DV545" s="62"/>
      <c r="DW545" s="62"/>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62"/>
      <c r="FJ545" s="62"/>
      <c r="FK545" s="62"/>
      <c r="FL545" s="62"/>
      <c r="FM545" s="62"/>
      <c r="FN545" s="62"/>
      <c r="FO545" s="62"/>
      <c r="FP545" s="62"/>
      <c r="FQ545" s="62"/>
      <c r="FR545" s="62"/>
      <c r="FS545" s="62"/>
      <c r="FT545" s="62"/>
      <c r="FU545" s="62"/>
      <c r="FV545" s="62"/>
      <c r="FW545" s="62"/>
      <c r="FX545" s="62"/>
      <c r="FY545" s="62"/>
      <c r="FZ545" s="62"/>
      <c r="GA545" s="62"/>
      <c r="GB545" s="62"/>
      <c r="GC545" s="62"/>
      <c r="GD545" s="62"/>
      <c r="GE545" s="62"/>
      <c r="GF545" s="62"/>
      <c r="GG545" s="62"/>
      <c r="GH545" s="62"/>
      <c r="GI545" s="62"/>
      <c r="GJ545" s="62"/>
      <c r="GK545" s="62"/>
      <c r="GL545" s="62"/>
      <c r="GM545" s="62"/>
      <c r="GN545" s="62"/>
      <c r="GO545" s="62"/>
      <c r="GP545" s="62"/>
      <c r="GQ545" s="62"/>
      <c r="GR545" s="62"/>
      <c r="GS545" s="62"/>
      <c r="GT545" s="62"/>
      <c r="GU545" s="62"/>
      <c r="GV545" s="62"/>
      <c r="GW545" s="62"/>
      <c r="GX545" s="62"/>
      <c r="GY545" s="62"/>
      <c r="GZ545" s="62"/>
      <c r="HA545" s="62"/>
      <c r="HB545" s="62"/>
      <c r="HC545" s="62"/>
      <c r="HD545" s="62"/>
      <c r="HE545" s="62"/>
      <c r="HF545" s="62"/>
      <c r="HG545" s="62"/>
      <c r="HH545" s="62"/>
      <c r="HI545" s="62"/>
      <c r="HJ545" s="62"/>
      <c r="HK545" s="62"/>
      <c r="HL545" s="62"/>
      <c r="HM545" s="62"/>
      <c r="HN545" s="62"/>
      <c r="HO545" s="62"/>
      <c r="HP545" s="62"/>
      <c r="HQ545" s="62"/>
      <c r="HR545" s="62"/>
      <c r="HS545" s="62"/>
      <c r="HT545" s="62"/>
    </row>
    <row r="546" spans="1:228">
      <c r="A546" s="89"/>
      <c r="B546" s="65" t="s">
        <v>281</v>
      </c>
      <c r="C546" s="65">
        <v>5000000</v>
      </c>
      <c r="D546" s="79"/>
      <c r="E546" s="118"/>
      <c r="F546" s="118"/>
      <c r="G546" s="114"/>
      <c r="H546" s="114"/>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O546" s="62"/>
      <c r="DP546" s="62"/>
      <c r="DQ546" s="62"/>
      <c r="DR546" s="62"/>
      <c r="DS546" s="62"/>
      <c r="DT546" s="62"/>
      <c r="DU546" s="62"/>
      <c r="DV546" s="62"/>
      <c r="DW546" s="62"/>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62"/>
      <c r="FJ546" s="62"/>
      <c r="FK546" s="62"/>
      <c r="FL546" s="62"/>
      <c r="FM546" s="62"/>
      <c r="FN546" s="62"/>
      <c r="FO546" s="62"/>
      <c r="FP546" s="62"/>
      <c r="FQ546" s="62"/>
      <c r="FR546" s="62"/>
      <c r="FS546" s="62"/>
      <c r="FT546" s="62"/>
      <c r="FU546" s="62"/>
      <c r="FV546" s="62"/>
      <c r="FW546" s="62"/>
      <c r="FX546" s="62"/>
      <c r="FY546" s="62"/>
      <c r="FZ546" s="62"/>
      <c r="GA546" s="62"/>
      <c r="GB546" s="62"/>
      <c r="GC546" s="62"/>
      <c r="GD546" s="62"/>
      <c r="GE546" s="62"/>
      <c r="GF546" s="62"/>
      <c r="GG546" s="62"/>
      <c r="GH546" s="62"/>
      <c r="GI546" s="62"/>
      <c r="GJ546" s="62"/>
      <c r="GK546" s="62"/>
      <c r="GL546" s="62"/>
      <c r="GM546" s="62"/>
      <c r="GN546" s="62"/>
      <c r="GO546" s="62"/>
      <c r="GP546" s="62"/>
      <c r="GQ546" s="62"/>
      <c r="GR546" s="62"/>
      <c r="GS546" s="62"/>
      <c r="GT546" s="62"/>
      <c r="GU546" s="62"/>
      <c r="GV546" s="62"/>
      <c r="GW546" s="62"/>
      <c r="GX546" s="62"/>
      <c r="GY546" s="62"/>
      <c r="GZ546" s="62"/>
      <c r="HA546" s="62"/>
      <c r="HB546" s="62"/>
      <c r="HC546" s="62"/>
      <c r="HD546" s="62"/>
      <c r="HE546" s="62"/>
      <c r="HF546" s="62"/>
      <c r="HG546" s="62"/>
      <c r="HH546" s="62"/>
      <c r="HI546" s="62"/>
      <c r="HJ546" s="62"/>
      <c r="HK546" s="62"/>
      <c r="HL546" s="62"/>
      <c r="HM546" s="62"/>
      <c r="HN546" s="62"/>
      <c r="HO546" s="62"/>
      <c r="HP546" s="62"/>
      <c r="HQ546" s="62"/>
      <c r="HR546" s="62"/>
      <c r="HS546" s="62"/>
      <c r="HT546" s="62"/>
    </row>
    <row r="547" spans="1:228" s="88" customFormat="1" ht="19.5">
      <c r="A547" s="32">
        <v>3</v>
      </c>
      <c r="B547" s="41" t="s">
        <v>506</v>
      </c>
      <c r="C547" s="37">
        <v>606000000</v>
      </c>
      <c r="D547" s="38"/>
      <c r="E547" s="123"/>
      <c r="F547" s="123"/>
      <c r="G547" s="126"/>
      <c r="H547" s="126"/>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27"/>
      <c r="DX547" s="27"/>
      <c r="DY547" s="27"/>
      <c r="DZ547" s="27"/>
      <c r="EA547" s="27"/>
      <c r="EB547" s="27"/>
      <c r="EC547" s="27"/>
      <c r="ED547" s="27"/>
      <c r="EE547" s="27"/>
      <c r="EF547" s="27"/>
      <c r="EG547" s="27"/>
      <c r="EH547" s="27"/>
      <c r="EI547" s="27"/>
      <c r="EJ547" s="27"/>
      <c r="EK547" s="27"/>
      <c r="EL547" s="27"/>
      <c r="EM547" s="27"/>
      <c r="EN547" s="27"/>
      <c r="EO547" s="27"/>
      <c r="EP547" s="27"/>
      <c r="EQ547" s="27"/>
      <c r="ER547" s="27"/>
      <c r="ES547" s="27"/>
      <c r="ET547" s="27"/>
      <c r="EU547" s="27"/>
      <c r="EV547" s="27"/>
      <c r="EW547" s="27"/>
      <c r="EX547" s="27"/>
      <c r="EY547" s="27"/>
      <c r="EZ547" s="27"/>
      <c r="FA547" s="27"/>
      <c r="FB547" s="27"/>
      <c r="FC547" s="27"/>
      <c r="FD547" s="27"/>
      <c r="FE547" s="27"/>
      <c r="FF547" s="27"/>
      <c r="FG547" s="27"/>
      <c r="FH547" s="27"/>
      <c r="FI547" s="27"/>
      <c r="FJ547" s="27"/>
      <c r="FK547" s="27"/>
      <c r="FL547" s="27"/>
      <c r="FM547" s="27"/>
      <c r="FN547" s="27"/>
      <c r="FO547" s="27"/>
      <c r="FP547" s="27"/>
      <c r="FQ547" s="27"/>
      <c r="FR547" s="27"/>
      <c r="FS547" s="27"/>
      <c r="FT547" s="27"/>
      <c r="FU547" s="27"/>
      <c r="FV547" s="27"/>
      <c r="FW547" s="27"/>
      <c r="FX547" s="27"/>
      <c r="FY547" s="27"/>
      <c r="FZ547" s="27"/>
      <c r="GA547" s="27"/>
      <c r="GB547" s="27"/>
      <c r="GC547" s="27"/>
      <c r="GD547" s="27"/>
      <c r="GE547" s="27"/>
      <c r="GF547" s="27"/>
      <c r="GG547" s="27"/>
      <c r="GH547" s="27"/>
      <c r="GI547" s="27"/>
      <c r="GJ547" s="27"/>
      <c r="GK547" s="27"/>
      <c r="GL547" s="27"/>
      <c r="GM547" s="27"/>
      <c r="GN547" s="27"/>
      <c r="GO547" s="27"/>
      <c r="GP547" s="27"/>
      <c r="GQ547" s="27"/>
      <c r="GR547" s="27"/>
      <c r="GS547" s="27"/>
      <c r="GT547" s="27"/>
      <c r="GU547" s="27"/>
      <c r="GV547" s="27"/>
      <c r="GW547" s="27"/>
      <c r="GX547" s="27"/>
      <c r="GY547" s="27"/>
      <c r="GZ547" s="27"/>
      <c r="HA547" s="27"/>
      <c r="HB547" s="27"/>
      <c r="HC547" s="27"/>
      <c r="HD547" s="27"/>
      <c r="HE547" s="27"/>
      <c r="HF547" s="27"/>
      <c r="HG547" s="27"/>
      <c r="HH547" s="27"/>
      <c r="HI547" s="27"/>
      <c r="HJ547" s="27"/>
      <c r="HK547" s="27"/>
      <c r="HL547" s="27"/>
      <c r="HM547" s="27"/>
      <c r="HN547" s="27"/>
      <c r="HO547" s="27"/>
      <c r="HP547" s="27"/>
      <c r="HQ547" s="27"/>
      <c r="HR547" s="27"/>
      <c r="HS547" s="27"/>
      <c r="HT547" s="27"/>
    </row>
    <row r="548" spans="1:228" ht="37.5">
      <c r="A548" s="63" t="s">
        <v>258</v>
      </c>
      <c r="B548" s="48" t="s">
        <v>507</v>
      </c>
      <c r="C548" s="65">
        <v>35000000</v>
      </c>
      <c r="D548" s="79"/>
      <c r="E548" s="118"/>
      <c r="F548" s="118"/>
      <c r="G548" s="140"/>
      <c r="H548" s="140"/>
    </row>
    <row r="549" spans="1:228" ht="37.5">
      <c r="A549" s="63" t="s">
        <v>258</v>
      </c>
      <c r="B549" s="48" t="s">
        <v>508</v>
      </c>
      <c r="C549" s="65">
        <v>30000000</v>
      </c>
      <c r="D549" s="79"/>
      <c r="E549" s="118"/>
      <c r="F549" s="118"/>
      <c r="G549" s="140"/>
      <c r="H549" s="140"/>
    </row>
    <row r="550" spans="1:228" s="62" customFormat="1" ht="37.5">
      <c r="A550" s="63" t="s">
        <v>258</v>
      </c>
      <c r="B550" s="48" t="s">
        <v>509</v>
      </c>
      <c r="C550" s="65">
        <v>180000000</v>
      </c>
      <c r="D550" s="79"/>
      <c r="E550" s="118"/>
      <c r="F550" s="118"/>
      <c r="G550" s="140"/>
      <c r="H550" s="140"/>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c r="ED550" s="27"/>
      <c r="EE550" s="27"/>
      <c r="EF550" s="27"/>
      <c r="EG550" s="27"/>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7"/>
      <c r="FH550" s="27"/>
      <c r="FI550" s="27"/>
      <c r="FJ550" s="27"/>
      <c r="FK550" s="27"/>
      <c r="FL550" s="27"/>
      <c r="FM550" s="27"/>
      <c r="FN550" s="27"/>
      <c r="FO550" s="27"/>
      <c r="FP550" s="27"/>
      <c r="FQ550" s="27"/>
      <c r="FR550" s="27"/>
      <c r="FS550" s="27"/>
      <c r="FT550" s="27"/>
      <c r="FU550" s="27"/>
      <c r="FV550" s="27"/>
      <c r="FW550" s="27"/>
      <c r="FX550" s="27"/>
      <c r="FY550" s="27"/>
      <c r="FZ550" s="27"/>
      <c r="GA550" s="27"/>
      <c r="GB550" s="27"/>
      <c r="GC550" s="27"/>
      <c r="GD550" s="27"/>
      <c r="GE550" s="27"/>
      <c r="GF550" s="27"/>
      <c r="GG550" s="27"/>
      <c r="GH550" s="27"/>
      <c r="GI550" s="27"/>
      <c r="GJ550" s="27"/>
      <c r="GK550" s="27"/>
      <c r="GL550" s="27"/>
      <c r="GM550" s="27"/>
      <c r="GN550" s="27"/>
      <c r="GO550" s="27"/>
      <c r="GP550" s="27"/>
      <c r="GQ550" s="27"/>
      <c r="GR550" s="27"/>
      <c r="GS550" s="27"/>
      <c r="GT550" s="27"/>
      <c r="GU550" s="27"/>
      <c r="GV550" s="27"/>
      <c r="GW550" s="27"/>
      <c r="GX550" s="27"/>
      <c r="GY550" s="27"/>
      <c r="GZ550" s="27"/>
      <c r="HA550" s="27"/>
      <c r="HB550" s="27"/>
      <c r="HC550" s="27"/>
      <c r="HD550" s="27"/>
      <c r="HE550" s="27"/>
      <c r="HF550" s="27"/>
      <c r="HG550" s="27"/>
      <c r="HH550" s="27"/>
      <c r="HI550" s="27"/>
      <c r="HJ550" s="27"/>
      <c r="HK550" s="27"/>
      <c r="HL550" s="27"/>
      <c r="HM550" s="27"/>
      <c r="HN550" s="27"/>
      <c r="HO550" s="27"/>
      <c r="HP550" s="27"/>
      <c r="HQ550" s="27"/>
      <c r="HR550" s="27"/>
      <c r="HS550" s="27"/>
      <c r="HT550" s="27"/>
    </row>
    <row r="551" spans="1:228" s="62" customFormat="1">
      <c r="A551" s="63" t="s">
        <v>258</v>
      </c>
      <c r="B551" s="48" t="s">
        <v>510</v>
      </c>
      <c r="C551" s="65">
        <v>232000000</v>
      </c>
      <c r="D551" s="79"/>
      <c r="E551" s="118"/>
      <c r="F551" s="118"/>
      <c r="G551" s="140"/>
      <c r="H551" s="140"/>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27"/>
      <c r="DX551" s="27"/>
      <c r="DY551" s="27"/>
      <c r="DZ551" s="27"/>
      <c r="EA551" s="27"/>
      <c r="EB551" s="27"/>
      <c r="EC551" s="27"/>
      <c r="ED551" s="27"/>
      <c r="EE551" s="27"/>
      <c r="EF551" s="27"/>
      <c r="EG551" s="27"/>
      <c r="EH551" s="27"/>
      <c r="EI551" s="27"/>
      <c r="EJ551" s="27"/>
      <c r="EK551" s="27"/>
      <c r="EL551" s="27"/>
      <c r="EM551" s="27"/>
      <c r="EN551" s="27"/>
      <c r="EO551" s="27"/>
      <c r="EP551" s="27"/>
      <c r="EQ551" s="27"/>
      <c r="ER551" s="27"/>
      <c r="ES551" s="27"/>
      <c r="ET551" s="27"/>
      <c r="EU551" s="27"/>
      <c r="EV551" s="27"/>
      <c r="EW551" s="27"/>
      <c r="EX551" s="27"/>
      <c r="EY551" s="27"/>
      <c r="EZ551" s="27"/>
      <c r="FA551" s="27"/>
      <c r="FB551" s="27"/>
      <c r="FC551" s="27"/>
      <c r="FD551" s="27"/>
      <c r="FE551" s="27"/>
      <c r="FF551" s="27"/>
      <c r="FG551" s="27"/>
      <c r="FH551" s="27"/>
      <c r="FI551" s="27"/>
      <c r="FJ551" s="27"/>
      <c r="FK551" s="27"/>
      <c r="FL551" s="27"/>
      <c r="FM551" s="27"/>
      <c r="FN551" s="27"/>
      <c r="FO551" s="27"/>
      <c r="FP551" s="27"/>
      <c r="FQ551" s="27"/>
      <c r="FR551" s="27"/>
      <c r="FS551" s="27"/>
      <c r="FT551" s="27"/>
      <c r="FU551" s="27"/>
      <c r="FV551" s="27"/>
      <c r="FW551" s="27"/>
      <c r="FX551" s="27"/>
      <c r="FY551" s="27"/>
      <c r="FZ551" s="27"/>
      <c r="GA551" s="27"/>
      <c r="GB551" s="27"/>
      <c r="GC551" s="27"/>
      <c r="GD551" s="27"/>
      <c r="GE551" s="27"/>
      <c r="GF551" s="27"/>
      <c r="GG551" s="27"/>
      <c r="GH551" s="27"/>
      <c r="GI551" s="27"/>
      <c r="GJ551" s="27"/>
      <c r="GK551" s="27"/>
      <c r="GL551" s="27"/>
      <c r="GM551" s="27"/>
      <c r="GN551" s="27"/>
      <c r="GO551" s="27"/>
      <c r="GP551" s="27"/>
      <c r="GQ551" s="27"/>
      <c r="GR551" s="27"/>
      <c r="GS551" s="27"/>
      <c r="GT551" s="27"/>
      <c r="GU551" s="27"/>
      <c r="GV551" s="27"/>
      <c r="GW551" s="27"/>
      <c r="GX551" s="27"/>
      <c r="GY551" s="27"/>
      <c r="GZ551" s="27"/>
      <c r="HA551" s="27"/>
      <c r="HB551" s="27"/>
      <c r="HC551" s="27"/>
      <c r="HD551" s="27"/>
      <c r="HE551" s="27"/>
      <c r="HF551" s="27"/>
      <c r="HG551" s="27"/>
      <c r="HH551" s="27"/>
      <c r="HI551" s="27"/>
      <c r="HJ551" s="27"/>
      <c r="HK551" s="27"/>
      <c r="HL551" s="27"/>
      <c r="HM551" s="27"/>
      <c r="HN551" s="27"/>
      <c r="HO551" s="27"/>
      <c r="HP551" s="27"/>
      <c r="HQ551" s="27"/>
      <c r="HR551" s="27"/>
      <c r="HS551" s="27"/>
      <c r="HT551" s="27"/>
    </row>
    <row r="552" spans="1:228" s="62" customFormat="1" ht="37.5">
      <c r="A552" s="63" t="s">
        <v>258</v>
      </c>
      <c r="B552" s="48" t="s">
        <v>511</v>
      </c>
      <c r="C552" s="65">
        <v>29000000</v>
      </c>
      <c r="D552" s="79"/>
      <c r="E552" s="118"/>
      <c r="F552" s="118"/>
      <c r="G552" s="140"/>
      <c r="H552" s="140"/>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c r="ED552" s="27"/>
      <c r="EE552" s="27"/>
      <c r="EF552" s="27"/>
      <c r="EG552" s="27"/>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c r="FH552" s="27"/>
      <c r="FI552" s="27"/>
      <c r="FJ552" s="27"/>
      <c r="FK552" s="27"/>
      <c r="FL552" s="27"/>
      <c r="FM552" s="27"/>
      <c r="FN552" s="27"/>
      <c r="FO552" s="27"/>
      <c r="FP552" s="27"/>
      <c r="FQ552" s="27"/>
      <c r="FR552" s="27"/>
      <c r="FS552" s="27"/>
      <c r="FT552" s="27"/>
      <c r="FU552" s="27"/>
      <c r="FV552" s="27"/>
      <c r="FW552" s="27"/>
      <c r="FX552" s="27"/>
      <c r="FY552" s="27"/>
      <c r="FZ552" s="27"/>
      <c r="GA552" s="27"/>
      <c r="GB552" s="27"/>
      <c r="GC552" s="27"/>
      <c r="GD552" s="27"/>
      <c r="GE552" s="27"/>
      <c r="GF552" s="27"/>
      <c r="GG552" s="27"/>
      <c r="GH552" s="27"/>
      <c r="GI552" s="27"/>
      <c r="GJ552" s="27"/>
      <c r="GK552" s="27"/>
      <c r="GL552" s="27"/>
      <c r="GM552" s="27"/>
      <c r="GN552" s="27"/>
      <c r="GO552" s="27"/>
      <c r="GP552" s="27"/>
      <c r="GQ552" s="27"/>
      <c r="GR552" s="27"/>
      <c r="GS552" s="27"/>
      <c r="GT552" s="27"/>
      <c r="GU552" s="27"/>
      <c r="GV552" s="27"/>
      <c r="GW552" s="27"/>
      <c r="GX552" s="27"/>
      <c r="GY552" s="27"/>
      <c r="GZ552" s="27"/>
      <c r="HA552" s="27"/>
      <c r="HB552" s="27"/>
      <c r="HC552" s="27"/>
      <c r="HD552" s="27"/>
      <c r="HE552" s="27"/>
      <c r="HF552" s="27"/>
      <c r="HG552" s="27"/>
      <c r="HH552" s="27"/>
      <c r="HI552" s="27"/>
      <c r="HJ552" s="27"/>
      <c r="HK552" s="27"/>
      <c r="HL552" s="27"/>
      <c r="HM552" s="27"/>
      <c r="HN552" s="27"/>
      <c r="HO552" s="27"/>
      <c r="HP552" s="27"/>
      <c r="HQ552" s="27"/>
      <c r="HR552" s="27"/>
      <c r="HS552" s="27"/>
      <c r="HT552" s="27"/>
    </row>
    <row r="553" spans="1:228" s="88" customFormat="1" ht="19.5">
      <c r="A553" s="63" t="s">
        <v>258</v>
      </c>
      <c r="B553" s="48" t="s">
        <v>512</v>
      </c>
      <c r="C553" s="91">
        <v>100000000</v>
      </c>
      <c r="D553" s="79"/>
      <c r="E553" s="127"/>
      <c r="F553" s="127"/>
      <c r="G553" s="127" t="s">
        <v>513</v>
      </c>
      <c r="H553" s="1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c r="ED553" s="27"/>
      <c r="EE553" s="27"/>
      <c r="EF553" s="27"/>
      <c r="EG553" s="27"/>
      <c r="EH553" s="27"/>
      <c r="EI553" s="27"/>
      <c r="EJ553" s="27"/>
      <c r="EK553" s="27"/>
      <c r="EL553" s="27"/>
      <c r="EM553" s="27"/>
      <c r="EN553" s="27"/>
      <c r="EO553" s="27"/>
      <c r="EP553" s="27"/>
      <c r="EQ553" s="27"/>
      <c r="ER553" s="27"/>
      <c r="ES553" s="27"/>
      <c r="ET553" s="27"/>
      <c r="EU553" s="27"/>
      <c r="EV553" s="27"/>
      <c r="EW553" s="27"/>
      <c r="EX553" s="27"/>
      <c r="EY553" s="27"/>
      <c r="EZ553" s="27"/>
      <c r="FA553" s="27"/>
      <c r="FB553" s="27"/>
      <c r="FC553" s="27"/>
      <c r="FD553" s="27"/>
      <c r="FE553" s="27"/>
      <c r="FF553" s="27"/>
      <c r="FG553" s="27"/>
      <c r="FH553" s="27"/>
      <c r="FI553" s="27"/>
      <c r="FJ553" s="27"/>
      <c r="FK553" s="27"/>
      <c r="FL553" s="27"/>
      <c r="FM553" s="27"/>
      <c r="FN553" s="27"/>
      <c r="FO553" s="27"/>
      <c r="FP553" s="27"/>
      <c r="FQ553" s="27"/>
      <c r="FR553" s="27"/>
      <c r="FS553" s="27"/>
      <c r="FT553" s="27"/>
      <c r="FU553" s="27"/>
      <c r="FV553" s="27"/>
      <c r="FW553" s="27"/>
      <c r="FX553" s="27"/>
      <c r="FY553" s="27"/>
      <c r="FZ553" s="27"/>
      <c r="GA553" s="27"/>
      <c r="GB553" s="27"/>
      <c r="GC553" s="27"/>
      <c r="GD553" s="27"/>
      <c r="GE553" s="27"/>
      <c r="GF553" s="27"/>
      <c r="GG553" s="27"/>
      <c r="GH553" s="27"/>
      <c r="GI553" s="27"/>
      <c r="GJ553" s="27"/>
      <c r="GK553" s="27"/>
      <c r="GL553" s="27"/>
      <c r="GM553" s="27"/>
      <c r="GN553" s="27"/>
      <c r="GO553" s="27"/>
      <c r="GP553" s="27"/>
      <c r="GQ553" s="27"/>
      <c r="GR553" s="27"/>
      <c r="GS553" s="27"/>
      <c r="GT553" s="27"/>
      <c r="GU553" s="27"/>
      <c r="GV553" s="27"/>
      <c r="GW553" s="27"/>
      <c r="GX553" s="27"/>
      <c r="GY553" s="27"/>
      <c r="GZ553" s="27"/>
      <c r="HA553" s="27"/>
      <c r="HB553" s="27"/>
      <c r="HC553" s="27"/>
      <c r="HD553" s="27"/>
      <c r="HE553" s="27"/>
      <c r="HF553" s="27"/>
      <c r="HG553" s="27"/>
      <c r="HH553" s="27"/>
      <c r="HI553" s="27"/>
      <c r="HJ553" s="27"/>
      <c r="HK553" s="27"/>
      <c r="HL553" s="27"/>
      <c r="HM553" s="27"/>
      <c r="HN553" s="27"/>
      <c r="HO553" s="27"/>
      <c r="HP553" s="27"/>
      <c r="HQ553" s="27"/>
      <c r="HR553" s="27"/>
      <c r="HS553" s="27"/>
      <c r="HT553" s="27"/>
    </row>
    <row r="554" spans="1:228" s="88" customFormat="1" ht="19.5">
      <c r="A554" s="31" t="s">
        <v>261</v>
      </c>
      <c r="B554" s="101" t="s">
        <v>262</v>
      </c>
      <c r="C554" s="102">
        <v>31000000</v>
      </c>
      <c r="D554" s="38"/>
      <c r="E554" s="116"/>
      <c r="F554" s="116"/>
      <c r="G554" s="131"/>
      <c r="H554" s="131"/>
      <c r="I554" s="71"/>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row>
    <row r="555" spans="1:228" s="62" customFormat="1" ht="19.5">
      <c r="A555" s="89"/>
      <c r="B555" s="90" t="s">
        <v>263</v>
      </c>
      <c r="C555" s="65">
        <v>31000000</v>
      </c>
      <c r="D555" s="79"/>
      <c r="E555" s="118"/>
      <c r="F555" s="118"/>
      <c r="G555" s="114"/>
      <c r="H555" s="114"/>
      <c r="I555" s="88"/>
      <c r="J555" s="88"/>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c r="AI555" s="88"/>
      <c r="AJ555" s="88"/>
      <c r="AK555" s="88"/>
      <c r="AL555" s="88"/>
      <c r="AM555" s="88"/>
      <c r="AN555" s="88"/>
      <c r="AO555" s="88"/>
      <c r="AP555" s="88"/>
      <c r="AQ555" s="88"/>
      <c r="AR555" s="88"/>
      <c r="AS555" s="88"/>
      <c r="AT555" s="88"/>
      <c r="AU555" s="88"/>
      <c r="AV555" s="88"/>
      <c r="AW555" s="88"/>
      <c r="AX555" s="88"/>
      <c r="AY555" s="88"/>
      <c r="AZ555" s="88"/>
      <c r="BA555" s="88"/>
      <c r="BB555" s="88"/>
      <c r="BC555" s="88"/>
      <c r="BD555" s="88"/>
      <c r="BE555" s="88"/>
      <c r="BF555" s="88"/>
      <c r="BG555" s="88"/>
      <c r="BH555" s="88"/>
      <c r="BI555" s="88"/>
      <c r="BJ555" s="88"/>
      <c r="BK555" s="88"/>
      <c r="BL555" s="88"/>
      <c r="BM555" s="88"/>
      <c r="BN555" s="88"/>
      <c r="BO555" s="88"/>
      <c r="BP555" s="88"/>
      <c r="BQ555" s="88"/>
      <c r="BR555" s="88"/>
      <c r="BS555" s="88"/>
      <c r="BT555" s="88"/>
      <c r="BU555" s="88"/>
      <c r="BV555" s="88"/>
      <c r="BW555" s="88"/>
      <c r="BX555" s="88"/>
      <c r="BY555" s="88"/>
      <c r="BZ555" s="88"/>
      <c r="CA555" s="88"/>
      <c r="CB555" s="88"/>
      <c r="CC555" s="88"/>
      <c r="CD555" s="88"/>
      <c r="CE555" s="88"/>
      <c r="CF555" s="88"/>
      <c r="CG555" s="88"/>
      <c r="CH555" s="88"/>
      <c r="CI555" s="88"/>
      <c r="CJ555" s="88"/>
      <c r="CK555" s="88"/>
      <c r="CL555" s="88"/>
      <c r="CM555" s="88"/>
      <c r="CN555" s="88"/>
      <c r="CO555" s="88"/>
      <c r="CP555" s="88"/>
      <c r="CQ555" s="88"/>
      <c r="CR555" s="88"/>
      <c r="CS555" s="88"/>
      <c r="CT555" s="88"/>
      <c r="CU555" s="88"/>
      <c r="CV555" s="88"/>
      <c r="CW555" s="88"/>
      <c r="CX555" s="88"/>
      <c r="CY555" s="88"/>
      <c r="CZ555" s="88"/>
      <c r="DA555" s="88"/>
      <c r="DB555" s="88"/>
      <c r="DC555" s="88"/>
      <c r="DD555" s="88"/>
      <c r="DE555" s="88"/>
      <c r="DF555" s="88"/>
      <c r="DG555" s="88"/>
      <c r="DH555" s="88"/>
      <c r="DI555" s="88"/>
      <c r="DJ555" s="88"/>
      <c r="DK555" s="88"/>
      <c r="DL555" s="88"/>
      <c r="DM555" s="88"/>
      <c r="DN555" s="88"/>
      <c r="DO555" s="88"/>
      <c r="DP555" s="88"/>
      <c r="DQ555" s="88"/>
      <c r="DR555" s="88"/>
      <c r="DS555" s="88"/>
      <c r="DT555" s="88"/>
      <c r="DU555" s="88"/>
      <c r="DV555" s="88"/>
      <c r="DW555" s="88"/>
      <c r="DX555" s="88"/>
      <c r="DY555" s="88"/>
      <c r="DZ555" s="88"/>
      <c r="EA555" s="88"/>
      <c r="EB555" s="88"/>
      <c r="EC555" s="88"/>
      <c r="ED555" s="88"/>
      <c r="EE555" s="88"/>
      <c r="EF555" s="88"/>
      <c r="EG555" s="88"/>
      <c r="EH555" s="88"/>
      <c r="EI555" s="88"/>
      <c r="EJ555" s="88"/>
      <c r="EK555" s="88"/>
      <c r="EL555" s="88"/>
      <c r="EM555" s="88"/>
      <c r="EN555" s="88"/>
      <c r="EO555" s="88"/>
      <c r="EP555" s="88"/>
      <c r="EQ555" s="88"/>
      <c r="ER555" s="88"/>
      <c r="ES555" s="88"/>
      <c r="ET555" s="88"/>
      <c r="EU555" s="88"/>
      <c r="EV555" s="88"/>
      <c r="EW555" s="88"/>
      <c r="EX555" s="88"/>
      <c r="EY555" s="88"/>
      <c r="EZ555" s="88"/>
      <c r="FA555" s="88"/>
      <c r="FB555" s="88"/>
      <c r="FC555" s="88"/>
      <c r="FD555" s="88"/>
      <c r="FE555" s="88"/>
      <c r="FF555" s="88"/>
      <c r="FG555" s="88"/>
      <c r="FH555" s="88"/>
      <c r="FI555" s="88"/>
      <c r="FJ555" s="88"/>
      <c r="FK555" s="88"/>
      <c r="FL555" s="88"/>
      <c r="FM555" s="88"/>
      <c r="FN555" s="88"/>
      <c r="FO555" s="88"/>
      <c r="FP555" s="88"/>
      <c r="FQ555" s="88"/>
      <c r="FR555" s="88"/>
      <c r="FS555" s="88"/>
      <c r="FT555" s="88"/>
      <c r="FU555" s="88"/>
      <c r="FV555" s="88"/>
      <c r="FW555" s="88"/>
      <c r="FX555" s="88"/>
      <c r="FY555" s="88"/>
      <c r="FZ555" s="88"/>
      <c r="GA555" s="88"/>
      <c r="GB555" s="88"/>
      <c r="GC555" s="88"/>
      <c r="GD555" s="88"/>
      <c r="GE555" s="88"/>
      <c r="GF555" s="88"/>
      <c r="GG555" s="88"/>
      <c r="GH555" s="88"/>
      <c r="GI555" s="88"/>
      <c r="GJ555" s="88"/>
      <c r="GK555" s="88"/>
      <c r="GL555" s="88"/>
      <c r="GM555" s="88"/>
      <c r="GN555" s="88"/>
      <c r="GO555" s="88"/>
      <c r="GP555" s="88"/>
      <c r="GQ555" s="88"/>
      <c r="GR555" s="88"/>
      <c r="GS555" s="88"/>
      <c r="GT555" s="88"/>
      <c r="GU555" s="88"/>
      <c r="GV555" s="88"/>
      <c r="GW555" s="88"/>
      <c r="GX555" s="88"/>
      <c r="GY555" s="88"/>
      <c r="GZ555" s="88"/>
      <c r="HA555" s="88"/>
      <c r="HB555" s="88"/>
      <c r="HC555" s="88"/>
      <c r="HD555" s="88"/>
      <c r="HE555" s="88"/>
      <c r="HF555" s="88"/>
      <c r="HG555" s="88"/>
      <c r="HH555" s="88"/>
      <c r="HI555" s="88"/>
      <c r="HJ555" s="88"/>
      <c r="HK555" s="88"/>
      <c r="HL555" s="88"/>
      <c r="HM555" s="88"/>
      <c r="HN555" s="88"/>
      <c r="HO555" s="88"/>
      <c r="HP555" s="88"/>
      <c r="HQ555" s="88"/>
      <c r="HR555" s="88"/>
      <c r="HS555" s="88"/>
      <c r="HT555" s="88"/>
    </row>
    <row r="556" spans="1:228">
      <c r="A556" s="32" t="s">
        <v>514</v>
      </c>
      <c r="B556" s="41" t="s">
        <v>515</v>
      </c>
      <c r="C556" s="37">
        <v>7000000000</v>
      </c>
      <c r="D556" s="38"/>
      <c r="E556" s="123"/>
      <c r="F556" s="123"/>
      <c r="G556" s="126"/>
      <c r="H556" s="126"/>
    </row>
    <row r="557" spans="1:228" s="29" customFormat="1">
      <c r="A557" s="32">
        <v>1</v>
      </c>
      <c r="B557" s="41" t="s">
        <v>516</v>
      </c>
      <c r="C557" s="37">
        <v>2715000000</v>
      </c>
      <c r="D557" s="38"/>
      <c r="E557" s="123"/>
      <c r="F557" s="123"/>
      <c r="G557" s="132"/>
      <c r="H557" s="132"/>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27"/>
      <c r="DX557" s="27"/>
      <c r="DY557" s="27"/>
      <c r="DZ557" s="27"/>
      <c r="EA557" s="27"/>
      <c r="EB557" s="27"/>
      <c r="EC557" s="27"/>
      <c r="ED557" s="27"/>
      <c r="EE557" s="27"/>
      <c r="EF557" s="27"/>
      <c r="EG557" s="27"/>
      <c r="EH557" s="27"/>
      <c r="EI557" s="27"/>
      <c r="EJ557" s="27"/>
      <c r="EK557" s="27"/>
      <c r="EL557" s="27"/>
      <c r="EM557" s="27"/>
      <c r="EN557" s="27"/>
      <c r="EO557" s="27"/>
      <c r="EP557" s="27"/>
      <c r="EQ557" s="27"/>
      <c r="ER557" s="27"/>
      <c r="ES557" s="27"/>
      <c r="ET557" s="27"/>
      <c r="EU557" s="27"/>
      <c r="EV557" s="27"/>
      <c r="EW557" s="27"/>
      <c r="EX557" s="27"/>
      <c r="EY557" s="27"/>
      <c r="EZ557" s="27"/>
      <c r="FA557" s="27"/>
      <c r="FB557" s="27"/>
      <c r="FC557" s="27"/>
      <c r="FD557" s="27"/>
      <c r="FE557" s="27"/>
      <c r="FF557" s="27"/>
      <c r="FG557" s="27"/>
      <c r="FH557" s="27"/>
      <c r="FI557" s="27"/>
      <c r="FJ557" s="27"/>
      <c r="FK557" s="27"/>
      <c r="FL557" s="27"/>
      <c r="FM557" s="27"/>
      <c r="FN557" s="27"/>
      <c r="FO557" s="27"/>
      <c r="FP557" s="27"/>
      <c r="FQ557" s="27"/>
      <c r="FR557" s="27"/>
      <c r="FS557" s="27"/>
      <c r="FT557" s="27"/>
      <c r="FU557" s="27"/>
      <c r="FV557" s="27"/>
      <c r="FW557" s="27"/>
      <c r="FX557" s="27"/>
      <c r="FY557" s="27"/>
      <c r="FZ557" s="27"/>
      <c r="GA557" s="27"/>
      <c r="GB557" s="27"/>
      <c r="GC557" s="27"/>
      <c r="GD557" s="27"/>
      <c r="GE557" s="27"/>
      <c r="GF557" s="27"/>
      <c r="GG557" s="27"/>
      <c r="GH557" s="27"/>
      <c r="GI557" s="27"/>
      <c r="GJ557" s="27"/>
      <c r="GK557" s="27"/>
      <c r="GL557" s="27"/>
      <c r="GM557" s="27"/>
      <c r="GN557" s="27"/>
      <c r="GO557" s="27"/>
      <c r="GP557" s="27"/>
      <c r="GQ557" s="27"/>
      <c r="GR557" s="27"/>
      <c r="GS557" s="27"/>
      <c r="GT557" s="27"/>
      <c r="GU557" s="27"/>
      <c r="GV557" s="27"/>
      <c r="GW557" s="27"/>
      <c r="GX557" s="27"/>
      <c r="GY557" s="27"/>
      <c r="GZ557" s="27"/>
      <c r="HA557" s="27"/>
      <c r="HB557" s="27"/>
      <c r="HC557" s="27"/>
      <c r="HD557" s="27"/>
      <c r="HE557" s="27"/>
      <c r="HF557" s="27"/>
      <c r="HG557" s="27"/>
      <c r="HH557" s="27"/>
      <c r="HI557" s="27"/>
      <c r="HJ557" s="27"/>
      <c r="HK557" s="27"/>
      <c r="HL557" s="27"/>
      <c r="HM557" s="27"/>
      <c r="HN557" s="27"/>
      <c r="HO557" s="27"/>
      <c r="HP557" s="27"/>
      <c r="HQ557" s="27"/>
      <c r="HR557" s="27"/>
      <c r="HS557" s="27"/>
      <c r="HT557" s="27"/>
    </row>
    <row r="558" spans="1:228" s="43" customFormat="1">
      <c r="A558" s="31" t="s">
        <v>222</v>
      </c>
      <c r="B558" s="101" t="s">
        <v>252</v>
      </c>
      <c r="C558" s="69">
        <v>776000000</v>
      </c>
      <c r="D558" s="56"/>
      <c r="E558" s="117"/>
      <c r="F558" s="117"/>
      <c r="G558" s="117"/>
      <c r="H558" s="117"/>
      <c r="I558" s="71"/>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row>
    <row r="559" spans="1:228" s="43" customFormat="1" ht="37.5">
      <c r="A559" s="72" t="s">
        <v>258</v>
      </c>
      <c r="B559" s="48" t="s">
        <v>377</v>
      </c>
      <c r="C559" s="74">
        <v>614000000</v>
      </c>
      <c r="D559" s="50"/>
      <c r="E559" s="114"/>
      <c r="F559" s="114"/>
      <c r="G559" s="114"/>
      <c r="H559" s="114"/>
    </row>
    <row r="560" spans="1:228" s="29" customFormat="1">
      <c r="A560" s="72" t="s">
        <v>258</v>
      </c>
      <c r="B560" s="48" t="s">
        <v>256</v>
      </c>
      <c r="C560" s="74">
        <v>162000000</v>
      </c>
      <c r="D560" s="50"/>
      <c r="E560" s="114"/>
      <c r="F560" s="114"/>
      <c r="G560" s="114"/>
      <c r="H560" s="114"/>
    </row>
    <row r="561" spans="1:228" s="62" customFormat="1" ht="19.5">
      <c r="A561" s="89"/>
      <c r="B561" s="110"/>
      <c r="C561" s="91"/>
      <c r="D561" s="79"/>
      <c r="E561" s="127"/>
      <c r="F561" s="127"/>
      <c r="G561" s="187"/>
      <c r="H561" s="187"/>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c r="CT561" s="61"/>
      <c r="CU561" s="61"/>
      <c r="CV561" s="61"/>
      <c r="CW561" s="61"/>
      <c r="CX561" s="61"/>
      <c r="CY561" s="61"/>
      <c r="CZ561" s="61"/>
      <c r="DA561" s="61"/>
      <c r="DB561" s="61"/>
      <c r="DC561" s="61"/>
      <c r="DD561" s="61"/>
      <c r="DE561" s="61"/>
      <c r="DF561" s="61"/>
      <c r="DG561" s="61"/>
      <c r="DH561" s="61"/>
      <c r="DI561" s="61"/>
      <c r="DJ561" s="61"/>
      <c r="DK561" s="61"/>
      <c r="DL561" s="61"/>
      <c r="DM561" s="61"/>
      <c r="DN561" s="61"/>
      <c r="DO561" s="61"/>
      <c r="DP561" s="61"/>
      <c r="DQ561" s="61"/>
      <c r="DR561" s="61"/>
      <c r="DS561" s="61"/>
      <c r="DT561" s="61"/>
      <c r="DU561" s="61"/>
      <c r="DV561" s="61"/>
      <c r="DW561" s="61"/>
      <c r="DX561" s="61"/>
      <c r="DY561" s="61"/>
      <c r="DZ561" s="61"/>
      <c r="EA561" s="61"/>
      <c r="EB561" s="61"/>
      <c r="EC561" s="61"/>
      <c r="ED561" s="61"/>
      <c r="EE561" s="61"/>
      <c r="EF561" s="61"/>
      <c r="EG561" s="61"/>
      <c r="EH561" s="61"/>
      <c r="EI561" s="61"/>
      <c r="EJ561" s="61"/>
      <c r="EK561" s="61"/>
      <c r="EL561" s="61"/>
      <c r="EM561" s="61"/>
      <c r="EN561" s="61"/>
      <c r="EO561" s="61"/>
      <c r="EP561" s="61"/>
      <c r="EQ561" s="61"/>
      <c r="ER561" s="61"/>
      <c r="ES561" s="61"/>
      <c r="ET561" s="61"/>
      <c r="EU561" s="61"/>
      <c r="EV561" s="61"/>
      <c r="EW561" s="61"/>
      <c r="EX561" s="61"/>
      <c r="EY561" s="61"/>
      <c r="EZ561" s="61"/>
      <c r="FA561" s="61"/>
      <c r="FB561" s="61"/>
      <c r="FC561" s="61"/>
      <c r="FD561" s="61"/>
      <c r="FE561" s="61"/>
      <c r="FF561" s="61"/>
      <c r="FG561" s="61"/>
      <c r="FH561" s="61"/>
      <c r="FI561" s="61"/>
      <c r="FJ561" s="61"/>
      <c r="FK561" s="61"/>
      <c r="FL561" s="61"/>
      <c r="FM561" s="61"/>
      <c r="FN561" s="61"/>
      <c r="FO561" s="61"/>
      <c r="FP561" s="61"/>
      <c r="FQ561" s="61"/>
      <c r="FR561" s="61"/>
      <c r="FS561" s="61"/>
      <c r="FT561" s="61"/>
      <c r="FU561" s="61"/>
      <c r="FV561" s="61"/>
      <c r="FW561" s="61"/>
      <c r="FX561" s="61"/>
      <c r="FY561" s="61"/>
      <c r="FZ561" s="61"/>
      <c r="GA561" s="61"/>
      <c r="GB561" s="61"/>
      <c r="GC561" s="61"/>
      <c r="GD561" s="61"/>
      <c r="GE561" s="61"/>
      <c r="GF561" s="61"/>
      <c r="GG561" s="61"/>
      <c r="GH561" s="61"/>
      <c r="GI561" s="61"/>
      <c r="GJ561" s="61"/>
      <c r="GK561" s="61"/>
      <c r="GL561" s="61"/>
      <c r="GM561" s="61"/>
      <c r="GN561" s="61"/>
      <c r="GO561" s="61"/>
      <c r="GP561" s="61"/>
      <c r="GQ561" s="61"/>
      <c r="GR561" s="61"/>
      <c r="GS561" s="61"/>
      <c r="GT561" s="61"/>
      <c r="GU561" s="61"/>
      <c r="GV561" s="61"/>
      <c r="GW561" s="61"/>
      <c r="GX561" s="61"/>
      <c r="GY561" s="61"/>
      <c r="GZ561" s="61"/>
      <c r="HA561" s="61"/>
      <c r="HB561" s="61"/>
      <c r="HC561" s="61"/>
      <c r="HD561" s="61"/>
      <c r="HE561" s="61"/>
      <c r="HF561" s="61"/>
      <c r="HG561" s="61"/>
      <c r="HH561" s="61"/>
      <c r="HI561" s="61"/>
      <c r="HJ561" s="61"/>
      <c r="HK561" s="61"/>
      <c r="HL561" s="61"/>
      <c r="HM561" s="61"/>
      <c r="HN561" s="61"/>
      <c r="HO561" s="61"/>
      <c r="HP561" s="61"/>
      <c r="HQ561" s="61"/>
      <c r="HR561" s="61"/>
      <c r="HS561" s="61"/>
      <c r="HT561" s="61"/>
    </row>
    <row r="562" spans="1:228" s="62" customFormat="1">
      <c r="A562" s="31" t="s">
        <v>225</v>
      </c>
      <c r="B562" s="101" t="s">
        <v>257</v>
      </c>
      <c r="C562" s="102">
        <v>1939000000</v>
      </c>
      <c r="D562" s="38"/>
      <c r="E562" s="116"/>
      <c r="F562" s="116"/>
      <c r="G562" s="117"/>
      <c r="H562" s="117"/>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c r="CT562" s="61"/>
      <c r="CU562" s="61"/>
      <c r="CV562" s="61"/>
      <c r="CW562" s="61"/>
      <c r="CX562" s="61"/>
      <c r="CY562" s="61"/>
      <c r="CZ562" s="61"/>
      <c r="DA562" s="61"/>
      <c r="DB562" s="61"/>
      <c r="DC562" s="61"/>
      <c r="DD562" s="61"/>
      <c r="DE562" s="61"/>
      <c r="DF562" s="61"/>
      <c r="DG562" s="61"/>
      <c r="DH562" s="61"/>
      <c r="DI562" s="61"/>
      <c r="DJ562" s="61"/>
      <c r="DK562" s="61"/>
      <c r="DL562" s="61"/>
      <c r="DM562" s="61"/>
      <c r="DN562" s="61"/>
      <c r="DO562" s="61"/>
      <c r="DP562" s="61"/>
      <c r="DQ562" s="61"/>
      <c r="DR562" s="61"/>
      <c r="DS562" s="61"/>
      <c r="DT562" s="61"/>
      <c r="DU562" s="61"/>
      <c r="DV562" s="61"/>
      <c r="DW562" s="61"/>
      <c r="DX562" s="61"/>
      <c r="DY562" s="61"/>
      <c r="DZ562" s="61"/>
      <c r="EA562" s="61"/>
      <c r="EB562" s="61"/>
      <c r="EC562" s="61"/>
      <c r="ED562" s="61"/>
      <c r="EE562" s="61"/>
      <c r="EF562" s="61"/>
      <c r="EG562" s="61"/>
      <c r="EH562" s="61"/>
      <c r="EI562" s="61"/>
      <c r="EJ562" s="61"/>
      <c r="EK562" s="61"/>
      <c r="EL562" s="61"/>
      <c r="EM562" s="61"/>
      <c r="EN562" s="61"/>
      <c r="EO562" s="61"/>
      <c r="EP562" s="61"/>
      <c r="EQ562" s="61"/>
      <c r="ER562" s="61"/>
      <c r="ES562" s="61"/>
      <c r="ET562" s="61"/>
      <c r="EU562" s="61"/>
      <c r="EV562" s="61"/>
      <c r="EW562" s="61"/>
      <c r="EX562" s="61"/>
      <c r="EY562" s="61"/>
      <c r="EZ562" s="61"/>
      <c r="FA562" s="61"/>
      <c r="FB562" s="61"/>
      <c r="FC562" s="61"/>
      <c r="FD562" s="61"/>
      <c r="FE562" s="61"/>
      <c r="FF562" s="61"/>
      <c r="FG562" s="61"/>
      <c r="FH562" s="61"/>
      <c r="FI562" s="61"/>
      <c r="FJ562" s="61"/>
      <c r="FK562" s="61"/>
      <c r="FL562" s="61"/>
      <c r="FM562" s="61"/>
      <c r="FN562" s="61"/>
      <c r="FO562" s="61"/>
      <c r="FP562" s="61"/>
      <c r="FQ562" s="61"/>
      <c r="FR562" s="61"/>
      <c r="FS562" s="61"/>
      <c r="FT562" s="61"/>
      <c r="FU562" s="61"/>
      <c r="FV562" s="61"/>
      <c r="FW562" s="61"/>
      <c r="FX562" s="61"/>
      <c r="FY562" s="61"/>
      <c r="FZ562" s="61"/>
      <c r="GA562" s="61"/>
      <c r="GB562" s="61"/>
      <c r="GC562" s="61"/>
      <c r="GD562" s="61"/>
      <c r="GE562" s="61"/>
      <c r="GF562" s="61"/>
      <c r="GG562" s="61"/>
      <c r="GH562" s="61"/>
      <c r="GI562" s="61"/>
      <c r="GJ562" s="61"/>
      <c r="GK562" s="61"/>
      <c r="GL562" s="61"/>
      <c r="GM562" s="61"/>
      <c r="GN562" s="61"/>
      <c r="GO562" s="61"/>
      <c r="GP562" s="61"/>
      <c r="GQ562" s="61"/>
      <c r="GR562" s="61"/>
      <c r="GS562" s="61"/>
      <c r="GT562" s="61"/>
      <c r="GU562" s="61"/>
      <c r="GV562" s="61"/>
      <c r="GW562" s="61"/>
      <c r="GX562" s="61"/>
      <c r="GY562" s="61"/>
      <c r="GZ562" s="61"/>
      <c r="HA562" s="61"/>
      <c r="HB562" s="61"/>
      <c r="HC562" s="61"/>
      <c r="HD562" s="61"/>
      <c r="HE562" s="61"/>
      <c r="HF562" s="61"/>
      <c r="HG562" s="61"/>
      <c r="HH562" s="61"/>
      <c r="HI562" s="61"/>
      <c r="HJ562" s="61"/>
      <c r="HK562" s="61"/>
      <c r="HL562" s="61"/>
      <c r="HM562" s="61"/>
      <c r="HN562" s="61"/>
      <c r="HO562" s="61"/>
      <c r="HP562" s="61"/>
      <c r="HQ562" s="61"/>
      <c r="HR562" s="61"/>
      <c r="HS562" s="61"/>
      <c r="HT562" s="61"/>
    </row>
    <row r="563" spans="1:228" s="62" customFormat="1">
      <c r="A563" s="49" t="s">
        <v>258</v>
      </c>
      <c r="B563" s="48" t="s">
        <v>409</v>
      </c>
      <c r="C563" s="65">
        <v>15000000</v>
      </c>
      <c r="D563" s="79"/>
      <c r="E563" s="118"/>
      <c r="F563" s="118"/>
      <c r="G563" s="115"/>
      <c r="H563" s="115"/>
    </row>
    <row r="564" spans="1:228" s="62" customFormat="1">
      <c r="A564" s="49" t="s">
        <v>258</v>
      </c>
      <c r="B564" s="48" t="s">
        <v>517</v>
      </c>
      <c r="C564" s="65">
        <v>5500000</v>
      </c>
      <c r="D564" s="79"/>
      <c r="E564" s="118"/>
      <c r="F564" s="118"/>
      <c r="G564" s="115"/>
      <c r="H564" s="115"/>
    </row>
    <row r="565" spans="1:228" s="62" customFormat="1">
      <c r="A565" s="49" t="s">
        <v>258</v>
      </c>
      <c r="B565" s="48" t="s">
        <v>518</v>
      </c>
      <c r="C565" s="65">
        <v>30000000</v>
      </c>
      <c r="D565" s="79"/>
      <c r="E565" s="118"/>
      <c r="F565" s="118"/>
      <c r="G565" s="115" t="s">
        <v>519</v>
      </c>
      <c r="H565" s="115"/>
    </row>
    <row r="566" spans="1:228" s="62" customFormat="1" ht="93.75">
      <c r="A566" s="49" t="s">
        <v>258</v>
      </c>
      <c r="B566" s="48" t="s">
        <v>520</v>
      </c>
      <c r="C566" s="65">
        <v>120000000</v>
      </c>
      <c r="D566" s="79"/>
      <c r="E566" s="118"/>
      <c r="F566" s="118"/>
      <c r="G566" s="115"/>
      <c r="H566" s="115"/>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27"/>
      <c r="FQ566" s="27"/>
      <c r="FR566" s="27"/>
      <c r="FS566" s="27"/>
      <c r="FT566" s="27"/>
      <c r="FU566" s="27"/>
      <c r="FV566" s="27"/>
      <c r="FW566" s="27"/>
      <c r="FX566" s="27"/>
      <c r="FY566" s="27"/>
      <c r="FZ566" s="27"/>
      <c r="GA566" s="27"/>
      <c r="GB566" s="27"/>
      <c r="GC566" s="27"/>
      <c r="GD566" s="27"/>
      <c r="GE566" s="27"/>
      <c r="GF566" s="27"/>
      <c r="GG566" s="27"/>
      <c r="GH566" s="27"/>
      <c r="GI566" s="27"/>
      <c r="GJ566" s="27"/>
      <c r="GK566" s="27"/>
      <c r="GL566" s="27"/>
      <c r="GM566" s="27"/>
      <c r="GN566" s="27"/>
      <c r="GO566" s="27"/>
      <c r="GP566" s="27"/>
      <c r="GQ566" s="27"/>
      <c r="GR566" s="27"/>
      <c r="GS566" s="27"/>
      <c r="GT566" s="27"/>
      <c r="GU566" s="27"/>
      <c r="GV566" s="27"/>
      <c r="GW566" s="27"/>
      <c r="GX566" s="27"/>
      <c r="GY566" s="27"/>
      <c r="GZ566" s="27"/>
      <c r="HA566" s="27"/>
      <c r="HB566" s="27"/>
      <c r="HC566" s="27"/>
      <c r="HD566" s="27"/>
      <c r="HE566" s="27"/>
      <c r="HF566" s="27"/>
      <c r="HG566" s="27"/>
      <c r="HH566" s="27"/>
      <c r="HI566" s="27"/>
      <c r="HJ566" s="27"/>
      <c r="HK566" s="27"/>
      <c r="HL566" s="27"/>
      <c r="HM566" s="27"/>
      <c r="HN566" s="27"/>
      <c r="HO566" s="27"/>
      <c r="HP566" s="27"/>
      <c r="HQ566" s="27"/>
      <c r="HR566" s="27"/>
      <c r="HS566" s="27"/>
      <c r="HT566" s="27"/>
    </row>
    <row r="567" spans="1:228" s="62" customFormat="1" ht="37.5">
      <c r="A567" s="49" t="s">
        <v>258</v>
      </c>
      <c r="B567" s="48" t="s">
        <v>521</v>
      </c>
      <c r="C567" s="65">
        <v>150000000</v>
      </c>
      <c r="D567" s="79"/>
      <c r="E567" s="118"/>
      <c r="F567" s="118"/>
      <c r="G567" s="115"/>
      <c r="H567" s="115"/>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27"/>
      <c r="DX567" s="27"/>
      <c r="DY567" s="27"/>
      <c r="DZ567" s="27"/>
      <c r="EA567" s="27"/>
      <c r="EB567" s="27"/>
      <c r="EC567" s="27"/>
      <c r="ED567" s="27"/>
      <c r="EE567" s="27"/>
      <c r="EF567" s="27"/>
      <c r="EG567" s="27"/>
      <c r="EH567" s="27"/>
      <c r="EI567" s="27"/>
      <c r="EJ567" s="27"/>
      <c r="EK567" s="27"/>
      <c r="EL567" s="27"/>
      <c r="EM567" s="27"/>
      <c r="EN567" s="27"/>
      <c r="EO567" s="27"/>
      <c r="EP567" s="27"/>
      <c r="EQ567" s="27"/>
      <c r="ER567" s="27"/>
      <c r="ES567" s="27"/>
      <c r="ET567" s="27"/>
      <c r="EU567" s="27"/>
      <c r="EV567" s="27"/>
      <c r="EW567" s="27"/>
      <c r="EX567" s="27"/>
      <c r="EY567" s="27"/>
      <c r="EZ567" s="27"/>
      <c r="FA567" s="27"/>
      <c r="FB567" s="27"/>
      <c r="FC567" s="27"/>
      <c r="FD567" s="27"/>
      <c r="FE567" s="27"/>
      <c r="FF567" s="27"/>
      <c r="FG567" s="27"/>
      <c r="FH567" s="27"/>
      <c r="FI567" s="27"/>
      <c r="FJ567" s="27"/>
      <c r="FK567" s="27"/>
      <c r="FL567" s="27"/>
      <c r="FM567" s="27"/>
      <c r="FN567" s="27"/>
      <c r="FO567" s="27"/>
      <c r="FP567" s="27"/>
      <c r="FQ567" s="27"/>
      <c r="FR567" s="27"/>
      <c r="FS567" s="27"/>
      <c r="FT567" s="27"/>
      <c r="FU567" s="27"/>
      <c r="FV567" s="27"/>
      <c r="FW567" s="27"/>
      <c r="FX567" s="27"/>
      <c r="FY567" s="27"/>
      <c r="FZ567" s="27"/>
      <c r="GA567" s="27"/>
      <c r="GB567" s="27"/>
      <c r="GC567" s="27"/>
      <c r="GD567" s="27"/>
      <c r="GE567" s="27"/>
      <c r="GF567" s="27"/>
      <c r="GG567" s="27"/>
      <c r="GH567" s="27"/>
      <c r="GI567" s="27"/>
      <c r="GJ567" s="27"/>
      <c r="GK567" s="27"/>
      <c r="GL567" s="27"/>
      <c r="GM567" s="27"/>
      <c r="GN567" s="27"/>
      <c r="GO567" s="27"/>
      <c r="GP567" s="27"/>
      <c r="GQ567" s="27"/>
      <c r="GR567" s="27"/>
      <c r="GS567" s="27"/>
      <c r="GT567" s="27"/>
      <c r="GU567" s="27"/>
      <c r="GV567" s="27"/>
      <c r="GW567" s="27"/>
      <c r="GX567" s="27"/>
      <c r="GY567" s="27"/>
      <c r="GZ567" s="27"/>
      <c r="HA567" s="27"/>
      <c r="HB567" s="27"/>
      <c r="HC567" s="27"/>
      <c r="HD567" s="27"/>
      <c r="HE567" s="27"/>
      <c r="HF567" s="27"/>
      <c r="HG567" s="27"/>
      <c r="HH567" s="27"/>
      <c r="HI567" s="27"/>
      <c r="HJ567" s="27"/>
      <c r="HK567" s="27"/>
      <c r="HL567" s="27"/>
      <c r="HM567" s="27"/>
      <c r="HN567" s="27"/>
      <c r="HO567" s="27"/>
      <c r="HP567" s="27"/>
      <c r="HQ567" s="27"/>
      <c r="HR567" s="27"/>
      <c r="HS567" s="27"/>
      <c r="HT567" s="27"/>
    </row>
    <row r="568" spans="1:228" s="62" customFormat="1" ht="37.5">
      <c r="A568" s="49" t="s">
        <v>258</v>
      </c>
      <c r="B568" s="48" t="s">
        <v>522</v>
      </c>
      <c r="C568" s="65">
        <v>93000000</v>
      </c>
      <c r="D568" s="79"/>
      <c r="E568" s="118"/>
      <c r="F568" s="118"/>
      <c r="G568" s="115"/>
      <c r="H568" s="115"/>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27"/>
      <c r="DX568" s="27"/>
      <c r="DY568" s="27"/>
      <c r="DZ568" s="27"/>
      <c r="EA568" s="27"/>
      <c r="EB568" s="27"/>
      <c r="EC568" s="27"/>
      <c r="ED568" s="27"/>
      <c r="EE568" s="27"/>
      <c r="EF568" s="27"/>
      <c r="EG568" s="27"/>
      <c r="EH568" s="27"/>
      <c r="EI568" s="27"/>
      <c r="EJ568" s="27"/>
      <c r="EK568" s="27"/>
      <c r="EL568" s="27"/>
      <c r="EM568" s="27"/>
      <c r="EN568" s="27"/>
      <c r="EO568" s="27"/>
      <c r="EP568" s="27"/>
      <c r="EQ568" s="27"/>
      <c r="ER568" s="27"/>
      <c r="ES568" s="27"/>
      <c r="ET568" s="27"/>
      <c r="EU568" s="27"/>
      <c r="EV568" s="27"/>
      <c r="EW568" s="27"/>
      <c r="EX568" s="27"/>
      <c r="EY568" s="27"/>
      <c r="EZ568" s="27"/>
      <c r="FA568" s="27"/>
      <c r="FB568" s="27"/>
      <c r="FC568" s="27"/>
      <c r="FD568" s="27"/>
      <c r="FE568" s="27"/>
      <c r="FF568" s="27"/>
      <c r="FG568" s="27"/>
      <c r="FH568" s="27"/>
      <c r="FI568" s="27"/>
      <c r="FJ568" s="27"/>
      <c r="FK568" s="27"/>
      <c r="FL568" s="27"/>
      <c r="FM568" s="27"/>
      <c r="FN568" s="27"/>
      <c r="FO568" s="27"/>
      <c r="FP568" s="27"/>
      <c r="FQ568" s="27"/>
      <c r="FR568" s="27"/>
      <c r="FS568" s="27"/>
      <c r="FT568" s="27"/>
      <c r="FU568" s="27"/>
      <c r="FV568" s="27"/>
      <c r="FW568" s="27"/>
      <c r="FX568" s="27"/>
      <c r="FY568" s="27"/>
      <c r="FZ568" s="27"/>
      <c r="GA568" s="27"/>
      <c r="GB568" s="27"/>
      <c r="GC568" s="27"/>
      <c r="GD568" s="27"/>
      <c r="GE568" s="27"/>
      <c r="GF568" s="27"/>
      <c r="GG568" s="27"/>
      <c r="GH568" s="27"/>
      <c r="GI568" s="27"/>
      <c r="GJ568" s="27"/>
      <c r="GK568" s="27"/>
      <c r="GL568" s="27"/>
      <c r="GM568" s="27"/>
      <c r="GN568" s="27"/>
      <c r="GO568" s="27"/>
      <c r="GP568" s="27"/>
      <c r="GQ568" s="27"/>
      <c r="GR568" s="27"/>
      <c r="GS568" s="27"/>
      <c r="GT568" s="27"/>
      <c r="GU568" s="27"/>
      <c r="GV568" s="27"/>
      <c r="GW568" s="27"/>
      <c r="GX568" s="27"/>
      <c r="GY568" s="27"/>
      <c r="GZ568" s="27"/>
      <c r="HA568" s="27"/>
      <c r="HB568" s="27"/>
      <c r="HC568" s="27"/>
      <c r="HD568" s="27"/>
      <c r="HE568" s="27"/>
      <c r="HF568" s="27"/>
      <c r="HG568" s="27"/>
      <c r="HH568" s="27"/>
      <c r="HI568" s="27"/>
      <c r="HJ568" s="27"/>
      <c r="HK568" s="27"/>
      <c r="HL568" s="27"/>
      <c r="HM568" s="27"/>
      <c r="HN568" s="27"/>
      <c r="HO568" s="27"/>
      <c r="HP568" s="27"/>
      <c r="HQ568" s="27"/>
      <c r="HR568" s="27"/>
      <c r="HS568" s="27"/>
      <c r="HT568" s="27"/>
    </row>
    <row r="569" spans="1:228">
      <c r="A569" s="49" t="s">
        <v>258</v>
      </c>
      <c r="B569" s="48" t="s">
        <v>523</v>
      </c>
      <c r="C569" s="65">
        <v>100000000</v>
      </c>
      <c r="D569" s="79"/>
      <c r="E569" s="118"/>
      <c r="F569" s="118"/>
      <c r="G569" s="115"/>
      <c r="H569" s="115"/>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c r="CS569" s="62"/>
      <c r="CT569" s="62"/>
      <c r="CU569" s="62"/>
      <c r="CV569" s="62"/>
      <c r="CW569" s="62"/>
      <c r="CX569" s="62"/>
      <c r="CY569" s="62"/>
      <c r="CZ569" s="62"/>
      <c r="DA569" s="62"/>
      <c r="DB569" s="62"/>
      <c r="DC569" s="62"/>
      <c r="DD569" s="62"/>
      <c r="DE569" s="62"/>
      <c r="DF569" s="62"/>
      <c r="DG569" s="62"/>
      <c r="DH569" s="62"/>
      <c r="DI569" s="62"/>
      <c r="DJ569" s="62"/>
      <c r="DK569" s="62"/>
      <c r="DL569" s="62"/>
      <c r="DM569" s="62"/>
      <c r="DN569" s="62"/>
      <c r="DO569" s="62"/>
      <c r="DP569" s="62"/>
      <c r="DQ569" s="62"/>
      <c r="DR569" s="62"/>
      <c r="DS569" s="62"/>
      <c r="DT569" s="62"/>
      <c r="DU569" s="62"/>
      <c r="DV569" s="62"/>
      <c r="DW569" s="62"/>
      <c r="DX569" s="62"/>
      <c r="DY569" s="62"/>
      <c r="DZ569" s="62"/>
      <c r="EA569" s="62"/>
      <c r="EB569" s="62"/>
      <c r="EC569" s="62"/>
      <c r="ED569" s="62"/>
      <c r="EE569" s="62"/>
      <c r="EF569" s="62"/>
      <c r="EG569" s="62"/>
      <c r="EH569" s="62"/>
      <c r="EI569" s="62"/>
      <c r="EJ569" s="62"/>
      <c r="EK569" s="62"/>
      <c r="EL569" s="62"/>
      <c r="EM569" s="62"/>
      <c r="EN569" s="62"/>
      <c r="EO569" s="62"/>
      <c r="EP569" s="62"/>
      <c r="EQ569" s="62"/>
      <c r="ER569" s="62"/>
      <c r="ES569" s="62"/>
      <c r="ET569" s="62"/>
      <c r="EU569" s="62"/>
      <c r="EV569" s="62"/>
      <c r="EW569" s="62"/>
      <c r="EX569" s="62"/>
      <c r="EY569" s="62"/>
      <c r="EZ569" s="62"/>
      <c r="FA569" s="62"/>
      <c r="FB569" s="62"/>
      <c r="FC569" s="62"/>
      <c r="FD569" s="62"/>
      <c r="FE569" s="62"/>
      <c r="FF569" s="62"/>
      <c r="FG569" s="62"/>
      <c r="FH569" s="62"/>
      <c r="FI569" s="62"/>
      <c r="FJ569" s="62"/>
      <c r="FK569" s="62"/>
      <c r="FL569" s="62"/>
      <c r="FM569" s="62"/>
      <c r="FN569" s="62"/>
      <c r="FO569" s="62"/>
      <c r="FP569" s="62"/>
      <c r="FQ569" s="62"/>
      <c r="FR569" s="62"/>
      <c r="FS569" s="62"/>
      <c r="FT569" s="62"/>
      <c r="FU569" s="62"/>
      <c r="FV569" s="62"/>
      <c r="FW569" s="62"/>
      <c r="FX569" s="62"/>
      <c r="FY569" s="62"/>
      <c r="FZ569" s="62"/>
      <c r="GA569" s="62"/>
      <c r="GB569" s="62"/>
      <c r="GC569" s="62"/>
      <c r="GD569" s="62"/>
      <c r="GE569" s="62"/>
      <c r="GF569" s="62"/>
      <c r="GG569" s="62"/>
      <c r="GH569" s="62"/>
      <c r="GI569" s="62"/>
      <c r="GJ569" s="62"/>
      <c r="GK569" s="62"/>
      <c r="GL569" s="62"/>
      <c r="GM569" s="62"/>
      <c r="GN569" s="62"/>
      <c r="GO569" s="62"/>
      <c r="GP569" s="62"/>
      <c r="GQ569" s="62"/>
      <c r="GR569" s="62"/>
      <c r="GS569" s="62"/>
      <c r="GT569" s="62"/>
      <c r="GU569" s="62"/>
      <c r="GV569" s="62"/>
      <c r="GW569" s="62"/>
      <c r="GX569" s="62"/>
      <c r="GY569" s="62"/>
      <c r="GZ569" s="62"/>
      <c r="HA569" s="62"/>
      <c r="HB569" s="62"/>
      <c r="HC569" s="62"/>
      <c r="HD569" s="62"/>
      <c r="HE569" s="62"/>
      <c r="HF569" s="62"/>
      <c r="HG569" s="62"/>
      <c r="HH569" s="62"/>
      <c r="HI569" s="62"/>
      <c r="HJ569" s="62"/>
      <c r="HK569" s="62"/>
      <c r="HL569" s="62"/>
      <c r="HM569" s="62"/>
      <c r="HN569" s="62"/>
      <c r="HO569" s="62"/>
      <c r="HP569" s="62"/>
      <c r="HQ569" s="62"/>
      <c r="HR569" s="62"/>
      <c r="HS569" s="62"/>
      <c r="HT569" s="62"/>
    </row>
    <row r="570" spans="1:228" ht="37.5">
      <c r="A570" s="49" t="s">
        <v>258</v>
      </c>
      <c r="B570" s="48" t="s">
        <v>524</v>
      </c>
      <c r="C570" s="65">
        <v>30500000</v>
      </c>
      <c r="D570" s="79"/>
      <c r="E570" s="118"/>
      <c r="F570" s="118"/>
      <c r="G570" s="119"/>
      <c r="H570" s="119"/>
    </row>
    <row r="571" spans="1:228" ht="37.5">
      <c r="A571" s="49" t="s">
        <v>258</v>
      </c>
      <c r="B571" s="48" t="s">
        <v>525</v>
      </c>
      <c r="C571" s="65">
        <v>100000000</v>
      </c>
      <c r="D571" s="79"/>
      <c r="E571" s="118"/>
      <c r="F571" s="118"/>
      <c r="G571" s="115"/>
      <c r="H571" s="115"/>
    </row>
    <row r="572" spans="1:228" ht="56.25">
      <c r="A572" s="49" t="s">
        <v>258</v>
      </c>
      <c r="B572" s="48" t="s">
        <v>526</v>
      </c>
      <c r="C572" s="65">
        <v>465000000</v>
      </c>
      <c r="D572" s="79"/>
      <c r="E572" s="118"/>
      <c r="F572" s="118"/>
      <c r="G572" s="115"/>
      <c r="H572" s="115"/>
    </row>
    <row r="573" spans="1:228">
      <c r="A573" s="49" t="s">
        <v>258</v>
      </c>
      <c r="B573" s="48" t="s">
        <v>527</v>
      </c>
      <c r="C573" s="65">
        <v>200000000</v>
      </c>
      <c r="D573" s="79"/>
      <c r="E573" s="118"/>
      <c r="F573" s="118"/>
      <c r="G573" s="119"/>
      <c r="H573" s="119"/>
    </row>
    <row r="574" spans="1:228" s="62" customFormat="1" ht="37.5">
      <c r="A574" s="49" t="s">
        <v>258</v>
      </c>
      <c r="B574" s="110" t="s">
        <v>528</v>
      </c>
      <c r="C574" s="65">
        <v>150000000</v>
      </c>
      <c r="D574" s="79"/>
      <c r="E574" s="118"/>
      <c r="F574" s="118"/>
      <c r="G574" s="118"/>
      <c r="H574" s="118"/>
    </row>
    <row r="575" spans="1:228" s="62" customFormat="1" ht="37.5">
      <c r="A575" s="49" t="s">
        <v>258</v>
      </c>
      <c r="B575" s="110" t="s">
        <v>529</v>
      </c>
      <c r="C575" s="65">
        <v>30000000</v>
      </c>
      <c r="D575" s="79"/>
      <c r="E575" s="118"/>
      <c r="F575" s="118"/>
      <c r="G575" s="153"/>
      <c r="H575" s="153"/>
    </row>
    <row r="576" spans="1:228" s="62" customFormat="1" ht="37.5">
      <c r="A576" s="49" t="s">
        <v>258</v>
      </c>
      <c r="B576" s="110" t="s">
        <v>530</v>
      </c>
      <c r="C576" s="65">
        <v>20000000</v>
      </c>
      <c r="D576" s="79"/>
      <c r="E576" s="118"/>
      <c r="F576" s="118"/>
      <c r="G576" s="153"/>
      <c r="H576" s="153"/>
    </row>
    <row r="577" spans="1:228">
      <c r="A577" s="49" t="s">
        <v>258</v>
      </c>
      <c r="B577" s="48" t="s">
        <v>531</v>
      </c>
      <c r="C577" s="23">
        <v>20000000</v>
      </c>
      <c r="D577" s="50"/>
      <c r="E577" s="115"/>
      <c r="F577" s="115"/>
      <c r="G577" s="119"/>
      <c r="H577" s="119"/>
    </row>
    <row r="578" spans="1:228" ht="37.5">
      <c r="A578" s="49" t="s">
        <v>258</v>
      </c>
      <c r="B578" s="48" t="s">
        <v>532</v>
      </c>
      <c r="C578" s="23">
        <v>100000000</v>
      </c>
      <c r="D578" s="56"/>
      <c r="E578" s="115"/>
      <c r="F578" s="115"/>
      <c r="G578" s="119"/>
      <c r="H578" s="119"/>
    </row>
    <row r="579" spans="1:228">
      <c r="A579" s="49" t="s">
        <v>258</v>
      </c>
      <c r="B579" s="48" t="s">
        <v>533</v>
      </c>
      <c r="C579" s="23">
        <v>350000000</v>
      </c>
      <c r="D579" s="50"/>
      <c r="E579" s="115"/>
      <c r="F579" s="115"/>
      <c r="G579" s="119"/>
      <c r="H579" s="119"/>
    </row>
    <row r="580" spans="1:228">
      <c r="A580" s="49" t="s">
        <v>258</v>
      </c>
      <c r="B580" s="48" t="s">
        <v>534</v>
      </c>
      <c r="C580" s="23">
        <v>100000000</v>
      </c>
      <c r="D580" s="50"/>
      <c r="E580" s="115"/>
      <c r="F580" s="115"/>
      <c r="G580" s="119"/>
      <c r="H580" s="119"/>
    </row>
    <row r="581" spans="1:228">
      <c r="A581" s="49" t="s">
        <v>258</v>
      </c>
      <c r="B581" s="48" t="s">
        <v>535</v>
      </c>
      <c r="C581" s="23">
        <v>30000000</v>
      </c>
      <c r="D581" s="50"/>
      <c r="E581" s="115"/>
      <c r="F581" s="115"/>
      <c r="G581" s="119"/>
      <c r="H581" s="119"/>
    </row>
    <row r="582" spans="1:228" ht="75">
      <c r="A582" s="49" t="s">
        <v>258</v>
      </c>
      <c r="B582" s="48" t="s">
        <v>483</v>
      </c>
      <c r="C582" s="65">
        <v>30000000</v>
      </c>
      <c r="D582" s="79"/>
      <c r="E582" s="118"/>
      <c r="F582" s="118"/>
      <c r="G582" s="115"/>
      <c r="H582" s="115"/>
    </row>
    <row r="583" spans="1:228">
      <c r="A583" s="72" t="s">
        <v>261</v>
      </c>
      <c r="B583" s="105" t="s">
        <v>262</v>
      </c>
      <c r="C583" s="107">
        <v>152500000</v>
      </c>
      <c r="D583" s="76"/>
      <c r="E583" s="145"/>
      <c r="F583" s="145"/>
      <c r="G583" s="114"/>
      <c r="H583" s="114"/>
    </row>
    <row r="584" spans="1:228">
      <c r="A584" s="89"/>
      <c r="B584" s="90" t="s">
        <v>263</v>
      </c>
      <c r="C584" s="91">
        <v>152500000</v>
      </c>
      <c r="D584" s="79"/>
      <c r="E584" s="127"/>
      <c r="F584" s="127"/>
      <c r="G584" s="114"/>
      <c r="H584" s="114"/>
    </row>
    <row r="585" spans="1:228" s="29" customFormat="1">
      <c r="A585" s="32">
        <v>2</v>
      </c>
      <c r="B585" s="41" t="s">
        <v>536</v>
      </c>
      <c r="C585" s="42">
        <v>1347000000</v>
      </c>
      <c r="D585" s="56"/>
      <c r="E585" s="119"/>
      <c r="F585" s="119"/>
      <c r="G585" s="132"/>
      <c r="H585" s="132"/>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c r="ED585" s="27"/>
      <c r="EE585" s="27"/>
      <c r="EF585" s="27"/>
      <c r="EG585" s="27"/>
      <c r="EH585" s="27"/>
      <c r="EI585" s="27"/>
      <c r="EJ585" s="27"/>
      <c r="EK585" s="27"/>
      <c r="EL585" s="27"/>
      <c r="EM585" s="27"/>
      <c r="EN585" s="27"/>
      <c r="EO585" s="27"/>
      <c r="EP585" s="27"/>
      <c r="EQ585" s="27"/>
      <c r="ER585" s="27"/>
      <c r="ES585" s="27"/>
      <c r="ET585" s="27"/>
      <c r="EU585" s="27"/>
      <c r="EV585" s="27"/>
      <c r="EW585" s="27"/>
      <c r="EX585" s="27"/>
      <c r="EY585" s="27"/>
      <c r="EZ585" s="27"/>
      <c r="FA585" s="27"/>
      <c r="FB585" s="27"/>
      <c r="FC585" s="27"/>
      <c r="FD585" s="27"/>
      <c r="FE585" s="27"/>
      <c r="FF585" s="27"/>
      <c r="FG585" s="27"/>
      <c r="FH585" s="27"/>
      <c r="FI585" s="27"/>
      <c r="FJ585" s="27"/>
      <c r="FK585" s="27"/>
      <c r="FL585" s="27"/>
      <c r="FM585" s="27"/>
      <c r="FN585" s="27"/>
      <c r="FO585" s="27"/>
      <c r="FP585" s="27"/>
      <c r="FQ585" s="27"/>
      <c r="FR585" s="27"/>
      <c r="FS585" s="27"/>
      <c r="FT585" s="27"/>
      <c r="FU585" s="27"/>
      <c r="FV585" s="27"/>
      <c r="FW585" s="27"/>
      <c r="FX585" s="27"/>
      <c r="FY585" s="27"/>
      <c r="FZ585" s="27"/>
      <c r="GA585" s="27"/>
      <c r="GB585" s="27"/>
      <c r="GC585" s="27"/>
      <c r="GD585" s="27"/>
      <c r="GE585" s="27"/>
      <c r="GF585" s="27"/>
      <c r="GG585" s="27"/>
      <c r="GH585" s="27"/>
      <c r="GI585" s="27"/>
      <c r="GJ585" s="27"/>
      <c r="GK585" s="27"/>
      <c r="GL585" s="27"/>
      <c r="GM585" s="27"/>
      <c r="GN585" s="27"/>
      <c r="GO585" s="27"/>
      <c r="GP585" s="27"/>
      <c r="GQ585" s="27"/>
      <c r="GR585" s="27"/>
      <c r="GS585" s="27"/>
      <c r="GT585" s="27"/>
      <c r="GU585" s="27"/>
      <c r="GV585" s="27"/>
      <c r="GW585" s="27"/>
      <c r="GX585" s="27"/>
      <c r="GY585" s="27"/>
      <c r="GZ585" s="27"/>
      <c r="HA585" s="27"/>
      <c r="HB585" s="27"/>
      <c r="HC585" s="27"/>
      <c r="HD585" s="27"/>
      <c r="HE585" s="27"/>
      <c r="HF585" s="27"/>
      <c r="HG585" s="27"/>
      <c r="HH585" s="27"/>
      <c r="HI585" s="27"/>
      <c r="HJ585" s="27"/>
      <c r="HK585" s="27"/>
      <c r="HL585" s="27"/>
      <c r="HM585" s="27"/>
      <c r="HN585" s="27"/>
      <c r="HO585" s="27"/>
      <c r="HP585" s="27"/>
      <c r="HQ585" s="27"/>
      <c r="HR585" s="27"/>
      <c r="HS585" s="27"/>
      <c r="HT585" s="27"/>
    </row>
    <row r="586" spans="1:228" s="43" customFormat="1" ht="19.5">
      <c r="A586" s="31" t="s">
        <v>222</v>
      </c>
      <c r="B586" s="101" t="s">
        <v>252</v>
      </c>
      <c r="C586" s="84">
        <v>712000000</v>
      </c>
      <c r="D586" s="92"/>
      <c r="E586" s="131"/>
      <c r="F586" s="131"/>
      <c r="G586" s="117"/>
      <c r="H586" s="117"/>
      <c r="I586" s="71"/>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row>
    <row r="587" spans="1:228" s="29" customFormat="1">
      <c r="A587" s="72"/>
      <c r="B587" s="41" t="s">
        <v>382</v>
      </c>
      <c r="C587" s="107">
        <v>712000000</v>
      </c>
      <c r="D587" s="76"/>
      <c r="E587" s="145"/>
      <c r="F587" s="145"/>
      <c r="G587" s="114"/>
      <c r="H587" s="114"/>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27"/>
      <c r="EE587" s="27"/>
      <c r="EF587" s="27"/>
      <c r="EG587" s="27"/>
      <c r="EH587" s="27"/>
      <c r="EI587" s="27"/>
      <c r="EJ587" s="27"/>
      <c r="EK587" s="27"/>
      <c r="EL587" s="27"/>
      <c r="EM587" s="27"/>
      <c r="EN587" s="27"/>
      <c r="EO587" s="27"/>
      <c r="EP587" s="27"/>
      <c r="EQ587" s="27"/>
      <c r="ER587" s="27"/>
      <c r="ES587" s="27"/>
      <c r="ET587" s="27"/>
      <c r="EU587" s="27"/>
      <c r="EV587" s="27"/>
      <c r="EW587" s="27"/>
      <c r="EX587" s="27"/>
      <c r="EY587" s="27"/>
      <c r="EZ587" s="27"/>
      <c r="FA587" s="27"/>
      <c r="FB587" s="27"/>
      <c r="FC587" s="27"/>
      <c r="FD587" s="27"/>
      <c r="FE587" s="27"/>
      <c r="FF587" s="27"/>
      <c r="FG587" s="27"/>
      <c r="FH587" s="27"/>
      <c r="FI587" s="27"/>
      <c r="FJ587" s="27"/>
      <c r="FK587" s="27"/>
      <c r="FL587" s="27"/>
      <c r="FM587" s="27"/>
      <c r="FN587" s="27"/>
      <c r="FO587" s="27"/>
      <c r="FP587" s="27"/>
      <c r="FQ587" s="27"/>
      <c r="FR587" s="27"/>
      <c r="FS587" s="27"/>
      <c r="FT587" s="27"/>
      <c r="FU587" s="27"/>
      <c r="FV587" s="27"/>
      <c r="FW587" s="27"/>
      <c r="FX587" s="27"/>
      <c r="FY587" s="27"/>
      <c r="FZ587" s="27"/>
      <c r="GA587" s="27"/>
      <c r="GB587" s="27"/>
      <c r="GC587" s="27"/>
      <c r="GD587" s="27"/>
      <c r="GE587" s="27"/>
      <c r="GF587" s="27"/>
      <c r="GG587" s="27"/>
      <c r="GH587" s="27"/>
      <c r="GI587" s="27"/>
      <c r="GJ587" s="27"/>
      <c r="GK587" s="27"/>
      <c r="GL587" s="27"/>
      <c r="GM587" s="27"/>
      <c r="GN587" s="27"/>
      <c r="GO587" s="27"/>
      <c r="GP587" s="27"/>
      <c r="GQ587" s="27"/>
      <c r="GR587" s="27"/>
      <c r="GS587" s="27"/>
      <c r="GT587" s="27"/>
      <c r="GU587" s="27"/>
      <c r="GV587" s="27"/>
      <c r="GW587" s="27"/>
      <c r="GX587" s="27"/>
      <c r="GY587" s="27"/>
      <c r="GZ587" s="27"/>
      <c r="HA587" s="27"/>
      <c r="HB587" s="27"/>
      <c r="HC587" s="27"/>
      <c r="HD587" s="27"/>
      <c r="HE587" s="27"/>
      <c r="HF587" s="27"/>
      <c r="HG587" s="27"/>
      <c r="HH587" s="27"/>
      <c r="HI587" s="27"/>
      <c r="HJ587" s="27"/>
      <c r="HK587" s="27"/>
      <c r="HL587" s="27"/>
      <c r="HM587" s="27"/>
      <c r="HN587" s="27"/>
      <c r="HO587" s="27"/>
      <c r="HP587" s="27"/>
      <c r="HQ587" s="27"/>
      <c r="HR587" s="27"/>
      <c r="HS587" s="27"/>
      <c r="HT587" s="27"/>
    </row>
    <row r="588" spans="1:228" s="47" customFormat="1" ht="37.5">
      <c r="A588" s="89" t="s">
        <v>258</v>
      </c>
      <c r="B588" s="110" t="s">
        <v>377</v>
      </c>
      <c r="C588" s="91">
        <v>550000000</v>
      </c>
      <c r="D588" s="79"/>
      <c r="E588" s="127"/>
      <c r="F588" s="127"/>
      <c r="G588" s="165" t="s">
        <v>537</v>
      </c>
      <c r="H588" s="165"/>
      <c r="I588" s="88"/>
      <c r="J588" s="88"/>
      <c r="K588" s="88"/>
      <c r="L588" s="88"/>
      <c r="M588" s="88"/>
      <c r="N588" s="88"/>
      <c r="O588" s="88"/>
      <c r="P588" s="88"/>
      <c r="Q588" s="88"/>
      <c r="R588" s="88"/>
      <c r="S588" s="88"/>
      <c r="T588" s="88"/>
      <c r="U588" s="88"/>
      <c r="V588" s="88"/>
      <c r="W588" s="88"/>
      <c r="X588" s="88"/>
      <c r="Y588" s="88"/>
      <c r="Z588" s="88"/>
      <c r="AA588" s="88"/>
      <c r="AB588" s="88"/>
      <c r="AC588" s="88"/>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c r="BO588" s="88"/>
      <c r="BP588" s="88"/>
      <c r="BQ588" s="88"/>
      <c r="BR588" s="88"/>
      <c r="BS588" s="88"/>
      <c r="BT588" s="88"/>
      <c r="BU588" s="88"/>
      <c r="BV588" s="88"/>
      <c r="BW588" s="88"/>
      <c r="BX588" s="88"/>
      <c r="BY588" s="88"/>
      <c r="BZ588" s="88"/>
      <c r="CA588" s="88"/>
      <c r="CB588" s="88"/>
      <c r="CC588" s="88"/>
      <c r="CD588" s="88"/>
      <c r="CE588" s="88"/>
      <c r="CF588" s="88"/>
      <c r="CG588" s="88"/>
      <c r="CH588" s="88"/>
      <c r="CI588" s="88"/>
      <c r="CJ588" s="88"/>
      <c r="CK588" s="88"/>
      <c r="CL588" s="88"/>
      <c r="CM588" s="88"/>
      <c r="CN588" s="88"/>
      <c r="CO588" s="88"/>
      <c r="CP588" s="88"/>
      <c r="CQ588" s="88"/>
      <c r="CR588" s="88"/>
      <c r="CS588" s="88"/>
      <c r="CT588" s="88"/>
      <c r="CU588" s="88"/>
      <c r="CV588" s="88"/>
      <c r="CW588" s="88"/>
      <c r="CX588" s="88"/>
      <c r="CY588" s="88"/>
      <c r="CZ588" s="88"/>
      <c r="DA588" s="88"/>
      <c r="DB588" s="88"/>
      <c r="DC588" s="88"/>
      <c r="DD588" s="88"/>
      <c r="DE588" s="88"/>
      <c r="DF588" s="88"/>
      <c r="DG588" s="88"/>
      <c r="DH588" s="88"/>
      <c r="DI588" s="88"/>
      <c r="DJ588" s="88"/>
      <c r="DK588" s="88"/>
      <c r="DL588" s="88"/>
      <c r="DM588" s="88"/>
      <c r="DN588" s="88"/>
      <c r="DO588" s="88"/>
      <c r="DP588" s="88"/>
      <c r="DQ588" s="88"/>
      <c r="DR588" s="88"/>
      <c r="DS588" s="88"/>
      <c r="DT588" s="88"/>
      <c r="DU588" s="88"/>
      <c r="DV588" s="88"/>
      <c r="DW588" s="88"/>
      <c r="DX588" s="88"/>
      <c r="DY588" s="88"/>
      <c r="DZ588" s="88"/>
      <c r="EA588" s="88"/>
      <c r="EB588" s="88"/>
      <c r="EC588" s="88"/>
      <c r="ED588" s="88"/>
      <c r="EE588" s="88"/>
      <c r="EF588" s="88"/>
      <c r="EG588" s="88"/>
      <c r="EH588" s="88"/>
      <c r="EI588" s="88"/>
      <c r="EJ588" s="88"/>
      <c r="EK588" s="88"/>
      <c r="EL588" s="88"/>
      <c r="EM588" s="88"/>
      <c r="EN588" s="88"/>
      <c r="EO588" s="88"/>
      <c r="EP588" s="88"/>
      <c r="EQ588" s="88"/>
      <c r="ER588" s="88"/>
      <c r="ES588" s="88"/>
      <c r="ET588" s="88"/>
      <c r="EU588" s="88"/>
      <c r="EV588" s="88"/>
      <c r="EW588" s="88"/>
      <c r="EX588" s="88"/>
      <c r="EY588" s="88"/>
      <c r="EZ588" s="88"/>
      <c r="FA588" s="88"/>
      <c r="FB588" s="88"/>
      <c r="FC588" s="88"/>
      <c r="FD588" s="88"/>
      <c r="FE588" s="88"/>
      <c r="FF588" s="88"/>
      <c r="FG588" s="88"/>
      <c r="FH588" s="88"/>
      <c r="FI588" s="88"/>
      <c r="FJ588" s="88"/>
      <c r="FK588" s="88"/>
      <c r="FL588" s="88"/>
      <c r="FM588" s="88"/>
      <c r="FN588" s="88"/>
      <c r="FO588" s="88"/>
      <c r="FP588" s="88"/>
      <c r="FQ588" s="88"/>
      <c r="FR588" s="88"/>
      <c r="FS588" s="88"/>
      <c r="FT588" s="88"/>
      <c r="FU588" s="88"/>
      <c r="FV588" s="88"/>
      <c r="FW588" s="88"/>
      <c r="FX588" s="88"/>
      <c r="FY588" s="88"/>
      <c r="FZ588" s="88"/>
      <c r="GA588" s="88"/>
      <c r="GB588" s="88"/>
      <c r="GC588" s="88"/>
      <c r="GD588" s="88"/>
      <c r="GE588" s="88"/>
      <c r="GF588" s="88"/>
      <c r="GG588" s="88"/>
      <c r="GH588" s="88"/>
      <c r="GI588" s="88"/>
      <c r="GJ588" s="88"/>
      <c r="GK588" s="88"/>
      <c r="GL588" s="88"/>
      <c r="GM588" s="88"/>
      <c r="GN588" s="88"/>
      <c r="GO588" s="88"/>
      <c r="GP588" s="88"/>
      <c r="GQ588" s="88"/>
      <c r="GR588" s="88"/>
      <c r="GS588" s="88"/>
      <c r="GT588" s="88"/>
      <c r="GU588" s="88"/>
      <c r="GV588" s="88"/>
      <c r="GW588" s="88"/>
      <c r="GX588" s="88"/>
      <c r="GY588" s="88"/>
      <c r="GZ588" s="88"/>
      <c r="HA588" s="88"/>
      <c r="HB588" s="88"/>
      <c r="HC588" s="88"/>
      <c r="HD588" s="88"/>
      <c r="HE588" s="88"/>
      <c r="HF588" s="88"/>
      <c r="HG588" s="88"/>
      <c r="HH588" s="88"/>
      <c r="HI588" s="88"/>
      <c r="HJ588" s="88"/>
      <c r="HK588" s="88"/>
      <c r="HL588" s="88"/>
      <c r="HM588" s="88"/>
      <c r="HN588" s="88"/>
      <c r="HO588" s="88"/>
      <c r="HP588" s="88"/>
      <c r="HQ588" s="88"/>
      <c r="HR588" s="88"/>
      <c r="HS588" s="88"/>
      <c r="HT588" s="88"/>
    </row>
    <row r="589" spans="1:228" s="47" customFormat="1" ht="19.5">
      <c r="A589" s="109" t="s">
        <v>91</v>
      </c>
      <c r="B589" s="110" t="s">
        <v>256</v>
      </c>
      <c r="C589" s="91">
        <v>162000000</v>
      </c>
      <c r="D589" s="79"/>
      <c r="E589" s="127"/>
      <c r="F589" s="127"/>
      <c r="G589" s="139" t="s">
        <v>538</v>
      </c>
      <c r="H589" s="139"/>
      <c r="I589" s="88"/>
      <c r="J589" s="88"/>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c r="BE589" s="88"/>
      <c r="BF589" s="88"/>
      <c r="BG589" s="88"/>
      <c r="BH589" s="88"/>
      <c r="BI589" s="88"/>
      <c r="BJ589" s="88"/>
      <c r="BK589" s="88"/>
      <c r="BL589" s="88"/>
      <c r="BM589" s="88"/>
      <c r="BN589" s="88"/>
      <c r="BO589" s="88"/>
      <c r="BP589" s="88"/>
      <c r="BQ589" s="88"/>
      <c r="BR589" s="88"/>
      <c r="BS589" s="88"/>
      <c r="BT589" s="88"/>
      <c r="BU589" s="88"/>
      <c r="BV589" s="88"/>
      <c r="BW589" s="88"/>
      <c r="BX589" s="88"/>
      <c r="BY589" s="88"/>
      <c r="BZ589" s="88"/>
      <c r="CA589" s="88"/>
      <c r="CB589" s="88"/>
      <c r="CC589" s="88"/>
      <c r="CD589" s="88"/>
      <c r="CE589" s="88"/>
      <c r="CF589" s="88"/>
      <c r="CG589" s="88"/>
      <c r="CH589" s="88"/>
      <c r="CI589" s="88"/>
      <c r="CJ589" s="88"/>
      <c r="CK589" s="88"/>
      <c r="CL589" s="88"/>
      <c r="CM589" s="88"/>
      <c r="CN589" s="88"/>
      <c r="CO589" s="88"/>
      <c r="CP589" s="88"/>
      <c r="CQ589" s="88"/>
      <c r="CR589" s="88"/>
      <c r="CS589" s="88"/>
      <c r="CT589" s="88"/>
      <c r="CU589" s="88"/>
      <c r="CV589" s="88"/>
      <c r="CW589" s="88"/>
      <c r="CX589" s="88"/>
      <c r="CY589" s="88"/>
      <c r="CZ589" s="88"/>
      <c r="DA589" s="88"/>
      <c r="DB589" s="88"/>
      <c r="DC589" s="88"/>
      <c r="DD589" s="88"/>
      <c r="DE589" s="88"/>
      <c r="DF589" s="88"/>
      <c r="DG589" s="88"/>
      <c r="DH589" s="88"/>
      <c r="DI589" s="88"/>
      <c r="DJ589" s="88"/>
      <c r="DK589" s="88"/>
      <c r="DL589" s="88"/>
      <c r="DM589" s="88"/>
      <c r="DN589" s="88"/>
      <c r="DO589" s="88"/>
      <c r="DP589" s="88"/>
      <c r="DQ589" s="88"/>
      <c r="DR589" s="88"/>
      <c r="DS589" s="88"/>
      <c r="DT589" s="88"/>
      <c r="DU589" s="88"/>
      <c r="DV589" s="88"/>
      <c r="DW589" s="88"/>
      <c r="DX589" s="88"/>
      <c r="DY589" s="88"/>
      <c r="DZ589" s="88"/>
      <c r="EA589" s="88"/>
      <c r="EB589" s="88"/>
      <c r="EC589" s="88"/>
      <c r="ED589" s="88"/>
      <c r="EE589" s="88"/>
      <c r="EF589" s="88"/>
      <c r="EG589" s="88"/>
      <c r="EH589" s="88"/>
      <c r="EI589" s="88"/>
      <c r="EJ589" s="88"/>
      <c r="EK589" s="88"/>
      <c r="EL589" s="88"/>
      <c r="EM589" s="88"/>
      <c r="EN589" s="88"/>
      <c r="EO589" s="88"/>
      <c r="EP589" s="88"/>
      <c r="EQ589" s="88"/>
      <c r="ER589" s="88"/>
      <c r="ES589" s="88"/>
      <c r="ET589" s="88"/>
      <c r="EU589" s="88"/>
      <c r="EV589" s="88"/>
      <c r="EW589" s="88"/>
      <c r="EX589" s="88"/>
      <c r="EY589" s="88"/>
      <c r="EZ589" s="88"/>
      <c r="FA589" s="88"/>
      <c r="FB589" s="88"/>
      <c r="FC589" s="88"/>
      <c r="FD589" s="88"/>
      <c r="FE589" s="88"/>
      <c r="FF589" s="88"/>
      <c r="FG589" s="88"/>
      <c r="FH589" s="88"/>
      <c r="FI589" s="88"/>
      <c r="FJ589" s="88"/>
      <c r="FK589" s="88"/>
      <c r="FL589" s="88"/>
      <c r="FM589" s="88"/>
      <c r="FN589" s="88"/>
      <c r="FO589" s="88"/>
      <c r="FP589" s="88"/>
      <c r="FQ589" s="88"/>
      <c r="FR589" s="88"/>
      <c r="FS589" s="88"/>
      <c r="FT589" s="88"/>
      <c r="FU589" s="88"/>
      <c r="FV589" s="88"/>
      <c r="FW589" s="88"/>
      <c r="FX589" s="88"/>
      <c r="FY589" s="88"/>
      <c r="FZ589" s="88"/>
      <c r="GA589" s="88"/>
      <c r="GB589" s="88"/>
      <c r="GC589" s="88"/>
      <c r="GD589" s="88"/>
      <c r="GE589" s="88"/>
      <c r="GF589" s="88"/>
      <c r="GG589" s="88"/>
      <c r="GH589" s="88"/>
      <c r="GI589" s="88"/>
      <c r="GJ589" s="88"/>
      <c r="GK589" s="88"/>
      <c r="GL589" s="88"/>
      <c r="GM589" s="88"/>
      <c r="GN589" s="88"/>
      <c r="GO589" s="88"/>
      <c r="GP589" s="88"/>
      <c r="GQ589" s="88"/>
      <c r="GR589" s="88"/>
      <c r="GS589" s="88"/>
      <c r="GT589" s="88"/>
      <c r="GU589" s="88"/>
      <c r="GV589" s="88"/>
      <c r="GW589" s="88"/>
      <c r="GX589" s="88"/>
      <c r="GY589" s="88"/>
      <c r="GZ589" s="88"/>
      <c r="HA589" s="88"/>
      <c r="HB589" s="88"/>
      <c r="HC589" s="88"/>
      <c r="HD589" s="88"/>
      <c r="HE589" s="88"/>
      <c r="HF589" s="88"/>
      <c r="HG589" s="88"/>
      <c r="HH589" s="88"/>
      <c r="HI589" s="88"/>
      <c r="HJ589" s="88"/>
      <c r="HK589" s="88"/>
      <c r="HL589" s="88"/>
      <c r="HM589" s="88"/>
      <c r="HN589" s="88"/>
      <c r="HO589" s="88"/>
      <c r="HP589" s="88"/>
      <c r="HQ589" s="88"/>
      <c r="HR589" s="88"/>
      <c r="HS589" s="88"/>
      <c r="HT589" s="88"/>
    </row>
    <row r="590" spans="1:228" s="47" customFormat="1" ht="19.5">
      <c r="A590" s="155" t="s">
        <v>91</v>
      </c>
      <c r="B590" s="147" t="s">
        <v>306</v>
      </c>
      <c r="C590" s="84"/>
      <c r="D590" s="92"/>
      <c r="E590" s="131"/>
      <c r="F590" s="131"/>
      <c r="G590" s="187"/>
      <c r="H590" s="187"/>
      <c r="I590" s="88"/>
      <c r="J590" s="88"/>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88"/>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c r="BE590" s="88"/>
      <c r="BF590" s="88"/>
      <c r="BG590" s="88"/>
      <c r="BH590" s="88"/>
      <c r="BI590" s="88"/>
      <c r="BJ590" s="88"/>
      <c r="BK590" s="88"/>
      <c r="BL590" s="88"/>
      <c r="BM590" s="88"/>
      <c r="BN590" s="88"/>
      <c r="BO590" s="88"/>
      <c r="BP590" s="88"/>
      <c r="BQ590" s="88"/>
      <c r="BR590" s="88"/>
      <c r="BS590" s="88"/>
      <c r="BT590" s="88"/>
      <c r="BU590" s="88"/>
      <c r="BV590" s="88"/>
      <c r="BW590" s="88"/>
      <c r="BX590" s="88"/>
      <c r="BY590" s="88"/>
      <c r="BZ590" s="88"/>
      <c r="CA590" s="88"/>
      <c r="CB590" s="88"/>
      <c r="CC590" s="88"/>
      <c r="CD590" s="88"/>
      <c r="CE590" s="88"/>
      <c r="CF590" s="88"/>
      <c r="CG590" s="88"/>
      <c r="CH590" s="88"/>
      <c r="CI590" s="88"/>
      <c r="CJ590" s="88"/>
      <c r="CK590" s="88"/>
      <c r="CL590" s="88"/>
      <c r="CM590" s="88"/>
      <c r="CN590" s="88"/>
      <c r="CO590" s="88"/>
      <c r="CP590" s="88"/>
      <c r="CQ590" s="88"/>
      <c r="CR590" s="88"/>
      <c r="CS590" s="88"/>
      <c r="CT590" s="88"/>
      <c r="CU590" s="88"/>
      <c r="CV590" s="88"/>
      <c r="CW590" s="88"/>
      <c r="CX590" s="88"/>
      <c r="CY590" s="88"/>
      <c r="CZ590" s="88"/>
      <c r="DA590" s="88"/>
      <c r="DB590" s="88"/>
      <c r="DC590" s="88"/>
      <c r="DD590" s="88"/>
      <c r="DE590" s="88"/>
      <c r="DF590" s="88"/>
      <c r="DG590" s="88"/>
      <c r="DH590" s="88"/>
      <c r="DI590" s="88"/>
      <c r="DJ590" s="88"/>
      <c r="DK590" s="88"/>
      <c r="DL590" s="88"/>
      <c r="DM590" s="88"/>
      <c r="DN590" s="88"/>
      <c r="DO590" s="88"/>
      <c r="DP590" s="88"/>
      <c r="DQ590" s="88"/>
      <c r="DR590" s="88"/>
      <c r="DS590" s="88"/>
      <c r="DT590" s="88"/>
      <c r="DU590" s="88"/>
      <c r="DV590" s="88"/>
      <c r="DW590" s="88"/>
      <c r="DX590" s="88"/>
      <c r="DY590" s="88"/>
      <c r="DZ590" s="88"/>
      <c r="EA590" s="88"/>
      <c r="EB590" s="88"/>
      <c r="EC590" s="88"/>
      <c r="ED590" s="88"/>
      <c r="EE590" s="88"/>
      <c r="EF590" s="88"/>
      <c r="EG590" s="88"/>
      <c r="EH590" s="88"/>
      <c r="EI590" s="88"/>
      <c r="EJ590" s="88"/>
      <c r="EK590" s="88"/>
      <c r="EL590" s="88"/>
      <c r="EM590" s="88"/>
      <c r="EN590" s="88"/>
      <c r="EO590" s="88"/>
      <c r="EP590" s="88"/>
      <c r="EQ590" s="88"/>
      <c r="ER590" s="88"/>
      <c r="ES590" s="88"/>
      <c r="ET590" s="88"/>
      <c r="EU590" s="88"/>
      <c r="EV590" s="88"/>
      <c r="EW590" s="88"/>
      <c r="EX590" s="88"/>
      <c r="EY590" s="88"/>
      <c r="EZ590" s="88"/>
      <c r="FA590" s="88"/>
      <c r="FB590" s="88"/>
      <c r="FC590" s="88"/>
      <c r="FD590" s="88"/>
      <c r="FE590" s="88"/>
      <c r="FF590" s="88"/>
      <c r="FG590" s="88"/>
      <c r="FH590" s="88"/>
      <c r="FI590" s="88"/>
      <c r="FJ590" s="88"/>
      <c r="FK590" s="88"/>
      <c r="FL590" s="88"/>
      <c r="FM590" s="88"/>
      <c r="FN590" s="88"/>
      <c r="FO590" s="88"/>
      <c r="FP590" s="88"/>
      <c r="FQ590" s="88"/>
      <c r="FR590" s="88"/>
      <c r="FS590" s="88"/>
      <c r="FT590" s="88"/>
      <c r="FU590" s="88"/>
      <c r="FV590" s="88"/>
      <c r="FW590" s="88"/>
      <c r="FX590" s="88"/>
      <c r="FY590" s="88"/>
      <c r="FZ590" s="88"/>
      <c r="GA590" s="88"/>
      <c r="GB590" s="88"/>
      <c r="GC590" s="88"/>
      <c r="GD590" s="88"/>
      <c r="GE590" s="88"/>
      <c r="GF590" s="88"/>
      <c r="GG590" s="88"/>
      <c r="GH590" s="88"/>
      <c r="GI590" s="88"/>
      <c r="GJ590" s="88"/>
      <c r="GK590" s="88"/>
      <c r="GL590" s="88"/>
      <c r="GM590" s="88"/>
      <c r="GN590" s="88"/>
      <c r="GO590" s="88"/>
      <c r="GP590" s="88"/>
      <c r="GQ590" s="88"/>
      <c r="GR590" s="88"/>
      <c r="GS590" s="88"/>
      <c r="GT590" s="88"/>
      <c r="GU590" s="88"/>
      <c r="GV590" s="88"/>
      <c r="GW590" s="88"/>
      <c r="GX590" s="88"/>
      <c r="GY590" s="88"/>
      <c r="GZ590" s="88"/>
      <c r="HA590" s="88"/>
      <c r="HB590" s="88"/>
      <c r="HC590" s="88"/>
      <c r="HD590" s="88"/>
      <c r="HE590" s="88"/>
      <c r="HF590" s="88"/>
      <c r="HG590" s="88"/>
      <c r="HH590" s="88"/>
      <c r="HI590" s="88"/>
      <c r="HJ590" s="88"/>
      <c r="HK590" s="88"/>
      <c r="HL590" s="88"/>
      <c r="HM590" s="88"/>
      <c r="HN590" s="88"/>
      <c r="HO590" s="88"/>
      <c r="HP590" s="88"/>
      <c r="HQ590" s="88"/>
      <c r="HR590" s="88"/>
      <c r="HS590" s="88"/>
      <c r="HT590" s="88"/>
    </row>
    <row r="591" spans="1:228" s="62" customFormat="1">
      <c r="A591" s="31" t="s">
        <v>225</v>
      </c>
      <c r="B591" s="101" t="s">
        <v>257</v>
      </c>
      <c r="C591" s="102">
        <v>635000000</v>
      </c>
      <c r="D591" s="38"/>
      <c r="E591" s="116"/>
      <c r="F591" s="116"/>
      <c r="G591" s="117"/>
      <c r="H591" s="117"/>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c r="FY591" s="29"/>
      <c r="FZ591" s="29"/>
      <c r="GA591" s="29"/>
      <c r="GB591" s="29"/>
      <c r="GC591" s="29"/>
      <c r="GD591" s="29"/>
      <c r="GE591" s="29"/>
      <c r="GF591" s="29"/>
      <c r="GG591" s="29"/>
      <c r="GH591" s="29"/>
      <c r="GI591" s="29"/>
      <c r="GJ591" s="29"/>
      <c r="GK591" s="29"/>
      <c r="GL591" s="29"/>
      <c r="GM591" s="29"/>
      <c r="GN591" s="29"/>
      <c r="GO591" s="29"/>
      <c r="GP591" s="29"/>
      <c r="GQ591" s="29"/>
      <c r="GR591" s="29"/>
      <c r="GS591" s="29"/>
      <c r="GT591" s="29"/>
      <c r="GU591" s="29"/>
      <c r="GV591" s="29"/>
      <c r="GW591" s="29"/>
      <c r="GX591" s="29"/>
      <c r="GY591" s="29"/>
      <c r="GZ591" s="29"/>
      <c r="HA591" s="29"/>
      <c r="HB591" s="29"/>
      <c r="HC591" s="29"/>
      <c r="HD591" s="29"/>
      <c r="HE591" s="29"/>
      <c r="HF591" s="29"/>
      <c r="HG591" s="29"/>
      <c r="HH591" s="29"/>
      <c r="HI591" s="29"/>
      <c r="HJ591" s="29"/>
      <c r="HK591" s="29"/>
      <c r="HL591" s="29"/>
      <c r="HM591" s="29"/>
      <c r="HN591" s="29"/>
      <c r="HO591" s="29"/>
      <c r="HP591" s="29"/>
      <c r="HQ591" s="29"/>
      <c r="HR591" s="29"/>
      <c r="HS591" s="29"/>
      <c r="HT591" s="29"/>
    </row>
    <row r="592" spans="1:228" ht="37.5">
      <c r="A592" s="49" t="s">
        <v>258</v>
      </c>
      <c r="B592" s="48" t="s">
        <v>539</v>
      </c>
      <c r="C592" s="23">
        <v>30000000</v>
      </c>
      <c r="D592" s="50"/>
      <c r="E592" s="115"/>
      <c r="F592" s="115"/>
      <c r="G592" s="115"/>
      <c r="H592" s="115"/>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c r="FY592" s="29"/>
      <c r="FZ592" s="29"/>
      <c r="GA592" s="29"/>
      <c r="GB592" s="29"/>
      <c r="GC592" s="29"/>
      <c r="GD592" s="29"/>
      <c r="GE592" s="29"/>
      <c r="GF592" s="29"/>
      <c r="GG592" s="29"/>
      <c r="GH592" s="29"/>
      <c r="GI592" s="29"/>
      <c r="GJ592" s="29"/>
      <c r="GK592" s="29"/>
      <c r="GL592" s="29"/>
      <c r="GM592" s="29"/>
      <c r="GN592" s="29"/>
      <c r="GO592" s="29"/>
      <c r="GP592" s="29"/>
      <c r="GQ592" s="29"/>
      <c r="GR592" s="29"/>
      <c r="GS592" s="29"/>
      <c r="GT592" s="29"/>
      <c r="GU592" s="29"/>
      <c r="GV592" s="29"/>
      <c r="GW592" s="29"/>
      <c r="GX592" s="29"/>
      <c r="GY592" s="29"/>
      <c r="GZ592" s="29"/>
      <c r="HA592" s="29"/>
      <c r="HB592" s="29"/>
      <c r="HC592" s="29"/>
      <c r="HD592" s="29"/>
      <c r="HE592" s="29"/>
      <c r="HF592" s="29"/>
      <c r="HG592" s="29"/>
      <c r="HH592" s="29"/>
      <c r="HI592" s="29"/>
      <c r="HJ592" s="29"/>
      <c r="HK592" s="29"/>
      <c r="HL592" s="29"/>
      <c r="HM592" s="29"/>
      <c r="HN592" s="29"/>
      <c r="HO592" s="29"/>
      <c r="HP592" s="29"/>
      <c r="HQ592" s="29"/>
      <c r="HR592" s="29"/>
      <c r="HS592" s="29"/>
      <c r="HT592" s="29"/>
    </row>
    <row r="593" spans="1:228">
      <c r="A593" s="49" t="s">
        <v>258</v>
      </c>
      <c r="B593" s="48" t="s">
        <v>540</v>
      </c>
      <c r="C593" s="23">
        <v>20000000</v>
      </c>
      <c r="D593" s="50"/>
      <c r="E593" s="115"/>
      <c r="F593" s="115"/>
      <c r="G593" s="115"/>
      <c r="H593" s="115"/>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c r="FY593" s="29"/>
      <c r="FZ593" s="29"/>
      <c r="GA593" s="29"/>
      <c r="GB593" s="29"/>
      <c r="GC593" s="29"/>
      <c r="GD593" s="29"/>
      <c r="GE593" s="29"/>
      <c r="GF593" s="29"/>
      <c r="GG593" s="29"/>
      <c r="GH593" s="29"/>
      <c r="GI593" s="29"/>
      <c r="GJ593" s="29"/>
      <c r="GK593" s="29"/>
      <c r="GL593" s="29"/>
      <c r="GM593" s="29"/>
      <c r="GN593" s="29"/>
      <c r="GO593" s="29"/>
      <c r="GP593" s="29"/>
      <c r="GQ593" s="29"/>
      <c r="GR593" s="29"/>
      <c r="GS593" s="29"/>
      <c r="GT593" s="29"/>
      <c r="GU593" s="29"/>
      <c r="GV593" s="29"/>
      <c r="GW593" s="29"/>
      <c r="GX593" s="29"/>
      <c r="GY593" s="29"/>
      <c r="GZ593" s="29"/>
      <c r="HA593" s="29"/>
      <c r="HB593" s="29"/>
      <c r="HC593" s="29"/>
      <c r="HD593" s="29"/>
      <c r="HE593" s="29"/>
      <c r="HF593" s="29"/>
      <c r="HG593" s="29"/>
      <c r="HH593" s="29"/>
      <c r="HI593" s="29"/>
      <c r="HJ593" s="29"/>
      <c r="HK593" s="29"/>
      <c r="HL593" s="29"/>
      <c r="HM593" s="29"/>
      <c r="HN593" s="29"/>
      <c r="HO593" s="29"/>
      <c r="HP593" s="29"/>
      <c r="HQ593" s="29"/>
      <c r="HR593" s="29"/>
      <c r="HS593" s="29"/>
      <c r="HT593" s="29"/>
    </row>
    <row r="594" spans="1:228" ht="37.5">
      <c r="A594" s="49" t="s">
        <v>258</v>
      </c>
      <c r="B594" s="48" t="s">
        <v>541</v>
      </c>
      <c r="C594" s="23">
        <v>30000000</v>
      </c>
      <c r="D594" s="50"/>
      <c r="E594" s="115"/>
      <c r="F594" s="115"/>
      <c r="G594" s="115"/>
      <c r="H594" s="115"/>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c r="FY594" s="29"/>
      <c r="FZ594" s="29"/>
      <c r="GA594" s="29"/>
      <c r="GB594" s="29"/>
      <c r="GC594" s="29"/>
      <c r="GD594" s="29"/>
      <c r="GE594" s="29"/>
      <c r="GF594" s="29"/>
      <c r="GG594" s="29"/>
      <c r="GH594" s="29"/>
      <c r="GI594" s="29"/>
      <c r="GJ594" s="29"/>
      <c r="GK594" s="29"/>
      <c r="GL594" s="29"/>
      <c r="GM594" s="29"/>
      <c r="GN594" s="29"/>
      <c r="GO594" s="29"/>
      <c r="GP594" s="29"/>
      <c r="GQ594" s="29"/>
      <c r="GR594" s="29"/>
      <c r="GS594" s="29"/>
      <c r="GT594" s="29"/>
      <c r="GU594" s="29"/>
      <c r="GV594" s="29"/>
      <c r="GW594" s="29"/>
      <c r="GX594" s="29"/>
      <c r="GY594" s="29"/>
      <c r="GZ594" s="29"/>
      <c r="HA594" s="29"/>
      <c r="HB594" s="29"/>
      <c r="HC594" s="29"/>
      <c r="HD594" s="29"/>
      <c r="HE594" s="29"/>
      <c r="HF594" s="29"/>
      <c r="HG594" s="29"/>
      <c r="HH594" s="29"/>
      <c r="HI594" s="29"/>
      <c r="HJ594" s="29"/>
      <c r="HK594" s="29"/>
      <c r="HL594" s="29"/>
      <c r="HM594" s="29"/>
      <c r="HN594" s="29"/>
      <c r="HO594" s="29"/>
      <c r="HP594" s="29"/>
      <c r="HQ594" s="29"/>
      <c r="HR594" s="29"/>
      <c r="HS594" s="29"/>
      <c r="HT594" s="29"/>
    </row>
    <row r="595" spans="1:228">
      <c r="A595" s="49" t="s">
        <v>258</v>
      </c>
      <c r="B595" s="48" t="s">
        <v>542</v>
      </c>
      <c r="C595" s="23">
        <v>20000000</v>
      </c>
      <c r="D595" s="50"/>
      <c r="E595" s="115"/>
      <c r="F595" s="115"/>
      <c r="G595" s="115"/>
      <c r="H595" s="115"/>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c r="FY595" s="29"/>
      <c r="FZ595" s="29"/>
      <c r="GA595" s="29"/>
      <c r="GB595" s="29"/>
      <c r="GC595" s="29"/>
      <c r="GD595" s="29"/>
      <c r="GE595" s="29"/>
      <c r="GF595" s="29"/>
      <c r="GG595" s="29"/>
      <c r="GH595" s="29"/>
      <c r="GI595" s="29"/>
      <c r="GJ595" s="29"/>
      <c r="GK595" s="29"/>
      <c r="GL595" s="29"/>
      <c r="GM595" s="29"/>
      <c r="GN595" s="29"/>
      <c r="GO595" s="29"/>
      <c r="GP595" s="29"/>
      <c r="GQ595" s="29"/>
      <c r="GR595" s="29"/>
      <c r="GS595" s="29"/>
      <c r="GT595" s="29"/>
      <c r="GU595" s="29"/>
      <c r="GV595" s="29"/>
      <c r="GW595" s="29"/>
      <c r="GX595" s="29"/>
      <c r="GY595" s="29"/>
      <c r="GZ595" s="29"/>
      <c r="HA595" s="29"/>
      <c r="HB595" s="29"/>
      <c r="HC595" s="29"/>
      <c r="HD595" s="29"/>
      <c r="HE595" s="29"/>
      <c r="HF595" s="29"/>
      <c r="HG595" s="29"/>
      <c r="HH595" s="29"/>
      <c r="HI595" s="29"/>
      <c r="HJ595" s="29"/>
      <c r="HK595" s="29"/>
      <c r="HL595" s="29"/>
      <c r="HM595" s="29"/>
      <c r="HN595" s="29"/>
      <c r="HO595" s="29"/>
      <c r="HP595" s="29"/>
      <c r="HQ595" s="29"/>
      <c r="HR595" s="29"/>
      <c r="HS595" s="29"/>
      <c r="HT595" s="29"/>
    </row>
    <row r="596" spans="1:228" ht="37.5">
      <c r="A596" s="49" t="s">
        <v>258</v>
      </c>
      <c r="B596" s="48" t="s">
        <v>543</v>
      </c>
      <c r="C596" s="23">
        <v>40000000</v>
      </c>
      <c r="D596" s="50"/>
      <c r="E596" s="115"/>
      <c r="F596" s="115"/>
      <c r="G596" s="115"/>
      <c r="H596" s="115"/>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c r="FY596" s="29"/>
      <c r="FZ596" s="29"/>
      <c r="GA596" s="29"/>
      <c r="GB596" s="29"/>
      <c r="GC596" s="29"/>
      <c r="GD596" s="29"/>
      <c r="GE596" s="29"/>
      <c r="GF596" s="29"/>
      <c r="GG596" s="29"/>
      <c r="GH596" s="29"/>
      <c r="GI596" s="29"/>
      <c r="GJ596" s="29"/>
      <c r="GK596" s="29"/>
      <c r="GL596" s="29"/>
      <c r="GM596" s="29"/>
      <c r="GN596" s="29"/>
      <c r="GO596" s="29"/>
      <c r="GP596" s="29"/>
      <c r="GQ596" s="29"/>
      <c r="GR596" s="29"/>
      <c r="GS596" s="29"/>
      <c r="GT596" s="29"/>
      <c r="GU596" s="29"/>
      <c r="GV596" s="29"/>
      <c r="GW596" s="29"/>
      <c r="GX596" s="29"/>
      <c r="GY596" s="29"/>
      <c r="GZ596" s="29"/>
      <c r="HA596" s="29"/>
      <c r="HB596" s="29"/>
      <c r="HC596" s="29"/>
      <c r="HD596" s="29"/>
      <c r="HE596" s="29"/>
      <c r="HF596" s="29"/>
      <c r="HG596" s="29"/>
      <c r="HH596" s="29"/>
      <c r="HI596" s="29"/>
      <c r="HJ596" s="29"/>
      <c r="HK596" s="29"/>
      <c r="HL596" s="29"/>
      <c r="HM596" s="29"/>
      <c r="HN596" s="29"/>
      <c r="HO596" s="29"/>
      <c r="HP596" s="29"/>
      <c r="HQ596" s="29"/>
      <c r="HR596" s="29"/>
      <c r="HS596" s="29"/>
      <c r="HT596" s="29"/>
    </row>
    <row r="597" spans="1:228">
      <c r="A597" s="49" t="s">
        <v>258</v>
      </c>
      <c r="B597" s="48" t="s">
        <v>544</v>
      </c>
      <c r="C597" s="23">
        <v>30000000</v>
      </c>
      <c r="D597" s="50"/>
      <c r="E597" s="115"/>
      <c r="F597" s="115"/>
      <c r="G597" s="115"/>
      <c r="H597" s="115"/>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c r="FY597" s="29"/>
      <c r="FZ597" s="29"/>
      <c r="GA597" s="29"/>
      <c r="GB597" s="29"/>
      <c r="GC597" s="29"/>
      <c r="GD597" s="29"/>
      <c r="GE597" s="29"/>
      <c r="GF597" s="29"/>
      <c r="GG597" s="29"/>
      <c r="GH597" s="29"/>
      <c r="GI597" s="29"/>
      <c r="GJ597" s="29"/>
      <c r="GK597" s="29"/>
      <c r="GL597" s="29"/>
      <c r="GM597" s="29"/>
      <c r="GN597" s="29"/>
      <c r="GO597" s="29"/>
      <c r="GP597" s="29"/>
      <c r="GQ597" s="29"/>
      <c r="GR597" s="29"/>
      <c r="GS597" s="29"/>
      <c r="GT597" s="29"/>
      <c r="GU597" s="29"/>
      <c r="GV597" s="29"/>
      <c r="GW597" s="29"/>
      <c r="GX597" s="29"/>
      <c r="GY597" s="29"/>
      <c r="GZ597" s="29"/>
      <c r="HA597" s="29"/>
      <c r="HB597" s="29"/>
      <c r="HC597" s="29"/>
      <c r="HD597" s="29"/>
      <c r="HE597" s="29"/>
      <c r="HF597" s="29"/>
      <c r="HG597" s="29"/>
      <c r="HH597" s="29"/>
      <c r="HI597" s="29"/>
      <c r="HJ597" s="29"/>
      <c r="HK597" s="29"/>
      <c r="HL597" s="29"/>
      <c r="HM597" s="29"/>
      <c r="HN597" s="29"/>
      <c r="HO597" s="29"/>
      <c r="HP597" s="29"/>
      <c r="HQ597" s="29"/>
      <c r="HR597" s="29"/>
      <c r="HS597" s="29"/>
      <c r="HT597" s="29"/>
    </row>
    <row r="598" spans="1:228">
      <c r="A598" s="49" t="s">
        <v>258</v>
      </c>
      <c r="B598" s="48" t="s">
        <v>545</v>
      </c>
      <c r="C598" s="23">
        <v>30000000</v>
      </c>
      <c r="D598" s="50"/>
      <c r="E598" s="115"/>
      <c r="F598" s="115"/>
      <c r="G598" s="115"/>
      <c r="H598" s="115"/>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c r="FY598" s="29"/>
      <c r="FZ598" s="29"/>
      <c r="GA598" s="29"/>
      <c r="GB598" s="29"/>
      <c r="GC598" s="29"/>
      <c r="GD598" s="29"/>
      <c r="GE598" s="29"/>
      <c r="GF598" s="29"/>
      <c r="GG598" s="29"/>
      <c r="GH598" s="29"/>
      <c r="GI598" s="29"/>
      <c r="GJ598" s="29"/>
      <c r="GK598" s="29"/>
      <c r="GL598" s="29"/>
      <c r="GM598" s="29"/>
      <c r="GN598" s="29"/>
      <c r="GO598" s="29"/>
      <c r="GP598" s="29"/>
      <c r="GQ598" s="29"/>
      <c r="GR598" s="29"/>
      <c r="GS598" s="29"/>
      <c r="GT598" s="29"/>
      <c r="GU598" s="29"/>
      <c r="GV598" s="29"/>
      <c r="GW598" s="29"/>
      <c r="GX598" s="29"/>
      <c r="GY598" s="29"/>
      <c r="GZ598" s="29"/>
      <c r="HA598" s="29"/>
      <c r="HB598" s="29"/>
      <c r="HC598" s="29"/>
      <c r="HD598" s="29"/>
      <c r="HE598" s="29"/>
      <c r="HF598" s="29"/>
      <c r="HG598" s="29"/>
      <c r="HH598" s="29"/>
      <c r="HI598" s="29"/>
      <c r="HJ598" s="29"/>
      <c r="HK598" s="29"/>
      <c r="HL598" s="29"/>
      <c r="HM598" s="29"/>
      <c r="HN598" s="29"/>
      <c r="HO598" s="29"/>
      <c r="HP598" s="29"/>
      <c r="HQ598" s="29"/>
      <c r="HR598" s="29"/>
      <c r="HS598" s="29"/>
      <c r="HT598" s="29"/>
    </row>
    <row r="599" spans="1:228" ht="37.5">
      <c r="A599" s="49" t="s">
        <v>258</v>
      </c>
      <c r="B599" s="48" t="s">
        <v>546</v>
      </c>
      <c r="C599" s="23">
        <v>50000000</v>
      </c>
      <c r="D599" s="50"/>
      <c r="E599" s="115"/>
      <c r="F599" s="115"/>
      <c r="G599" s="115"/>
      <c r="H599" s="115"/>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c r="FY599" s="29"/>
      <c r="FZ599" s="29"/>
      <c r="GA599" s="29"/>
      <c r="GB599" s="29"/>
      <c r="GC599" s="29"/>
      <c r="GD599" s="29"/>
      <c r="GE599" s="29"/>
      <c r="GF599" s="29"/>
      <c r="GG599" s="29"/>
      <c r="GH599" s="29"/>
      <c r="GI599" s="29"/>
      <c r="GJ599" s="29"/>
      <c r="GK599" s="29"/>
      <c r="GL599" s="29"/>
      <c r="GM599" s="29"/>
      <c r="GN599" s="29"/>
      <c r="GO599" s="29"/>
      <c r="GP599" s="29"/>
      <c r="GQ599" s="29"/>
      <c r="GR599" s="29"/>
      <c r="GS599" s="29"/>
      <c r="GT599" s="29"/>
      <c r="GU599" s="29"/>
      <c r="GV599" s="29"/>
      <c r="GW599" s="29"/>
      <c r="GX599" s="29"/>
      <c r="GY599" s="29"/>
      <c r="GZ599" s="29"/>
      <c r="HA599" s="29"/>
      <c r="HB599" s="29"/>
      <c r="HC599" s="29"/>
      <c r="HD599" s="29"/>
      <c r="HE599" s="29"/>
      <c r="HF599" s="29"/>
      <c r="HG599" s="29"/>
      <c r="HH599" s="29"/>
      <c r="HI599" s="29"/>
      <c r="HJ599" s="29"/>
      <c r="HK599" s="29"/>
      <c r="HL599" s="29"/>
      <c r="HM599" s="29"/>
      <c r="HN599" s="29"/>
      <c r="HO599" s="29"/>
      <c r="HP599" s="29"/>
      <c r="HQ599" s="29"/>
      <c r="HR599" s="29"/>
      <c r="HS599" s="29"/>
      <c r="HT599" s="29"/>
    </row>
    <row r="600" spans="1:228">
      <c r="A600" s="49" t="s">
        <v>258</v>
      </c>
      <c r="B600" s="48" t="s">
        <v>547</v>
      </c>
      <c r="C600" s="23">
        <v>50000000</v>
      </c>
      <c r="D600" s="50"/>
      <c r="E600" s="115"/>
      <c r="F600" s="115"/>
      <c r="G600" s="115"/>
      <c r="H600" s="115"/>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c r="FY600" s="29"/>
      <c r="FZ600" s="29"/>
      <c r="GA600" s="29"/>
      <c r="GB600" s="29"/>
      <c r="GC600" s="29"/>
      <c r="GD600" s="29"/>
      <c r="GE600" s="29"/>
      <c r="GF600" s="29"/>
      <c r="GG600" s="29"/>
      <c r="GH600" s="29"/>
      <c r="GI600" s="29"/>
      <c r="GJ600" s="29"/>
      <c r="GK600" s="29"/>
      <c r="GL600" s="29"/>
      <c r="GM600" s="29"/>
      <c r="GN600" s="29"/>
      <c r="GO600" s="29"/>
      <c r="GP600" s="29"/>
      <c r="GQ600" s="29"/>
      <c r="GR600" s="29"/>
      <c r="GS600" s="29"/>
      <c r="GT600" s="29"/>
      <c r="GU600" s="29"/>
      <c r="GV600" s="29"/>
      <c r="GW600" s="29"/>
      <c r="GX600" s="29"/>
      <c r="GY600" s="29"/>
      <c r="GZ600" s="29"/>
      <c r="HA600" s="29"/>
      <c r="HB600" s="29"/>
      <c r="HC600" s="29"/>
      <c r="HD600" s="29"/>
      <c r="HE600" s="29"/>
      <c r="HF600" s="29"/>
      <c r="HG600" s="29"/>
      <c r="HH600" s="29"/>
      <c r="HI600" s="29"/>
      <c r="HJ600" s="29"/>
      <c r="HK600" s="29"/>
      <c r="HL600" s="29"/>
      <c r="HM600" s="29"/>
      <c r="HN600" s="29"/>
      <c r="HO600" s="29"/>
      <c r="HP600" s="29"/>
      <c r="HQ600" s="29"/>
      <c r="HR600" s="29"/>
      <c r="HS600" s="29"/>
      <c r="HT600" s="29"/>
    </row>
    <row r="601" spans="1:228">
      <c r="A601" s="49" t="s">
        <v>258</v>
      </c>
      <c r="B601" s="48" t="s">
        <v>548</v>
      </c>
      <c r="C601" s="23">
        <v>20000000</v>
      </c>
      <c r="D601" s="50"/>
      <c r="E601" s="115"/>
      <c r="F601" s="115"/>
      <c r="G601" s="115"/>
      <c r="H601" s="115"/>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c r="FY601" s="29"/>
      <c r="FZ601" s="29"/>
      <c r="GA601" s="29"/>
      <c r="GB601" s="29"/>
      <c r="GC601" s="29"/>
      <c r="GD601" s="29"/>
      <c r="GE601" s="29"/>
      <c r="GF601" s="29"/>
      <c r="GG601" s="29"/>
      <c r="GH601" s="29"/>
      <c r="GI601" s="29"/>
      <c r="GJ601" s="29"/>
      <c r="GK601" s="29"/>
      <c r="GL601" s="29"/>
      <c r="GM601" s="29"/>
      <c r="GN601" s="29"/>
      <c r="GO601" s="29"/>
      <c r="GP601" s="29"/>
      <c r="GQ601" s="29"/>
      <c r="GR601" s="29"/>
      <c r="GS601" s="29"/>
      <c r="GT601" s="29"/>
      <c r="GU601" s="29"/>
      <c r="GV601" s="29"/>
      <c r="GW601" s="29"/>
      <c r="GX601" s="29"/>
      <c r="GY601" s="29"/>
      <c r="GZ601" s="29"/>
      <c r="HA601" s="29"/>
      <c r="HB601" s="29"/>
      <c r="HC601" s="29"/>
      <c r="HD601" s="29"/>
      <c r="HE601" s="29"/>
      <c r="HF601" s="29"/>
      <c r="HG601" s="29"/>
      <c r="HH601" s="29"/>
      <c r="HI601" s="29"/>
      <c r="HJ601" s="29"/>
      <c r="HK601" s="29"/>
      <c r="HL601" s="29"/>
      <c r="HM601" s="29"/>
      <c r="HN601" s="29"/>
      <c r="HO601" s="29"/>
      <c r="HP601" s="29"/>
      <c r="HQ601" s="29"/>
      <c r="HR601" s="29"/>
      <c r="HS601" s="29"/>
      <c r="HT601" s="29"/>
    </row>
    <row r="602" spans="1:228">
      <c r="A602" s="49" t="s">
        <v>258</v>
      </c>
      <c r="B602" s="48" t="s">
        <v>549</v>
      </c>
      <c r="C602" s="23">
        <v>25000000</v>
      </c>
      <c r="D602" s="50"/>
      <c r="E602" s="115"/>
      <c r="F602" s="115"/>
      <c r="G602" s="115"/>
      <c r="H602" s="115"/>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c r="FY602" s="29"/>
      <c r="FZ602" s="29"/>
      <c r="GA602" s="29"/>
      <c r="GB602" s="29"/>
      <c r="GC602" s="29"/>
      <c r="GD602" s="29"/>
      <c r="GE602" s="29"/>
      <c r="GF602" s="29"/>
      <c r="GG602" s="29"/>
      <c r="GH602" s="29"/>
      <c r="GI602" s="29"/>
      <c r="GJ602" s="29"/>
      <c r="GK602" s="29"/>
      <c r="GL602" s="29"/>
      <c r="GM602" s="29"/>
      <c r="GN602" s="29"/>
      <c r="GO602" s="29"/>
      <c r="GP602" s="29"/>
      <c r="GQ602" s="29"/>
      <c r="GR602" s="29"/>
      <c r="GS602" s="29"/>
      <c r="GT602" s="29"/>
      <c r="GU602" s="29"/>
      <c r="GV602" s="29"/>
      <c r="GW602" s="29"/>
      <c r="GX602" s="29"/>
      <c r="GY602" s="29"/>
      <c r="GZ602" s="29"/>
      <c r="HA602" s="29"/>
      <c r="HB602" s="29"/>
      <c r="HC602" s="29"/>
      <c r="HD602" s="29"/>
      <c r="HE602" s="29"/>
      <c r="HF602" s="29"/>
      <c r="HG602" s="29"/>
      <c r="HH602" s="29"/>
      <c r="HI602" s="29"/>
      <c r="HJ602" s="29"/>
      <c r="HK602" s="29"/>
      <c r="HL602" s="29"/>
      <c r="HM602" s="29"/>
      <c r="HN602" s="29"/>
      <c r="HO602" s="29"/>
      <c r="HP602" s="29"/>
      <c r="HQ602" s="29"/>
      <c r="HR602" s="29"/>
      <c r="HS602" s="29"/>
      <c r="HT602" s="29"/>
    </row>
    <row r="603" spans="1:228" ht="37.5">
      <c r="A603" s="49" t="s">
        <v>258</v>
      </c>
      <c r="B603" s="48" t="s">
        <v>550</v>
      </c>
      <c r="C603" s="23">
        <v>50000000</v>
      </c>
      <c r="D603" s="50"/>
      <c r="E603" s="115"/>
      <c r="F603" s="115"/>
      <c r="G603" s="115"/>
      <c r="H603" s="115"/>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c r="FY603" s="29"/>
      <c r="FZ603" s="29"/>
      <c r="GA603" s="29"/>
      <c r="GB603" s="29"/>
      <c r="GC603" s="29"/>
      <c r="GD603" s="29"/>
      <c r="GE603" s="29"/>
      <c r="GF603" s="29"/>
      <c r="GG603" s="29"/>
      <c r="GH603" s="29"/>
      <c r="GI603" s="29"/>
      <c r="GJ603" s="29"/>
      <c r="GK603" s="29"/>
      <c r="GL603" s="29"/>
      <c r="GM603" s="29"/>
      <c r="GN603" s="29"/>
      <c r="GO603" s="29"/>
      <c r="GP603" s="29"/>
      <c r="GQ603" s="29"/>
      <c r="GR603" s="29"/>
      <c r="GS603" s="29"/>
      <c r="GT603" s="29"/>
      <c r="GU603" s="29"/>
      <c r="GV603" s="29"/>
      <c r="GW603" s="29"/>
      <c r="GX603" s="29"/>
      <c r="GY603" s="29"/>
      <c r="GZ603" s="29"/>
      <c r="HA603" s="29"/>
      <c r="HB603" s="29"/>
      <c r="HC603" s="29"/>
      <c r="HD603" s="29"/>
      <c r="HE603" s="29"/>
      <c r="HF603" s="29"/>
      <c r="HG603" s="29"/>
      <c r="HH603" s="29"/>
      <c r="HI603" s="29"/>
      <c r="HJ603" s="29"/>
      <c r="HK603" s="29"/>
      <c r="HL603" s="29"/>
      <c r="HM603" s="29"/>
      <c r="HN603" s="29"/>
      <c r="HO603" s="29"/>
      <c r="HP603" s="29"/>
      <c r="HQ603" s="29"/>
      <c r="HR603" s="29"/>
      <c r="HS603" s="29"/>
      <c r="HT603" s="29"/>
    </row>
    <row r="604" spans="1:228">
      <c r="A604" s="49" t="s">
        <v>258</v>
      </c>
      <c r="B604" s="48" t="s">
        <v>551</v>
      </c>
      <c r="C604" s="23">
        <v>90000000</v>
      </c>
      <c r="D604" s="50"/>
      <c r="E604" s="115"/>
      <c r="F604" s="115"/>
      <c r="G604" s="115"/>
      <c r="H604" s="115"/>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c r="FY604" s="29"/>
      <c r="FZ604" s="29"/>
      <c r="GA604" s="29"/>
      <c r="GB604" s="29"/>
      <c r="GC604" s="29"/>
      <c r="GD604" s="29"/>
      <c r="GE604" s="29"/>
      <c r="GF604" s="29"/>
      <c r="GG604" s="29"/>
      <c r="GH604" s="29"/>
      <c r="GI604" s="29"/>
      <c r="GJ604" s="29"/>
      <c r="GK604" s="29"/>
      <c r="GL604" s="29"/>
      <c r="GM604" s="29"/>
      <c r="GN604" s="29"/>
      <c r="GO604" s="29"/>
      <c r="GP604" s="29"/>
      <c r="GQ604" s="29"/>
      <c r="GR604" s="29"/>
      <c r="GS604" s="29"/>
      <c r="GT604" s="29"/>
      <c r="GU604" s="29"/>
      <c r="GV604" s="29"/>
      <c r="GW604" s="29"/>
      <c r="GX604" s="29"/>
      <c r="GY604" s="29"/>
      <c r="GZ604" s="29"/>
      <c r="HA604" s="29"/>
      <c r="HB604" s="29"/>
      <c r="HC604" s="29"/>
      <c r="HD604" s="29"/>
      <c r="HE604" s="29"/>
      <c r="HF604" s="29"/>
      <c r="HG604" s="29"/>
      <c r="HH604" s="29"/>
      <c r="HI604" s="29"/>
      <c r="HJ604" s="29"/>
      <c r="HK604" s="29"/>
      <c r="HL604" s="29"/>
      <c r="HM604" s="29"/>
      <c r="HN604" s="29"/>
      <c r="HO604" s="29"/>
      <c r="HP604" s="29"/>
      <c r="HQ604" s="29"/>
      <c r="HR604" s="29"/>
      <c r="HS604" s="29"/>
      <c r="HT604" s="29"/>
    </row>
    <row r="605" spans="1:228" ht="56.25">
      <c r="A605" s="49" t="s">
        <v>258</v>
      </c>
      <c r="B605" s="48" t="s">
        <v>552</v>
      </c>
      <c r="C605" s="23">
        <v>50000000</v>
      </c>
      <c r="D605" s="50"/>
      <c r="E605" s="115"/>
      <c r="F605" s="115"/>
      <c r="G605" s="115"/>
      <c r="H605" s="115"/>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c r="FY605" s="29"/>
      <c r="FZ605" s="29"/>
      <c r="GA605" s="29"/>
      <c r="GB605" s="29"/>
      <c r="GC605" s="29"/>
      <c r="GD605" s="29"/>
      <c r="GE605" s="29"/>
      <c r="GF605" s="29"/>
      <c r="GG605" s="29"/>
      <c r="GH605" s="29"/>
      <c r="GI605" s="29"/>
      <c r="GJ605" s="29"/>
      <c r="GK605" s="29"/>
      <c r="GL605" s="29"/>
      <c r="GM605" s="29"/>
      <c r="GN605" s="29"/>
      <c r="GO605" s="29"/>
      <c r="GP605" s="29"/>
      <c r="GQ605" s="29"/>
      <c r="GR605" s="29"/>
      <c r="GS605" s="29"/>
      <c r="GT605" s="29"/>
      <c r="GU605" s="29"/>
      <c r="GV605" s="29"/>
      <c r="GW605" s="29"/>
      <c r="GX605" s="29"/>
      <c r="GY605" s="29"/>
      <c r="GZ605" s="29"/>
      <c r="HA605" s="29"/>
      <c r="HB605" s="29"/>
      <c r="HC605" s="29"/>
      <c r="HD605" s="29"/>
      <c r="HE605" s="29"/>
      <c r="HF605" s="29"/>
      <c r="HG605" s="29"/>
      <c r="HH605" s="29"/>
      <c r="HI605" s="29"/>
      <c r="HJ605" s="29"/>
      <c r="HK605" s="29"/>
      <c r="HL605" s="29"/>
      <c r="HM605" s="29"/>
      <c r="HN605" s="29"/>
      <c r="HO605" s="29"/>
      <c r="HP605" s="29"/>
      <c r="HQ605" s="29"/>
      <c r="HR605" s="29"/>
      <c r="HS605" s="29"/>
      <c r="HT605" s="29"/>
    </row>
    <row r="606" spans="1:228">
      <c r="A606" s="49" t="s">
        <v>258</v>
      </c>
      <c r="B606" s="48" t="s">
        <v>553</v>
      </c>
      <c r="C606" s="23">
        <v>50000000</v>
      </c>
      <c r="D606" s="50"/>
      <c r="E606" s="115"/>
      <c r="F606" s="115"/>
      <c r="G606" s="115"/>
      <c r="H606" s="115"/>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c r="FY606" s="29"/>
      <c r="FZ606" s="29"/>
      <c r="GA606" s="29"/>
      <c r="GB606" s="29"/>
      <c r="GC606" s="29"/>
      <c r="GD606" s="29"/>
      <c r="GE606" s="29"/>
      <c r="GF606" s="29"/>
      <c r="GG606" s="29"/>
      <c r="GH606" s="29"/>
      <c r="GI606" s="29"/>
      <c r="GJ606" s="29"/>
      <c r="GK606" s="29"/>
      <c r="GL606" s="29"/>
      <c r="GM606" s="29"/>
      <c r="GN606" s="29"/>
      <c r="GO606" s="29"/>
      <c r="GP606" s="29"/>
      <c r="GQ606" s="29"/>
      <c r="GR606" s="29"/>
      <c r="GS606" s="29"/>
      <c r="GT606" s="29"/>
      <c r="GU606" s="29"/>
      <c r="GV606" s="29"/>
      <c r="GW606" s="29"/>
      <c r="GX606" s="29"/>
      <c r="GY606" s="29"/>
      <c r="GZ606" s="29"/>
      <c r="HA606" s="29"/>
      <c r="HB606" s="29"/>
      <c r="HC606" s="29"/>
      <c r="HD606" s="29"/>
      <c r="HE606" s="29"/>
      <c r="HF606" s="29"/>
      <c r="HG606" s="29"/>
      <c r="HH606" s="29"/>
      <c r="HI606" s="29"/>
      <c r="HJ606" s="29"/>
      <c r="HK606" s="29"/>
      <c r="HL606" s="29"/>
      <c r="HM606" s="29"/>
      <c r="HN606" s="29"/>
      <c r="HO606" s="29"/>
      <c r="HP606" s="29"/>
      <c r="HQ606" s="29"/>
      <c r="HR606" s="29"/>
      <c r="HS606" s="29"/>
      <c r="HT606" s="29"/>
    </row>
    <row r="607" spans="1:228">
      <c r="A607" s="49" t="s">
        <v>258</v>
      </c>
      <c r="B607" s="48" t="s">
        <v>554</v>
      </c>
      <c r="C607" s="23">
        <v>20000000</v>
      </c>
      <c r="D607" s="50"/>
      <c r="E607" s="115"/>
      <c r="F607" s="115"/>
      <c r="G607" s="115"/>
      <c r="H607" s="115"/>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c r="FY607" s="29"/>
      <c r="FZ607" s="29"/>
      <c r="GA607" s="29"/>
      <c r="GB607" s="29"/>
      <c r="GC607" s="29"/>
      <c r="GD607" s="29"/>
      <c r="GE607" s="29"/>
      <c r="GF607" s="29"/>
      <c r="GG607" s="29"/>
      <c r="GH607" s="29"/>
      <c r="GI607" s="29"/>
      <c r="GJ607" s="29"/>
      <c r="GK607" s="29"/>
      <c r="GL607" s="29"/>
      <c r="GM607" s="29"/>
      <c r="GN607" s="29"/>
      <c r="GO607" s="29"/>
      <c r="GP607" s="29"/>
      <c r="GQ607" s="29"/>
      <c r="GR607" s="29"/>
      <c r="GS607" s="29"/>
      <c r="GT607" s="29"/>
      <c r="GU607" s="29"/>
      <c r="GV607" s="29"/>
      <c r="GW607" s="29"/>
      <c r="GX607" s="29"/>
      <c r="GY607" s="29"/>
      <c r="GZ607" s="29"/>
      <c r="HA607" s="29"/>
      <c r="HB607" s="29"/>
      <c r="HC607" s="29"/>
      <c r="HD607" s="29"/>
      <c r="HE607" s="29"/>
      <c r="HF607" s="29"/>
      <c r="HG607" s="29"/>
      <c r="HH607" s="29"/>
      <c r="HI607" s="29"/>
      <c r="HJ607" s="29"/>
      <c r="HK607" s="29"/>
      <c r="HL607" s="29"/>
      <c r="HM607" s="29"/>
      <c r="HN607" s="29"/>
      <c r="HO607" s="29"/>
      <c r="HP607" s="29"/>
      <c r="HQ607" s="29"/>
      <c r="HR607" s="29"/>
      <c r="HS607" s="29"/>
      <c r="HT607" s="29"/>
    </row>
    <row r="608" spans="1:228">
      <c r="A608" s="49" t="s">
        <v>258</v>
      </c>
      <c r="B608" s="48" t="s">
        <v>79</v>
      </c>
      <c r="C608" s="23">
        <v>30000000</v>
      </c>
      <c r="D608" s="50"/>
      <c r="E608" s="115"/>
      <c r="F608" s="115"/>
      <c r="G608" s="115"/>
      <c r="H608" s="115"/>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c r="FY608" s="29"/>
      <c r="FZ608" s="29"/>
      <c r="GA608" s="29"/>
      <c r="GB608" s="29"/>
      <c r="GC608" s="29"/>
      <c r="GD608" s="29"/>
      <c r="GE608" s="29"/>
      <c r="GF608" s="29"/>
      <c r="GG608" s="29"/>
      <c r="GH608" s="29"/>
      <c r="GI608" s="29"/>
      <c r="GJ608" s="29"/>
      <c r="GK608" s="29"/>
      <c r="GL608" s="29"/>
      <c r="GM608" s="29"/>
      <c r="GN608" s="29"/>
      <c r="GO608" s="29"/>
      <c r="GP608" s="29"/>
      <c r="GQ608" s="29"/>
      <c r="GR608" s="29"/>
      <c r="GS608" s="29"/>
      <c r="GT608" s="29"/>
      <c r="GU608" s="29"/>
      <c r="GV608" s="29"/>
      <c r="GW608" s="29"/>
      <c r="GX608" s="29"/>
      <c r="GY608" s="29"/>
      <c r="GZ608" s="29"/>
      <c r="HA608" s="29"/>
      <c r="HB608" s="29"/>
      <c r="HC608" s="29"/>
      <c r="HD608" s="29"/>
      <c r="HE608" s="29"/>
      <c r="HF608" s="29"/>
      <c r="HG608" s="29"/>
      <c r="HH608" s="29"/>
      <c r="HI608" s="29"/>
      <c r="HJ608" s="29"/>
      <c r="HK608" s="29"/>
      <c r="HL608" s="29"/>
      <c r="HM608" s="29"/>
      <c r="HN608" s="29"/>
      <c r="HO608" s="29"/>
      <c r="HP608" s="29"/>
      <c r="HQ608" s="29"/>
      <c r="HR608" s="29"/>
      <c r="HS608" s="29"/>
      <c r="HT608" s="29"/>
    </row>
    <row r="609" spans="1:228" s="62" customFormat="1">
      <c r="A609" s="63" t="s">
        <v>261</v>
      </c>
      <c r="B609" s="105" t="s">
        <v>262</v>
      </c>
      <c r="C609" s="107">
        <v>69700000</v>
      </c>
      <c r="D609" s="76"/>
      <c r="E609" s="145"/>
      <c r="F609" s="145"/>
      <c r="G609" s="114"/>
      <c r="H609" s="114"/>
    </row>
    <row r="610" spans="1:228">
      <c r="A610" s="63" t="s">
        <v>258</v>
      </c>
      <c r="B610" s="90" t="s">
        <v>263</v>
      </c>
      <c r="C610" s="91">
        <v>69700000</v>
      </c>
      <c r="D610" s="79"/>
      <c r="E610" s="127"/>
      <c r="F610" s="127"/>
      <c r="G610" s="114"/>
      <c r="H610" s="114"/>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C610" s="62"/>
      <c r="CD610" s="62"/>
      <c r="CE610" s="62"/>
      <c r="CF610" s="62"/>
      <c r="CG610" s="62"/>
      <c r="CH610" s="62"/>
      <c r="CI610" s="62"/>
      <c r="CJ610" s="62"/>
      <c r="CK610" s="62"/>
      <c r="CL610" s="62"/>
      <c r="CM610" s="62"/>
      <c r="CN610" s="62"/>
      <c r="CO610" s="62"/>
      <c r="CP610" s="62"/>
      <c r="CQ610" s="62"/>
      <c r="CR610" s="62"/>
      <c r="CS610" s="62"/>
      <c r="CT610" s="62"/>
      <c r="CU610" s="62"/>
      <c r="CV610" s="62"/>
      <c r="CW610" s="62"/>
      <c r="CX610" s="62"/>
      <c r="CY610" s="62"/>
      <c r="CZ610" s="62"/>
      <c r="DA610" s="62"/>
      <c r="DB610" s="62"/>
      <c r="DC610" s="62"/>
      <c r="DD610" s="62"/>
      <c r="DE610" s="62"/>
      <c r="DF610" s="62"/>
      <c r="DG610" s="62"/>
      <c r="DH610" s="62"/>
      <c r="DI610" s="62"/>
      <c r="DJ610" s="62"/>
      <c r="DK610" s="62"/>
      <c r="DL610" s="62"/>
      <c r="DM610" s="62"/>
      <c r="DN610" s="62"/>
      <c r="DO610" s="62"/>
      <c r="DP610" s="62"/>
      <c r="DQ610" s="62"/>
      <c r="DR610" s="62"/>
      <c r="DS610" s="62"/>
      <c r="DT610" s="62"/>
      <c r="DU610" s="62"/>
      <c r="DV610" s="62"/>
      <c r="DW610" s="62"/>
      <c r="DX610" s="62"/>
      <c r="DY610" s="62"/>
      <c r="DZ610" s="62"/>
      <c r="EA610" s="62"/>
      <c r="EB610" s="62"/>
      <c r="EC610" s="62"/>
      <c r="ED610" s="62"/>
      <c r="EE610" s="62"/>
      <c r="EF610" s="62"/>
      <c r="EG610" s="62"/>
      <c r="EH610" s="62"/>
      <c r="EI610" s="62"/>
      <c r="EJ610" s="62"/>
      <c r="EK610" s="62"/>
      <c r="EL610" s="62"/>
      <c r="EM610" s="62"/>
      <c r="EN610" s="62"/>
      <c r="EO610" s="62"/>
      <c r="EP610" s="62"/>
      <c r="EQ610" s="62"/>
      <c r="ER610" s="62"/>
      <c r="ES610" s="62"/>
      <c r="ET610" s="62"/>
      <c r="EU610" s="62"/>
      <c r="EV610" s="62"/>
      <c r="EW610" s="62"/>
      <c r="EX610" s="62"/>
      <c r="EY610" s="62"/>
      <c r="EZ610" s="62"/>
      <c r="FA610" s="62"/>
      <c r="FB610" s="62"/>
      <c r="FC610" s="62"/>
      <c r="FD610" s="62"/>
      <c r="FE610" s="62"/>
      <c r="FF610" s="62"/>
      <c r="FG610" s="62"/>
      <c r="FH610" s="62"/>
      <c r="FI610" s="62"/>
      <c r="FJ610" s="62"/>
      <c r="FK610" s="62"/>
      <c r="FL610" s="62"/>
      <c r="FM610" s="62"/>
      <c r="FN610" s="62"/>
      <c r="FO610" s="62"/>
      <c r="FP610" s="62"/>
      <c r="FQ610" s="62"/>
      <c r="FR610" s="62"/>
      <c r="FS610" s="62"/>
      <c r="FT610" s="62"/>
      <c r="FU610" s="62"/>
      <c r="FV610" s="62"/>
      <c r="FW610" s="62"/>
      <c r="FX610" s="62"/>
      <c r="FY610" s="62"/>
      <c r="FZ610" s="62"/>
      <c r="GA610" s="62"/>
      <c r="GB610" s="62"/>
      <c r="GC610" s="62"/>
      <c r="GD610" s="62"/>
      <c r="GE610" s="62"/>
      <c r="GF610" s="62"/>
      <c r="GG610" s="62"/>
      <c r="GH610" s="62"/>
      <c r="GI610" s="62"/>
      <c r="GJ610" s="62"/>
      <c r="GK610" s="62"/>
      <c r="GL610" s="62"/>
      <c r="GM610" s="62"/>
      <c r="GN610" s="62"/>
      <c r="GO610" s="62"/>
      <c r="GP610" s="62"/>
      <c r="GQ610" s="62"/>
      <c r="GR610" s="62"/>
      <c r="GS610" s="62"/>
      <c r="GT610" s="62"/>
      <c r="GU610" s="62"/>
      <c r="GV610" s="62"/>
      <c r="GW610" s="62"/>
      <c r="GX610" s="62"/>
      <c r="GY610" s="62"/>
      <c r="GZ610" s="62"/>
      <c r="HA610" s="62"/>
      <c r="HB610" s="62"/>
      <c r="HC610" s="62"/>
      <c r="HD610" s="62"/>
      <c r="HE610" s="62"/>
      <c r="HF610" s="62"/>
      <c r="HG610" s="62"/>
      <c r="HH610" s="62"/>
      <c r="HI610" s="62"/>
      <c r="HJ610" s="62"/>
      <c r="HK610" s="62"/>
      <c r="HL610" s="62"/>
      <c r="HM610" s="62"/>
      <c r="HN610" s="62"/>
      <c r="HO610" s="62"/>
      <c r="HP610" s="62"/>
      <c r="HQ610" s="62"/>
      <c r="HR610" s="62"/>
      <c r="HS610" s="62"/>
      <c r="HT610" s="62"/>
    </row>
    <row r="611" spans="1:228">
      <c r="A611" s="63"/>
      <c r="B611" s="65"/>
      <c r="C611" s="91"/>
      <c r="D611" s="79"/>
      <c r="E611" s="127"/>
      <c r="F611" s="127"/>
      <c r="G611" s="127"/>
      <c r="H611" s="127"/>
    </row>
    <row r="612" spans="1:228" s="62" customFormat="1">
      <c r="A612" s="32">
        <v>3</v>
      </c>
      <c r="B612" s="41" t="s">
        <v>217</v>
      </c>
      <c r="C612" s="42">
        <v>1061000000</v>
      </c>
      <c r="D612" s="56"/>
      <c r="E612" s="119"/>
      <c r="F612" s="119"/>
      <c r="G612" s="132"/>
      <c r="H612" s="132"/>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27"/>
      <c r="FH612" s="27"/>
      <c r="FI612" s="27"/>
      <c r="FJ612" s="27"/>
      <c r="FK612" s="27"/>
      <c r="FL612" s="27"/>
      <c r="FM612" s="27"/>
      <c r="FN612" s="27"/>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c r="GU612" s="27"/>
      <c r="GV612" s="27"/>
      <c r="GW612" s="27"/>
      <c r="GX612" s="27"/>
      <c r="GY612" s="27"/>
      <c r="GZ612" s="27"/>
      <c r="HA612" s="27"/>
      <c r="HB612" s="27"/>
      <c r="HC612" s="27"/>
      <c r="HD612" s="27"/>
      <c r="HE612" s="27"/>
      <c r="HF612" s="27"/>
      <c r="HG612" s="27"/>
      <c r="HH612" s="27"/>
      <c r="HI612" s="27"/>
      <c r="HJ612" s="27"/>
      <c r="HK612" s="27"/>
      <c r="HL612" s="27"/>
      <c r="HM612" s="27"/>
      <c r="HN612" s="27"/>
      <c r="HO612" s="27"/>
      <c r="HP612" s="27"/>
      <c r="HQ612" s="27"/>
      <c r="HR612" s="27"/>
      <c r="HS612" s="27"/>
      <c r="HT612" s="27"/>
    </row>
    <row r="613" spans="1:228" s="88" customFormat="1" ht="19.5">
      <c r="A613" s="31" t="s">
        <v>222</v>
      </c>
      <c r="B613" s="101" t="s">
        <v>252</v>
      </c>
      <c r="C613" s="84">
        <v>706000000</v>
      </c>
      <c r="D613" s="92"/>
      <c r="E613" s="131"/>
      <c r="F613" s="131"/>
      <c r="G613" s="117"/>
      <c r="H613" s="117"/>
      <c r="I613" s="71"/>
      <c r="J613" s="71"/>
      <c r="K613" s="71"/>
      <c r="L613" s="71"/>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c r="AT613" s="71"/>
      <c r="AU613" s="71"/>
      <c r="AV613" s="71"/>
      <c r="AW613" s="71"/>
      <c r="AX613" s="71"/>
      <c r="AY613" s="71"/>
      <c r="AZ613" s="71"/>
      <c r="BA613" s="71"/>
      <c r="BB613" s="71"/>
      <c r="BC613" s="71"/>
      <c r="BD613" s="71"/>
      <c r="BE613" s="71"/>
      <c r="BF613" s="71"/>
      <c r="BG613" s="71"/>
      <c r="BH613" s="71"/>
      <c r="BI613" s="71"/>
      <c r="BJ613" s="71"/>
      <c r="BK613" s="71"/>
      <c r="BL613" s="71"/>
      <c r="BM613" s="71"/>
      <c r="BN613" s="71"/>
      <c r="BO613" s="71"/>
      <c r="BP613" s="71"/>
      <c r="BQ613" s="71"/>
      <c r="BR613" s="71"/>
      <c r="BS613" s="71"/>
      <c r="BT613" s="71"/>
      <c r="BU613" s="71"/>
      <c r="BV613" s="71"/>
      <c r="BW613" s="71"/>
      <c r="BX613" s="71"/>
      <c r="BY613" s="71"/>
      <c r="BZ613" s="71"/>
      <c r="CA613" s="71"/>
      <c r="CB613" s="71"/>
      <c r="CC613" s="71"/>
      <c r="CD613" s="71"/>
      <c r="CE613" s="71"/>
      <c r="CF613" s="71"/>
      <c r="CG613" s="71"/>
      <c r="CH613" s="71"/>
      <c r="CI613" s="71"/>
      <c r="CJ613" s="71"/>
      <c r="CK613" s="71"/>
      <c r="CL613" s="71"/>
      <c r="CM613" s="71"/>
      <c r="CN613" s="71"/>
      <c r="CO613" s="71"/>
      <c r="CP613" s="71"/>
      <c r="CQ613" s="71"/>
      <c r="CR613" s="71"/>
      <c r="CS613" s="71"/>
      <c r="CT613" s="71"/>
      <c r="CU613" s="71"/>
      <c r="CV613" s="71"/>
      <c r="CW613" s="71"/>
      <c r="CX613" s="71"/>
      <c r="CY613" s="71"/>
      <c r="CZ613" s="71"/>
      <c r="DA613" s="71"/>
      <c r="DB613" s="71"/>
      <c r="DC613" s="71"/>
      <c r="DD613" s="71"/>
      <c r="DE613" s="71"/>
      <c r="DF613" s="71"/>
      <c r="DG613" s="71"/>
      <c r="DH613" s="71"/>
      <c r="DI613" s="71"/>
      <c r="DJ613" s="71"/>
      <c r="DK613" s="71"/>
      <c r="DL613" s="71"/>
      <c r="DM613" s="71"/>
      <c r="DN613" s="71"/>
      <c r="DO613" s="71"/>
      <c r="DP613" s="71"/>
      <c r="DQ613" s="71"/>
      <c r="DR613" s="71"/>
      <c r="DS613" s="71"/>
      <c r="DT613" s="71"/>
      <c r="DU613" s="71"/>
      <c r="DV613" s="71"/>
      <c r="DW613" s="71"/>
      <c r="DX613" s="71"/>
      <c r="DY613" s="71"/>
      <c r="DZ613" s="71"/>
      <c r="EA613" s="71"/>
      <c r="EB613" s="71"/>
      <c r="EC613" s="71"/>
      <c r="ED613" s="71"/>
      <c r="EE613" s="71"/>
      <c r="EF613" s="71"/>
      <c r="EG613" s="71"/>
      <c r="EH613" s="71"/>
      <c r="EI613" s="71"/>
      <c r="EJ613" s="71"/>
      <c r="EK613" s="71"/>
      <c r="EL613" s="71"/>
      <c r="EM613" s="71"/>
      <c r="EN613" s="71"/>
      <c r="EO613" s="71"/>
      <c r="EP613" s="71"/>
      <c r="EQ613" s="71"/>
      <c r="ER613" s="71"/>
      <c r="ES613" s="71"/>
      <c r="ET613" s="71"/>
      <c r="EU613" s="71"/>
      <c r="EV613" s="71"/>
      <c r="EW613" s="71"/>
      <c r="EX613" s="71"/>
      <c r="EY613" s="71"/>
      <c r="EZ613" s="71"/>
      <c r="FA613" s="71"/>
      <c r="FB613" s="71"/>
      <c r="FC613" s="71"/>
      <c r="FD613" s="71"/>
      <c r="FE613" s="71"/>
      <c r="FF613" s="71"/>
      <c r="FG613" s="71"/>
      <c r="FH613" s="71"/>
      <c r="FI613" s="71"/>
      <c r="FJ613" s="71"/>
      <c r="FK613" s="71"/>
      <c r="FL613" s="71"/>
      <c r="FM613" s="71"/>
      <c r="FN613" s="71"/>
      <c r="FO613" s="71"/>
      <c r="FP613" s="71"/>
      <c r="FQ613" s="71"/>
      <c r="FR613" s="71"/>
      <c r="FS613" s="71"/>
      <c r="FT613" s="71"/>
      <c r="FU613" s="71"/>
      <c r="FV613" s="71"/>
      <c r="FW613" s="71"/>
      <c r="FX613" s="71"/>
      <c r="FY613" s="71"/>
      <c r="FZ613" s="71"/>
      <c r="GA613" s="71"/>
      <c r="GB613" s="71"/>
      <c r="GC613" s="71"/>
      <c r="GD613" s="71"/>
      <c r="GE613" s="71"/>
      <c r="GF613" s="71"/>
      <c r="GG613" s="71"/>
      <c r="GH613" s="71"/>
      <c r="GI613" s="71"/>
      <c r="GJ613" s="71"/>
      <c r="GK613" s="71"/>
      <c r="GL613" s="71"/>
      <c r="GM613" s="71"/>
      <c r="GN613" s="71"/>
      <c r="GO613" s="71"/>
      <c r="GP613" s="71"/>
      <c r="GQ613" s="71"/>
      <c r="GR613" s="71"/>
      <c r="GS613" s="71"/>
      <c r="GT613" s="71"/>
      <c r="GU613" s="71"/>
      <c r="GV613" s="71"/>
      <c r="GW613" s="71"/>
      <c r="GX613" s="71"/>
      <c r="GY613" s="71"/>
      <c r="GZ613" s="71"/>
      <c r="HA613" s="71"/>
      <c r="HB613" s="71"/>
      <c r="HC613" s="71"/>
      <c r="HD613" s="71"/>
      <c r="HE613" s="71"/>
      <c r="HF613" s="71"/>
      <c r="HG613" s="71"/>
      <c r="HH613" s="71"/>
      <c r="HI613" s="71"/>
      <c r="HJ613" s="71"/>
      <c r="HK613" s="71"/>
      <c r="HL613" s="71"/>
      <c r="HM613" s="71"/>
      <c r="HN613" s="71"/>
      <c r="HO613" s="71"/>
      <c r="HP613" s="71"/>
      <c r="HQ613" s="71"/>
      <c r="HR613" s="71"/>
      <c r="HS613" s="71"/>
      <c r="HT613" s="71"/>
    </row>
    <row r="614" spans="1:228" s="88" customFormat="1" ht="56.25">
      <c r="A614" s="89" t="s">
        <v>258</v>
      </c>
      <c r="B614" s="110" t="s">
        <v>555</v>
      </c>
      <c r="C614" s="91">
        <v>571000000</v>
      </c>
      <c r="D614" s="79"/>
      <c r="E614" s="127"/>
      <c r="F614" s="127"/>
      <c r="G614" s="114"/>
      <c r="H614" s="114"/>
    </row>
    <row r="615" spans="1:228" s="61" customFormat="1">
      <c r="A615" s="109" t="s">
        <v>91</v>
      </c>
      <c r="B615" s="110" t="s">
        <v>256</v>
      </c>
      <c r="C615" s="91">
        <v>135000000</v>
      </c>
      <c r="D615" s="79"/>
      <c r="E615" s="127"/>
      <c r="F615" s="127"/>
      <c r="G615" s="127"/>
      <c r="H615" s="127"/>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c r="CS615" s="62"/>
      <c r="CT615" s="62"/>
      <c r="CU615" s="62"/>
      <c r="CV615" s="62"/>
      <c r="CW615" s="62"/>
      <c r="CX615" s="62"/>
      <c r="CY615" s="62"/>
      <c r="CZ615" s="62"/>
      <c r="DA615" s="62"/>
      <c r="DB615" s="62"/>
      <c r="DC615" s="62"/>
      <c r="DD615" s="62"/>
      <c r="DE615" s="62"/>
      <c r="DF615" s="62"/>
      <c r="DG615" s="62"/>
      <c r="DH615" s="62"/>
      <c r="DI615" s="62"/>
      <c r="DJ615" s="62"/>
      <c r="DK615" s="62"/>
      <c r="DL615" s="62"/>
      <c r="DM615" s="62"/>
      <c r="DN615" s="62"/>
      <c r="DO615" s="62"/>
      <c r="DP615" s="62"/>
      <c r="DQ615" s="62"/>
      <c r="DR615" s="62"/>
      <c r="DS615" s="62"/>
      <c r="DT615" s="62"/>
      <c r="DU615" s="62"/>
      <c r="DV615" s="62"/>
      <c r="DW615" s="62"/>
      <c r="DX615" s="62"/>
      <c r="DY615" s="62"/>
      <c r="DZ615" s="62"/>
      <c r="EA615" s="62"/>
      <c r="EB615" s="62"/>
      <c r="EC615" s="62"/>
      <c r="ED615" s="62"/>
      <c r="EE615" s="62"/>
      <c r="EF615" s="62"/>
      <c r="EG615" s="62"/>
      <c r="EH615" s="62"/>
      <c r="EI615" s="62"/>
      <c r="EJ615" s="62"/>
      <c r="EK615" s="62"/>
      <c r="EL615" s="62"/>
      <c r="EM615" s="62"/>
      <c r="EN615" s="62"/>
      <c r="EO615" s="62"/>
      <c r="EP615" s="62"/>
      <c r="EQ615" s="62"/>
      <c r="ER615" s="62"/>
      <c r="ES615" s="62"/>
      <c r="ET615" s="62"/>
      <c r="EU615" s="62"/>
      <c r="EV615" s="62"/>
      <c r="EW615" s="62"/>
      <c r="EX615" s="62"/>
      <c r="EY615" s="62"/>
      <c r="EZ615" s="62"/>
      <c r="FA615" s="62"/>
      <c r="FB615" s="62"/>
      <c r="FC615" s="62"/>
      <c r="FD615" s="62"/>
      <c r="FE615" s="62"/>
      <c r="FF615" s="62"/>
      <c r="FG615" s="62"/>
      <c r="FH615" s="62"/>
      <c r="FI615" s="62"/>
      <c r="FJ615" s="62"/>
      <c r="FK615" s="62"/>
      <c r="FL615" s="62"/>
      <c r="FM615" s="62"/>
      <c r="FN615" s="62"/>
      <c r="FO615" s="62"/>
      <c r="FP615" s="62"/>
      <c r="FQ615" s="62"/>
      <c r="FR615" s="62"/>
      <c r="FS615" s="62"/>
      <c r="FT615" s="62"/>
      <c r="FU615" s="62"/>
      <c r="FV615" s="62"/>
      <c r="FW615" s="62"/>
      <c r="FX615" s="62"/>
      <c r="FY615" s="62"/>
      <c r="FZ615" s="62"/>
      <c r="GA615" s="62"/>
      <c r="GB615" s="62"/>
      <c r="GC615" s="62"/>
      <c r="GD615" s="62"/>
      <c r="GE615" s="62"/>
      <c r="GF615" s="62"/>
      <c r="GG615" s="62"/>
      <c r="GH615" s="62"/>
      <c r="GI615" s="62"/>
      <c r="GJ615" s="62"/>
      <c r="GK615" s="62"/>
      <c r="GL615" s="62"/>
      <c r="GM615" s="62"/>
      <c r="GN615" s="62"/>
      <c r="GO615" s="62"/>
      <c r="GP615" s="62"/>
      <c r="GQ615" s="62"/>
      <c r="GR615" s="62"/>
      <c r="GS615" s="62"/>
      <c r="GT615" s="62"/>
      <c r="GU615" s="62"/>
      <c r="GV615" s="62"/>
      <c r="GW615" s="62"/>
      <c r="GX615" s="62"/>
      <c r="GY615" s="62"/>
      <c r="GZ615" s="62"/>
      <c r="HA615" s="62"/>
      <c r="HB615" s="62"/>
      <c r="HC615" s="62"/>
      <c r="HD615" s="62"/>
      <c r="HE615" s="62"/>
      <c r="HF615" s="62"/>
      <c r="HG615" s="62"/>
      <c r="HH615" s="62"/>
      <c r="HI615" s="62"/>
      <c r="HJ615" s="62"/>
      <c r="HK615" s="62"/>
      <c r="HL615" s="62"/>
      <c r="HM615" s="62"/>
      <c r="HN615" s="62"/>
      <c r="HO615" s="62"/>
      <c r="HP615" s="62"/>
      <c r="HQ615" s="62"/>
      <c r="HR615" s="62"/>
      <c r="HS615" s="62"/>
      <c r="HT615" s="62"/>
    </row>
    <row r="616" spans="1:228" s="62" customFormat="1" ht="19.5">
      <c r="A616" s="31" t="s">
        <v>225</v>
      </c>
      <c r="B616" s="101" t="s">
        <v>257</v>
      </c>
      <c r="C616" s="102">
        <v>355000000</v>
      </c>
      <c r="D616" s="38"/>
      <c r="E616" s="116"/>
      <c r="F616" s="116"/>
      <c r="G616" s="131"/>
      <c r="H616" s="131"/>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7"/>
      <c r="FJ616" s="27"/>
      <c r="FK616" s="27"/>
      <c r="FL616" s="27"/>
      <c r="FM616" s="27"/>
      <c r="FN616" s="27"/>
      <c r="FO616" s="27"/>
      <c r="FP616" s="27"/>
      <c r="FQ616" s="27"/>
      <c r="FR616" s="27"/>
      <c r="FS616" s="27"/>
      <c r="FT616" s="27"/>
      <c r="FU616" s="27"/>
      <c r="FV616" s="27"/>
      <c r="FW616" s="27"/>
      <c r="FX616" s="27"/>
      <c r="FY616" s="27"/>
      <c r="FZ616" s="27"/>
      <c r="GA616" s="27"/>
      <c r="GB616" s="27"/>
      <c r="GC616" s="27"/>
      <c r="GD616" s="27"/>
      <c r="GE616" s="27"/>
      <c r="GF616" s="27"/>
      <c r="GG616" s="27"/>
      <c r="GH616" s="27"/>
      <c r="GI616" s="27"/>
      <c r="GJ616" s="27"/>
      <c r="GK616" s="27"/>
      <c r="GL616" s="27"/>
      <c r="GM616" s="27"/>
      <c r="GN616" s="27"/>
      <c r="GO616" s="27"/>
      <c r="GP616" s="27"/>
      <c r="GQ616" s="27"/>
      <c r="GR616" s="27"/>
      <c r="GS616" s="27"/>
      <c r="GT616" s="27"/>
      <c r="GU616" s="27"/>
      <c r="GV616" s="27"/>
      <c r="GW616" s="27"/>
      <c r="GX616" s="27"/>
      <c r="GY616" s="27"/>
      <c r="GZ616" s="27"/>
      <c r="HA616" s="27"/>
      <c r="HB616" s="27"/>
      <c r="HC616" s="27"/>
      <c r="HD616" s="27"/>
      <c r="HE616" s="27"/>
      <c r="HF616" s="27"/>
      <c r="HG616" s="27"/>
      <c r="HH616" s="27"/>
      <c r="HI616" s="27"/>
      <c r="HJ616" s="27"/>
      <c r="HK616" s="27"/>
      <c r="HL616" s="27"/>
      <c r="HM616" s="27"/>
      <c r="HN616" s="27"/>
      <c r="HO616" s="27"/>
      <c r="HP616" s="27"/>
      <c r="HQ616" s="27"/>
      <c r="HR616" s="27"/>
      <c r="HS616" s="27"/>
      <c r="HT616" s="27"/>
    </row>
    <row r="617" spans="1:228" s="62" customFormat="1" ht="56.25">
      <c r="A617" s="89" t="s">
        <v>258</v>
      </c>
      <c r="B617" s="110" t="s">
        <v>556</v>
      </c>
      <c r="C617" s="91">
        <v>285000000</v>
      </c>
      <c r="D617" s="79"/>
      <c r="E617" s="127"/>
      <c r="F617" s="127"/>
      <c r="G617" s="127"/>
      <c r="H617" s="127"/>
    </row>
    <row r="618" spans="1:228" s="62" customFormat="1" ht="37.5">
      <c r="A618" s="89"/>
      <c r="B618" s="64" t="s">
        <v>557</v>
      </c>
      <c r="C618" s="91">
        <v>100000000</v>
      </c>
      <c r="D618" s="79"/>
      <c r="E618" s="127"/>
      <c r="F618" s="127"/>
      <c r="G618" s="127"/>
      <c r="H618" s="127"/>
    </row>
    <row r="619" spans="1:228" s="62" customFormat="1" ht="37.5">
      <c r="A619" s="89"/>
      <c r="B619" s="64" t="s">
        <v>558</v>
      </c>
      <c r="C619" s="91">
        <v>30000000</v>
      </c>
      <c r="D619" s="79"/>
      <c r="E619" s="127"/>
      <c r="F619" s="127"/>
      <c r="G619" s="127"/>
      <c r="H619" s="127"/>
    </row>
    <row r="620" spans="1:228" s="62" customFormat="1" ht="37.5">
      <c r="A620" s="89"/>
      <c r="B620" s="64" t="s">
        <v>559</v>
      </c>
      <c r="C620" s="91">
        <v>20000000</v>
      </c>
      <c r="D620" s="79"/>
      <c r="E620" s="127"/>
      <c r="F620" s="127"/>
      <c r="G620" s="127"/>
      <c r="H620" s="127"/>
    </row>
    <row r="621" spans="1:228" s="62" customFormat="1">
      <c r="A621" s="89"/>
      <c r="B621" s="64" t="s">
        <v>560</v>
      </c>
      <c r="C621" s="91">
        <v>60000000</v>
      </c>
      <c r="D621" s="79"/>
      <c r="E621" s="127"/>
      <c r="F621" s="127"/>
      <c r="G621" s="127"/>
      <c r="H621" s="127"/>
    </row>
    <row r="622" spans="1:228" s="62" customFormat="1">
      <c r="A622" s="89"/>
      <c r="B622" s="64" t="s">
        <v>561</v>
      </c>
      <c r="C622" s="91">
        <v>75000000</v>
      </c>
      <c r="D622" s="79"/>
      <c r="E622" s="127"/>
      <c r="F622" s="127"/>
      <c r="G622" s="127"/>
      <c r="H622" s="127"/>
    </row>
    <row r="623" spans="1:228" ht="37.5">
      <c r="A623" s="72" t="s">
        <v>258</v>
      </c>
      <c r="B623" s="48" t="s">
        <v>525</v>
      </c>
      <c r="C623" s="91">
        <v>5000000</v>
      </c>
      <c r="D623" s="50"/>
      <c r="E623" s="114"/>
      <c r="F623" s="114"/>
      <c r="G623" s="114"/>
      <c r="H623" s="114"/>
    </row>
    <row r="624" spans="1:228">
      <c r="A624" s="72" t="s">
        <v>91</v>
      </c>
      <c r="B624" s="48" t="s">
        <v>562</v>
      </c>
      <c r="C624" s="91">
        <v>50000000</v>
      </c>
      <c r="D624" s="50"/>
      <c r="E624" s="114"/>
      <c r="F624" s="114"/>
      <c r="G624" s="114"/>
      <c r="H624" s="114"/>
    </row>
    <row r="625" spans="1:228">
      <c r="A625" s="72" t="s">
        <v>258</v>
      </c>
      <c r="B625" s="48" t="s">
        <v>563</v>
      </c>
      <c r="C625" s="91">
        <v>15000000</v>
      </c>
      <c r="D625" s="50"/>
      <c r="E625" s="115"/>
      <c r="F625" s="115"/>
      <c r="G625" s="114"/>
      <c r="H625" s="114"/>
    </row>
    <row r="626" spans="1:228">
      <c r="A626" s="72" t="s">
        <v>261</v>
      </c>
      <c r="B626" s="105" t="s">
        <v>262</v>
      </c>
      <c r="C626" s="107">
        <v>49000000</v>
      </c>
      <c r="D626" s="76"/>
      <c r="E626" s="145"/>
      <c r="F626" s="145"/>
      <c r="G626" s="127"/>
      <c r="H626" s="127"/>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c r="EW626" s="62"/>
      <c r="EX626" s="62"/>
      <c r="EY626" s="62"/>
      <c r="EZ626" s="62"/>
      <c r="FA626" s="62"/>
      <c r="FB626" s="62"/>
      <c r="FC626" s="62"/>
      <c r="FD626" s="62"/>
      <c r="FE626" s="62"/>
      <c r="FF626" s="62"/>
      <c r="FG626" s="62"/>
      <c r="FH626" s="62"/>
      <c r="FI626" s="62"/>
      <c r="FJ626" s="62"/>
      <c r="FK626" s="62"/>
      <c r="FL626" s="62"/>
      <c r="FM626" s="62"/>
      <c r="FN626" s="62"/>
      <c r="FO626" s="62"/>
      <c r="FP626" s="62"/>
      <c r="FQ626" s="62"/>
      <c r="FR626" s="62"/>
      <c r="FS626" s="62"/>
      <c r="FT626" s="62"/>
      <c r="FU626" s="62"/>
      <c r="FV626" s="62"/>
      <c r="FW626" s="62"/>
      <c r="FX626" s="62"/>
      <c r="FY626" s="62"/>
      <c r="FZ626" s="62"/>
      <c r="GA626" s="62"/>
      <c r="GB626" s="62"/>
      <c r="GC626" s="62"/>
      <c r="GD626" s="62"/>
      <c r="GE626" s="62"/>
      <c r="GF626" s="62"/>
      <c r="GG626" s="62"/>
      <c r="GH626" s="62"/>
      <c r="GI626" s="62"/>
      <c r="GJ626" s="62"/>
      <c r="GK626" s="62"/>
      <c r="GL626" s="62"/>
      <c r="GM626" s="62"/>
      <c r="GN626" s="62"/>
      <c r="GO626" s="62"/>
      <c r="GP626" s="62"/>
      <c r="GQ626" s="62"/>
      <c r="GR626" s="62"/>
      <c r="GS626" s="62"/>
      <c r="GT626" s="62"/>
      <c r="GU626" s="62"/>
      <c r="GV626" s="62"/>
      <c r="GW626" s="62"/>
      <c r="GX626" s="62"/>
      <c r="GY626" s="62"/>
      <c r="GZ626" s="62"/>
      <c r="HA626" s="62"/>
      <c r="HB626" s="62"/>
      <c r="HC626" s="62"/>
      <c r="HD626" s="62"/>
      <c r="HE626" s="62"/>
      <c r="HF626" s="62"/>
      <c r="HG626" s="62"/>
      <c r="HH626" s="62"/>
      <c r="HI626" s="62"/>
      <c r="HJ626" s="62"/>
      <c r="HK626" s="62"/>
      <c r="HL626" s="62"/>
      <c r="HM626" s="62"/>
      <c r="HN626" s="62"/>
      <c r="HO626" s="62"/>
      <c r="HP626" s="62"/>
      <c r="HQ626" s="62"/>
      <c r="HR626" s="62"/>
      <c r="HS626" s="62"/>
      <c r="HT626" s="62"/>
    </row>
    <row r="627" spans="1:228">
      <c r="A627" s="89"/>
      <c r="B627" s="90" t="s">
        <v>263</v>
      </c>
      <c r="C627" s="91">
        <v>49000000</v>
      </c>
      <c r="D627" s="79"/>
      <c r="E627" s="127"/>
      <c r="F627" s="127"/>
      <c r="G627" s="114"/>
      <c r="H627" s="114"/>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62"/>
      <c r="CF627" s="62"/>
      <c r="CG627" s="6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c r="DO627" s="62"/>
      <c r="DP627" s="62"/>
      <c r="DQ627" s="62"/>
      <c r="DR627" s="62"/>
      <c r="DS627" s="62"/>
      <c r="DT627" s="62"/>
      <c r="DU627" s="62"/>
      <c r="DV627" s="62"/>
      <c r="DW627" s="62"/>
      <c r="DX627" s="62"/>
      <c r="DY627" s="62"/>
      <c r="DZ627" s="62"/>
      <c r="EA627" s="62"/>
      <c r="EB627" s="62"/>
      <c r="EC627" s="62"/>
      <c r="ED627" s="62"/>
      <c r="EE627" s="62"/>
      <c r="EF627" s="62"/>
      <c r="EG627" s="62"/>
      <c r="EH627" s="62"/>
      <c r="EI627" s="62"/>
      <c r="EJ627" s="62"/>
      <c r="EK627" s="62"/>
      <c r="EL627" s="62"/>
      <c r="EM627" s="62"/>
      <c r="EN627" s="62"/>
      <c r="EO627" s="62"/>
      <c r="EP627" s="62"/>
      <c r="EQ627" s="62"/>
      <c r="ER627" s="62"/>
      <c r="ES627" s="62"/>
      <c r="ET627" s="62"/>
      <c r="EU627" s="62"/>
      <c r="EV627" s="62"/>
      <c r="EW627" s="62"/>
      <c r="EX627" s="62"/>
      <c r="EY627" s="62"/>
      <c r="EZ627" s="62"/>
      <c r="FA627" s="62"/>
      <c r="FB627" s="62"/>
      <c r="FC627" s="62"/>
      <c r="FD627" s="62"/>
      <c r="FE627" s="62"/>
      <c r="FF627" s="62"/>
      <c r="FG627" s="62"/>
      <c r="FH627" s="62"/>
      <c r="FI627" s="62"/>
      <c r="FJ627" s="62"/>
      <c r="FK627" s="62"/>
      <c r="FL627" s="62"/>
      <c r="FM627" s="62"/>
      <c r="FN627" s="62"/>
      <c r="FO627" s="62"/>
      <c r="FP627" s="62"/>
      <c r="FQ627" s="62"/>
      <c r="FR627" s="62"/>
      <c r="FS627" s="62"/>
      <c r="FT627" s="62"/>
      <c r="FU627" s="62"/>
      <c r="FV627" s="62"/>
      <c r="FW627" s="62"/>
      <c r="FX627" s="62"/>
      <c r="FY627" s="62"/>
      <c r="FZ627" s="62"/>
      <c r="GA627" s="62"/>
      <c r="GB627" s="62"/>
      <c r="GC627" s="62"/>
      <c r="GD627" s="62"/>
      <c r="GE627" s="62"/>
      <c r="GF627" s="62"/>
      <c r="GG627" s="62"/>
      <c r="GH627" s="62"/>
      <c r="GI627" s="62"/>
      <c r="GJ627" s="62"/>
      <c r="GK627" s="62"/>
      <c r="GL627" s="62"/>
      <c r="GM627" s="62"/>
      <c r="GN627" s="62"/>
      <c r="GO627" s="62"/>
      <c r="GP627" s="62"/>
      <c r="GQ627" s="62"/>
      <c r="GR627" s="62"/>
      <c r="GS627" s="62"/>
      <c r="GT627" s="62"/>
      <c r="GU627" s="62"/>
      <c r="GV627" s="62"/>
      <c r="GW627" s="62"/>
      <c r="GX627" s="62"/>
      <c r="GY627" s="62"/>
      <c r="GZ627" s="62"/>
      <c r="HA627" s="62"/>
      <c r="HB627" s="62"/>
      <c r="HC627" s="62"/>
      <c r="HD627" s="62"/>
      <c r="HE627" s="62"/>
      <c r="HF627" s="62"/>
      <c r="HG627" s="62"/>
      <c r="HH627" s="62"/>
      <c r="HI627" s="62"/>
      <c r="HJ627" s="62"/>
      <c r="HK627" s="62"/>
      <c r="HL627" s="62"/>
      <c r="HM627" s="62"/>
      <c r="HN627" s="62"/>
      <c r="HO627" s="62"/>
      <c r="HP627" s="62"/>
      <c r="HQ627" s="62"/>
      <c r="HR627" s="62"/>
      <c r="HS627" s="62"/>
      <c r="HT627" s="62"/>
    </row>
    <row r="628" spans="1:228">
      <c r="A628" s="89"/>
      <c r="B628" s="65"/>
      <c r="C628" s="91"/>
      <c r="D628" s="79"/>
      <c r="E628" s="127"/>
      <c r="F628" s="127"/>
      <c r="G628" s="114"/>
      <c r="H628" s="114"/>
    </row>
    <row r="629" spans="1:228" s="61" customFormat="1">
      <c r="A629" s="32">
        <v>4</v>
      </c>
      <c r="B629" s="41" t="s">
        <v>218</v>
      </c>
      <c r="C629" s="37">
        <v>1253000000</v>
      </c>
      <c r="D629" s="38"/>
      <c r="E629" s="123"/>
      <c r="F629" s="123"/>
      <c r="G629" s="132"/>
      <c r="H629" s="132"/>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c r="CL629" s="27"/>
      <c r="CM629" s="27"/>
      <c r="CN629" s="27"/>
      <c r="CO629" s="27"/>
      <c r="CP629" s="27"/>
      <c r="CQ629" s="27"/>
      <c r="CR629" s="27"/>
      <c r="CS629" s="27"/>
      <c r="CT629" s="27"/>
      <c r="CU629" s="27"/>
      <c r="CV629" s="27"/>
      <c r="CW629" s="27"/>
      <c r="CX629" s="27"/>
      <c r="CY629" s="27"/>
      <c r="CZ629" s="27"/>
      <c r="DA629" s="27"/>
      <c r="DB629" s="27"/>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c r="FH629" s="27"/>
      <c r="FI629" s="27"/>
      <c r="FJ629" s="27"/>
      <c r="FK629" s="27"/>
      <c r="FL629" s="27"/>
      <c r="FM629" s="27"/>
      <c r="FN629" s="27"/>
      <c r="FO629" s="27"/>
      <c r="FP629" s="27"/>
      <c r="FQ629" s="27"/>
      <c r="FR629" s="27"/>
      <c r="FS629" s="27"/>
      <c r="FT629" s="27"/>
      <c r="FU629" s="27"/>
      <c r="FV629" s="27"/>
      <c r="FW629" s="27"/>
      <c r="FX629" s="27"/>
      <c r="FY629" s="27"/>
      <c r="FZ629" s="27"/>
      <c r="GA629" s="27"/>
      <c r="GB629" s="27"/>
      <c r="GC629" s="27"/>
      <c r="GD629" s="27"/>
      <c r="GE629" s="27"/>
      <c r="GF629" s="27"/>
      <c r="GG629" s="27"/>
      <c r="GH629" s="27"/>
      <c r="GI629" s="27"/>
      <c r="GJ629" s="27"/>
      <c r="GK629" s="27"/>
      <c r="GL629" s="27"/>
      <c r="GM629" s="27"/>
      <c r="GN629" s="27"/>
      <c r="GO629" s="27"/>
      <c r="GP629" s="27"/>
      <c r="GQ629" s="27"/>
      <c r="GR629" s="27"/>
      <c r="GS629" s="27"/>
      <c r="GT629" s="27"/>
      <c r="GU629" s="27"/>
      <c r="GV629" s="27"/>
      <c r="GW629" s="27"/>
      <c r="GX629" s="27"/>
      <c r="GY629" s="27"/>
      <c r="GZ629" s="27"/>
      <c r="HA629" s="27"/>
      <c r="HB629" s="27"/>
      <c r="HC629" s="27"/>
      <c r="HD629" s="27"/>
      <c r="HE629" s="27"/>
      <c r="HF629" s="27"/>
      <c r="HG629" s="27"/>
      <c r="HH629" s="27"/>
      <c r="HI629" s="27"/>
      <c r="HJ629" s="27"/>
      <c r="HK629" s="27"/>
      <c r="HL629" s="27"/>
      <c r="HM629" s="27"/>
      <c r="HN629" s="27"/>
      <c r="HO629" s="27"/>
      <c r="HP629" s="27"/>
      <c r="HQ629" s="27"/>
      <c r="HR629" s="27"/>
      <c r="HS629" s="27"/>
      <c r="HT629" s="27"/>
    </row>
    <row r="630" spans="1:228" s="47" customFormat="1" ht="19.5">
      <c r="A630" s="31" t="s">
        <v>222</v>
      </c>
      <c r="B630" s="101" t="s">
        <v>252</v>
      </c>
      <c r="C630" s="84">
        <v>656000000</v>
      </c>
      <c r="D630" s="92"/>
      <c r="E630" s="131"/>
      <c r="F630" s="131"/>
      <c r="G630" s="117"/>
      <c r="H630" s="117"/>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c r="AT630" s="71"/>
      <c r="AU630" s="71"/>
      <c r="AV630" s="71"/>
      <c r="AW630" s="71"/>
      <c r="AX630" s="71"/>
      <c r="AY630" s="71"/>
      <c r="AZ630" s="71"/>
      <c r="BA630" s="71"/>
      <c r="BB630" s="71"/>
      <c r="BC630" s="71"/>
      <c r="BD630" s="71"/>
      <c r="BE630" s="71"/>
      <c r="BF630" s="71"/>
      <c r="BG630" s="71"/>
      <c r="BH630" s="71"/>
      <c r="BI630" s="71"/>
      <c r="BJ630" s="71"/>
      <c r="BK630" s="71"/>
      <c r="BL630" s="71"/>
      <c r="BM630" s="71"/>
      <c r="BN630" s="71"/>
      <c r="BO630" s="71"/>
      <c r="BP630" s="71"/>
      <c r="BQ630" s="71"/>
      <c r="BR630" s="71"/>
      <c r="BS630" s="71"/>
      <c r="BT630" s="71"/>
      <c r="BU630" s="71"/>
      <c r="BV630" s="71"/>
      <c r="BW630" s="71"/>
      <c r="BX630" s="71"/>
      <c r="BY630" s="71"/>
      <c r="BZ630" s="71"/>
      <c r="CA630" s="71"/>
      <c r="CB630" s="71"/>
      <c r="CC630" s="71"/>
      <c r="CD630" s="71"/>
      <c r="CE630" s="71"/>
      <c r="CF630" s="71"/>
      <c r="CG630" s="71"/>
      <c r="CH630" s="71"/>
      <c r="CI630" s="71"/>
      <c r="CJ630" s="71"/>
      <c r="CK630" s="71"/>
      <c r="CL630" s="71"/>
      <c r="CM630" s="71"/>
      <c r="CN630" s="71"/>
      <c r="CO630" s="71"/>
      <c r="CP630" s="71"/>
      <c r="CQ630" s="71"/>
      <c r="CR630" s="71"/>
      <c r="CS630" s="71"/>
      <c r="CT630" s="71"/>
      <c r="CU630" s="71"/>
      <c r="CV630" s="71"/>
      <c r="CW630" s="71"/>
      <c r="CX630" s="71"/>
      <c r="CY630" s="71"/>
      <c r="CZ630" s="71"/>
      <c r="DA630" s="71"/>
      <c r="DB630" s="71"/>
      <c r="DC630" s="71"/>
      <c r="DD630" s="71"/>
      <c r="DE630" s="71"/>
      <c r="DF630" s="71"/>
      <c r="DG630" s="71"/>
      <c r="DH630" s="71"/>
      <c r="DI630" s="71"/>
      <c r="DJ630" s="71"/>
      <c r="DK630" s="71"/>
      <c r="DL630" s="71"/>
      <c r="DM630" s="71"/>
      <c r="DN630" s="71"/>
      <c r="DO630" s="71"/>
      <c r="DP630" s="71"/>
      <c r="DQ630" s="71"/>
      <c r="DR630" s="71"/>
      <c r="DS630" s="71"/>
      <c r="DT630" s="71"/>
      <c r="DU630" s="71"/>
      <c r="DV630" s="71"/>
      <c r="DW630" s="71"/>
      <c r="DX630" s="71"/>
      <c r="DY630" s="71"/>
      <c r="DZ630" s="71"/>
      <c r="EA630" s="71"/>
      <c r="EB630" s="71"/>
      <c r="EC630" s="71"/>
      <c r="ED630" s="71"/>
      <c r="EE630" s="71"/>
      <c r="EF630" s="71"/>
      <c r="EG630" s="71"/>
      <c r="EH630" s="71"/>
      <c r="EI630" s="71"/>
      <c r="EJ630" s="71"/>
      <c r="EK630" s="71"/>
      <c r="EL630" s="71"/>
      <c r="EM630" s="71"/>
      <c r="EN630" s="71"/>
      <c r="EO630" s="71"/>
      <c r="EP630" s="71"/>
      <c r="EQ630" s="71"/>
      <c r="ER630" s="71"/>
      <c r="ES630" s="71"/>
      <c r="ET630" s="71"/>
      <c r="EU630" s="71"/>
      <c r="EV630" s="71"/>
      <c r="EW630" s="71"/>
      <c r="EX630" s="71"/>
      <c r="EY630" s="71"/>
      <c r="EZ630" s="71"/>
      <c r="FA630" s="71"/>
      <c r="FB630" s="71"/>
      <c r="FC630" s="71"/>
      <c r="FD630" s="71"/>
      <c r="FE630" s="71"/>
      <c r="FF630" s="71"/>
      <c r="FG630" s="71"/>
      <c r="FH630" s="71"/>
      <c r="FI630" s="71"/>
      <c r="FJ630" s="71"/>
      <c r="FK630" s="71"/>
      <c r="FL630" s="71"/>
      <c r="FM630" s="71"/>
      <c r="FN630" s="71"/>
      <c r="FO630" s="71"/>
      <c r="FP630" s="71"/>
      <c r="FQ630" s="71"/>
      <c r="FR630" s="71"/>
      <c r="FS630" s="71"/>
      <c r="FT630" s="71"/>
      <c r="FU630" s="71"/>
      <c r="FV630" s="71"/>
      <c r="FW630" s="71"/>
      <c r="FX630" s="71"/>
      <c r="FY630" s="71"/>
      <c r="FZ630" s="71"/>
      <c r="GA630" s="71"/>
      <c r="GB630" s="71"/>
      <c r="GC630" s="71"/>
      <c r="GD630" s="71"/>
      <c r="GE630" s="71"/>
      <c r="GF630" s="71"/>
      <c r="GG630" s="71"/>
      <c r="GH630" s="71"/>
      <c r="GI630" s="71"/>
      <c r="GJ630" s="71"/>
      <c r="GK630" s="71"/>
      <c r="GL630" s="71"/>
      <c r="GM630" s="71"/>
      <c r="GN630" s="71"/>
      <c r="GO630" s="71"/>
      <c r="GP630" s="71"/>
      <c r="GQ630" s="71"/>
      <c r="GR630" s="71"/>
      <c r="GS630" s="71"/>
      <c r="GT630" s="71"/>
      <c r="GU630" s="71"/>
      <c r="GV630" s="71"/>
      <c r="GW630" s="71"/>
      <c r="GX630" s="71"/>
      <c r="GY630" s="71"/>
      <c r="GZ630" s="71"/>
      <c r="HA630" s="71"/>
      <c r="HB630" s="71"/>
      <c r="HC630" s="71"/>
      <c r="HD630" s="71"/>
      <c r="HE630" s="71"/>
      <c r="HF630" s="71"/>
      <c r="HG630" s="71"/>
      <c r="HH630" s="71"/>
      <c r="HI630" s="71"/>
      <c r="HJ630" s="71"/>
      <c r="HK630" s="71"/>
      <c r="HL630" s="71"/>
      <c r="HM630" s="71"/>
      <c r="HN630" s="71"/>
      <c r="HO630" s="71"/>
      <c r="HP630" s="71"/>
      <c r="HQ630" s="71"/>
      <c r="HR630" s="71"/>
      <c r="HS630" s="71"/>
      <c r="HT630" s="71"/>
    </row>
    <row r="631" spans="1:228" s="43" customFormat="1" ht="37.5">
      <c r="A631" s="89" t="s">
        <v>258</v>
      </c>
      <c r="B631" s="110" t="s">
        <v>377</v>
      </c>
      <c r="C631" s="91">
        <v>548000000</v>
      </c>
      <c r="D631" s="79"/>
      <c r="E631" s="127"/>
      <c r="F631" s="127"/>
      <c r="G631" s="114"/>
      <c r="H631" s="114"/>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c r="BF631" s="47"/>
      <c r="BG631" s="47"/>
      <c r="BH631" s="47"/>
      <c r="BI631" s="47"/>
      <c r="BJ631" s="47"/>
      <c r="BK631" s="47"/>
      <c r="BL631" s="47"/>
      <c r="BM631" s="47"/>
      <c r="BN631" s="47"/>
      <c r="BO631" s="47"/>
      <c r="BP631" s="47"/>
      <c r="BQ631" s="47"/>
      <c r="BR631" s="47"/>
      <c r="BS631" s="47"/>
      <c r="BT631" s="47"/>
      <c r="BU631" s="47"/>
      <c r="BV631" s="47"/>
      <c r="BW631" s="47"/>
      <c r="BX631" s="47"/>
      <c r="BY631" s="47"/>
      <c r="BZ631" s="47"/>
      <c r="CA631" s="47"/>
      <c r="CB631" s="47"/>
      <c r="CC631" s="47"/>
      <c r="CD631" s="47"/>
      <c r="CE631" s="47"/>
      <c r="CF631" s="47"/>
      <c r="CG631" s="47"/>
      <c r="CH631" s="47"/>
      <c r="CI631" s="47"/>
      <c r="CJ631" s="47"/>
      <c r="CK631" s="47"/>
      <c r="CL631" s="47"/>
      <c r="CM631" s="47"/>
      <c r="CN631" s="47"/>
      <c r="CO631" s="47"/>
      <c r="CP631" s="47"/>
      <c r="CQ631" s="47"/>
      <c r="CR631" s="47"/>
      <c r="CS631" s="47"/>
      <c r="CT631" s="47"/>
      <c r="CU631" s="47"/>
      <c r="CV631" s="47"/>
      <c r="CW631" s="47"/>
      <c r="CX631" s="47"/>
      <c r="CY631" s="47"/>
      <c r="CZ631" s="47"/>
      <c r="DA631" s="47"/>
      <c r="DB631" s="47"/>
      <c r="DC631" s="47"/>
      <c r="DD631" s="47"/>
      <c r="DE631" s="47"/>
      <c r="DF631" s="47"/>
      <c r="DG631" s="47"/>
      <c r="DH631" s="47"/>
      <c r="DI631" s="47"/>
      <c r="DJ631" s="47"/>
      <c r="DK631" s="47"/>
      <c r="DL631" s="47"/>
      <c r="DM631" s="47"/>
      <c r="DN631" s="47"/>
      <c r="DO631" s="47"/>
      <c r="DP631" s="47"/>
      <c r="DQ631" s="47"/>
      <c r="DR631" s="47"/>
      <c r="DS631" s="47"/>
      <c r="DT631" s="47"/>
      <c r="DU631" s="47"/>
      <c r="DV631" s="47"/>
      <c r="DW631" s="47"/>
      <c r="DX631" s="47"/>
      <c r="DY631" s="47"/>
      <c r="DZ631" s="47"/>
      <c r="EA631" s="47"/>
      <c r="EB631" s="47"/>
      <c r="EC631" s="47"/>
      <c r="ED631" s="47"/>
      <c r="EE631" s="47"/>
      <c r="EF631" s="47"/>
      <c r="EG631" s="47"/>
      <c r="EH631" s="47"/>
      <c r="EI631" s="47"/>
      <c r="EJ631" s="47"/>
      <c r="EK631" s="47"/>
      <c r="EL631" s="47"/>
      <c r="EM631" s="47"/>
      <c r="EN631" s="47"/>
      <c r="EO631" s="47"/>
      <c r="EP631" s="47"/>
      <c r="EQ631" s="47"/>
      <c r="ER631" s="47"/>
      <c r="ES631" s="47"/>
      <c r="ET631" s="47"/>
      <c r="EU631" s="47"/>
      <c r="EV631" s="47"/>
      <c r="EW631" s="47"/>
      <c r="EX631" s="47"/>
      <c r="EY631" s="47"/>
      <c r="EZ631" s="47"/>
      <c r="FA631" s="47"/>
      <c r="FB631" s="47"/>
      <c r="FC631" s="47"/>
      <c r="FD631" s="47"/>
      <c r="FE631" s="47"/>
      <c r="FF631" s="47"/>
      <c r="FG631" s="47"/>
      <c r="FH631" s="47"/>
      <c r="FI631" s="47"/>
      <c r="FJ631" s="47"/>
      <c r="FK631" s="47"/>
      <c r="FL631" s="47"/>
      <c r="FM631" s="47"/>
      <c r="FN631" s="47"/>
      <c r="FO631" s="47"/>
      <c r="FP631" s="47"/>
      <c r="FQ631" s="47"/>
      <c r="FR631" s="47"/>
      <c r="FS631" s="47"/>
      <c r="FT631" s="47"/>
      <c r="FU631" s="47"/>
      <c r="FV631" s="47"/>
      <c r="FW631" s="47"/>
      <c r="FX631" s="47"/>
      <c r="FY631" s="47"/>
      <c r="FZ631" s="47"/>
      <c r="GA631" s="47"/>
      <c r="GB631" s="47"/>
      <c r="GC631" s="47"/>
      <c r="GD631" s="47"/>
      <c r="GE631" s="47"/>
      <c r="GF631" s="47"/>
      <c r="GG631" s="47"/>
      <c r="GH631" s="47"/>
      <c r="GI631" s="47"/>
      <c r="GJ631" s="47"/>
      <c r="GK631" s="47"/>
      <c r="GL631" s="47"/>
      <c r="GM631" s="47"/>
      <c r="GN631" s="47"/>
      <c r="GO631" s="47"/>
      <c r="GP631" s="47"/>
      <c r="GQ631" s="47"/>
      <c r="GR631" s="47"/>
      <c r="GS631" s="47"/>
      <c r="GT631" s="47"/>
      <c r="GU631" s="47"/>
      <c r="GV631" s="47"/>
      <c r="GW631" s="47"/>
      <c r="GX631" s="47"/>
      <c r="GY631" s="47"/>
      <c r="GZ631" s="47"/>
      <c r="HA631" s="47"/>
      <c r="HB631" s="47"/>
      <c r="HC631" s="47"/>
      <c r="HD631" s="47"/>
      <c r="HE631" s="47"/>
      <c r="HF631" s="47"/>
      <c r="HG631" s="47"/>
      <c r="HH631" s="47"/>
      <c r="HI631" s="47"/>
      <c r="HJ631" s="47"/>
      <c r="HK631" s="47"/>
      <c r="HL631" s="47"/>
      <c r="HM631" s="47"/>
      <c r="HN631" s="47"/>
      <c r="HO631" s="47"/>
      <c r="HP631" s="47"/>
      <c r="HQ631" s="47"/>
      <c r="HR631" s="47"/>
      <c r="HS631" s="47"/>
      <c r="HT631" s="47"/>
    </row>
    <row r="632" spans="1:228" s="61" customFormat="1">
      <c r="A632" s="109" t="s">
        <v>91</v>
      </c>
      <c r="B632" s="110" t="s">
        <v>256</v>
      </c>
      <c r="C632" s="91">
        <v>108000000</v>
      </c>
      <c r="D632" s="79"/>
      <c r="E632" s="127"/>
      <c r="F632" s="127"/>
      <c r="G632" s="127"/>
      <c r="H632" s="127"/>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c r="FY632" s="29"/>
      <c r="FZ632" s="29"/>
      <c r="GA632" s="29"/>
      <c r="GB632" s="29"/>
      <c r="GC632" s="29"/>
      <c r="GD632" s="29"/>
      <c r="GE632" s="29"/>
      <c r="GF632" s="29"/>
      <c r="GG632" s="29"/>
      <c r="GH632" s="29"/>
      <c r="GI632" s="29"/>
      <c r="GJ632" s="29"/>
      <c r="GK632" s="29"/>
      <c r="GL632" s="29"/>
      <c r="GM632" s="29"/>
      <c r="GN632" s="29"/>
      <c r="GO632" s="29"/>
      <c r="GP632" s="29"/>
      <c r="GQ632" s="29"/>
      <c r="GR632" s="29"/>
      <c r="GS632" s="29"/>
      <c r="GT632" s="29"/>
      <c r="GU632" s="29"/>
      <c r="GV632" s="29"/>
      <c r="GW632" s="29"/>
      <c r="GX632" s="29"/>
      <c r="GY632" s="29"/>
      <c r="GZ632" s="29"/>
      <c r="HA632" s="29"/>
      <c r="HB632" s="29"/>
      <c r="HC632" s="29"/>
      <c r="HD632" s="29"/>
      <c r="HE632" s="29"/>
      <c r="HF632" s="29"/>
      <c r="HG632" s="29"/>
      <c r="HH632" s="29"/>
      <c r="HI632" s="29"/>
      <c r="HJ632" s="29"/>
      <c r="HK632" s="29"/>
      <c r="HL632" s="29"/>
      <c r="HM632" s="29"/>
      <c r="HN632" s="29"/>
      <c r="HO632" s="29"/>
      <c r="HP632" s="29"/>
      <c r="HQ632" s="29"/>
      <c r="HR632" s="29"/>
      <c r="HS632" s="29"/>
      <c r="HT632" s="29"/>
    </row>
    <row r="633" spans="1:228" s="62" customFormat="1" ht="19.5">
      <c r="A633" s="31" t="s">
        <v>225</v>
      </c>
      <c r="B633" s="101" t="s">
        <v>257</v>
      </c>
      <c r="C633" s="102">
        <v>597000000</v>
      </c>
      <c r="D633" s="38"/>
      <c r="E633" s="116"/>
      <c r="F633" s="116"/>
      <c r="G633" s="131"/>
      <c r="H633" s="131"/>
    </row>
    <row r="634" spans="1:228">
      <c r="A634" s="63" t="s">
        <v>258</v>
      </c>
      <c r="B634" s="110" t="s">
        <v>564</v>
      </c>
      <c r="C634" s="65">
        <v>200000000</v>
      </c>
      <c r="D634" s="79"/>
      <c r="E634" s="118"/>
      <c r="F634" s="118"/>
      <c r="G634" s="212"/>
      <c r="H634" s="21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c r="CS634" s="62"/>
      <c r="CT634" s="62"/>
      <c r="CU634" s="62"/>
      <c r="CV634" s="62"/>
      <c r="CW634" s="62"/>
      <c r="CX634" s="62"/>
      <c r="CY634" s="62"/>
      <c r="CZ634" s="62"/>
      <c r="DA634" s="62"/>
      <c r="DB634" s="62"/>
      <c r="DC634" s="62"/>
      <c r="DD634" s="62"/>
      <c r="DE634" s="62"/>
      <c r="DF634" s="62"/>
      <c r="DG634" s="62"/>
      <c r="DH634" s="62"/>
      <c r="DI634" s="62"/>
      <c r="DJ634" s="62"/>
      <c r="DK634" s="62"/>
      <c r="DL634" s="62"/>
      <c r="DM634" s="62"/>
      <c r="DN634" s="62"/>
      <c r="DO634" s="62"/>
      <c r="DP634" s="62"/>
      <c r="DQ634" s="62"/>
      <c r="DR634" s="62"/>
      <c r="DS634" s="62"/>
      <c r="DT634" s="62"/>
      <c r="DU634" s="62"/>
      <c r="DV634" s="62"/>
      <c r="DW634" s="62"/>
      <c r="DX634" s="62"/>
      <c r="DY634" s="62"/>
      <c r="DZ634" s="62"/>
      <c r="EA634" s="62"/>
      <c r="EB634" s="62"/>
      <c r="EC634" s="62"/>
      <c r="ED634" s="62"/>
      <c r="EE634" s="62"/>
      <c r="EF634" s="62"/>
      <c r="EG634" s="62"/>
      <c r="EH634" s="62"/>
      <c r="EI634" s="62"/>
      <c r="EJ634" s="62"/>
      <c r="EK634" s="62"/>
      <c r="EL634" s="62"/>
      <c r="EM634" s="62"/>
      <c r="EN634" s="62"/>
      <c r="EO634" s="62"/>
      <c r="EP634" s="62"/>
      <c r="EQ634" s="62"/>
      <c r="ER634" s="62"/>
      <c r="ES634" s="62"/>
      <c r="ET634" s="62"/>
      <c r="EU634" s="62"/>
      <c r="EV634" s="62"/>
      <c r="EW634" s="62"/>
      <c r="EX634" s="62"/>
      <c r="EY634" s="62"/>
      <c r="EZ634" s="62"/>
      <c r="FA634" s="62"/>
      <c r="FB634" s="62"/>
      <c r="FC634" s="62"/>
      <c r="FD634" s="62"/>
      <c r="FE634" s="62"/>
      <c r="FF634" s="62"/>
      <c r="FG634" s="62"/>
      <c r="FH634" s="62"/>
      <c r="FI634" s="62"/>
      <c r="FJ634" s="62"/>
      <c r="FK634" s="62"/>
      <c r="FL634" s="62"/>
      <c r="FM634" s="62"/>
      <c r="FN634" s="62"/>
      <c r="FO634" s="62"/>
      <c r="FP634" s="62"/>
      <c r="FQ634" s="62"/>
      <c r="FR634" s="62"/>
      <c r="FS634" s="62"/>
      <c r="FT634" s="62"/>
      <c r="FU634" s="62"/>
      <c r="FV634" s="62"/>
      <c r="FW634" s="62"/>
      <c r="FX634" s="62"/>
      <c r="FY634" s="62"/>
      <c r="FZ634" s="62"/>
      <c r="GA634" s="62"/>
      <c r="GB634" s="62"/>
      <c r="GC634" s="62"/>
      <c r="GD634" s="62"/>
      <c r="GE634" s="62"/>
      <c r="GF634" s="62"/>
      <c r="GG634" s="62"/>
      <c r="GH634" s="62"/>
      <c r="GI634" s="62"/>
      <c r="GJ634" s="62"/>
      <c r="GK634" s="62"/>
      <c r="GL634" s="62"/>
      <c r="GM634" s="62"/>
      <c r="GN634" s="62"/>
      <c r="GO634" s="62"/>
      <c r="GP634" s="62"/>
      <c r="GQ634" s="62"/>
      <c r="GR634" s="62"/>
      <c r="GS634" s="62"/>
      <c r="GT634" s="62"/>
      <c r="GU634" s="62"/>
      <c r="GV634" s="62"/>
      <c r="GW634" s="62"/>
      <c r="GX634" s="62"/>
      <c r="GY634" s="62"/>
      <c r="GZ634" s="62"/>
      <c r="HA634" s="62"/>
      <c r="HB634" s="62"/>
      <c r="HC634" s="62"/>
      <c r="HD634" s="62"/>
      <c r="HE634" s="62"/>
      <c r="HF634" s="62"/>
      <c r="HG634" s="62"/>
      <c r="HH634" s="62"/>
      <c r="HI634" s="62"/>
      <c r="HJ634" s="62"/>
      <c r="HK634" s="62"/>
      <c r="HL634" s="62"/>
      <c r="HM634" s="62"/>
      <c r="HN634" s="62"/>
      <c r="HO634" s="62"/>
      <c r="HP634" s="62"/>
      <c r="HQ634" s="62"/>
      <c r="HR634" s="62"/>
      <c r="HS634" s="62"/>
      <c r="HT634" s="62"/>
    </row>
    <row r="635" spans="1:228" s="62" customFormat="1">
      <c r="A635" s="63" t="s">
        <v>258</v>
      </c>
      <c r="B635" s="213" t="s">
        <v>409</v>
      </c>
      <c r="C635" s="65">
        <v>15000000</v>
      </c>
      <c r="D635" s="79"/>
      <c r="E635" s="118"/>
      <c r="F635" s="118"/>
      <c r="G635" s="118"/>
      <c r="H635" s="118"/>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61"/>
      <c r="DM635" s="61"/>
      <c r="DN635" s="61"/>
      <c r="DO635" s="61"/>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61"/>
      <c r="EX635" s="61"/>
      <c r="EY635" s="61"/>
      <c r="EZ635" s="61"/>
      <c r="FA635" s="61"/>
      <c r="FB635" s="61"/>
      <c r="FC635" s="61"/>
      <c r="FD635" s="61"/>
      <c r="FE635" s="61"/>
      <c r="FF635" s="61"/>
      <c r="FG635" s="61"/>
      <c r="FH635" s="61"/>
      <c r="FI635" s="61"/>
      <c r="FJ635" s="61"/>
      <c r="FK635" s="61"/>
      <c r="FL635" s="61"/>
      <c r="FM635" s="61"/>
      <c r="FN635" s="61"/>
      <c r="FO635" s="61"/>
      <c r="FP635" s="61"/>
      <c r="FQ635" s="61"/>
      <c r="FR635" s="61"/>
      <c r="FS635" s="61"/>
      <c r="FT635" s="61"/>
      <c r="FU635" s="61"/>
      <c r="FV635" s="61"/>
      <c r="FW635" s="61"/>
      <c r="FX635" s="61"/>
      <c r="FY635" s="61"/>
      <c r="FZ635" s="61"/>
      <c r="GA635" s="61"/>
      <c r="GB635" s="61"/>
      <c r="GC635" s="61"/>
      <c r="GD635" s="61"/>
      <c r="GE635" s="61"/>
      <c r="GF635" s="61"/>
      <c r="GG635" s="61"/>
      <c r="GH635" s="61"/>
      <c r="GI635" s="61"/>
      <c r="GJ635" s="61"/>
      <c r="GK635" s="61"/>
      <c r="GL635" s="61"/>
      <c r="GM635" s="61"/>
      <c r="GN635" s="61"/>
      <c r="GO635" s="61"/>
      <c r="GP635" s="61"/>
      <c r="GQ635" s="61"/>
      <c r="GR635" s="61"/>
      <c r="GS635" s="61"/>
      <c r="GT635" s="61"/>
      <c r="GU635" s="61"/>
      <c r="GV635" s="61"/>
      <c r="GW635" s="61"/>
      <c r="GX635" s="61"/>
      <c r="GY635" s="61"/>
      <c r="GZ635" s="61"/>
      <c r="HA635" s="61"/>
      <c r="HB635" s="61"/>
      <c r="HC635" s="61"/>
      <c r="HD635" s="61"/>
      <c r="HE635" s="61"/>
      <c r="HF635" s="61"/>
      <c r="HG635" s="61"/>
      <c r="HH635" s="61"/>
      <c r="HI635" s="61"/>
      <c r="HJ635" s="61"/>
      <c r="HK635" s="61"/>
      <c r="HL635" s="61"/>
      <c r="HM635" s="61"/>
      <c r="HN635" s="61"/>
      <c r="HO635" s="61"/>
      <c r="HP635" s="61"/>
      <c r="HQ635" s="61"/>
      <c r="HR635" s="61"/>
      <c r="HS635" s="61"/>
      <c r="HT635" s="61"/>
    </row>
    <row r="636" spans="1:228" s="62" customFormat="1">
      <c r="A636" s="63" t="s">
        <v>258</v>
      </c>
      <c r="B636" s="110" t="s">
        <v>565</v>
      </c>
      <c r="C636" s="65">
        <v>45000000</v>
      </c>
      <c r="D636" s="79"/>
      <c r="E636" s="118"/>
      <c r="F636" s="118"/>
      <c r="G636" s="118"/>
      <c r="H636" s="118"/>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c r="CA636" s="61"/>
      <c r="CB636" s="61"/>
      <c r="CC636" s="61"/>
      <c r="CD636" s="61"/>
      <c r="CE636" s="61"/>
      <c r="CF636" s="61"/>
      <c r="CG636" s="61"/>
      <c r="CH636" s="61"/>
      <c r="CI636" s="61"/>
      <c r="CJ636" s="61"/>
      <c r="CK636" s="61"/>
      <c r="CL636" s="61"/>
      <c r="CM636" s="61"/>
      <c r="CN636" s="61"/>
      <c r="CO636" s="61"/>
      <c r="CP636" s="61"/>
      <c r="CQ636" s="61"/>
      <c r="CR636" s="61"/>
      <c r="CS636" s="61"/>
      <c r="CT636" s="61"/>
      <c r="CU636" s="61"/>
      <c r="CV636" s="61"/>
      <c r="CW636" s="61"/>
      <c r="CX636" s="61"/>
      <c r="CY636" s="61"/>
      <c r="CZ636" s="61"/>
      <c r="DA636" s="61"/>
      <c r="DB636" s="61"/>
      <c r="DC636" s="61"/>
      <c r="DD636" s="61"/>
      <c r="DE636" s="61"/>
      <c r="DF636" s="61"/>
      <c r="DG636" s="61"/>
      <c r="DH636" s="61"/>
      <c r="DI636" s="61"/>
      <c r="DJ636" s="61"/>
      <c r="DK636" s="61"/>
      <c r="DL636" s="61"/>
      <c r="DM636" s="61"/>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61"/>
      <c r="EX636" s="61"/>
      <c r="EY636" s="61"/>
      <c r="EZ636" s="61"/>
      <c r="FA636" s="61"/>
      <c r="FB636" s="61"/>
      <c r="FC636" s="61"/>
      <c r="FD636" s="61"/>
      <c r="FE636" s="61"/>
      <c r="FF636" s="61"/>
      <c r="FG636" s="61"/>
      <c r="FH636" s="61"/>
      <c r="FI636" s="61"/>
      <c r="FJ636" s="61"/>
      <c r="FK636" s="61"/>
      <c r="FL636" s="61"/>
      <c r="FM636" s="61"/>
      <c r="FN636" s="61"/>
      <c r="FO636" s="61"/>
      <c r="FP636" s="61"/>
      <c r="FQ636" s="61"/>
      <c r="FR636" s="61"/>
      <c r="FS636" s="61"/>
      <c r="FT636" s="61"/>
      <c r="FU636" s="61"/>
      <c r="FV636" s="61"/>
      <c r="FW636" s="61"/>
      <c r="FX636" s="61"/>
      <c r="FY636" s="61"/>
      <c r="FZ636" s="61"/>
      <c r="GA636" s="61"/>
      <c r="GB636" s="61"/>
      <c r="GC636" s="61"/>
      <c r="GD636" s="61"/>
      <c r="GE636" s="61"/>
      <c r="GF636" s="61"/>
      <c r="GG636" s="61"/>
      <c r="GH636" s="61"/>
      <c r="GI636" s="61"/>
      <c r="GJ636" s="61"/>
      <c r="GK636" s="61"/>
      <c r="GL636" s="61"/>
      <c r="GM636" s="61"/>
      <c r="GN636" s="61"/>
      <c r="GO636" s="61"/>
      <c r="GP636" s="61"/>
      <c r="GQ636" s="61"/>
      <c r="GR636" s="61"/>
      <c r="GS636" s="61"/>
      <c r="GT636" s="61"/>
      <c r="GU636" s="61"/>
      <c r="GV636" s="61"/>
      <c r="GW636" s="61"/>
      <c r="GX636" s="61"/>
      <c r="GY636" s="61"/>
      <c r="GZ636" s="61"/>
      <c r="HA636" s="61"/>
      <c r="HB636" s="61"/>
      <c r="HC636" s="61"/>
      <c r="HD636" s="61"/>
      <c r="HE636" s="61"/>
      <c r="HF636" s="61"/>
      <c r="HG636" s="61"/>
      <c r="HH636" s="61"/>
      <c r="HI636" s="61"/>
      <c r="HJ636" s="61"/>
      <c r="HK636" s="61"/>
      <c r="HL636" s="61"/>
      <c r="HM636" s="61"/>
      <c r="HN636" s="61"/>
      <c r="HO636" s="61"/>
      <c r="HP636" s="61"/>
      <c r="HQ636" s="61"/>
      <c r="HR636" s="61"/>
      <c r="HS636" s="61"/>
      <c r="HT636" s="61"/>
    </row>
    <row r="637" spans="1:228" s="62" customFormat="1">
      <c r="A637" s="63" t="s">
        <v>258</v>
      </c>
      <c r="B637" s="213" t="s">
        <v>145</v>
      </c>
      <c r="C637" s="65">
        <v>7000000</v>
      </c>
      <c r="D637" s="79"/>
      <c r="E637" s="118"/>
      <c r="F637" s="118"/>
      <c r="G637" s="118"/>
      <c r="H637" s="118"/>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61"/>
      <c r="BU637" s="61"/>
      <c r="BV637" s="61"/>
      <c r="BW637" s="61"/>
      <c r="BX637" s="61"/>
      <c r="BY637" s="61"/>
      <c r="BZ637" s="61"/>
      <c r="CA637" s="61"/>
      <c r="CB637" s="61"/>
      <c r="CC637" s="61"/>
      <c r="CD637" s="61"/>
      <c r="CE637" s="61"/>
      <c r="CF637" s="61"/>
      <c r="CG637" s="61"/>
      <c r="CH637" s="61"/>
      <c r="CI637" s="61"/>
      <c r="CJ637" s="61"/>
      <c r="CK637" s="61"/>
      <c r="CL637" s="61"/>
      <c r="CM637" s="61"/>
      <c r="CN637" s="61"/>
      <c r="CO637" s="61"/>
      <c r="CP637" s="61"/>
      <c r="CQ637" s="61"/>
      <c r="CR637" s="61"/>
      <c r="CS637" s="61"/>
      <c r="CT637" s="61"/>
      <c r="CU637" s="61"/>
      <c r="CV637" s="61"/>
      <c r="CW637" s="61"/>
      <c r="CX637" s="61"/>
      <c r="CY637" s="61"/>
      <c r="CZ637" s="61"/>
      <c r="DA637" s="61"/>
      <c r="DB637" s="61"/>
      <c r="DC637" s="61"/>
      <c r="DD637" s="61"/>
      <c r="DE637" s="61"/>
      <c r="DF637" s="61"/>
      <c r="DG637" s="61"/>
      <c r="DH637" s="61"/>
      <c r="DI637" s="61"/>
      <c r="DJ637" s="61"/>
      <c r="DK637" s="61"/>
      <c r="DL637" s="61"/>
      <c r="DM637" s="61"/>
      <c r="DN637" s="61"/>
      <c r="DO637" s="61"/>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61"/>
      <c r="EX637" s="61"/>
      <c r="EY637" s="61"/>
      <c r="EZ637" s="61"/>
      <c r="FA637" s="61"/>
      <c r="FB637" s="61"/>
      <c r="FC637" s="61"/>
      <c r="FD637" s="61"/>
      <c r="FE637" s="61"/>
      <c r="FF637" s="61"/>
      <c r="FG637" s="61"/>
      <c r="FH637" s="61"/>
      <c r="FI637" s="61"/>
      <c r="FJ637" s="61"/>
      <c r="FK637" s="61"/>
      <c r="FL637" s="61"/>
      <c r="FM637" s="61"/>
      <c r="FN637" s="61"/>
      <c r="FO637" s="61"/>
      <c r="FP637" s="61"/>
      <c r="FQ637" s="61"/>
      <c r="FR637" s="61"/>
      <c r="FS637" s="61"/>
      <c r="FT637" s="61"/>
      <c r="FU637" s="61"/>
      <c r="FV637" s="61"/>
      <c r="FW637" s="61"/>
      <c r="FX637" s="61"/>
      <c r="FY637" s="61"/>
      <c r="FZ637" s="61"/>
      <c r="GA637" s="61"/>
      <c r="GB637" s="61"/>
      <c r="GC637" s="61"/>
      <c r="GD637" s="61"/>
      <c r="GE637" s="61"/>
      <c r="GF637" s="61"/>
      <c r="GG637" s="61"/>
      <c r="GH637" s="61"/>
      <c r="GI637" s="61"/>
      <c r="GJ637" s="61"/>
      <c r="GK637" s="61"/>
      <c r="GL637" s="61"/>
      <c r="GM637" s="61"/>
      <c r="GN637" s="61"/>
      <c r="GO637" s="61"/>
      <c r="GP637" s="61"/>
      <c r="GQ637" s="61"/>
      <c r="GR637" s="61"/>
      <c r="GS637" s="61"/>
      <c r="GT637" s="61"/>
      <c r="GU637" s="61"/>
      <c r="GV637" s="61"/>
      <c r="GW637" s="61"/>
      <c r="GX637" s="61"/>
      <c r="GY637" s="61"/>
      <c r="GZ637" s="61"/>
      <c r="HA637" s="61"/>
      <c r="HB637" s="61"/>
      <c r="HC637" s="61"/>
      <c r="HD637" s="61"/>
      <c r="HE637" s="61"/>
      <c r="HF637" s="61"/>
      <c r="HG637" s="61"/>
      <c r="HH637" s="61"/>
      <c r="HI637" s="61"/>
      <c r="HJ637" s="61"/>
      <c r="HK637" s="61"/>
      <c r="HL637" s="61"/>
      <c r="HM637" s="61"/>
      <c r="HN637" s="61"/>
      <c r="HO637" s="61"/>
      <c r="HP637" s="61"/>
      <c r="HQ637" s="61"/>
      <c r="HR637" s="61"/>
      <c r="HS637" s="61"/>
      <c r="HT637" s="61"/>
    </row>
    <row r="638" spans="1:228" s="62" customFormat="1">
      <c r="A638" s="63" t="s">
        <v>258</v>
      </c>
      <c r="B638" s="213" t="s">
        <v>566</v>
      </c>
      <c r="C638" s="65">
        <v>30000000</v>
      </c>
      <c r="D638" s="79"/>
      <c r="E638" s="118"/>
      <c r="F638" s="118"/>
      <c r="G638" s="118"/>
      <c r="H638" s="118"/>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c r="CA638" s="61"/>
      <c r="CB638" s="61"/>
      <c r="CC638" s="61"/>
      <c r="CD638" s="61"/>
      <c r="CE638" s="61"/>
      <c r="CF638" s="61"/>
      <c r="CG638" s="61"/>
      <c r="CH638" s="61"/>
      <c r="CI638" s="61"/>
      <c r="CJ638" s="61"/>
      <c r="CK638" s="61"/>
      <c r="CL638" s="61"/>
      <c r="CM638" s="61"/>
      <c r="CN638" s="61"/>
      <c r="CO638" s="61"/>
      <c r="CP638" s="61"/>
      <c r="CQ638" s="61"/>
      <c r="CR638" s="61"/>
      <c r="CS638" s="61"/>
      <c r="CT638" s="61"/>
      <c r="CU638" s="61"/>
      <c r="CV638" s="61"/>
      <c r="CW638" s="61"/>
      <c r="CX638" s="61"/>
      <c r="CY638" s="61"/>
      <c r="CZ638" s="61"/>
      <c r="DA638" s="61"/>
      <c r="DB638" s="61"/>
      <c r="DC638" s="61"/>
      <c r="DD638" s="61"/>
      <c r="DE638" s="61"/>
      <c r="DF638" s="61"/>
      <c r="DG638" s="61"/>
      <c r="DH638" s="61"/>
      <c r="DI638" s="61"/>
      <c r="DJ638" s="61"/>
      <c r="DK638" s="61"/>
      <c r="DL638" s="61"/>
      <c r="DM638" s="61"/>
      <c r="DN638" s="61"/>
      <c r="DO638" s="61"/>
      <c r="DP638" s="61"/>
      <c r="DQ638" s="61"/>
      <c r="DR638" s="61"/>
      <c r="DS638" s="61"/>
      <c r="DT638" s="61"/>
      <c r="DU638" s="61"/>
      <c r="DV638" s="61"/>
      <c r="DW638" s="61"/>
      <c r="DX638" s="61"/>
      <c r="DY638" s="61"/>
      <c r="DZ638" s="61"/>
      <c r="EA638" s="61"/>
      <c r="EB638" s="61"/>
      <c r="EC638" s="61"/>
      <c r="ED638" s="61"/>
      <c r="EE638" s="61"/>
      <c r="EF638" s="61"/>
      <c r="EG638" s="61"/>
      <c r="EH638" s="61"/>
      <c r="EI638" s="61"/>
      <c r="EJ638" s="61"/>
      <c r="EK638" s="61"/>
      <c r="EL638" s="61"/>
      <c r="EM638" s="61"/>
      <c r="EN638" s="61"/>
      <c r="EO638" s="61"/>
      <c r="EP638" s="61"/>
      <c r="EQ638" s="61"/>
      <c r="ER638" s="61"/>
      <c r="ES638" s="61"/>
      <c r="ET638" s="61"/>
      <c r="EU638" s="61"/>
      <c r="EV638" s="61"/>
      <c r="EW638" s="61"/>
      <c r="EX638" s="61"/>
      <c r="EY638" s="61"/>
      <c r="EZ638" s="61"/>
      <c r="FA638" s="61"/>
      <c r="FB638" s="61"/>
      <c r="FC638" s="61"/>
      <c r="FD638" s="61"/>
      <c r="FE638" s="61"/>
      <c r="FF638" s="61"/>
      <c r="FG638" s="61"/>
      <c r="FH638" s="61"/>
      <c r="FI638" s="61"/>
      <c r="FJ638" s="61"/>
      <c r="FK638" s="61"/>
      <c r="FL638" s="61"/>
      <c r="FM638" s="61"/>
      <c r="FN638" s="61"/>
      <c r="FO638" s="61"/>
      <c r="FP638" s="61"/>
      <c r="FQ638" s="61"/>
      <c r="FR638" s="61"/>
      <c r="FS638" s="61"/>
      <c r="FT638" s="61"/>
      <c r="FU638" s="61"/>
      <c r="FV638" s="61"/>
      <c r="FW638" s="61"/>
      <c r="FX638" s="61"/>
      <c r="FY638" s="61"/>
      <c r="FZ638" s="61"/>
      <c r="GA638" s="61"/>
      <c r="GB638" s="61"/>
      <c r="GC638" s="61"/>
      <c r="GD638" s="61"/>
      <c r="GE638" s="61"/>
      <c r="GF638" s="61"/>
      <c r="GG638" s="61"/>
      <c r="GH638" s="61"/>
      <c r="GI638" s="61"/>
      <c r="GJ638" s="61"/>
      <c r="GK638" s="61"/>
      <c r="GL638" s="61"/>
      <c r="GM638" s="61"/>
      <c r="GN638" s="61"/>
      <c r="GO638" s="61"/>
      <c r="GP638" s="61"/>
      <c r="GQ638" s="61"/>
      <c r="GR638" s="61"/>
      <c r="GS638" s="61"/>
      <c r="GT638" s="61"/>
      <c r="GU638" s="61"/>
      <c r="GV638" s="61"/>
      <c r="GW638" s="61"/>
      <c r="GX638" s="61"/>
      <c r="GY638" s="61"/>
      <c r="GZ638" s="61"/>
      <c r="HA638" s="61"/>
      <c r="HB638" s="61"/>
      <c r="HC638" s="61"/>
      <c r="HD638" s="61"/>
      <c r="HE638" s="61"/>
      <c r="HF638" s="61"/>
      <c r="HG638" s="61"/>
      <c r="HH638" s="61"/>
      <c r="HI638" s="61"/>
      <c r="HJ638" s="61"/>
      <c r="HK638" s="61"/>
      <c r="HL638" s="61"/>
      <c r="HM638" s="61"/>
      <c r="HN638" s="61"/>
      <c r="HO638" s="61"/>
      <c r="HP638" s="61"/>
      <c r="HQ638" s="61"/>
      <c r="HR638" s="61"/>
      <c r="HS638" s="61"/>
      <c r="HT638" s="61"/>
    </row>
    <row r="639" spans="1:228" s="62" customFormat="1" ht="37.5">
      <c r="A639" s="63" t="s">
        <v>258</v>
      </c>
      <c r="B639" s="110" t="s">
        <v>567</v>
      </c>
      <c r="C639" s="65">
        <v>200000000</v>
      </c>
      <c r="D639" s="79"/>
      <c r="E639" s="118"/>
      <c r="F639" s="118"/>
      <c r="G639" s="118"/>
      <c r="H639" s="118"/>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c r="CA639" s="61"/>
      <c r="CB639" s="61"/>
      <c r="CC639" s="61"/>
      <c r="CD639" s="61"/>
      <c r="CE639" s="61"/>
      <c r="CF639" s="61"/>
      <c r="CG639" s="61"/>
      <c r="CH639" s="61"/>
      <c r="CI639" s="61"/>
      <c r="CJ639" s="61"/>
      <c r="CK639" s="61"/>
      <c r="CL639" s="61"/>
      <c r="CM639" s="61"/>
      <c r="CN639" s="61"/>
      <c r="CO639" s="61"/>
      <c r="CP639" s="61"/>
      <c r="CQ639" s="61"/>
      <c r="CR639" s="61"/>
      <c r="CS639" s="61"/>
      <c r="CT639" s="61"/>
      <c r="CU639" s="61"/>
      <c r="CV639" s="61"/>
      <c r="CW639" s="61"/>
      <c r="CX639" s="61"/>
      <c r="CY639" s="61"/>
      <c r="CZ639" s="61"/>
      <c r="DA639" s="61"/>
      <c r="DB639" s="61"/>
      <c r="DC639" s="61"/>
      <c r="DD639" s="61"/>
      <c r="DE639" s="61"/>
      <c r="DF639" s="61"/>
      <c r="DG639" s="61"/>
      <c r="DH639" s="61"/>
      <c r="DI639" s="61"/>
      <c r="DJ639" s="61"/>
      <c r="DK639" s="61"/>
      <c r="DL639" s="61"/>
      <c r="DM639" s="61"/>
      <c r="DN639" s="61"/>
      <c r="DO639" s="61"/>
      <c r="DP639" s="61"/>
      <c r="DQ639" s="61"/>
      <c r="DR639" s="61"/>
      <c r="DS639" s="61"/>
      <c r="DT639" s="61"/>
      <c r="DU639" s="61"/>
      <c r="DV639" s="61"/>
      <c r="DW639" s="61"/>
      <c r="DX639" s="61"/>
      <c r="DY639" s="61"/>
      <c r="DZ639" s="61"/>
      <c r="EA639" s="61"/>
      <c r="EB639" s="61"/>
      <c r="EC639" s="61"/>
      <c r="ED639" s="61"/>
      <c r="EE639" s="61"/>
      <c r="EF639" s="61"/>
      <c r="EG639" s="61"/>
      <c r="EH639" s="61"/>
      <c r="EI639" s="61"/>
      <c r="EJ639" s="61"/>
      <c r="EK639" s="61"/>
      <c r="EL639" s="61"/>
      <c r="EM639" s="61"/>
      <c r="EN639" s="61"/>
      <c r="EO639" s="61"/>
      <c r="EP639" s="61"/>
      <c r="EQ639" s="61"/>
      <c r="ER639" s="61"/>
      <c r="ES639" s="61"/>
      <c r="ET639" s="61"/>
      <c r="EU639" s="61"/>
      <c r="EV639" s="61"/>
      <c r="EW639" s="61"/>
      <c r="EX639" s="61"/>
      <c r="EY639" s="61"/>
      <c r="EZ639" s="61"/>
      <c r="FA639" s="61"/>
      <c r="FB639" s="61"/>
      <c r="FC639" s="61"/>
      <c r="FD639" s="61"/>
      <c r="FE639" s="61"/>
      <c r="FF639" s="61"/>
      <c r="FG639" s="61"/>
      <c r="FH639" s="61"/>
      <c r="FI639" s="61"/>
      <c r="FJ639" s="61"/>
      <c r="FK639" s="61"/>
      <c r="FL639" s="61"/>
      <c r="FM639" s="61"/>
      <c r="FN639" s="61"/>
      <c r="FO639" s="61"/>
      <c r="FP639" s="61"/>
      <c r="FQ639" s="61"/>
      <c r="FR639" s="61"/>
      <c r="FS639" s="61"/>
      <c r="FT639" s="61"/>
      <c r="FU639" s="61"/>
      <c r="FV639" s="61"/>
      <c r="FW639" s="61"/>
      <c r="FX639" s="61"/>
      <c r="FY639" s="61"/>
      <c r="FZ639" s="61"/>
      <c r="GA639" s="61"/>
      <c r="GB639" s="61"/>
      <c r="GC639" s="61"/>
      <c r="GD639" s="61"/>
      <c r="GE639" s="61"/>
      <c r="GF639" s="61"/>
      <c r="GG639" s="61"/>
      <c r="GH639" s="61"/>
      <c r="GI639" s="61"/>
      <c r="GJ639" s="61"/>
      <c r="GK639" s="61"/>
      <c r="GL639" s="61"/>
      <c r="GM639" s="61"/>
      <c r="GN639" s="61"/>
      <c r="GO639" s="61"/>
      <c r="GP639" s="61"/>
      <c r="GQ639" s="61"/>
      <c r="GR639" s="61"/>
      <c r="GS639" s="61"/>
      <c r="GT639" s="61"/>
      <c r="GU639" s="61"/>
      <c r="GV639" s="61"/>
      <c r="GW639" s="61"/>
      <c r="GX639" s="61"/>
      <c r="GY639" s="61"/>
      <c r="GZ639" s="61"/>
      <c r="HA639" s="61"/>
      <c r="HB639" s="61"/>
      <c r="HC639" s="61"/>
      <c r="HD639" s="61"/>
      <c r="HE639" s="61"/>
      <c r="HF639" s="61"/>
      <c r="HG639" s="61"/>
      <c r="HH639" s="61"/>
      <c r="HI639" s="61"/>
      <c r="HJ639" s="61"/>
      <c r="HK639" s="61"/>
      <c r="HL639" s="61"/>
      <c r="HM639" s="61"/>
      <c r="HN639" s="61"/>
      <c r="HO639" s="61"/>
      <c r="HP639" s="61"/>
      <c r="HQ639" s="61"/>
      <c r="HR639" s="61"/>
      <c r="HS639" s="61"/>
      <c r="HT639" s="61"/>
    </row>
    <row r="640" spans="1:228" s="62" customFormat="1" ht="56.25">
      <c r="A640" s="63" t="s">
        <v>258</v>
      </c>
      <c r="B640" s="110" t="s">
        <v>568</v>
      </c>
      <c r="C640" s="65">
        <v>50000000</v>
      </c>
      <c r="D640" s="79"/>
      <c r="E640" s="118"/>
      <c r="F640" s="118"/>
      <c r="G640" s="118"/>
      <c r="H640" s="118"/>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c r="CA640" s="61"/>
      <c r="CB640" s="61"/>
      <c r="CC640" s="61"/>
      <c r="CD640" s="61"/>
      <c r="CE640" s="61"/>
      <c r="CF640" s="61"/>
      <c r="CG640" s="61"/>
      <c r="CH640" s="61"/>
      <c r="CI640" s="61"/>
      <c r="CJ640" s="61"/>
      <c r="CK640" s="61"/>
      <c r="CL640" s="61"/>
      <c r="CM640" s="61"/>
      <c r="CN640" s="61"/>
      <c r="CO640" s="61"/>
      <c r="CP640" s="61"/>
      <c r="CQ640" s="61"/>
      <c r="CR640" s="61"/>
      <c r="CS640" s="61"/>
      <c r="CT640" s="61"/>
      <c r="CU640" s="61"/>
      <c r="CV640" s="61"/>
      <c r="CW640" s="61"/>
      <c r="CX640" s="61"/>
      <c r="CY640" s="61"/>
      <c r="CZ640" s="61"/>
      <c r="DA640" s="61"/>
      <c r="DB640" s="61"/>
      <c r="DC640" s="61"/>
      <c r="DD640" s="61"/>
      <c r="DE640" s="61"/>
      <c r="DF640" s="61"/>
      <c r="DG640" s="61"/>
      <c r="DH640" s="61"/>
      <c r="DI640" s="61"/>
      <c r="DJ640" s="61"/>
      <c r="DK640" s="61"/>
      <c r="DL640" s="61"/>
      <c r="DM640" s="61"/>
      <c r="DN640" s="61"/>
      <c r="DO640" s="61"/>
      <c r="DP640" s="61"/>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61"/>
      <c r="ES640" s="61"/>
      <c r="ET640" s="61"/>
      <c r="EU640" s="61"/>
      <c r="EV640" s="61"/>
      <c r="EW640" s="61"/>
      <c r="EX640" s="61"/>
      <c r="EY640" s="61"/>
      <c r="EZ640" s="61"/>
      <c r="FA640" s="61"/>
      <c r="FB640" s="61"/>
      <c r="FC640" s="61"/>
      <c r="FD640" s="61"/>
      <c r="FE640" s="61"/>
      <c r="FF640" s="61"/>
      <c r="FG640" s="61"/>
      <c r="FH640" s="61"/>
      <c r="FI640" s="61"/>
      <c r="FJ640" s="61"/>
      <c r="FK640" s="61"/>
      <c r="FL640" s="61"/>
      <c r="FM640" s="61"/>
      <c r="FN640" s="61"/>
      <c r="FO640" s="61"/>
      <c r="FP640" s="61"/>
      <c r="FQ640" s="61"/>
      <c r="FR640" s="61"/>
      <c r="FS640" s="61"/>
      <c r="FT640" s="61"/>
      <c r="FU640" s="61"/>
      <c r="FV640" s="61"/>
      <c r="FW640" s="61"/>
      <c r="FX640" s="61"/>
      <c r="FY640" s="61"/>
      <c r="FZ640" s="61"/>
      <c r="GA640" s="61"/>
      <c r="GB640" s="61"/>
      <c r="GC640" s="61"/>
      <c r="GD640" s="61"/>
      <c r="GE640" s="61"/>
      <c r="GF640" s="61"/>
      <c r="GG640" s="61"/>
      <c r="GH640" s="61"/>
      <c r="GI640" s="61"/>
      <c r="GJ640" s="61"/>
      <c r="GK640" s="61"/>
      <c r="GL640" s="61"/>
      <c r="GM640" s="61"/>
      <c r="GN640" s="61"/>
      <c r="GO640" s="61"/>
      <c r="GP640" s="61"/>
      <c r="GQ640" s="61"/>
      <c r="GR640" s="61"/>
      <c r="GS640" s="61"/>
      <c r="GT640" s="61"/>
      <c r="GU640" s="61"/>
      <c r="GV640" s="61"/>
      <c r="GW640" s="61"/>
      <c r="GX640" s="61"/>
      <c r="GY640" s="61"/>
      <c r="GZ640" s="61"/>
      <c r="HA640" s="61"/>
      <c r="HB640" s="61"/>
      <c r="HC640" s="61"/>
      <c r="HD640" s="61"/>
      <c r="HE640" s="61"/>
      <c r="HF640" s="61"/>
      <c r="HG640" s="61"/>
      <c r="HH640" s="61"/>
      <c r="HI640" s="61"/>
      <c r="HJ640" s="61"/>
      <c r="HK640" s="61"/>
      <c r="HL640" s="61"/>
      <c r="HM640" s="61"/>
      <c r="HN640" s="61"/>
      <c r="HO640" s="61"/>
      <c r="HP640" s="61"/>
      <c r="HQ640" s="61"/>
      <c r="HR640" s="61"/>
      <c r="HS640" s="61"/>
      <c r="HT640" s="61"/>
    </row>
    <row r="641" spans="1:228" s="62" customFormat="1" ht="93.75">
      <c r="A641" s="63" t="s">
        <v>258</v>
      </c>
      <c r="B641" s="110" t="s">
        <v>569</v>
      </c>
      <c r="C641" s="65">
        <v>50000000</v>
      </c>
      <c r="D641" s="79"/>
      <c r="E641" s="118"/>
      <c r="F641" s="118"/>
      <c r="G641" s="118"/>
      <c r="H641" s="118"/>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c r="CA641" s="61"/>
      <c r="CB641" s="61"/>
      <c r="CC641" s="61"/>
      <c r="CD641" s="61"/>
      <c r="CE641" s="61"/>
      <c r="CF641" s="61"/>
      <c r="CG641" s="61"/>
      <c r="CH641" s="61"/>
      <c r="CI641" s="61"/>
      <c r="CJ641" s="61"/>
      <c r="CK641" s="61"/>
      <c r="CL641" s="61"/>
      <c r="CM641" s="61"/>
      <c r="CN641" s="61"/>
      <c r="CO641" s="61"/>
      <c r="CP641" s="61"/>
      <c r="CQ641" s="61"/>
      <c r="CR641" s="61"/>
      <c r="CS641" s="61"/>
      <c r="CT641" s="61"/>
      <c r="CU641" s="61"/>
      <c r="CV641" s="61"/>
      <c r="CW641" s="61"/>
      <c r="CX641" s="61"/>
      <c r="CY641" s="61"/>
      <c r="CZ641" s="61"/>
      <c r="DA641" s="61"/>
      <c r="DB641" s="61"/>
      <c r="DC641" s="61"/>
      <c r="DD641" s="61"/>
      <c r="DE641" s="61"/>
      <c r="DF641" s="61"/>
      <c r="DG641" s="61"/>
      <c r="DH641" s="61"/>
      <c r="DI641" s="61"/>
      <c r="DJ641" s="61"/>
      <c r="DK641" s="61"/>
      <c r="DL641" s="61"/>
      <c r="DM641" s="61"/>
      <c r="DN641" s="61"/>
      <c r="DO641" s="61"/>
      <c r="DP641" s="61"/>
      <c r="DQ641" s="61"/>
      <c r="DR641" s="61"/>
      <c r="DS641" s="61"/>
      <c r="DT641" s="61"/>
      <c r="DU641" s="61"/>
      <c r="DV641" s="61"/>
      <c r="DW641" s="61"/>
      <c r="DX641" s="61"/>
      <c r="DY641" s="61"/>
      <c r="DZ641" s="61"/>
      <c r="EA641" s="61"/>
      <c r="EB641" s="61"/>
      <c r="EC641" s="61"/>
      <c r="ED641" s="61"/>
      <c r="EE641" s="61"/>
      <c r="EF641" s="61"/>
      <c r="EG641" s="61"/>
      <c r="EH641" s="61"/>
      <c r="EI641" s="61"/>
      <c r="EJ641" s="61"/>
      <c r="EK641" s="61"/>
      <c r="EL641" s="61"/>
      <c r="EM641" s="61"/>
      <c r="EN641" s="61"/>
      <c r="EO641" s="61"/>
      <c r="EP641" s="61"/>
      <c r="EQ641" s="61"/>
      <c r="ER641" s="61"/>
      <c r="ES641" s="61"/>
      <c r="ET641" s="61"/>
      <c r="EU641" s="61"/>
      <c r="EV641" s="61"/>
      <c r="EW641" s="61"/>
      <c r="EX641" s="61"/>
      <c r="EY641" s="61"/>
      <c r="EZ641" s="61"/>
      <c r="FA641" s="61"/>
      <c r="FB641" s="61"/>
      <c r="FC641" s="61"/>
      <c r="FD641" s="61"/>
      <c r="FE641" s="61"/>
      <c r="FF641" s="61"/>
      <c r="FG641" s="61"/>
      <c r="FH641" s="61"/>
      <c r="FI641" s="61"/>
      <c r="FJ641" s="61"/>
      <c r="FK641" s="61"/>
      <c r="FL641" s="61"/>
      <c r="FM641" s="61"/>
      <c r="FN641" s="61"/>
      <c r="FO641" s="61"/>
      <c r="FP641" s="61"/>
      <c r="FQ641" s="61"/>
      <c r="FR641" s="61"/>
      <c r="FS641" s="61"/>
      <c r="FT641" s="61"/>
      <c r="FU641" s="61"/>
      <c r="FV641" s="61"/>
      <c r="FW641" s="61"/>
      <c r="FX641" s="61"/>
      <c r="FY641" s="61"/>
      <c r="FZ641" s="61"/>
      <c r="GA641" s="61"/>
      <c r="GB641" s="61"/>
      <c r="GC641" s="61"/>
      <c r="GD641" s="61"/>
      <c r="GE641" s="61"/>
      <c r="GF641" s="61"/>
      <c r="GG641" s="61"/>
      <c r="GH641" s="61"/>
      <c r="GI641" s="61"/>
      <c r="GJ641" s="61"/>
      <c r="GK641" s="61"/>
      <c r="GL641" s="61"/>
      <c r="GM641" s="61"/>
      <c r="GN641" s="61"/>
      <c r="GO641" s="61"/>
      <c r="GP641" s="61"/>
      <c r="GQ641" s="61"/>
      <c r="GR641" s="61"/>
      <c r="GS641" s="61"/>
      <c r="GT641" s="61"/>
      <c r="GU641" s="61"/>
      <c r="GV641" s="61"/>
      <c r="GW641" s="61"/>
      <c r="GX641" s="61"/>
      <c r="GY641" s="61"/>
      <c r="GZ641" s="61"/>
      <c r="HA641" s="61"/>
      <c r="HB641" s="61"/>
      <c r="HC641" s="61"/>
      <c r="HD641" s="61"/>
      <c r="HE641" s="61"/>
      <c r="HF641" s="61"/>
      <c r="HG641" s="61"/>
      <c r="HH641" s="61"/>
      <c r="HI641" s="61"/>
      <c r="HJ641" s="61"/>
      <c r="HK641" s="61"/>
      <c r="HL641" s="61"/>
      <c r="HM641" s="61"/>
      <c r="HN641" s="61"/>
      <c r="HO641" s="61"/>
      <c r="HP641" s="61"/>
      <c r="HQ641" s="61"/>
      <c r="HR641" s="61"/>
      <c r="HS641" s="61"/>
      <c r="HT641" s="61"/>
    </row>
    <row r="642" spans="1:228">
      <c r="A642" s="72" t="s">
        <v>261</v>
      </c>
      <c r="B642" s="105" t="s">
        <v>262</v>
      </c>
      <c r="C642" s="107">
        <v>69000000</v>
      </c>
      <c r="D642" s="76"/>
      <c r="E642" s="145"/>
      <c r="F642" s="145"/>
      <c r="G642" s="127"/>
      <c r="H642" s="127"/>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c r="CS642" s="62"/>
      <c r="CT642" s="62"/>
      <c r="CU642" s="62"/>
      <c r="CV642" s="62"/>
      <c r="CW642" s="62"/>
      <c r="CX642" s="62"/>
      <c r="CY642" s="62"/>
      <c r="CZ642" s="62"/>
      <c r="DA642" s="62"/>
      <c r="DB642" s="62"/>
      <c r="DC642" s="62"/>
      <c r="DD642" s="62"/>
      <c r="DE642" s="62"/>
      <c r="DF642" s="62"/>
      <c r="DG642" s="62"/>
      <c r="DH642" s="62"/>
      <c r="DI642" s="62"/>
      <c r="DJ642" s="62"/>
      <c r="DK642" s="62"/>
      <c r="DL642" s="62"/>
      <c r="DM642" s="62"/>
      <c r="DN642" s="62"/>
      <c r="DO642" s="62"/>
      <c r="DP642" s="62"/>
      <c r="DQ642" s="62"/>
      <c r="DR642" s="62"/>
      <c r="DS642" s="62"/>
      <c r="DT642" s="62"/>
      <c r="DU642" s="62"/>
      <c r="DV642" s="62"/>
      <c r="DW642" s="62"/>
      <c r="DX642" s="62"/>
      <c r="DY642" s="62"/>
      <c r="DZ642" s="62"/>
      <c r="EA642" s="62"/>
      <c r="EB642" s="62"/>
      <c r="EC642" s="62"/>
      <c r="ED642" s="62"/>
      <c r="EE642" s="62"/>
      <c r="EF642" s="62"/>
      <c r="EG642" s="62"/>
      <c r="EH642" s="62"/>
      <c r="EI642" s="62"/>
      <c r="EJ642" s="62"/>
      <c r="EK642" s="62"/>
      <c r="EL642" s="62"/>
      <c r="EM642" s="62"/>
      <c r="EN642" s="62"/>
      <c r="EO642" s="62"/>
      <c r="EP642" s="62"/>
      <c r="EQ642" s="62"/>
      <c r="ER642" s="62"/>
      <c r="ES642" s="62"/>
      <c r="ET642" s="62"/>
      <c r="EU642" s="62"/>
      <c r="EV642" s="62"/>
      <c r="EW642" s="62"/>
      <c r="EX642" s="62"/>
      <c r="EY642" s="62"/>
      <c r="EZ642" s="62"/>
      <c r="FA642" s="62"/>
      <c r="FB642" s="62"/>
      <c r="FC642" s="62"/>
      <c r="FD642" s="62"/>
      <c r="FE642" s="62"/>
      <c r="FF642" s="62"/>
      <c r="FG642" s="62"/>
      <c r="FH642" s="62"/>
      <c r="FI642" s="62"/>
      <c r="FJ642" s="62"/>
      <c r="FK642" s="62"/>
      <c r="FL642" s="62"/>
      <c r="FM642" s="62"/>
      <c r="FN642" s="62"/>
      <c r="FO642" s="62"/>
      <c r="FP642" s="62"/>
      <c r="FQ642" s="62"/>
      <c r="FR642" s="62"/>
      <c r="FS642" s="62"/>
      <c r="FT642" s="62"/>
      <c r="FU642" s="62"/>
      <c r="FV642" s="62"/>
      <c r="FW642" s="62"/>
      <c r="FX642" s="62"/>
      <c r="FY642" s="62"/>
      <c r="FZ642" s="62"/>
      <c r="GA642" s="62"/>
      <c r="GB642" s="62"/>
      <c r="GC642" s="62"/>
      <c r="GD642" s="62"/>
      <c r="GE642" s="62"/>
      <c r="GF642" s="62"/>
      <c r="GG642" s="62"/>
      <c r="GH642" s="62"/>
      <c r="GI642" s="62"/>
      <c r="GJ642" s="62"/>
      <c r="GK642" s="62"/>
      <c r="GL642" s="62"/>
      <c r="GM642" s="62"/>
      <c r="GN642" s="62"/>
      <c r="GO642" s="62"/>
      <c r="GP642" s="62"/>
      <c r="GQ642" s="62"/>
      <c r="GR642" s="62"/>
      <c r="GS642" s="62"/>
      <c r="GT642" s="62"/>
      <c r="GU642" s="62"/>
      <c r="GV642" s="62"/>
      <c r="GW642" s="62"/>
      <c r="GX642" s="62"/>
      <c r="GY642" s="62"/>
      <c r="GZ642" s="62"/>
      <c r="HA642" s="62"/>
      <c r="HB642" s="62"/>
      <c r="HC642" s="62"/>
      <c r="HD642" s="62"/>
      <c r="HE642" s="62"/>
      <c r="HF642" s="62"/>
      <c r="HG642" s="62"/>
      <c r="HH642" s="62"/>
      <c r="HI642" s="62"/>
      <c r="HJ642" s="62"/>
      <c r="HK642" s="62"/>
      <c r="HL642" s="62"/>
      <c r="HM642" s="62"/>
      <c r="HN642" s="62"/>
      <c r="HO642" s="62"/>
      <c r="HP642" s="62"/>
      <c r="HQ642" s="62"/>
      <c r="HR642" s="62"/>
      <c r="HS642" s="62"/>
      <c r="HT642" s="62"/>
    </row>
    <row r="643" spans="1:228">
      <c r="A643" s="89"/>
      <c r="B643" s="90" t="s">
        <v>263</v>
      </c>
      <c r="C643" s="91">
        <v>69000000</v>
      </c>
      <c r="D643" s="79"/>
      <c r="E643" s="127"/>
      <c r="F643" s="127"/>
      <c r="G643" s="114"/>
      <c r="H643" s="114"/>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c r="CS643" s="62"/>
      <c r="CT643" s="62"/>
      <c r="CU643" s="62"/>
      <c r="CV643" s="62"/>
      <c r="CW643" s="62"/>
      <c r="CX643" s="62"/>
      <c r="CY643" s="62"/>
      <c r="CZ643" s="62"/>
      <c r="DA643" s="62"/>
      <c r="DB643" s="62"/>
      <c r="DC643" s="62"/>
      <c r="DD643" s="62"/>
      <c r="DE643" s="62"/>
      <c r="DF643" s="62"/>
      <c r="DG643" s="62"/>
      <c r="DH643" s="62"/>
      <c r="DI643" s="62"/>
      <c r="DJ643" s="62"/>
      <c r="DK643" s="62"/>
      <c r="DL643" s="62"/>
      <c r="DM643" s="62"/>
      <c r="DN643" s="62"/>
      <c r="DO643" s="62"/>
      <c r="DP643" s="62"/>
      <c r="DQ643" s="62"/>
      <c r="DR643" s="62"/>
      <c r="DS643" s="62"/>
      <c r="DT643" s="62"/>
      <c r="DU643" s="62"/>
      <c r="DV643" s="62"/>
      <c r="DW643" s="62"/>
      <c r="DX643" s="62"/>
      <c r="DY643" s="62"/>
      <c r="DZ643" s="62"/>
      <c r="EA643" s="62"/>
      <c r="EB643" s="62"/>
      <c r="EC643" s="62"/>
      <c r="ED643" s="62"/>
      <c r="EE643" s="62"/>
      <c r="EF643" s="62"/>
      <c r="EG643" s="62"/>
      <c r="EH643" s="62"/>
      <c r="EI643" s="62"/>
      <c r="EJ643" s="62"/>
      <c r="EK643" s="62"/>
      <c r="EL643" s="62"/>
      <c r="EM643" s="62"/>
      <c r="EN643" s="62"/>
      <c r="EO643" s="62"/>
      <c r="EP643" s="62"/>
      <c r="EQ643" s="62"/>
      <c r="ER643" s="62"/>
      <c r="ES643" s="62"/>
      <c r="ET643" s="62"/>
      <c r="EU643" s="62"/>
      <c r="EV643" s="62"/>
      <c r="EW643" s="62"/>
      <c r="EX643" s="62"/>
      <c r="EY643" s="62"/>
      <c r="EZ643" s="62"/>
      <c r="FA643" s="62"/>
      <c r="FB643" s="62"/>
      <c r="FC643" s="62"/>
      <c r="FD643" s="62"/>
      <c r="FE643" s="62"/>
      <c r="FF643" s="62"/>
      <c r="FG643" s="62"/>
      <c r="FH643" s="62"/>
      <c r="FI643" s="62"/>
      <c r="FJ643" s="62"/>
      <c r="FK643" s="62"/>
      <c r="FL643" s="62"/>
      <c r="FM643" s="62"/>
      <c r="FN643" s="62"/>
      <c r="FO643" s="62"/>
      <c r="FP643" s="62"/>
      <c r="FQ643" s="62"/>
      <c r="FR643" s="62"/>
      <c r="FS643" s="62"/>
      <c r="FT643" s="62"/>
      <c r="FU643" s="62"/>
      <c r="FV643" s="62"/>
      <c r="FW643" s="62"/>
      <c r="FX643" s="62"/>
      <c r="FY643" s="62"/>
      <c r="FZ643" s="62"/>
      <c r="GA643" s="62"/>
      <c r="GB643" s="62"/>
      <c r="GC643" s="62"/>
      <c r="GD643" s="62"/>
      <c r="GE643" s="62"/>
      <c r="GF643" s="62"/>
      <c r="GG643" s="62"/>
      <c r="GH643" s="62"/>
      <c r="GI643" s="62"/>
      <c r="GJ643" s="62"/>
      <c r="GK643" s="62"/>
      <c r="GL643" s="62"/>
      <c r="GM643" s="62"/>
      <c r="GN643" s="62"/>
      <c r="GO643" s="62"/>
      <c r="GP643" s="62"/>
      <c r="GQ643" s="62"/>
      <c r="GR643" s="62"/>
      <c r="GS643" s="62"/>
      <c r="GT643" s="62"/>
      <c r="GU643" s="62"/>
      <c r="GV643" s="62"/>
      <c r="GW643" s="62"/>
      <c r="GX643" s="62"/>
      <c r="GY643" s="62"/>
      <c r="GZ643" s="62"/>
      <c r="HA643" s="62"/>
      <c r="HB643" s="62"/>
      <c r="HC643" s="62"/>
      <c r="HD643" s="62"/>
      <c r="HE643" s="62"/>
      <c r="HF643" s="62"/>
      <c r="HG643" s="62"/>
      <c r="HH643" s="62"/>
      <c r="HI643" s="62"/>
      <c r="HJ643" s="62"/>
      <c r="HK643" s="62"/>
      <c r="HL643" s="62"/>
      <c r="HM643" s="62"/>
      <c r="HN643" s="62"/>
      <c r="HO643" s="62"/>
      <c r="HP643" s="62"/>
      <c r="HQ643" s="62"/>
      <c r="HR643" s="62"/>
      <c r="HS643" s="62"/>
      <c r="HT643" s="62"/>
    </row>
    <row r="644" spans="1:228" s="62" customFormat="1">
      <c r="A644" s="89"/>
      <c r="B644" s="65"/>
      <c r="C644" s="91"/>
      <c r="D644" s="79"/>
      <c r="E644" s="127"/>
      <c r="F644" s="127"/>
      <c r="G644" s="114"/>
      <c r="H644" s="114"/>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27"/>
      <c r="CT644" s="27"/>
      <c r="CU644" s="27"/>
      <c r="CV644" s="27"/>
      <c r="CW644" s="27"/>
      <c r="CX644" s="27"/>
      <c r="CY644" s="27"/>
      <c r="CZ644" s="27"/>
      <c r="DA644" s="27"/>
      <c r="DB644" s="27"/>
      <c r="DC644" s="27"/>
      <c r="DD644" s="27"/>
      <c r="DE644" s="27"/>
      <c r="DF644" s="27"/>
      <c r="DG644" s="27"/>
      <c r="DH644" s="27"/>
      <c r="DI644" s="27"/>
      <c r="DJ644" s="27"/>
      <c r="DK644" s="27"/>
      <c r="DL644" s="27"/>
      <c r="DM644" s="27"/>
      <c r="DN644" s="27"/>
      <c r="DO644" s="27"/>
      <c r="DP644" s="27"/>
      <c r="DQ644" s="27"/>
      <c r="DR644" s="27"/>
      <c r="DS644" s="27"/>
      <c r="DT644" s="27"/>
      <c r="DU644" s="27"/>
      <c r="DV644" s="27"/>
      <c r="DW644" s="27"/>
      <c r="DX644" s="27"/>
      <c r="DY644" s="27"/>
      <c r="DZ644" s="27"/>
      <c r="EA644" s="27"/>
      <c r="EB644" s="27"/>
      <c r="EC644" s="27"/>
      <c r="ED644" s="27"/>
      <c r="EE644" s="27"/>
      <c r="EF644" s="27"/>
      <c r="EG644" s="27"/>
      <c r="EH644" s="27"/>
      <c r="EI644" s="27"/>
      <c r="EJ644" s="27"/>
      <c r="EK644" s="27"/>
      <c r="EL644" s="27"/>
      <c r="EM644" s="27"/>
      <c r="EN644" s="27"/>
      <c r="EO644" s="27"/>
      <c r="EP644" s="27"/>
      <c r="EQ644" s="27"/>
      <c r="ER644" s="27"/>
      <c r="ES644" s="27"/>
      <c r="ET644" s="27"/>
      <c r="EU644" s="27"/>
      <c r="EV644" s="27"/>
      <c r="EW644" s="27"/>
      <c r="EX644" s="27"/>
      <c r="EY644" s="27"/>
      <c r="EZ644" s="27"/>
      <c r="FA644" s="27"/>
      <c r="FB644" s="27"/>
      <c r="FC644" s="27"/>
      <c r="FD644" s="27"/>
      <c r="FE644" s="27"/>
      <c r="FF644" s="27"/>
      <c r="FG644" s="27"/>
      <c r="FH644" s="27"/>
      <c r="FI644" s="27"/>
      <c r="FJ644" s="27"/>
      <c r="FK644" s="27"/>
      <c r="FL644" s="27"/>
      <c r="FM644" s="27"/>
      <c r="FN644" s="27"/>
      <c r="FO644" s="27"/>
      <c r="FP644" s="27"/>
      <c r="FQ644" s="27"/>
      <c r="FR644" s="27"/>
      <c r="FS644" s="27"/>
      <c r="FT644" s="27"/>
      <c r="FU644" s="27"/>
      <c r="FV644" s="27"/>
      <c r="FW644" s="27"/>
      <c r="FX644" s="27"/>
      <c r="FY644" s="27"/>
      <c r="FZ644" s="27"/>
      <c r="GA644" s="27"/>
      <c r="GB644" s="27"/>
      <c r="GC644" s="27"/>
      <c r="GD644" s="27"/>
      <c r="GE644" s="27"/>
      <c r="GF644" s="27"/>
      <c r="GG644" s="27"/>
      <c r="GH644" s="27"/>
      <c r="GI644" s="27"/>
      <c r="GJ644" s="27"/>
      <c r="GK644" s="27"/>
      <c r="GL644" s="27"/>
      <c r="GM644" s="27"/>
      <c r="GN644" s="27"/>
      <c r="GO644" s="27"/>
      <c r="GP644" s="27"/>
      <c r="GQ644" s="27"/>
      <c r="GR644" s="27"/>
      <c r="GS644" s="27"/>
      <c r="GT644" s="27"/>
      <c r="GU644" s="27"/>
      <c r="GV644" s="27"/>
      <c r="GW644" s="27"/>
      <c r="GX644" s="27"/>
      <c r="GY644" s="27"/>
      <c r="GZ644" s="27"/>
      <c r="HA644" s="27"/>
      <c r="HB644" s="27"/>
      <c r="HC644" s="27"/>
      <c r="HD644" s="27"/>
      <c r="HE644" s="27"/>
      <c r="HF644" s="27"/>
      <c r="HG644" s="27"/>
      <c r="HH644" s="27"/>
      <c r="HI644" s="27"/>
      <c r="HJ644" s="27"/>
      <c r="HK644" s="27"/>
      <c r="HL644" s="27"/>
      <c r="HM644" s="27"/>
      <c r="HN644" s="27"/>
      <c r="HO644" s="27"/>
      <c r="HP644" s="27"/>
      <c r="HQ644" s="27"/>
      <c r="HR644" s="27"/>
      <c r="HS644" s="27"/>
      <c r="HT644" s="27"/>
    </row>
    <row r="645" spans="1:228" s="61" customFormat="1">
      <c r="A645" s="32">
        <v>5</v>
      </c>
      <c r="B645" s="41" t="s">
        <v>570</v>
      </c>
      <c r="C645" s="42">
        <v>624000000</v>
      </c>
      <c r="D645" s="56"/>
      <c r="E645" s="119"/>
      <c r="F645" s="119"/>
      <c r="G645" s="132"/>
      <c r="H645" s="132"/>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27"/>
      <c r="CT645" s="27"/>
      <c r="CU645" s="27"/>
      <c r="CV645" s="27"/>
      <c r="CW645" s="27"/>
      <c r="CX645" s="27"/>
      <c r="CY645" s="27"/>
      <c r="CZ645" s="27"/>
      <c r="DA645" s="27"/>
      <c r="DB645" s="27"/>
      <c r="DC645" s="27"/>
      <c r="DD645" s="27"/>
      <c r="DE645" s="27"/>
      <c r="DF645" s="27"/>
      <c r="DG645" s="27"/>
      <c r="DH645" s="27"/>
      <c r="DI645" s="27"/>
      <c r="DJ645" s="27"/>
      <c r="DK645" s="27"/>
      <c r="DL645" s="27"/>
      <c r="DM645" s="27"/>
      <c r="DN645" s="27"/>
      <c r="DO645" s="27"/>
      <c r="DP645" s="27"/>
      <c r="DQ645" s="27"/>
      <c r="DR645" s="27"/>
      <c r="DS645" s="27"/>
      <c r="DT645" s="27"/>
      <c r="DU645" s="27"/>
      <c r="DV645" s="27"/>
      <c r="DW645" s="27"/>
      <c r="DX645" s="27"/>
      <c r="DY645" s="27"/>
      <c r="DZ645" s="27"/>
      <c r="EA645" s="27"/>
      <c r="EB645" s="27"/>
      <c r="EC645" s="27"/>
      <c r="ED645" s="27"/>
      <c r="EE645" s="27"/>
      <c r="EF645" s="27"/>
      <c r="EG645" s="27"/>
      <c r="EH645" s="27"/>
      <c r="EI645" s="27"/>
      <c r="EJ645" s="27"/>
      <c r="EK645" s="27"/>
      <c r="EL645" s="27"/>
      <c r="EM645" s="27"/>
      <c r="EN645" s="27"/>
      <c r="EO645" s="27"/>
      <c r="EP645" s="27"/>
      <c r="EQ645" s="27"/>
      <c r="ER645" s="27"/>
      <c r="ES645" s="27"/>
      <c r="ET645" s="27"/>
      <c r="EU645" s="27"/>
      <c r="EV645" s="27"/>
      <c r="EW645" s="27"/>
      <c r="EX645" s="27"/>
      <c r="EY645" s="27"/>
      <c r="EZ645" s="27"/>
      <c r="FA645" s="27"/>
      <c r="FB645" s="27"/>
      <c r="FC645" s="27"/>
      <c r="FD645" s="27"/>
      <c r="FE645" s="27"/>
      <c r="FF645" s="27"/>
      <c r="FG645" s="27"/>
      <c r="FH645" s="27"/>
      <c r="FI645" s="27"/>
      <c r="FJ645" s="27"/>
      <c r="FK645" s="27"/>
      <c r="FL645" s="27"/>
      <c r="FM645" s="27"/>
      <c r="FN645" s="27"/>
      <c r="FO645" s="27"/>
      <c r="FP645" s="27"/>
      <c r="FQ645" s="27"/>
      <c r="FR645" s="27"/>
      <c r="FS645" s="27"/>
      <c r="FT645" s="27"/>
      <c r="FU645" s="27"/>
      <c r="FV645" s="27"/>
      <c r="FW645" s="27"/>
      <c r="FX645" s="27"/>
      <c r="FY645" s="27"/>
      <c r="FZ645" s="27"/>
      <c r="GA645" s="27"/>
      <c r="GB645" s="27"/>
      <c r="GC645" s="27"/>
      <c r="GD645" s="27"/>
      <c r="GE645" s="27"/>
      <c r="GF645" s="27"/>
      <c r="GG645" s="27"/>
      <c r="GH645" s="27"/>
      <c r="GI645" s="27"/>
      <c r="GJ645" s="27"/>
      <c r="GK645" s="27"/>
      <c r="GL645" s="27"/>
      <c r="GM645" s="27"/>
      <c r="GN645" s="27"/>
      <c r="GO645" s="27"/>
      <c r="GP645" s="27"/>
      <c r="GQ645" s="27"/>
      <c r="GR645" s="27"/>
      <c r="GS645" s="27"/>
      <c r="GT645" s="27"/>
      <c r="GU645" s="27"/>
      <c r="GV645" s="27"/>
      <c r="GW645" s="27"/>
      <c r="GX645" s="27"/>
      <c r="GY645" s="27"/>
      <c r="GZ645" s="27"/>
      <c r="HA645" s="27"/>
      <c r="HB645" s="27"/>
      <c r="HC645" s="27"/>
      <c r="HD645" s="27"/>
      <c r="HE645" s="27"/>
      <c r="HF645" s="27"/>
      <c r="HG645" s="27"/>
      <c r="HH645" s="27"/>
      <c r="HI645" s="27"/>
      <c r="HJ645" s="27"/>
      <c r="HK645" s="27"/>
      <c r="HL645" s="27"/>
      <c r="HM645" s="27"/>
      <c r="HN645" s="27"/>
      <c r="HO645" s="27"/>
      <c r="HP645" s="27"/>
      <c r="HQ645" s="27"/>
      <c r="HR645" s="27"/>
      <c r="HS645" s="27"/>
      <c r="HT645" s="27"/>
    </row>
    <row r="646" spans="1:228" s="47" customFormat="1" ht="19.5">
      <c r="A646" s="31" t="s">
        <v>222</v>
      </c>
      <c r="B646" s="101" t="s">
        <v>252</v>
      </c>
      <c r="C646" s="84">
        <v>439000000</v>
      </c>
      <c r="D646" s="92"/>
      <c r="E646" s="131"/>
      <c r="F646" s="131"/>
      <c r="G646" s="117"/>
      <c r="H646" s="117"/>
      <c r="I646" s="71"/>
      <c r="J646" s="71"/>
      <c r="K646" s="71"/>
      <c r="L646" s="71"/>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71"/>
      <c r="AW646" s="71"/>
      <c r="AX646" s="71"/>
      <c r="AY646" s="71"/>
      <c r="AZ646" s="71"/>
      <c r="BA646" s="71"/>
      <c r="BB646" s="71"/>
      <c r="BC646" s="71"/>
      <c r="BD646" s="71"/>
      <c r="BE646" s="71"/>
      <c r="BF646" s="71"/>
      <c r="BG646" s="71"/>
      <c r="BH646" s="71"/>
      <c r="BI646" s="71"/>
      <c r="BJ646" s="71"/>
      <c r="BK646" s="71"/>
      <c r="BL646" s="71"/>
      <c r="BM646" s="71"/>
      <c r="BN646" s="71"/>
      <c r="BO646" s="71"/>
      <c r="BP646" s="71"/>
      <c r="BQ646" s="71"/>
      <c r="BR646" s="71"/>
      <c r="BS646" s="71"/>
      <c r="BT646" s="71"/>
      <c r="BU646" s="71"/>
      <c r="BV646" s="71"/>
      <c r="BW646" s="71"/>
      <c r="BX646" s="71"/>
      <c r="BY646" s="71"/>
      <c r="BZ646" s="71"/>
      <c r="CA646" s="71"/>
      <c r="CB646" s="71"/>
      <c r="CC646" s="71"/>
      <c r="CD646" s="71"/>
      <c r="CE646" s="71"/>
      <c r="CF646" s="71"/>
      <c r="CG646" s="71"/>
      <c r="CH646" s="71"/>
      <c r="CI646" s="71"/>
      <c r="CJ646" s="71"/>
      <c r="CK646" s="71"/>
      <c r="CL646" s="71"/>
      <c r="CM646" s="71"/>
      <c r="CN646" s="71"/>
      <c r="CO646" s="71"/>
      <c r="CP646" s="71"/>
      <c r="CQ646" s="71"/>
      <c r="CR646" s="71"/>
      <c r="CS646" s="71"/>
      <c r="CT646" s="71"/>
      <c r="CU646" s="71"/>
      <c r="CV646" s="71"/>
      <c r="CW646" s="71"/>
      <c r="CX646" s="71"/>
      <c r="CY646" s="71"/>
      <c r="CZ646" s="71"/>
      <c r="DA646" s="71"/>
      <c r="DB646" s="71"/>
      <c r="DC646" s="71"/>
      <c r="DD646" s="71"/>
      <c r="DE646" s="71"/>
      <c r="DF646" s="71"/>
      <c r="DG646" s="71"/>
      <c r="DH646" s="71"/>
      <c r="DI646" s="71"/>
      <c r="DJ646" s="71"/>
      <c r="DK646" s="71"/>
      <c r="DL646" s="71"/>
      <c r="DM646" s="71"/>
      <c r="DN646" s="71"/>
      <c r="DO646" s="71"/>
      <c r="DP646" s="71"/>
      <c r="DQ646" s="71"/>
      <c r="DR646" s="71"/>
      <c r="DS646" s="71"/>
      <c r="DT646" s="71"/>
      <c r="DU646" s="71"/>
      <c r="DV646" s="71"/>
      <c r="DW646" s="71"/>
      <c r="DX646" s="71"/>
      <c r="DY646" s="71"/>
      <c r="DZ646" s="71"/>
      <c r="EA646" s="71"/>
      <c r="EB646" s="71"/>
      <c r="EC646" s="71"/>
      <c r="ED646" s="71"/>
      <c r="EE646" s="71"/>
      <c r="EF646" s="71"/>
      <c r="EG646" s="71"/>
      <c r="EH646" s="71"/>
      <c r="EI646" s="71"/>
      <c r="EJ646" s="71"/>
      <c r="EK646" s="71"/>
      <c r="EL646" s="71"/>
      <c r="EM646" s="71"/>
      <c r="EN646" s="71"/>
      <c r="EO646" s="71"/>
      <c r="EP646" s="71"/>
      <c r="EQ646" s="71"/>
      <c r="ER646" s="71"/>
      <c r="ES646" s="71"/>
      <c r="ET646" s="71"/>
      <c r="EU646" s="71"/>
      <c r="EV646" s="71"/>
      <c r="EW646" s="71"/>
      <c r="EX646" s="71"/>
      <c r="EY646" s="71"/>
      <c r="EZ646" s="71"/>
      <c r="FA646" s="71"/>
      <c r="FB646" s="71"/>
      <c r="FC646" s="71"/>
      <c r="FD646" s="71"/>
      <c r="FE646" s="71"/>
      <c r="FF646" s="71"/>
      <c r="FG646" s="71"/>
      <c r="FH646" s="71"/>
      <c r="FI646" s="71"/>
      <c r="FJ646" s="71"/>
      <c r="FK646" s="71"/>
      <c r="FL646" s="71"/>
      <c r="FM646" s="71"/>
      <c r="FN646" s="71"/>
      <c r="FO646" s="71"/>
      <c r="FP646" s="71"/>
      <c r="FQ646" s="71"/>
      <c r="FR646" s="71"/>
      <c r="FS646" s="71"/>
      <c r="FT646" s="71"/>
      <c r="FU646" s="71"/>
      <c r="FV646" s="71"/>
      <c r="FW646" s="71"/>
      <c r="FX646" s="71"/>
      <c r="FY646" s="71"/>
      <c r="FZ646" s="71"/>
      <c r="GA646" s="71"/>
      <c r="GB646" s="71"/>
      <c r="GC646" s="71"/>
      <c r="GD646" s="71"/>
      <c r="GE646" s="71"/>
      <c r="GF646" s="71"/>
      <c r="GG646" s="71"/>
      <c r="GH646" s="71"/>
      <c r="GI646" s="71"/>
      <c r="GJ646" s="71"/>
      <c r="GK646" s="71"/>
      <c r="GL646" s="71"/>
      <c r="GM646" s="71"/>
      <c r="GN646" s="71"/>
      <c r="GO646" s="71"/>
      <c r="GP646" s="71"/>
      <c r="GQ646" s="71"/>
      <c r="GR646" s="71"/>
      <c r="GS646" s="71"/>
      <c r="GT646" s="71"/>
      <c r="GU646" s="71"/>
      <c r="GV646" s="71"/>
      <c r="GW646" s="71"/>
      <c r="GX646" s="71"/>
      <c r="GY646" s="71"/>
      <c r="GZ646" s="71"/>
      <c r="HA646" s="71"/>
      <c r="HB646" s="71"/>
      <c r="HC646" s="71"/>
      <c r="HD646" s="71"/>
      <c r="HE646" s="71"/>
      <c r="HF646" s="71"/>
      <c r="HG646" s="71"/>
      <c r="HH646" s="71"/>
      <c r="HI646" s="71"/>
      <c r="HJ646" s="71"/>
      <c r="HK646" s="71"/>
      <c r="HL646" s="71"/>
      <c r="HM646" s="71"/>
      <c r="HN646" s="71"/>
      <c r="HO646" s="71"/>
      <c r="HP646" s="71"/>
      <c r="HQ646" s="71"/>
      <c r="HR646" s="71"/>
      <c r="HS646" s="71"/>
      <c r="HT646" s="71"/>
    </row>
    <row r="647" spans="1:228" s="47" customFormat="1" ht="37.5">
      <c r="A647" s="89" t="s">
        <v>258</v>
      </c>
      <c r="B647" s="110" t="s">
        <v>377</v>
      </c>
      <c r="C647" s="91">
        <v>358000000</v>
      </c>
      <c r="D647" s="79"/>
      <c r="E647" s="127"/>
      <c r="F647" s="127"/>
      <c r="G647" s="114"/>
      <c r="H647" s="114"/>
      <c r="I647" s="88"/>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c r="AI647" s="88"/>
      <c r="AJ647" s="88"/>
      <c r="AK647" s="88"/>
      <c r="AL647" s="88"/>
      <c r="AM647" s="88"/>
      <c r="AN647" s="88"/>
      <c r="AO647" s="88"/>
      <c r="AP647" s="88"/>
      <c r="AQ647" s="88"/>
      <c r="AR647" s="88"/>
      <c r="AS647" s="88"/>
      <c r="AT647" s="88"/>
      <c r="AU647" s="88"/>
      <c r="AV647" s="88"/>
      <c r="AW647" s="88"/>
      <c r="AX647" s="88"/>
      <c r="AY647" s="88"/>
      <c r="AZ647" s="88"/>
      <c r="BA647" s="88"/>
      <c r="BB647" s="88"/>
      <c r="BC647" s="88"/>
      <c r="BD647" s="88"/>
      <c r="BE647" s="88"/>
      <c r="BF647" s="88"/>
      <c r="BG647" s="88"/>
      <c r="BH647" s="88"/>
      <c r="BI647" s="88"/>
      <c r="BJ647" s="88"/>
      <c r="BK647" s="88"/>
      <c r="BL647" s="88"/>
      <c r="BM647" s="88"/>
      <c r="BN647" s="88"/>
      <c r="BO647" s="88"/>
      <c r="BP647" s="88"/>
      <c r="BQ647" s="88"/>
      <c r="BR647" s="88"/>
      <c r="BS647" s="88"/>
      <c r="BT647" s="88"/>
      <c r="BU647" s="88"/>
      <c r="BV647" s="88"/>
      <c r="BW647" s="88"/>
      <c r="BX647" s="88"/>
      <c r="BY647" s="88"/>
      <c r="BZ647" s="88"/>
      <c r="CA647" s="88"/>
      <c r="CB647" s="88"/>
      <c r="CC647" s="88"/>
      <c r="CD647" s="88"/>
      <c r="CE647" s="88"/>
      <c r="CF647" s="88"/>
      <c r="CG647" s="88"/>
      <c r="CH647" s="88"/>
      <c r="CI647" s="88"/>
      <c r="CJ647" s="88"/>
      <c r="CK647" s="88"/>
      <c r="CL647" s="88"/>
      <c r="CM647" s="88"/>
      <c r="CN647" s="88"/>
      <c r="CO647" s="88"/>
      <c r="CP647" s="88"/>
      <c r="CQ647" s="88"/>
      <c r="CR647" s="88"/>
      <c r="CS647" s="88"/>
      <c r="CT647" s="88"/>
      <c r="CU647" s="88"/>
      <c r="CV647" s="88"/>
      <c r="CW647" s="88"/>
      <c r="CX647" s="88"/>
      <c r="CY647" s="88"/>
      <c r="CZ647" s="88"/>
      <c r="DA647" s="88"/>
      <c r="DB647" s="88"/>
      <c r="DC647" s="88"/>
      <c r="DD647" s="88"/>
      <c r="DE647" s="88"/>
      <c r="DF647" s="88"/>
      <c r="DG647" s="88"/>
      <c r="DH647" s="88"/>
      <c r="DI647" s="88"/>
      <c r="DJ647" s="88"/>
      <c r="DK647" s="88"/>
      <c r="DL647" s="88"/>
      <c r="DM647" s="88"/>
      <c r="DN647" s="88"/>
      <c r="DO647" s="88"/>
      <c r="DP647" s="88"/>
      <c r="DQ647" s="88"/>
      <c r="DR647" s="88"/>
      <c r="DS647" s="88"/>
      <c r="DT647" s="88"/>
      <c r="DU647" s="88"/>
      <c r="DV647" s="88"/>
      <c r="DW647" s="88"/>
      <c r="DX647" s="88"/>
      <c r="DY647" s="88"/>
      <c r="DZ647" s="88"/>
      <c r="EA647" s="88"/>
      <c r="EB647" s="88"/>
      <c r="EC647" s="88"/>
      <c r="ED647" s="88"/>
      <c r="EE647" s="88"/>
      <c r="EF647" s="88"/>
      <c r="EG647" s="88"/>
      <c r="EH647" s="88"/>
      <c r="EI647" s="88"/>
      <c r="EJ647" s="88"/>
      <c r="EK647" s="88"/>
      <c r="EL647" s="88"/>
      <c r="EM647" s="88"/>
      <c r="EN647" s="88"/>
      <c r="EO647" s="88"/>
      <c r="EP647" s="88"/>
      <c r="EQ647" s="88"/>
      <c r="ER647" s="88"/>
      <c r="ES647" s="88"/>
      <c r="ET647" s="88"/>
      <c r="EU647" s="88"/>
      <c r="EV647" s="88"/>
      <c r="EW647" s="88"/>
      <c r="EX647" s="88"/>
      <c r="EY647" s="88"/>
      <c r="EZ647" s="88"/>
      <c r="FA647" s="88"/>
      <c r="FB647" s="88"/>
      <c r="FC647" s="88"/>
      <c r="FD647" s="88"/>
      <c r="FE647" s="88"/>
      <c r="FF647" s="88"/>
      <c r="FG647" s="88"/>
      <c r="FH647" s="88"/>
      <c r="FI647" s="88"/>
      <c r="FJ647" s="88"/>
      <c r="FK647" s="88"/>
      <c r="FL647" s="88"/>
      <c r="FM647" s="88"/>
      <c r="FN647" s="88"/>
      <c r="FO647" s="88"/>
      <c r="FP647" s="88"/>
      <c r="FQ647" s="88"/>
      <c r="FR647" s="88"/>
      <c r="FS647" s="88"/>
      <c r="FT647" s="88"/>
      <c r="FU647" s="88"/>
      <c r="FV647" s="88"/>
      <c r="FW647" s="88"/>
      <c r="FX647" s="88"/>
      <c r="FY647" s="88"/>
      <c r="FZ647" s="88"/>
      <c r="GA647" s="88"/>
      <c r="GB647" s="88"/>
      <c r="GC647" s="88"/>
      <c r="GD647" s="88"/>
      <c r="GE647" s="88"/>
      <c r="GF647" s="88"/>
      <c r="GG647" s="88"/>
      <c r="GH647" s="88"/>
      <c r="GI647" s="88"/>
      <c r="GJ647" s="88"/>
      <c r="GK647" s="88"/>
      <c r="GL647" s="88"/>
      <c r="GM647" s="88"/>
      <c r="GN647" s="88"/>
      <c r="GO647" s="88"/>
      <c r="GP647" s="88"/>
      <c r="GQ647" s="88"/>
      <c r="GR647" s="88"/>
      <c r="GS647" s="88"/>
      <c r="GT647" s="88"/>
      <c r="GU647" s="88"/>
      <c r="GV647" s="88"/>
      <c r="GW647" s="88"/>
      <c r="GX647" s="88"/>
      <c r="GY647" s="88"/>
      <c r="GZ647" s="88"/>
      <c r="HA647" s="88"/>
      <c r="HB647" s="88"/>
      <c r="HC647" s="88"/>
      <c r="HD647" s="88"/>
      <c r="HE647" s="88"/>
      <c r="HF647" s="88"/>
      <c r="HG647" s="88"/>
      <c r="HH647" s="88"/>
      <c r="HI647" s="88"/>
      <c r="HJ647" s="88"/>
      <c r="HK647" s="88"/>
      <c r="HL647" s="88"/>
      <c r="HM647" s="88"/>
      <c r="HN647" s="88"/>
      <c r="HO647" s="88"/>
      <c r="HP647" s="88"/>
      <c r="HQ647" s="88"/>
      <c r="HR647" s="88"/>
      <c r="HS647" s="88"/>
      <c r="HT647" s="88"/>
    </row>
    <row r="648" spans="1:228" s="47" customFormat="1" ht="19.5">
      <c r="A648" s="109" t="s">
        <v>91</v>
      </c>
      <c r="B648" s="110" t="s">
        <v>256</v>
      </c>
      <c r="C648" s="91">
        <v>81000000</v>
      </c>
      <c r="D648" s="79"/>
      <c r="E648" s="127"/>
      <c r="F648" s="127"/>
      <c r="G648" s="117"/>
      <c r="H648" s="117"/>
      <c r="I648" s="88"/>
      <c r="J648" s="88"/>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88"/>
      <c r="AH648" s="88"/>
      <c r="AI648" s="88"/>
      <c r="AJ648" s="88"/>
      <c r="AK648" s="88"/>
      <c r="AL648" s="88"/>
      <c r="AM648" s="88"/>
      <c r="AN648" s="88"/>
      <c r="AO648" s="88"/>
      <c r="AP648" s="88"/>
      <c r="AQ648" s="88"/>
      <c r="AR648" s="88"/>
      <c r="AS648" s="88"/>
      <c r="AT648" s="88"/>
      <c r="AU648" s="88"/>
      <c r="AV648" s="88"/>
      <c r="AW648" s="88"/>
      <c r="AX648" s="88"/>
      <c r="AY648" s="88"/>
      <c r="AZ648" s="88"/>
      <c r="BA648" s="88"/>
      <c r="BB648" s="88"/>
      <c r="BC648" s="88"/>
      <c r="BD648" s="88"/>
      <c r="BE648" s="88"/>
      <c r="BF648" s="88"/>
      <c r="BG648" s="88"/>
      <c r="BH648" s="88"/>
      <c r="BI648" s="88"/>
      <c r="BJ648" s="88"/>
      <c r="BK648" s="88"/>
      <c r="BL648" s="88"/>
      <c r="BM648" s="88"/>
      <c r="BN648" s="88"/>
      <c r="BO648" s="88"/>
      <c r="BP648" s="88"/>
      <c r="BQ648" s="88"/>
      <c r="BR648" s="88"/>
      <c r="BS648" s="88"/>
      <c r="BT648" s="88"/>
      <c r="BU648" s="88"/>
      <c r="BV648" s="88"/>
      <c r="BW648" s="88"/>
      <c r="BX648" s="88"/>
      <c r="BY648" s="88"/>
      <c r="BZ648" s="88"/>
      <c r="CA648" s="88"/>
      <c r="CB648" s="88"/>
      <c r="CC648" s="88"/>
      <c r="CD648" s="88"/>
      <c r="CE648" s="88"/>
      <c r="CF648" s="88"/>
      <c r="CG648" s="88"/>
      <c r="CH648" s="88"/>
      <c r="CI648" s="88"/>
      <c r="CJ648" s="88"/>
      <c r="CK648" s="88"/>
      <c r="CL648" s="88"/>
      <c r="CM648" s="88"/>
      <c r="CN648" s="88"/>
      <c r="CO648" s="88"/>
      <c r="CP648" s="88"/>
      <c r="CQ648" s="88"/>
      <c r="CR648" s="88"/>
      <c r="CS648" s="88"/>
      <c r="CT648" s="88"/>
      <c r="CU648" s="88"/>
      <c r="CV648" s="88"/>
      <c r="CW648" s="88"/>
      <c r="CX648" s="88"/>
      <c r="CY648" s="88"/>
      <c r="CZ648" s="88"/>
      <c r="DA648" s="88"/>
      <c r="DB648" s="88"/>
      <c r="DC648" s="88"/>
      <c r="DD648" s="88"/>
      <c r="DE648" s="88"/>
      <c r="DF648" s="88"/>
      <c r="DG648" s="88"/>
      <c r="DH648" s="88"/>
      <c r="DI648" s="88"/>
      <c r="DJ648" s="88"/>
      <c r="DK648" s="88"/>
      <c r="DL648" s="88"/>
      <c r="DM648" s="88"/>
      <c r="DN648" s="88"/>
      <c r="DO648" s="88"/>
      <c r="DP648" s="88"/>
      <c r="DQ648" s="88"/>
      <c r="DR648" s="88"/>
      <c r="DS648" s="88"/>
      <c r="DT648" s="88"/>
      <c r="DU648" s="88"/>
      <c r="DV648" s="88"/>
      <c r="DW648" s="88"/>
      <c r="DX648" s="88"/>
      <c r="DY648" s="88"/>
      <c r="DZ648" s="88"/>
      <c r="EA648" s="88"/>
      <c r="EB648" s="88"/>
      <c r="EC648" s="88"/>
      <c r="ED648" s="88"/>
      <c r="EE648" s="88"/>
      <c r="EF648" s="88"/>
      <c r="EG648" s="88"/>
      <c r="EH648" s="88"/>
      <c r="EI648" s="88"/>
      <c r="EJ648" s="88"/>
      <c r="EK648" s="88"/>
      <c r="EL648" s="88"/>
      <c r="EM648" s="88"/>
      <c r="EN648" s="88"/>
      <c r="EO648" s="88"/>
      <c r="EP648" s="88"/>
      <c r="EQ648" s="88"/>
      <c r="ER648" s="88"/>
      <c r="ES648" s="88"/>
      <c r="ET648" s="88"/>
      <c r="EU648" s="88"/>
      <c r="EV648" s="88"/>
      <c r="EW648" s="88"/>
      <c r="EX648" s="88"/>
      <c r="EY648" s="88"/>
      <c r="EZ648" s="88"/>
      <c r="FA648" s="88"/>
      <c r="FB648" s="88"/>
      <c r="FC648" s="88"/>
      <c r="FD648" s="88"/>
      <c r="FE648" s="88"/>
      <c r="FF648" s="88"/>
      <c r="FG648" s="88"/>
      <c r="FH648" s="88"/>
      <c r="FI648" s="88"/>
      <c r="FJ648" s="88"/>
      <c r="FK648" s="88"/>
      <c r="FL648" s="88"/>
      <c r="FM648" s="88"/>
      <c r="FN648" s="88"/>
      <c r="FO648" s="88"/>
      <c r="FP648" s="88"/>
      <c r="FQ648" s="88"/>
      <c r="FR648" s="88"/>
      <c r="FS648" s="88"/>
      <c r="FT648" s="88"/>
      <c r="FU648" s="88"/>
      <c r="FV648" s="88"/>
      <c r="FW648" s="88"/>
      <c r="FX648" s="88"/>
      <c r="FY648" s="88"/>
      <c r="FZ648" s="88"/>
      <c r="GA648" s="88"/>
      <c r="GB648" s="88"/>
      <c r="GC648" s="88"/>
      <c r="GD648" s="88"/>
      <c r="GE648" s="88"/>
      <c r="GF648" s="88"/>
      <c r="GG648" s="88"/>
      <c r="GH648" s="88"/>
      <c r="GI648" s="88"/>
      <c r="GJ648" s="88"/>
      <c r="GK648" s="88"/>
      <c r="GL648" s="88"/>
      <c r="GM648" s="88"/>
      <c r="GN648" s="88"/>
      <c r="GO648" s="88"/>
      <c r="GP648" s="88"/>
      <c r="GQ648" s="88"/>
      <c r="GR648" s="88"/>
      <c r="GS648" s="88"/>
      <c r="GT648" s="88"/>
      <c r="GU648" s="88"/>
      <c r="GV648" s="88"/>
      <c r="GW648" s="88"/>
      <c r="GX648" s="88"/>
      <c r="GY648" s="88"/>
      <c r="GZ648" s="88"/>
      <c r="HA648" s="88"/>
      <c r="HB648" s="88"/>
      <c r="HC648" s="88"/>
      <c r="HD648" s="88"/>
      <c r="HE648" s="88"/>
      <c r="HF648" s="88"/>
      <c r="HG648" s="88"/>
      <c r="HH648" s="88"/>
      <c r="HI648" s="88"/>
      <c r="HJ648" s="88"/>
      <c r="HK648" s="88"/>
      <c r="HL648" s="88"/>
      <c r="HM648" s="88"/>
      <c r="HN648" s="88"/>
      <c r="HO648" s="88"/>
      <c r="HP648" s="88"/>
      <c r="HQ648" s="88"/>
      <c r="HR648" s="88"/>
      <c r="HS648" s="88"/>
      <c r="HT648" s="88"/>
    </row>
    <row r="649" spans="1:228" ht="19.5">
      <c r="A649" s="31" t="s">
        <v>225</v>
      </c>
      <c r="B649" s="101" t="s">
        <v>257</v>
      </c>
      <c r="C649" s="102">
        <v>185000000</v>
      </c>
      <c r="D649" s="38"/>
      <c r="E649" s="116"/>
      <c r="F649" s="116"/>
      <c r="G649" s="131"/>
      <c r="H649" s="131"/>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c r="CQ649" s="62"/>
      <c r="CR649" s="62"/>
      <c r="CS649" s="62"/>
      <c r="CT649" s="62"/>
      <c r="CU649" s="62"/>
      <c r="CV649" s="62"/>
      <c r="CW649" s="62"/>
      <c r="CX649" s="62"/>
      <c r="CY649" s="62"/>
      <c r="CZ649" s="62"/>
      <c r="DA649" s="62"/>
      <c r="DB649" s="62"/>
      <c r="DC649" s="62"/>
      <c r="DD649" s="62"/>
      <c r="DE649" s="62"/>
      <c r="DF649" s="62"/>
      <c r="DG649" s="62"/>
      <c r="DH649" s="62"/>
      <c r="DI649" s="62"/>
      <c r="DJ649" s="62"/>
      <c r="DK649" s="62"/>
      <c r="DL649" s="62"/>
      <c r="DM649" s="62"/>
      <c r="DN649" s="62"/>
      <c r="DO649" s="62"/>
      <c r="DP649" s="62"/>
      <c r="DQ649" s="62"/>
      <c r="DR649" s="62"/>
      <c r="DS649" s="62"/>
      <c r="DT649" s="62"/>
      <c r="DU649" s="62"/>
      <c r="DV649" s="62"/>
      <c r="DW649" s="62"/>
      <c r="DX649" s="62"/>
      <c r="DY649" s="62"/>
      <c r="DZ649" s="62"/>
      <c r="EA649" s="62"/>
      <c r="EB649" s="62"/>
      <c r="EC649" s="62"/>
      <c r="ED649" s="62"/>
      <c r="EE649" s="62"/>
      <c r="EF649" s="62"/>
      <c r="EG649" s="62"/>
      <c r="EH649" s="62"/>
      <c r="EI649" s="62"/>
      <c r="EJ649" s="62"/>
      <c r="EK649" s="62"/>
      <c r="EL649" s="62"/>
      <c r="EM649" s="62"/>
      <c r="EN649" s="62"/>
      <c r="EO649" s="62"/>
      <c r="EP649" s="62"/>
      <c r="EQ649" s="62"/>
      <c r="ER649" s="62"/>
      <c r="ES649" s="62"/>
      <c r="ET649" s="62"/>
      <c r="EU649" s="62"/>
      <c r="EV649" s="62"/>
      <c r="EW649" s="62"/>
      <c r="EX649" s="62"/>
      <c r="EY649" s="62"/>
      <c r="EZ649" s="62"/>
      <c r="FA649" s="62"/>
      <c r="FB649" s="62"/>
      <c r="FC649" s="62"/>
      <c r="FD649" s="62"/>
      <c r="FE649" s="62"/>
      <c r="FF649" s="62"/>
      <c r="FG649" s="62"/>
      <c r="FH649" s="62"/>
      <c r="FI649" s="62"/>
      <c r="FJ649" s="62"/>
      <c r="FK649" s="62"/>
      <c r="FL649" s="62"/>
      <c r="FM649" s="62"/>
      <c r="FN649" s="62"/>
      <c r="FO649" s="62"/>
      <c r="FP649" s="62"/>
      <c r="FQ649" s="62"/>
      <c r="FR649" s="62"/>
      <c r="FS649" s="62"/>
      <c r="FT649" s="62"/>
      <c r="FU649" s="62"/>
      <c r="FV649" s="62"/>
      <c r="FW649" s="62"/>
      <c r="FX649" s="62"/>
      <c r="FY649" s="62"/>
      <c r="FZ649" s="62"/>
      <c r="GA649" s="62"/>
      <c r="GB649" s="62"/>
      <c r="GC649" s="62"/>
      <c r="GD649" s="62"/>
      <c r="GE649" s="62"/>
      <c r="GF649" s="62"/>
      <c r="GG649" s="62"/>
      <c r="GH649" s="62"/>
      <c r="GI649" s="62"/>
      <c r="GJ649" s="62"/>
      <c r="GK649" s="62"/>
      <c r="GL649" s="62"/>
      <c r="GM649" s="62"/>
      <c r="GN649" s="62"/>
      <c r="GO649" s="62"/>
      <c r="GP649" s="62"/>
      <c r="GQ649" s="62"/>
      <c r="GR649" s="62"/>
      <c r="GS649" s="62"/>
      <c r="GT649" s="62"/>
      <c r="GU649" s="62"/>
      <c r="GV649" s="62"/>
      <c r="GW649" s="62"/>
      <c r="GX649" s="62"/>
      <c r="GY649" s="62"/>
      <c r="GZ649" s="62"/>
      <c r="HA649" s="62"/>
      <c r="HB649" s="62"/>
      <c r="HC649" s="62"/>
      <c r="HD649" s="62"/>
      <c r="HE649" s="62"/>
      <c r="HF649" s="62"/>
      <c r="HG649" s="62"/>
      <c r="HH649" s="62"/>
      <c r="HI649" s="62"/>
      <c r="HJ649" s="62"/>
      <c r="HK649" s="62"/>
      <c r="HL649" s="62"/>
      <c r="HM649" s="62"/>
      <c r="HN649" s="62"/>
      <c r="HO649" s="62"/>
      <c r="HP649" s="62"/>
      <c r="HQ649" s="62"/>
      <c r="HR649" s="62"/>
      <c r="HS649" s="62"/>
      <c r="HT649" s="62"/>
    </row>
    <row r="650" spans="1:228">
      <c r="A650" s="63" t="s">
        <v>258</v>
      </c>
      <c r="B650" s="213" t="s">
        <v>409</v>
      </c>
      <c r="C650" s="65">
        <v>15000000</v>
      </c>
      <c r="D650" s="79"/>
      <c r="E650" s="118"/>
      <c r="F650" s="118"/>
      <c r="G650" s="118"/>
      <c r="H650" s="118"/>
    </row>
    <row r="651" spans="1:228" ht="37.5">
      <c r="A651" s="63" t="s">
        <v>258</v>
      </c>
      <c r="B651" s="213" t="s">
        <v>571</v>
      </c>
      <c r="C651" s="65">
        <v>65000000</v>
      </c>
      <c r="D651" s="79"/>
      <c r="E651" s="118"/>
      <c r="F651" s="118"/>
      <c r="G651" s="118"/>
      <c r="H651" s="118"/>
    </row>
    <row r="652" spans="1:228">
      <c r="A652" s="63" t="s">
        <v>258</v>
      </c>
      <c r="B652" s="213" t="s">
        <v>572</v>
      </c>
      <c r="C652" s="65">
        <v>15000000</v>
      </c>
      <c r="D652" s="79"/>
      <c r="E652" s="118"/>
      <c r="F652" s="118"/>
      <c r="G652" s="118"/>
      <c r="H652" s="118"/>
    </row>
    <row r="653" spans="1:228">
      <c r="A653" s="63" t="s">
        <v>258</v>
      </c>
      <c r="B653" s="213" t="s">
        <v>573</v>
      </c>
      <c r="C653" s="65">
        <v>20000000</v>
      </c>
      <c r="D653" s="79"/>
      <c r="E653" s="118"/>
      <c r="F653" s="118"/>
      <c r="G653" s="118"/>
      <c r="H653" s="118"/>
    </row>
    <row r="654" spans="1:228" ht="37.5">
      <c r="A654" s="63" t="s">
        <v>258</v>
      </c>
      <c r="B654" s="213" t="s">
        <v>574</v>
      </c>
      <c r="C654" s="65">
        <v>70000000</v>
      </c>
      <c r="D654" s="79"/>
      <c r="E654" s="118"/>
      <c r="F654" s="118"/>
      <c r="G654" s="118"/>
      <c r="H654" s="118"/>
    </row>
    <row r="655" spans="1:228">
      <c r="A655" s="72" t="s">
        <v>261</v>
      </c>
      <c r="B655" s="105" t="s">
        <v>262</v>
      </c>
      <c r="C655" s="107">
        <v>25100000</v>
      </c>
      <c r="D655" s="76"/>
      <c r="E655" s="145"/>
      <c r="F655" s="145"/>
      <c r="G655" s="114"/>
      <c r="H655" s="114"/>
    </row>
    <row r="656" spans="1:228">
      <c r="A656" s="89"/>
      <c r="B656" s="90" t="s">
        <v>263</v>
      </c>
      <c r="C656" s="91">
        <v>25100000</v>
      </c>
      <c r="D656" s="79"/>
      <c r="E656" s="127"/>
      <c r="F656" s="127"/>
      <c r="G656" s="114"/>
      <c r="H656" s="114"/>
    </row>
    <row r="657" spans="1:8">
      <c r="A657" s="89"/>
      <c r="B657" s="65"/>
      <c r="C657" s="91"/>
      <c r="D657" s="79"/>
      <c r="E657" s="127"/>
      <c r="F657" s="127"/>
      <c r="G657" s="114"/>
      <c r="H657" s="114"/>
    </row>
    <row r="658" spans="1:8">
      <c r="A658" s="32" t="s">
        <v>575</v>
      </c>
      <c r="B658" s="41" t="s">
        <v>576</v>
      </c>
      <c r="C658" s="37">
        <v>13019000000</v>
      </c>
      <c r="D658" s="38"/>
      <c r="E658" s="123"/>
      <c r="F658" s="123"/>
      <c r="G658" s="156"/>
      <c r="H658" s="156"/>
    </row>
    <row r="659" spans="1:8">
      <c r="A659" s="32">
        <v>1</v>
      </c>
      <c r="B659" s="41" t="s">
        <v>577</v>
      </c>
      <c r="C659" s="37">
        <v>3468000000</v>
      </c>
      <c r="D659" s="38"/>
      <c r="E659" s="123"/>
      <c r="F659" s="123"/>
      <c r="G659" s="132"/>
      <c r="H659" s="132"/>
    </row>
    <row r="660" spans="1:8">
      <c r="A660" s="72"/>
      <c r="B660" s="23" t="s">
        <v>578</v>
      </c>
      <c r="C660" s="74">
        <v>1788000000</v>
      </c>
      <c r="D660" s="38"/>
      <c r="E660" s="114"/>
      <c r="F660" s="114"/>
      <c r="G660" s="139"/>
      <c r="H660" s="139"/>
    </row>
    <row r="661" spans="1:8" ht="37.5">
      <c r="A661" s="72" t="s">
        <v>91</v>
      </c>
      <c r="B661" s="110" t="s">
        <v>579</v>
      </c>
      <c r="C661" s="91"/>
      <c r="D661" s="79"/>
      <c r="E661" s="127"/>
      <c r="F661" s="127"/>
      <c r="G661" s="139"/>
      <c r="H661" s="139"/>
    </row>
    <row r="662" spans="1:8" ht="37.5">
      <c r="A662" s="72" t="s">
        <v>91</v>
      </c>
      <c r="B662" s="110" t="s">
        <v>580</v>
      </c>
      <c r="C662" s="91">
        <v>300000000</v>
      </c>
      <c r="D662" s="79"/>
      <c r="E662" s="127"/>
      <c r="F662" s="127"/>
      <c r="G662" s="139"/>
      <c r="H662" s="139"/>
    </row>
    <row r="663" spans="1:8">
      <c r="A663" s="72" t="s">
        <v>91</v>
      </c>
      <c r="B663" s="110" t="s">
        <v>581</v>
      </c>
      <c r="C663" s="74">
        <v>50000000</v>
      </c>
      <c r="D663" s="50"/>
      <c r="E663" s="114"/>
      <c r="F663" s="114"/>
      <c r="G663" s="139"/>
      <c r="H663" s="139"/>
    </row>
    <row r="664" spans="1:8">
      <c r="A664" s="72" t="s">
        <v>91</v>
      </c>
      <c r="B664" s="110" t="s">
        <v>582</v>
      </c>
      <c r="C664" s="74">
        <v>150000000</v>
      </c>
      <c r="D664" s="50"/>
      <c r="E664" s="114"/>
      <c r="F664" s="114"/>
      <c r="G664" s="139"/>
      <c r="H664" s="139"/>
    </row>
    <row r="665" spans="1:8" ht="75">
      <c r="A665" s="72"/>
      <c r="B665" s="110" t="s">
        <v>583</v>
      </c>
      <c r="C665" s="74">
        <v>70000000</v>
      </c>
      <c r="D665" s="50"/>
      <c r="E665" s="114"/>
      <c r="F665" s="114"/>
      <c r="G665" s="139"/>
      <c r="H665" s="139"/>
    </row>
    <row r="666" spans="1:8">
      <c r="A666" s="72"/>
      <c r="B666" s="110" t="s">
        <v>584</v>
      </c>
      <c r="C666" s="74">
        <v>300000000</v>
      </c>
      <c r="D666" s="50"/>
      <c r="E666" s="114"/>
      <c r="F666" s="114"/>
      <c r="G666" s="139"/>
      <c r="H666" s="139"/>
    </row>
    <row r="667" spans="1:8">
      <c r="A667" s="72"/>
      <c r="B667" s="110" t="s">
        <v>585</v>
      </c>
      <c r="C667" s="74">
        <v>60000000</v>
      </c>
      <c r="D667" s="50"/>
      <c r="E667" s="114"/>
      <c r="F667" s="114"/>
      <c r="G667" s="139"/>
      <c r="H667" s="139"/>
    </row>
    <row r="668" spans="1:8">
      <c r="A668" s="72"/>
      <c r="B668" s="110" t="s">
        <v>586</v>
      </c>
      <c r="C668" s="74">
        <v>500000000</v>
      </c>
      <c r="D668" s="50"/>
      <c r="E668" s="114"/>
      <c r="F668" s="114"/>
      <c r="G668" s="139"/>
      <c r="H668" s="139"/>
    </row>
    <row r="669" spans="1:8">
      <c r="A669" s="72"/>
      <c r="B669" s="110" t="s">
        <v>587</v>
      </c>
      <c r="C669" s="74">
        <v>200000000</v>
      </c>
      <c r="D669" s="50"/>
      <c r="E669" s="114"/>
      <c r="F669" s="114"/>
      <c r="G669" s="139"/>
      <c r="H669" s="139"/>
    </row>
    <row r="670" spans="1:8">
      <c r="A670" s="72"/>
      <c r="B670" s="110" t="s">
        <v>588</v>
      </c>
      <c r="C670" s="74">
        <v>50000000</v>
      </c>
      <c r="D670" s="50"/>
      <c r="E670" s="114"/>
      <c r="F670" s="114"/>
      <c r="G670" s="139"/>
      <c r="H670" s="139"/>
    </row>
    <row r="671" spans="1:8">
      <c r="A671" s="106" t="s">
        <v>91</v>
      </c>
      <c r="B671" s="105" t="s">
        <v>262</v>
      </c>
      <c r="C671" s="74">
        <v>346800000</v>
      </c>
      <c r="D671" s="50"/>
      <c r="E671" s="114"/>
      <c r="F671" s="114"/>
      <c r="G671" s="114"/>
      <c r="H671" s="114"/>
    </row>
    <row r="672" spans="1:8">
      <c r="A672" s="72"/>
      <c r="B672" s="110" t="s">
        <v>263</v>
      </c>
      <c r="C672" s="91">
        <v>346800000</v>
      </c>
      <c r="D672" s="79"/>
      <c r="E672" s="127"/>
      <c r="F672" s="127"/>
      <c r="G672" s="114"/>
      <c r="H672" s="114"/>
    </row>
    <row r="673" spans="1:228">
      <c r="A673" s="32">
        <v>2</v>
      </c>
      <c r="B673" s="41" t="s">
        <v>589</v>
      </c>
      <c r="C673" s="37">
        <v>2919000000</v>
      </c>
      <c r="D673" s="38"/>
      <c r="E673" s="123"/>
      <c r="F673" s="123"/>
      <c r="G673" s="119"/>
      <c r="H673" s="119"/>
    </row>
    <row r="674" spans="1:228" s="62" customFormat="1">
      <c r="A674" s="72"/>
      <c r="B674" s="23" t="s">
        <v>578</v>
      </c>
      <c r="C674" s="74">
        <v>621499200</v>
      </c>
      <c r="D674" s="1851"/>
      <c r="E674" s="114"/>
      <c r="F674" s="114"/>
      <c r="G674" s="114"/>
      <c r="H674" s="114"/>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c r="CL674" s="27"/>
      <c r="CM674" s="27"/>
      <c r="CN674" s="27"/>
      <c r="CO674" s="27"/>
      <c r="CP674" s="27"/>
      <c r="CQ674" s="27"/>
      <c r="CR674" s="27"/>
      <c r="CS674" s="27"/>
      <c r="CT674" s="27"/>
      <c r="CU674" s="27"/>
      <c r="CV674" s="27"/>
      <c r="CW674" s="27"/>
      <c r="CX674" s="27"/>
      <c r="CY674" s="27"/>
      <c r="CZ674" s="27"/>
      <c r="DA674" s="27"/>
      <c r="DB674" s="27"/>
      <c r="DC674" s="27"/>
      <c r="DD674" s="27"/>
      <c r="DE674" s="27"/>
      <c r="DF674" s="27"/>
      <c r="DG674" s="27"/>
      <c r="DH674" s="27"/>
      <c r="DI674" s="27"/>
      <c r="DJ674" s="27"/>
      <c r="DK674" s="27"/>
      <c r="DL674" s="27"/>
      <c r="DM674" s="27"/>
      <c r="DN674" s="27"/>
      <c r="DO674" s="27"/>
      <c r="DP674" s="27"/>
      <c r="DQ674" s="27"/>
      <c r="DR674" s="27"/>
      <c r="DS674" s="27"/>
      <c r="DT674" s="27"/>
      <c r="DU674" s="27"/>
      <c r="DV674" s="27"/>
      <c r="DW674" s="27"/>
      <c r="DX674" s="27"/>
      <c r="DY674" s="27"/>
      <c r="DZ674" s="27"/>
      <c r="EA674" s="27"/>
      <c r="EB674" s="27"/>
      <c r="EC674" s="27"/>
      <c r="ED674" s="27"/>
      <c r="EE674" s="27"/>
      <c r="EF674" s="27"/>
      <c r="EG674" s="27"/>
      <c r="EH674" s="27"/>
      <c r="EI674" s="27"/>
      <c r="EJ674" s="27"/>
      <c r="EK674" s="27"/>
      <c r="EL674" s="27"/>
      <c r="EM674" s="27"/>
      <c r="EN674" s="27"/>
      <c r="EO674" s="27"/>
      <c r="EP674" s="27"/>
      <c r="EQ674" s="27"/>
      <c r="ER674" s="27"/>
      <c r="ES674" s="27"/>
      <c r="ET674" s="27"/>
      <c r="EU674" s="27"/>
      <c r="EV674" s="27"/>
      <c r="EW674" s="27"/>
      <c r="EX674" s="27"/>
      <c r="EY674" s="27"/>
      <c r="EZ674" s="27"/>
      <c r="FA674" s="27"/>
      <c r="FB674" s="27"/>
      <c r="FC674" s="27"/>
      <c r="FD674" s="27"/>
      <c r="FE674" s="27"/>
      <c r="FF674" s="27"/>
      <c r="FG674" s="27"/>
      <c r="FH674" s="27"/>
      <c r="FI674" s="27"/>
      <c r="FJ674" s="27"/>
      <c r="FK674" s="27"/>
      <c r="FL674" s="27"/>
      <c r="FM674" s="27"/>
      <c r="FN674" s="27"/>
      <c r="FO674" s="27"/>
      <c r="FP674" s="27"/>
      <c r="FQ674" s="27"/>
      <c r="FR674" s="27"/>
      <c r="FS674" s="27"/>
      <c r="FT674" s="27"/>
      <c r="FU674" s="27"/>
      <c r="FV674" s="27"/>
      <c r="FW674" s="27"/>
      <c r="FX674" s="27"/>
      <c r="FY674" s="27"/>
      <c r="FZ674" s="27"/>
      <c r="GA674" s="27"/>
      <c r="GB674" s="27"/>
      <c r="GC674" s="27"/>
      <c r="GD674" s="27"/>
      <c r="GE674" s="27"/>
      <c r="GF674" s="27"/>
      <c r="GG674" s="27"/>
      <c r="GH674" s="27"/>
      <c r="GI674" s="27"/>
      <c r="GJ674" s="27"/>
      <c r="GK674" s="27"/>
      <c r="GL674" s="27"/>
      <c r="GM674" s="27"/>
      <c r="GN674" s="27"/>
      <c r="GO674" s="27"/>
      <c r="GP674" s="27"/>
      <c r="GQ674" s="27"/>
      <c r="GR674" s="27"/>
      <c r="GS674" s="27"/>
      <c r="GT674" s="27"/>
      <c r="GU674" s="27"/>
      <c r="GV674" s="27"/>
      <c r="GW674" s="27"/>
      <c r="GX674" s="27"/>
      <c r="GY674" s="27"/>
      <c r="GZ674" s="27"/>
      <c r="HA674" s="27"/>
      <c r="HB674" s="27"/>
      <c r="HC674" s="27"/>
      <c r="HD674" s="27"/>
      <c r="HE674" s="27"/>
      <c r="HF674" s="27"/>
      <c r="HG674" s="27"/>
      <c r="HH674" s="27"/>
      <c r="HI674" s="27"/>
      <c r="HJ674" s="27"/>
      <c r="HK674" s="27"/>
      <c r="HL674" s="27"/>
      <c r="HM674" s="27"/>
      <c r="HN674" s="27"/>
      <c r="HO674" s="27"/>
      <c r="HP674" s="27"/>
      <c r="HQ674" s="27"/>
      <c r="HR674" s="27"/>
      <c r="HS674" s="27"/>
      <c r="HT674" s="27"/>
    </row>
    <row r="675" spans="1:228" s="62" customFormat="1">
      <c r="A675" s="72"/>
      <c r="B675" s="23" t="s">
        <v>590</v>
      </c>
      <c r="C675" s="74">
        <v>638596800</v>
      </c>
      <c r="D675" s="1851"/>
      <c r="E675" s="114"/>
      <c r="F675" s="114"/>
      <c r="G675" s="114"/>
      <c r="H675" s="114"/>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27"/>
      <c r="DX675" s="27"/>
      <c r="DY675" s="27"/>
      <c r="DZ675" s="27"/>
      <c r="EA675" s="27"/>
      <c r="EB675" s="27"/>
      <c r="EC675" s="27"/>
      <c r="ED675" s="27"/>
      <c r="EE675" s="27"/>
      <c r="EF675" s="27"/>
      <c r="EG675" s="27"/>
      <c r="EH675" s="27"/>
      <c r="EI675" s="27"/>
      <c r="EJ675" s="27"/>
      <c r="EK675" s="27"/>
      <c r="EL675" s="27"/>
      <c r="EM675" s="27"/>
      <c r="EN675" s="27"/>
      <c r="EO675" s="27"/>
      <c r="EP675" s="27"/>
      <c r="EQ675" s="27"/>
      <c r="ER675" s="27"/>
      <c r="ES675" s="27"/>
      <c r="ET675" s="27"/>
      <c r="EU675" s="27"/>
      <c r="EV675" s="27"/>
      <c r="EW675" s="27"/>
      <c r="EX675" s="27"/>
      <c r="EY675" s="27"/>
      <c r="EZ675" s="27"/>
      <c r="FA675" s="27"/>
      <c r="FB675" s="27"/>
      <c r="FC675" s="27"/>
      <c r="FD675" s="27"/>
      <c r="FE675" s="27"/>
      <c r="FF675" s="27"/>
      <c r="FG675" s="27"/>
      <c r="FH675" s="27"/>
      <c r="FI675" s="27"/>
      <c r="FJ675" s="27"/>
      <c r="FK675" s="27"/>
      <c r="FL675" s="27"/>
      <c r="FM675" s="27"/>
      <c r="FN675" s="27"/>
      <c r="FO675" s="27"/>
      <c r="FP675" s="27"/>
      <c r="FQ675" s="27"/>
      <c r="FR675" s="27"/>
      <c r="FS675" s="27"/>
      <c r="FT675" s="27"/>
      <c r="FU675" s="27"/>
      <c r="FV675" s="27"/>
      <c r="FW675" s="27"/>
      <c r="FX675" s="27"/>
      <c r="FY675" s="27"/>
      <c r="FZ675" s="27"/>
      <c r="GA675" s="27"/>
      <c r="GB675" s="27"/>
      <c r="GC675" s="27"/>
      <c r="GD675" s="27"/>
      <c r="GE675" s="27"/>
      <c r="GF675" s="27"/>
      <c r="GG675" s="27"/>
      <c r="GH675" s="27"/>
      <c r="GI675" s="27"/>
      <c r="GJ675" s="27"/>
      <c r="GK675" s="27"/>
      <c r="GL675" s="27"/>
      <c r="GM675" s="27"/>
      <c r="GN675" s="27"/>
      <c r="GO675" s="27"/>
      <c r="GP675" s="27"/>
      <c r="GQ675" s="27"/>
      <c r="GR675" s="27"/>
      <c r="GS675" s="27"/>
      <c r="GT675" s="27"/>
      <c r="GU675" s="27"/>
      <c r="GV675" s="27"/>
      <c r="GW675" s="27"/>
      <c r="GX675" s="27"/>
      <c r="GY675" s="27"/>
      <c r="GZ675" s="27"/>
      <c r="HA675" s="27"/>
      <c r="HB675" s="27"/>
      <c r="HC675" s="27"/>
      <c r="HD675" s="27"/>
      <c r="HE675" s="27"/>
      <c r="HF675" s="27"/>
      <c r="HG675" s="27"/>
      <c r="HH675" s="27"/>
      <c r="HI675" s="27"/>
      <c r="HJ675" s="27"/>
      <c r="HK675" s="27"/>
      <c r="HL675" s="27"/>
      <c r="HM675" s="27"/>
      <c r="HN675" s="27"/>
      <c r="HO675" s="27"/>
      <c r="HP675" s="27"/>
      <c r="HQ675" s="27"/>
      <c r="HR675" s="27"/>
      <c r="HS675" s="27"/>
      <c r="HT675" s="27"/>
    </row>
    <row r="676" spans="1:228" s="62" customFormat="1">
      <c r="A676" s="72"/>
      <c r="B676" s="48" t="s">
        <v>591</v>
      </c>
      <c r="C676" s="74">
        <v>163812480</v>
      </c>
      <c r="D676" s="1851"/>
      <c r="E676" s="114"/>
      <c r="F676" s="114"/>
      <c r="G676" s="114"/>
      <c r="H676" s="114"/>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27"/>
      <c r="CK676" s="27"/>
      <c r="CL676" s="27"/>
      <c r="CM676" s="27"/>
      <c r="CN676" s="27"/>
      <c r="CO676" s="27"/>
      <c r="CP676" s="27"/>
      <c r="CQ676" s="27"/>
      <c r="CR676" s="27"/>
      <c r="CS676" s="27"/>
      <c r="CT676" s="27"/>
      <c r="CU676" s="27"/>
      <c r="CV676" s="27"/>
      <c r="CW676" s="27"/>
      <c r="CX676" s="27"/>
      <c r="CY676" s="27"/>
      <c r="CZ676" s="27"/>
      <c r="DA676" s="27"/>
      <c r="DB676" s="27"/>
      <c r="DC676" s="27"/>
      <c r="DD676" s="27"/>
      <c r="DE676" s="27"/>
      <c r="DF676" s="27"/>
      <c r="DG676" s="27"/>
      <c r="DH676" s="27"/>
      <c r="DI676" s="27"/>
      <c r="DJ676" s="27"/>
      <c r="DK676" s="27"/>
      <c r="DL676" s="27"/>
      <c r="DM676" s="27"/>
      <c r="DN676" s="27"/>
      <c r="DO676" s="27"/>
      <c r="DP676" s="27"/>
      <c r="DQ676" s="27"/>
      <c r="DR676" s="27"/>
      <c r="DS676" s="27"/>
      <c r="DT676" s="27"/>
      <c r="DU676" s="27"/>
      <c r="DV676" s="27"/>
      <c r="DW676" s="27"/>
      <c r="DX676" s="27"/>
      <c r="DY676" s="27"/>
      <c r="DZ676" s="27"/>
      <c r="EA676" s="27"/>
      <c r="EB676" s="27"/>
      <c r="EC676" s="27"/>
      <c r="ED676" s="27"/>
      <c r="EE676" s="27"/>
      <c r="EF676" s="27"/>
      <c r="EG676" s="27"/>
      <c r="EH676" s="27"/>
      <c r="EI676" s="27"/>
      <c r="EJ676" s="27"/>
      <c r="EK676" s="27"/>
      <c r="EL676" s="27"/>
      <c r="EM676" s="27"/>
      <c r="EN676" s="27"/>
      <c r="EO676" s="27"/>
      <c r="EP676" s="27"/>
      <c r="EQ676" s="27"/>
      <c r="ER676" s="27"/>
      <c r="ES676" s="27"/>
      <c r="ET676" s="27"/>
      <c r="EU676" s="27"/>
      <c r="EV676" s="27"/>
      <c r="EW676" s="27"/>
      <c r="EX676" s="27"/>
      <c r="EY676" s="27"/>
      <c r="EZ676" s="27"/>
      <c r="FA676" s="27"/>
      <c r="FB676" s="27"/>
      <c r="FC676" s="27"/>
      <c r="FD676" s="27"/>
      <c r="FE676" s="27"/>
      <c r="FF676" s="27"/>
      <c r="FG676" s="27"/>
      <c r="FH676" s="27"/>
      <c r="FI676" s="27"/>
      <c r="FJ676" s="27"/>
      <c r="FK676" s="27"/>
      <c r="FL676" s="27"/>
      <c r="FM676" s="27"/>
      <c r="FN676" s="27"/>
      <c r="FO676" s="27"/>
      <c r="FP676" s="27"/>
      <c r="FQ676" s="27"/>
      <c r="FR676" s="27"/>
      <c r="FS676" s="27"/>
      <c r="FT676" s="27"/>
      <c r="FU676" s="27"/>
      <c r="FV676" s="27"/>
      <c r="FW676" s="27"/>
      <c r="FX676" s="27"/>
      <c r="FY676" s="27"/>
      <c r="FZ676" s="27"/>
      <c r="GA676" s="27"/>
      <c r="GB676" s="27"/>
      <c r="GC676" s="27"/>
      <c r="GD676" s="27"/>
      <c r="GE676" s="27"/>
      <c r="GF676" s="27"/>
      <c r="GG676" s="27"/>
      <c r="GH676" s="27"/>
      <c r="GI676" s="27"/>
      <c r="GJ676" s="27"/>
      <c r="GK676" s="27"/>
      <c r="GL676" s="27"/>
      <c r="GM676" s="27"/>
      <c r="GN676" s="27"/>
      <c r="GO676" s="27"/>
      <c r="GP676" s="27"/>
      <c r="GQ676" s="27"/>
      <c r="GR676" s="27"/>
      <c r="GS676" s="27"/>
      <c r="GT676" s="27"/>
      <c r="GU676" s="27"/>
      <c r="GV676" s="27"/>
      <c r="GW676" s="27"/>
      <c r="GX676" s="27"/>
      <c r="GY676" s="27"/>
      <c r="GZ676" s="27"/>
      <c r="HA676" s="27"/>
      <c r="HB676" s="27"/>
      <c r="HC676" s="27"/>
      <c r="HD676" s="27"/>
      <c r="HE676" s="27"/>
      <c r="HF676" s="27"/>
      <c r="HG676" s="27"/>
      <c r="HH676" s="27"/>
      <c r="HI676" s="27"/>
      <c r="HJ676" s="27"/>
      <c r="HK676" s="27"/>
      <c r="HL676" s="27"/>
      <c r="HM676" s="27"/>
      <c r="HN676" s="27"/>
      <c r="HO676" s="27"/>
      <c r="HP676" s="27"/>
      <c r="HQ676" s="27"/>
      <c r="HR676" s="27"/>
      <c r="HS676" s="27"/>
      <c r="HT676" s="27"/>
    </row>
    <row r="677" spans="1:228" s="62" customFormat="1" ht="37.5">
      <c r="A677" s="72"/>
      <c r="B677" s="48" t="s">
        <v>592</v>
      </c>
      <c r="C677" s="74">
        <v>200000000</v>
      </c>
      <c r="D677" s="50"/>
      <c r="E677" s="114"/>
      <c r="F677" s="114"/>
      <c r="G677" s="114"/>
      <c r="H677" s="114"/>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27"/>
      <c r="CK677" s="27"/>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27"/>
      <c r="DX677" s="27"/>
      <c r="DY677" s="27"/>
      <c r="DZ677" s="27"/>
      <c r="EA677" s="27"/>
      <c r="EB677" s="27"/>
      <c r="EC677" s="27"/>
      <c r="ED677" s="27"/>
      <c r="EE677" s="27"/>
      <c r="EF677" s="27"/>
      <c r="EG677" s="27"/>
      <c r="EH677" s="27"/>
      <c r="EI677" s="27"/>
      <c r="EJ677" s="27"/>
      <c r="EK677" s="27"/>
      <c r="EL677" s="27"/>
      <c r="EM677" s="27"/>
      <c r="EN677" s="27"/>
      <c r="EO677" s="27"/>
      <c r="EP677" s="27"/>
      <c r="EQ677" s="27"/>
      <c r="ER677" s="27"/>
      <c r="ES677" s="27"/>
      <c r="ET677" s="27"/>
      <c r="EU677" s="27"/>
      <c r="EV677" s="27"/>
      <c r="EW677" s="27"/>
      <c r="EX677" s="27"/>
      <c r="EY677" s="27"/>
      <c r="EZ677" s="27"/>
      <c r="FA677" s="27"/>
      <c r="FB677" s="27"/>
      <c r="FC677" s="27"/>
      <c r="FD677" s="27"/>
      <c r="FE677" s="27"/>
      <c r="FF677" s="27"/>
      <c r="FG677" s="27"/>
      <c r="FH677" s="27"/>
      <c r="FI677" s="27"/>
      <c r="FJ677" s="27"/>
      <c r="FK677" s="27"/>
      <c r="FL677" s="27"/>
      <c r="FM677" s="27"/>
      <c r="FN677" s="27"/>
      <c r="FO677" s="27"/>
      <c r="FP677" s="27"/>
      <c r="FQ677" s="27"/>
      <c r="FR677" s="27"/>
      <c r="FS677" s="27"/>
      <c r="FT677" s="27"/>
      <c r="FU677" s="27"/>
      <c r="FV677" s="27"/>
      <c r="FW677" s="27"/>
      <c r="FX677" s="27"/>
      <c r="FY677" s="27"/>
      <c r="FZ677" s="27"/>
      <c r="GA677" s="27"/>
      <c r="GB677" s="27"/>
      <c r="GC677" s="27"/>
      <c r="GD677" s="27"/>
      <c r="GE677" s="27"/>
      <c r="GF677" s="27"/>
      <c r="GG677" s="27"/>
      <c r="GH677" s="27"/>
      <c r="GI677" s="27"/>
      <c r="GJ677" s="27"/>
      <c r="GK677" s="27"/>
      <c r="GL677" s="27"/>
      <c r="GM677" s="27"/>
      <c r="GN677" s="27"/>
      <c r="GO677" s="27"/>
      <c r="GP677" s="27"/>
      <c r="GQ677" s="27"/>
      <c r="GR677" s="27"/>
      <c r="GS677" s="27"/>
      <c r="GT677" s="27"/>
      <c r="GU677" s="27"/>
      <c r="GV677" s="27"/>
      <c r="GW677" s="27"/>
      <c r="GX677" s="27"/>
      <c r="GY677" s="27"/>
      <c r="GZ677" s="27"/>
      <c r="HA677" s="27"/>
      <c r="HB677" s="27"/>
      <c r="HC677" s="27"/>
      <c r="HD677" s="27"/>
      <c r="HE677" s="27"/>
      <c r="HF677" s="27"/>
      <c r="HG677" s="27"/>
      <c r="HH677" s="27"/>
      <c r="HI677" s="27"/>
      <c r="HJ677" s="27"/>
      <c r="HK677" s="27"/>
      <c r="HL677" s="27"/>
      <c r="HM677" s="27"/>
      <c r="HN677" s="27"/>
      <c r="HO677" s="27"/>
      <c r="HP677" s="27"/>
      <c r="HQ677" s="27"/>
      <c r="HR677" s="27"/>
      <c r="HS677" s="27"/>
      <c r="HT677" s="27"/>
    </row>
    <row r="678" spans="1:228" s="62" customFormat="1" ht="37.5">
      <c r="A678" s="72"/>
      <c r="B678" s="48" t="s">
        <v>593</v>
      </c>
      <c r="C678" s="74">
        <v>100000000</v>
      </c>
      <c r="D678" s="50"/>
      <c r="E678" s="114"/>
      <c r="F678" s="114"/>
      <c r="G678" s="114"/>
      <c r="H678" s="114"/>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27"/>
      <c r="DX678" s="27"/>
      <c r="DY678" s="27"/>
      <c r="DZ678" s="27"/>
      <c r="EA678" s="27"/>
      <c r="EB678" s="27"/>
      <c r="EC678" s="27"/>
      <c r="ED678" s="27"/>
      <c r="EE678" s="27"/>
      <c r="EF678" s="27"/>
      <c r="EG678" s="27"/>
      <c r="EH678" s="27"/>
      <c r="EI678" s="27"/>
      <c r="EJ678" s="27"/>
      <c r="EK678" s="27"/>
      <c r="EL678" s="27"/>
      <c r="EM678" s="27"/>
      <c r="EN678" s="27"/>
      <c r="EO678" s="27"/>
      <c r="EP678" s="27"/>
      <c r="EQ678" s="27"/>
      <c r="ER678" s="27"/>
      <c r="ES678" s="27"/>
      <c r="ET678" s="27"/>
      <c r="EU678" s="27"/>
      <c r="EV678" s="27"/>
      <c r="EW678" s="27"/>
      <c r="EX678" s="27"/>
      <c r="EY678" s="27"/>
      <c r="EZ678" s="27"/>
      <c r="FA678" s="27"/>
      <c r="FB678" s="27"/>
      <c r="FC678" s="27"/>
      <c r="FD678" s="27"/>
      <c r="FE678" s="27"/>
      <c r="FF678" s="27"/>
      <c r="FG678" s="27"/>
      <c r="FH678" s="27"/>
      <c r="FI678" s="27"/>
      <c r="FJ678" s="27"/>
      <c r="FK678" s="27"/>
      <c r="FL678" s="27"/>
      <c r="FM678" s="27"/>
      <c r="FN678" s="27"/>
      <c r="FO678" s="27"/>
      <c r="FP678" s="27"/>
      <c r="FQ678" s="27"/>
      <c r="FR678" s="27"/>
      <c r="FS678" s="27"/>
      <c r="FT678" s="27"/>
      <c r="FU678" s="27"/>
      <c r="FV678" s="27"/>
      <c r="FW678" s="27"/>
      <c r="FX678" s="27"/>
      <c r="FY678" s="27"/>
      <c r="FZ678" s="27"/>
      <c r="GA678" s="27"/>
      <c r="GB678" s="27"/>
      <c r="GC678" s="27"/>
      <c r="GD678" s="27"/>
      <c r="GE678" s="27"/>
      <c r="GF678" s="27"/>
      <c r="GG678" s="27"/>
      <c r="GH678" s="27"/>
      <c r="GI678" s="27"/>
      <c r="GJ678" s="27"/>
      <c r="GK678" s="27"/>
      <c r="GL678" s="27"/>
      <c r="GM678" s="27"/>
      <c r="GN678" s="27"/>
      <c r="GO678" s="27"/>
      <c r="GP678" s="27"/>
      <c r="GQ678" s="27"/>
      <c r="GR678" s="27"/>
      <c r="GS678" s="27"/>
      <c r="GT678" s="27"/>
      <c r="GU678" s="27"/>
      <c r="GV678" s="27"/>
      <c r="GW678" s="27"/>
      <c r="GX678" s="27"/>
      <c r="GY678" s="27"/>
      <c r="GZ678" s="27"/>
      <c r="HA678" s="27"/>
      <c r="HB678" s="27"/>
      <c r="HC678" s="27"/>
      <c r="HD678" s="27"/>
      <c r="HE678" s="27"/>
      <c r="HF678" s="27"/>
      <c r="HG678" s="27"/>
      <c r="HH678" s="27"/>
      <c r="HI678" s="27"/>
      <c r="HJ678" s="27"/>
      <c r="HK678" s="27"/>
      <c r="HL678" s="27"/>
      <c r="HM678" s="27"/>
      <c r="HN678" s="27"/>
      <c r="HO678" s="27"/>
      <c r="HP678" s="27"/>
      <c r="HQ678" s="27"/>
      <c r="HR678" s="27"/>
      <c r="HS678" s="27"/>
      <c r="HT678" s="27"/>
    </row>
    <row r="679" spans="1:228" s="62" customFormat="1">
      <c r="A679" s="72"/>
      <c r="B679" s="48" t="s">
        <v>594</v>
      </c>
      <c r="C679" s="74">
        <v>250000000</v>
      </c>
      <c r="D679" s="50"/>
      <c r="E679" s="114"/>
      <c r="F679" s="114"/>
      <c r="G679" s="114"/>
      <c r="H679" s="114"/>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27"/>
      <c r="CK679" s="27"/>
      <c r="CL679" s="27"/>
      <c r="CM679" s="27"/>
      <c r="CN679" s="27"/>
      <c r="CO679" s="27"/>
      <c r="CP679" s="27"/>
      <c r="CQ679" s="27"/>
      <c r="CR679" s="27"/>
      <c r="CS679" s="27"/>
      <c r="CT679" s="27"/>
      <c r="CU679" s="27"/>
      <c r="CV679" s="27"/>
      <c r="CW679" s="27"/>
      <c r="CX679" s="27"/>
      <c r="CY679" s="27"/>
      <c r="CZ679" s="27"/>
      <c r="DA679" s="27"/>
      <c r="DB679" s="27"/>
      <c r="DC679" s="27"/>
      <c r="DD679" s="27"/>
      <c r="DE679" s="27"/>
      <c r="DF679" s="27"/>
      <c r="DG679" s="27"/>
      <c r="DH679" s="27"/>
      <c r="DI679" s="27"/>
      <c r="DJ679" s="27"/>
      <c r="DK679" s="27"/>
      <c r="DL679" s="27"/>
      <c r="DM679" s="27"/>
      <c r="DN679" s="27"/>
      <c r="DO679" s="27"/>
      <c r="DP679" s="27"/>
      <c r="DQ679" s="27"/>
      <c r="DR679" s="27"/>
      <c r="DS679" s="27"/>
      <c r="DT679" s="27"/>
      <c r="DU679" s="27"/>
      <c r="DV679" s="27"/>
      <c r="DW679" s="27"/>
      <c r="DX679" s="27"/>
      <c r="DY679" s="27"/>
      <c r="DZ679" s="27"/>
      <c r="EA679" s="27"/>
      <c r="EB679" s="27"/>
      <c r="EC679" s="27"/>
      <c r="ED679" s="27"/>
      <c r="EE679" s="27"/>
      <c r="EF679" s="27"/>
      <c r="EG679" s="27"/>
      <c r="EH679" s="27"/>
      <c r="EI679" s="27"/>
      <c r="EJ679" s="27"/>
      <c r="EK679" s="27"/>
      <c r="EL679" s="27"/>
      <c r="EM679" s="27"/>
      <c r="EN679" s="27"/>
      <c r="EO679" s="27"/>
      <c r="EP679" s="27"/>
      <c r="EQ679" s="27"/>
      <c r="ER679" s="27"/>
      <c r="ES679" s="27"/>
      <c r="ET679" s="27"/>
      <c r="EU679" s="27"/>
      <c r="EV679" s="27"/>
      <c r="EW679" s="27"/>
      <c r="EX679" s="27"/>
      <c r="EY679" s="27"/>
      <c r="EZ679" s="27"/>
      <c r="FA679" s="27"/>
      <c r="FB679" s="27"/>
      <c r="FC679" s="27"/>
      <c r="FD679" s="27"/>
      <c r="FE679" s="27"/>
      <c r="FF679" s="27"/>
      <c r="FG679" s="27"/>
      <c r="FH679" s="27"/>
      <c r="FI679" s="27"/>
      <c r="FJ679" s="27"/>
      <c r="FK679" s="27"/>
      <c r="FL679" s="27"/>
      <c r="FM679" s="27"/>
      <c r="FN679" s="27"/>
      <c r="FO679" s="27"/>
      <c r="FP679" s="27"/>
      <c r="FQ679" s="27"/>
      <c r="FR679" s="27"/>
      <c r="FS679" s="27"/>
      <c r="FT679" s="27"/>
      <c r="FU679" s="27"/>
      <c r="FV679" s="27"/>
      <c r="FW679" s="27"/>
      <c r="FX679" s="27"/>
      <c r="FY679" s="27"/>
      <c r="FZ679" s="27"/>
      <c r="GA679" s="27"/>
      <c r="GB679" s="27"/>
      <c r="GC679" s="27"/>
      <c r="GD679" s="27"/>
      <c r="GE679" s="27"/>
      <c r="GF679" s="27"/>
      <c r="GG679" s="27"/>
      <c r="GH679" s="27"/>
      <c r="GI679" s="27"/>
      <c r="GJ679" s="27"/>
      <c r="GK679" s="27"/>
      <c r="GL679" s="27"/>
      <c r="GM679" s="27"/>
      <c r="GN679" s="27"/>
      <c r="GO679" s="27"/>
      <c r="GP679" s="27"/>
      <c r="GQ679" s="27"/>
      <c r="GR679" s="27"/>
      <c r="GS679" s="27"/>
      <c r="GT679" s="27"/>
      <c r="GU679" s="27"/>
      <c r="GV679" s="27"/>
      <c r="GW679" s="27"/>
      <c r="GX679" s="27"/>
      <c r="GY679" s="27"/>
      <c r="GZ679" s="27"/>
      <c r="HA679" s="27"/>
      <c r="HB679" s="27"/>
      <c r="HC679" s="27"/>
      <c r="HD679" s="27"/>
      <c r="HE679" s="27"/>
      <c r="HF679" s="27"/>
      <c r="HG679" s="27"/>
      <c r="HH679" s="27"/>
      <c r="HI679" s="27"/>
      <c r="HJ679" s="27"/>
      <c r="HK679" s="27"/>
      <c r="HL679" s="27"/>
      <c r="HM679" s="27"/>
      <c r="HN679" s="27"/>
      <c r="HO679" s="27"/>
      <c r="HP679" s="27"/>
      <c r="HQ679" s="27"/>
      <c r="HR679" s="27"/>
      <c r="HS679" s="27"/>
      <c r="HT679" s="27"/>
    </row>
    <row r="680" spans="1:228" s="62" customFormat="1" ht="37.5">
      <c r="A680" s="72"/>
      <c r="B680" s="48" t="s">
        <v>595</v>
      </c>
      <c r="C680" s="74">
        <v>100000000</v>
      </c>
      <c r="D680" s="50"/>
      <c r="E680" s="114"/>
      <c r="F680" s="114"/>
      <c r="G680" s="114"/>
      <c r="H680" s="114"/>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c r="BY680" s="27"/>
      <c r="BZ680" s="27"/>
      <c r="CA680" s="27"/>
      <c r="CB680" s="27"/>
      <c r="CC680" s="27"/>
      <c r="CD680" s="27"/>
      <c r="CE680" s="27"/>
      <c r="CF680" s="27"/>
      <c r="CG680" s="27"/>
      <c r="CH680" s="27"/>
      <c r="CI680" s="27"/>
      <c r="CJ680" s="27"/>
      <c r="CK680" s="27"/>
      <c r="CL680" s="27"/>
      <c r="CM680" s="27"/>
      <c r="CN680" s="27"/>
      <c r="CO680" s="27"/>
      <c r="CP680" s="27"/>
      <c r="CQ680" s="27"/>
      <c r="CR680" s="27"/>
      <c r="CS680" s="27"/>
      <c r="CT680" s="27"/>
      <c r="CU680" s="27"/>
      <c r="CV680" s="27"/>
      <c r="CW680" s="27"/>
      <c r="CX680" s="27"/>
      <c r="CY680" s="27"/>
      <c r="CZ680" s="27"/>
      <c r="DA680" s="27"/>
      <c r="DB680" s="27"/>
      <c r="DC680" s="27"/>
      <c r="DD680" s="27"/>
      <c r="DE680" s="27"/>
      <c r="DF680" s="27"/>
      <c r="DG680" s="27"/>
      <c r="DH680" s="27"/>
      <c r="DI680" s="27"/>
      <c r="DJ680" s="27"/>
      <c r="DK680" s="27"/>
      <c r="DL680" s="27"/>
      <c r="DM680" s="27"/>
      <c r="DN680" s="27"/>
      <c r="DO680" s="27"/>
      <c r="DP680" s="27"/>
      <c r="DQ680" s="27"/>
      <c r="DR680" s="27"/>
      <c r="DS680" s="27"/>
      <c r="DT680" s="27"/>
      <c r="DU680" s="27"/>
      <c r="DV680" s="27"/>
      <c r="DW680" s="27"/>
      <c r="DX680" s="27"/>
      <c r="DY680" s="27"/>
      <c r="DZ680" s="27"/>
      <c r="EA680" s="27"/>
      <c r="EB680" s="27"/>
      <c r="EC680" s="27"/>
      <c r="ED680" s="27"/>
      <c r="EE680" s="27"/>
      <c r="EF680" s="27"/>
      <c r="EG680" s="27"/>
      <c r="EH680" s="27"/>
      <c r="EI680" s="27"/>
      <c r="EJ680" s="27"/>
      <c r="EK680" s="27"/>
      <c r="EL680" s="27"/>
      <c r="EM680" s="27"/>
      <c r="EN680" s="27"/>
      <c r="EO680" s="27"/>
      <c r="EP680" s="27"/>
      <c r="EQ680" s="27"/>
      <c r="ER680" s="27"/>
      <c r="ES680" s="27"/>
      <c r="ET680" s="27"/>
      <c r="EU680" s="27"/>
      <c r="EV680" s="27"/>
      <c r="EW680" s="27"/>
      <c r="EX680" s="27"/>
      <c r="EY680" s="27"/>
      <c r="EZ680" s="27"/>
      <c r="FA680" s="27"/>
      <c r="FB680" s="27"/>
      <c r="FC680" s="27"/>
      <c r="FD680" s="27"/>
      <c r="FE680" s="27"/>
      <c r="FF680" s="27"/>
      <c r="FG680" s="27"/>
      <c r="FH680" s="27"/>
      <c r="FI680" s="27"/>
      <c r="FJ680" s="27"/>
      <c r="FK680" s="27"/>
      <c r="FL680" s="27"/>
      <c r="FM680" s="27"/>
      <c r="FN680" s="27"/>
      <c r="FO680" s="27"/>
      <c r="FP680" s="27"/>
      <c r="FQ680" s="27"/>
      <c r="FR680" s="27"/>
      <c r="FS680" s="27"/>
      <c r="FT680" s="27"/>
      <c r="FU680" s="27"/>
      <c r="FV680" s="27"/>
      <c r="FW680" s="27"/>
      <c r="FX680" s="27"/>
      <c r="FY680" s="27"/>
      <c r="FZ680" s="27"/>
      <c r="GA680" s="27"/>
      <c r="GB680" s="27"/>
      <c r="GC680" s="27"/>
      <c r="GD680" s="27"/>
      <c r="GE680" s="27"/>
      <c r="GF680" s="27"/>
      <c r="GG680" s="27"/>
      <c r="GH680" s="27"/>
      <c r="GI680" s="27"/>
      <c r="GJ680" s="27"/>
      <c r="GK680" s="27"/>
      <c r="GL680" s="27"/>
      <c r="GM680" s="27"/>
      <c r="GN680" s="27"/>
      <c r="GO680" s="27"/>
      <c r="GP680" s="27"/>
      <c r="GQ680" s="27"/>
      <c r="GR680" s="27"/>
      <c r="GS680" s="27"/>
      <c r="GT680" s="27"/>
      <c r="GU680" s="27"/>
      <c r="GV680" s="27"/>
      <c r="GW680" s="27"/>
      <c r="GX680" s="27"/>
      <c r="GY680" s="27"/>
      <c r="GZ680" s="27"/>
      <c r="HA680" s="27"/>
      <c r="HB680" s="27"/>
      <c r="HC680" s="27"/>
      <c r="HD680" s="27"/>
      <c r="HE680" s="27"/>
      <c r="HF680" s="27"/>
      <c r="HG680" s="27"/>
      <c r="HH680" s="27"/>
      <c r="HI680" s="27"/>
      <c r="HJ680" s="27"/>
      <c r="HK680" s="27"/>
      <c r="HL680" s="27"/>
      <c r="HM680" s="27"/>
      <c r="HN680" s="27"/>
      <c r="HO680" s="27"/>
      <c r="HP680" s="27"/>
      <c r="HQ680" s="27"/>
      <c r="HR680" s="27"/>
      <c r="HS680" s="27"/>
      <c r="HT680" s="27"/>
    </row>
    <row r="681" spans="1:228" s="62" customFormat="1">
      <c r="A681" s="72" t="s">
        <v>91</v>
      </c>
      <c r="B681" s="48" t="s">
        <v>596</v>
      </c>
      <c r="C681" s="74">
        <v>250000000</v>
      </c>
      <c r="D681" s="50"/>
      <c r="E681" s="114"/>
      <c r="F681" s="114"/>
      <c r="G681" s="114"/>
      <c r="H681" s="114"/>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c r="BY681" s="27"/>
      <c r="BZ681" s="27"/>
      <c r="CA681" s="27"/>
      <c r="CB681" s="27"/>
      <c r="CC681" s="27"/>
      <c r="CD681" s="27"/>
      <c r="CE681" s="27"/>
      <c r="CF681" s="27"/>
      <c r="CG681" s="27"/>
      <c r="CH681" s="27"/>
      <c r="CI681" s="27"/>
      <c r="CJ681" s="27"/>
      <c r="CK681" s="27"/>
      <c r="CL681" s="27"/>
      <c r="CM681" s="27"/>
      <c r="CN681" s="27"/>
      <c r="CO681" s="27"/>
      <c r="CP681" s="27"/>
      <c r="CQ681" s="27"/>
      <c r="CR681" s="27"/>
      <c r="CS681" s="27"/>
      <c r="CT681" s="27"/>
      <c r="CU681" s="27"/>
      <c r="CV681" s="27"/>
      <c r="CW681" s="27"/>
      <c r="CX681" s="27"/>
      <c r="CY681" s="27"/>
      <c r="CZ681" s="27"/>
      <c r="DA681" s="27"/>
      <c r="DB681" s="27"/>
      <c r="DC681" s="27"/>
      <c r="DD681" s="27"/>
      <c r="DE681" s="27"/>
      <c r="DF681" s="27"/>
      <c r="DG681" s="27"/>
      <c r="DH681" s="27"/>
      <c r="DI681" s="27"/>
      <c r="DJ681" s="27"/>
      <c r="DK681" s="27"/>
      <c r="DL681" s="27"/>
      <c r="DM681" s="27"/>
      <c r="DN681" s="27"/>
      <c r="DO681" s="27"/>
      <c r="DP681" s="27"/>
      <c r="DQ681" s="27"/>
      <c r="DR681" s="27"/>
      <c r="DS681" s="27"/>
      <c r="DT681" s="27"/>
      <c r="DU681" s="27"/>
      <c r="DV681" s="27"/>
      <c r="DW681" s="27"/>
      <c r="DX681" s="27"/>
      <c r="DY681" s="27"/>
      <c r="DZ681" s="27"/>
      <c r="EA681" s="27"/>
      <c r="EB681" s="27"/>
      <c r="EC681" s="27"/>
      <c r="ED681" s="27"/>
      <c r="EE681" s="27"/>
      <c r="EF681" s="27"/>
      <c r="EG681" s="27"/>
      <c r="EH681" s="27"/>
      <c r="EI681" s="27"/>
      <c r="EJ681" s="27"/>
      <c r="EK681" s="27"/>
      <c r="EL681" s="27"/>
      <c r="EM681" s="27"/>
      <c r="EN681" s="27"/>
      <c r="EO681" s="27"/>
      <c r="EP681" s="27"/>
      <c r="EQ681" s="27"/>
      <c r="ER681" s="27"/>
      <c r="ES681" s="27"/>
      <c r="ET681" s="27"/>
      <c r="EU681" s="27"/>
      <c r="EV681" s="27"/>
      <c r="EW681" s="27"/>
      <c r="EX681" s="27"/>
      <c r="EY681" s="27"/>
      <c r="EZ681" s="27"/>
      <c r="FA681" s="27"/>
      <c r="FB681" s="27"/>
      <c r="FC681" s="27"/>
      <c r="FD681" s="27"/>
      <c r="FE681" s="27"/>
      <c r="FF681" s="27"/>
      <c r="FG681" s="27"/>
      <c r="FH681" s="27"/>
      <c r="FI681" s="27"/>
      <c r="FJ681" s="27"/>
      <c r="FK681" s="27"/>
      <c r="FL681" s="27"/>
      <c r="FM681" s="27"/>
      <c r="FN681" s="27"/>
      <c r="FO681" s="27"/>
      <c r="FP681" s="27"/>
      <c r="FQ681" s="27"/>
      <c r="FR681" s="27"/>
      <c r="FS681" s="27"/>
      <c r="FT681" s="27"/>
      <c r="FU681" s="27"/>
      <c r="FV681" s="27"/>
      <c r="FW681" s="27"/>
      <c r="FX681" s="27"/>
      <c r="FY681" s="27"/>
      <c r="FZ681" s="27"/>
      <c r="GA681" s="27"/>
      <c r="GB681" s="27"/>
      <c r="GC681" s="27"/>
      <c r="GD681" s="27"/>
      <c r="GE681" s="27"/>
      <c r="GF681" s="27"/>
      <c r="GG681" s="27"/>
      <c r="GH681" s="27"/>
      <c r="GI681" s="27"/>
      <c r="GJ681" s="27"/>
      <c r="GK681" s="27"/>
      <c r="GL681" s="27"/>
      <c r="GM681" s="27"/>
      <c r="GN681" s="27"/>
      <c r="GO681" s="27"/>
      <c r="GP681" s="27"/>
      <c r="GQ681" s="27"/>
      <c r="GR681" s="27"/>
      <c r="GS681" s="27"/>
      <c r="GT681" s="27"/>
      <c r="GU681" s="27"/>
      <c r="GV681" s="27"/>
      <c r="GW681" s="27"/>
      <c r="GX681" s="27"/>
      <c r="GY681" s="27"/>
      <c r="GZ681" s="27"/>
      <c r="HA681" s="27"/>
      <c r="HB681" s="27"/>
      <c r="HC681" s="27"/>
      <c r="HD681" s="27"/>
      <c r="HE681" s="27"/>
      <c r="HF681" s="27"/>
      <c r="HG681" s="27"/>
      <c r="HH681" s="27"/>
      <c r="HI681" s="27"/>
      <c r="HJ681" s="27"/>
      <c r="HK681" s="27"/>
      <c r="HL681" s="27"/>
      <c r="HM681" s="27"/>
      <c r="HN681" s="27"/>
      <c r="HO681" s="27"/>
      <c r="HP681" s="27"/>
      <c r="HQ681" s="27"/>
      <c r="HR681" s="27"/>
      <c r="HS681" s="27"/>
      <c r="HT681" s="27"/>
    </row>
    <row r="682" spans="1:228" s="62" customFormat="1">
      <c r="A682" s="72" t="s">
        <v>91</v>
      </c>
      <c r="B682" s="48" t="s">
        <v>597</v>
      </c>
      <c r="C682" s="74">
        <v>90000000</v>
      </c>
      <c r="D682" s="50"/>
      <c r="E682" s="114"/>
      <c r="F682" s="114"/>
      <c r="G682" s="114"/>
      <c r="H682" s="114"/>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c r="BZ682" s="27"/>
      <c r="CA682" s="27"/>
      <c r="CB682" s="27"/>
      <c r="CC682" s="27"/>
      <c r="CD682" s="27"/>
      <c r="CE682" s="27"/>
      <c r="CF682" s="27"/>
      <c r="CG682" s="27"/>
      <c r="CH682" s="27"/>
      <c r="CI682" s="27"/>
      <c r="CJ682" s="27"/>
      <c r="CK682" s="27"/>
      <c r="CL682" s="27"/>
      <c r="CM682" s="27"/>
      <c r="CN682" s="27"/>
      <c r="CO682" s="27"/>
      <c r="CP682" s="27"/>
      <c r="CQ682" s="27"/>
      <c r="CR682" s="27"/>
      <c r="CS682" s="27"/>
      <c r="CT682" s="27"/>
      <c r="CU682" s="27"/>
      <c r="CV682" s="27"/>
      <c r="CW682" s="27"/>
      <c r="CX682" s="27"/>
      <c r="CY682" s="27"/>
      <c r="CZ682" s="27"/>
      <c r="DA682" s="27"/>
      <c r="DB682" s="27"/>
      <c r="DC682" s="27"/>
      <c r="DD682" s="27"/>
      <c r="DE682" s="27"/>
      <c r="DF682" s="27"/>
      <c r="DG682" s="27"/>
      <c r="DH682" s="27"/>
      <c r="DI682" s="27"/>
      <c r="DJ682" s="27"/>
      <c r="DK682" s="27"/>
      <c r="DL682" s="27"/>
      <c r="DM682" s="27"/>
      <c r="DN682" s="27"/>
      <c r="DO682" s="27"/>
      <c r="DP682" s="27"/>
      <c r="DQ682" s="27"/>
      <c r="DR682" s="27"/>
      <c r="DS682" s="27"/>
      <c r="DT682" s="27"/>
      <c r="DU682" s="27"/>
      <c r="DV682" s="27"/>
      <c r="DW682" s="27"/>
      <c r="DX682" s="27"/>
      <c r="DY682" s="27"/>
      <c r="DZ682" s="27"/>
      <c r="EA682" s="27"/>
      <c r="EB682" s="27"/>
      <c r="EC682" s="27"/>
      <c r="ED682" s="27"/>
      <c r="EE682" s="27"/>
      <c r="EF682" s="27"/>
      <c r="EG682" s="27"/>
      <c r="EH682" s="27"/>
      <c r="EI682" s="27"/>
      <c r="EJ682" s="27"/>
      <c r="EK682" s="27"/>
      <c r="EL682" s="27"/>
      <c r="EM682" s="27"/>
      <c r="EN682" s="27"/>
      <c r="EO682" s="27"/>
      <c r="EP682" s="27"/>
      <c r="EQ682" s="27"/>
      <c r="ER682" s="27"/>
      <c r="ES682" s="27"/>
      <c r="ET682" s="27"/>
      <c r="EU682" s="27"/>
      <c r="EV682" s="27"/>
      <c r="EW682" s="27"/>
      <c r="EX682" s="27"/>
      <c r="EY682" s="27"/>
      <c r="EZ682" s="27"/>
      <c r="FA682" s="27"/>
      <c r="FB682" s="27"/>
      <c r="FC682" s="27"/>
      <c r="FD682" s="27"/>
      <c r="FE682" s="27"/>
      <c r="FF682" s="27"/>
      <c r="FG682" s="27"/>
      <c r="FH682" s="27"/>
      <c r="FI682" s="27"/>
      <c r="FJ682" s="27"/>
      <c r="FK682" s="27"/>
      <c r="FL682" s="27"/>
      <c r="FM682" s="27"/>
      <c r="FN682" s="27"/>
      <c r="FO682" s="27"/>
      <c r="FP682" s="27"/>
      <c r="FQ682" s="27"/>
      <c r="FR682" s="27"/>
      <c r="FS682" s="27"/>
      <c r="FT682" s="27"/>
      <c r="FU682" s="27"/>
      <c r="FV682" s="27"/>
      <c r="FW682" s="27"/>
      <c r="FX682" s="27"/>
      <c r="FY682" s="27"/>
      <c r="FZ682" s="27"/>
      <c r="GA682" s="27"/>
      <c r="GB682" s="27"/>
      <c r="GC682" s="27"/>
      <c r="GD682" s="27"/>
      <c r="GE682" s="27"/>
      <c r="GF682" s="27"/>
      <c r="GG682" s="27"/>
      <c r="GH682" s="27"/>
      <c r="GI682" s="27"/>
      <c r="GJ682" s="27"/>
      <c r="GK682" s="27"/>
      <c r="GL682" s="27"/>
      <c r="GM682" s="27"/>
      <c r="GN682" s="27"/>
      <c r="GO682" s="27"/>
      <c r="GP682" s="27"/>
      <c r="GQ682" s="27"/>
      <c r="GR682" s="27"/>
      <c r="GS682" s="27"/>
      <c r="GT682" s="27"/>
      <c r="GU682" s="27"/>
      <c r="GV682" s="27"/>
      <c r="GW682" s="27"/>
      <c r="GX682" s="27"/>
      <c r="GY682" s="27"/>
      <c r="GZ682" s="27"/>
      <c r="HA682" s="27"/>
      <c r="HB682" s="27"/>
      <c r="HC682" s="27"/>
      <c r="HD682" s="27"/>
      <c r="HE682" s="27"/>
      <c r="HF682" s="27"/>
      <c r="HG682" s="27"/>
      <c r="HH682" s="27"/>
      <c r="HI682" s="27"/>
      <c r="HJ682" s="27"/>
      <c r="HK682" s="27"/>
      <c r="HL682" s="27"/>
      <c r="HM682" s="27"/>
      <c r="HN682" s="27"/>
      <c r="HO682" s="27"/>
      <c r="HP682" s="27"/>
      <c r="HQ682" s="27"/>
      <c r="HR682" s="27"/>
      <c r="HS682" s="27"/>
      <c r="HT682" s="27"/>
    </row>
    <row r="683" spans="1:228" s="62" customFormat="1">
      <c r="A683" s="72"/>
      <c r="B683" s="48" t="s">
        <v>598</v>
      </c>
      <c r="C683" s="74">
        <v>125000000</v>
      </c>
      <c r="D683" s="50"/>
      <c r="E683" s="114"/>
      <c r="F683" s="114"/>
      <c r="G683" s="114"/>
      <c r="H683" s="114"/>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c r="BY683" s="27"/>
      <c r="BZ683" s="27"/>
      <c r="CA683" s="27"/>
      <c r="CB683" s="27"/>
      <c r="CC683" s="27"/>
      <c r="CD683" s="27"/>
      <c r="CE683" s="27"/>
      <c r="CF683" s="27"/>
      <c r="CG683" s="27"/>
      <c r="CH683" s="27"/>
      <c r="CI683" s="27"/>
      <c r="CJ683" s="27"/>
      <c r="CK683" s="27"/>
      <c r="CL683" s="27"/>
      <c r="CM683" s="27"/>
      <c r="CN683" s="27"/>
      <c r="CO683" s="27"/>
      <c r="CP683" s="27"/>
      <c r="CQ683" s="27"/>
      <c r="CR683" s="27"/>
      <c r="CS683" s="27"/>
      <c r="CT683" s="27"/>
      <c r="CU683" s="27"/>
      <c r="CV683" s="27"/>
      <c r="CW683" s="27"/>
      <c r="CX683" s="27"/>
      <c r="CY683" s="27"/>
      <c r="CZ683" s="27"/>
      <c r="DA683" s="27"/>
      <c r="DB683" s="27"/>
      <c r="DC683" s="27"/>
      <c r="DD683" s="27"/>
      <c r="DE683" s="27"/>
      <c r="DF683" s="27"/>
      <c r="DG683" s="27"/>
      <c r="DH683" s="27"/>
      <c r="DI683" s="27"/>
      <c r="DJ683" s="27"/>
      <c r="DK683" s="27"/>
      <c r="DL683" s="27"/>
      <c r="DM683" s="27"/>
      <c r="DN683" s="27"/>
      <c r="DO683" s="27"/>
      <c r="DP683" s="27"/>
      <c r="DQ683" s="27"/>
      <c r="DR683" s="27"/>
      <c r="DS683" s="27"/>
      <c r="DT683" s="27"/>
      <c r="DU683" s="27"/>
      <c r="DV683" s="27"/>
      <c r="DW683" s="27"/>
      <c r="DX683" s="27"/>
      <c r="DY683" s="27"/>
      <c r="DZ683" s="27"/>
      <c r="EA683" s="27"/>
      <c r="EB683" s="27"/>
      <c r="EC683" s="27"/>
      <c r="ED683" s="27"/>
      <c r="EE683" s="27"/>
      <c r="EF683" s="27"/>
      <c r="EG683" s="27"/>
      <c r="EH683" s="27"/>
      <c r="EI683" s="27"/>
      <c r="EJ683" s="27"/>
      <c r="EK683" s="27"/>
      <c r="EL683" s="27"/>
      <c r="EM683" s="27"/>
      <c r="EN683" s="27"/>
      <c r="EO683" s="27"/>
      <c r="EP683" s="27"/>
      <c r="EQ683" s="27"/>
      <c r="ER683" s="27"/>
      <c r="ES683" s="27"/>
      <c r="ET683" s="27"/>
      <c r="EU683" s="27"/>
      <c r="EV683" s="27"/>
      <c r="EW683" s="27"/>
      <c r="EX683" s="27"/>
      <c r="EY683" s="27"/>
      <c r="EZ683" s="27"/>
      <c r="FA683" s="27"/>
      <c r="FB683" s="27"/>
      <c r="FC683" s="27"/>
      <c r="FD683" s="27"/>
      <c r="FE683" s="27"/>
      <c r="FF683" s="27"/>
      <c r="FG683" s="27"/>
      <c r="FH683" s="27"/>
      <c r="FI683" s="27"/>
      <c r="FJ683" s="27"/>
      <c r="FK683" s="27"/>
      <c r="FL683" s="27"/>
      <c r="FM683" s="27"/>
      <c r="FN683" s="27"/>
      <c r="FO683" s="27"/>
      <c r="FP683" s="27"/>
      <c r="FQ683" s="27"/>
      <c r="FR683" s="27"/>
      <c r="FS683" s="27"/>
      <c r="FT683" s="27"/>
      <c r="FU683" s="27"/>
      <c r="FV683" s="27"/>
      <c r="FW683" s="27"/>
      <c r="FX683" s="27"/>
      <c r="FY683" s="27"/>
      <c r="FZ683" s="27"/>
      <c r="GA683" s="27"/>
      <c r="GB683" s="27"/>
      <c r="GC683" s="27"/>
      <c r="GD683" s="27"/>
      <c r="GE683" s="27"/>
      <c r="GF683" s="27"/>
      <c r="GG683" s="27"/>
      <c r="GH683" s="27"/>
      <c r="GI683" s="27"/>
      <c r="GJ683" s="27"/>
      <c r="GK683" s="27"/>
      <c r="GL683" s="27"/>
      <c r="GM683" s="27"/>
      <c r="GN683" s="27"/>
      <c r="GO683" s="27"/>
      <c r="GP683" s="27"/>
      <c r="GQ683" s="27"/>
      <c r="GR683" s="27"/>
      <c r="GS683" s="27"/>
      <c r="GT683" s="27"/>
      <c r="GU683" s="27"/>
      <c r="GV683" s="27"/>
      <c r="GW683" s="27"/>
      <c r="GX683" s="27"/>
      <c r="GY683" s="27"/>
      <c r="GZ683" s="27"/>
      <c r="HA683" s="27"/>
      <c r="HB683" s="27"/>
      <c r="HC683" s="27"/>
      <c r="HD683" s="27"/>
      <c r="HE683" s="27"/>
      <c r="HF683" s="27"/>
      <c r="HG683" s="27"/>
      <c r="HH683" s="27"/>
      <c r="HI683" s="27"/>
      <c r="HJ683" s="27"/>
      <c r="HK683" s="27"/>
      <c r="HL683" s="27"/>
      <c r="HM683" s="27"/>
      <c r="HN683" s="27"/>
      <c r="HO683" s="27"/>
      <c r="HP683" s="27"/>
      <c r="HQ683" s="27"/>
      <c r="HR683" s="27"/>
      <c r="HS683" s="27"/>
      <c r="HT683" s="27"/>
    </row>
    <row r="684" spans="1:228" s="62" customFormat="1">
      <c r="A684" s="72"/>
      <c r="B684" s="48" t="s">
        <v>599</v>
      </c>
      <c r="C684" s="74">
        <v>100000000</v>
      </c>
      <c r="D684" s="50"/>
      <c r="E684" s="114"/>
      <c r="F684" s="114"/>
      <c r="G684" s="114"/>
      <c r="H684" s="114"/>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c r="BZ684" s="27"/>
      <c r="CA684" s="27"/>
      <c r="CB684" s="27"/>
      <c r="CC684" s="27"/>
      <c r="CD684" s="27"/>
      <c r="CE684" s="27"/>
      <c r="CF684" s="27"/>
      <c r="CG684" s="27"/>
      <c r="CH684" s="27"/>
      <c r="CI684" s="27"/>
      <c r="CJ684" s="27"/>
      <c r="CK684" s="27"/>
      <c r="CL684" s="27"/>
      <c r="CM684" s="27"/>
      <c r="CN684" s="27"/>
      <c r="CO684" s="27"/>
      <c r="CP684" s="27"/>
      <c r="CQ684" s="27"/>
      <c r="CR684" s="27"/>
      <c r="CS684" s="27"/>
      <c r="CT684" s="27"/>
      <c r="CU684" s="27"/>
      <c r="CV684" s="27"/>
      <c r="CW684" s="27"/>
      <c r="CX684" s="27"/>
      <c r="CY684" s="27"/>
      <c r="CZ684" s="27"/>
      <c r="DA684" s="27"/>
      <c r="DB684" s="27"/>
      <c r="DC684" s="27"/>
      <c r="DD684" s="27"/>
      <c r="DE684" s="27"/>
      <c r="DF684" s="27"/>
      <c r="DG684" s="27"/>
      <c r="DH684" s="27"/>
      <c r="DI684" s="27"/>
      <c r="DJ684" s="27"/>
      <c r="DK684" s="27"/>
      <c r="DL684" s="27"/>
      <c r="DM684" s="27"/>
      <c r="DN684" s="27"/>
      <c r="DO684" s="27"/>
      <c r="DP684" s="27"/>
      <c r="DQ684" s="27"/>
      <c r="DR684" s="27"/>
      <c r="DS684" s="27"/>
      <c r="DT684" s="27"/>
      <c r="DU684" s="27"/>
      <c r="DV684" s="27"/>
      <c r="DW684" s="27"/>
      <c r="DX684" s="27"/>
      <c r="DY684" s="27"/>
      <c r="DZ684" s="27"/>
      <c r="EA684" s="27"/>
      <c r="EB684" s="27"/>
      <c r="EC684" s="27"/>
      <c r="ED684" s="27"/>
      <c r="EE684" s="27"/>
      <c r="EF684" s="27"/>
      <c r="EG684" s="27"/>
      <c r="EH684" s="27"/>
      <c r="EI684" s="27"/>
      <c r="EJ684" s="27"/>
      <c r="EK684" s="27"/>
      <c r="EL684" s="27"/>
      <c r="EM684" s="27"/>
      <c r="EN684" s="27"/>
      <c r="EO684" s="27"/>
      <c r="EP684" s="27"/>
      <c r="EQ684" s="27"/>
      <c r="ER684" s="27"/>
      <c r="ES684" s="27"/>
      <c r="ET684" s="27"/>
      <c r="EU684" s="27"/>
      <c r="EV684" s="27"/>
      <c r="EW684" s="27"/>
      <c r="EX684" s="27"/>
      <c r="EY684" s="27"/>
      <c r="EZ684" s="27"/>
      <c r="FA684" s="27"/>
      <c r="FB684" s="27"/>
      <c r="FC684" s="27"/>
      <c r="FD684" s="27"/>
      <c r="FE684" s="27"/>
      <c r="FF684" s="27"/>
      <c r="FG684" s="27"/>
      <c r="FH684" s="27"/>
      <c r="FI684" s="27"/>
      <c r="FJ684" s="27"/>
      <c r="FK684" s="27"/>
      <c r="FL684" s="27"/>
      <c r="FM684" s="27"/>
      <c r="FN684" s="27"/>
      <c r="FO684" s="27"/>
      <c r="FP684" s="27"/>
      <c r="FQ684" s="27"/>
      <c r="FR684" s="27"/>
      <c r="FS684" s="27"/>
      <c r="FT684" s="27"/>
      <c r="FU684" s="27"/>
      <c r="FV684" s="27"/>
      <c r="FW684" s="27"/>
      <c r="FX684" s="27"/>
      <c r="FY684" s="27"/>
      <c r="FZ684" s="27"/>
      <c r="GA684" s="27"/>
      <c r="GB684" s="27"/>
      <c r="GC684" s="27"/>
      <c r="GD684" s="27"/>
      <c r="GE684" s="27"/>
      <c r="GF684" s="27"/>
      <c r="GG684" s="27"/>
      <c r="GH684" s="27"/>
      <c r="GI684" s="27"/>
      <c r="GJ684" s="27"/>
      <c r="GK684" s="27"/>
      <c r="GL684" s="27"/>
      <c r="GM684" s="27"/>
      <c r="GN684" s="27"/>
      <c r="GO684" s="27"/>
      <c r="GP684" s="27"/>
      <c r="GQ684" s="27"/>
      <c r="GR684" s="27"/>
      <c r="GS684" s="27"/>
      <c r="GT684" s="27"/>
      <c r="GU684" s="27"/>
      <c r="GV684" s="27"/>
      <c r="GW684" s="27"/>
      <c r="GX684" s="27"/>
      <c r="GY684" s="27"/>
      <c r="GZ684" s="27"/>
      <c r="HA684" s="27"/>
      <c r="HB684" s="27"/>
      <c r="HC684" s="27"/>
      <c r="HD684" s="27"/>
      <c r="HE684" s="27"/>
      <c r="HF684" s="27"/>
      <c r="HG684" s="27"/>
      <c r="HH684" s="27"/>
      <c r="HI684" s="27"/>
      <c r="HJ684" s="27"/>
      <c r="HK684" s="27"/>
      <c r="HL684" s="27"/>
      <c r="HM684" s="27"/>
      <c r="HN684" s="27"/>
      <c r="HO684" s="27"/>
      <c r="HP684" s="27"/>
      <c r="HQ684" s="27"/>
      <c r="HR684" s="27"/>
      <c r="HS684" s="27"/>
      <c r="HT684" s="27"/>
    </row>
    <row r="685" spans="1:228" s="62" customFormat="1">
      <c r="A685" s="72"/>
      <c r="B685" s="48" t="s">
        <v>600</v>
      </c>
      <c r="C685" s="74">
        <v>40000000</v>
      </c>
      <c r="D685" s="50"/>
      <c r="E685" s="114"/>
      <c r="F685" s="114"/>
      <c r="G685" s="114"/>
      <c r="H685" s="114"/>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c r="CF685" s="27"/>
      <c r="CG685" s="27"/>
      <c r="CH685" s="27"/>
      <c r="CI685" s="27"/>
      <c r="CJ685" s="27"/>
      <c r="CK685" s="27"/>
      <c r="CL685" s="27"/>
      <c r="CM685" s="27"/>
      <c r="CN685" s="27"/>
      <c r="CO685" s="27"/>
      <c r="CP685" s="27"/>
      <c r="CQ685" s="27"/>
      <c r="CR685" s="27"/>
      <c r="CS685" s="27"/>
      <c r="CT685" s="27"/>
      <c r="CU685" s="27"/>
      <c r="CV685" s="27"/>
      <c r="CW685" s="27"/>
      <c r="CX685" s="27"/>
      <c r="CY685" s="27"/>
      <c r="CZ685" s="27"/>
      <c r="DA685" s="27"/>
      <c r="DB685" s="27"/>
      <c r="DC685" s="27"/>
      <c r="DD685" s="27"/>
      <c r="DE685" s="27"/>
      <c r="DF685" s="27"/>
      <c r="DG685" s="27"/>
      <c r="DH685" s="27"/>
      <c r="DI685" s="27"/>
      <c r="DJ685" s="27"/>
      <c r="DK685" s="27"/>
      <c r="DL685" s="27"/>
      <c r="DM685" s="27"/>
      <c r="DN685" s="27"/>
      <c r="DO685" s="27"/>
      <c r="DP685" s="27"/>
      <c r="DQ685" s="27"/>
      <c r="DR685" s="27"/>
      <c r="DS685" s="27"/>
      <c r="DT685" s="27"/>
      <c r="DU685" s="27"/>
      <c r="DV685" s="27"/>
      <c r="DW685" s="27"/>
      <c r="DX685" s="27"/>
      <c r="DY685" s="27"/>
      <c r="DZ685" s="27"/>
      <c r="EA685" s="27"/>
      <c r="EB685" s="27"/>
      <c r="EC685" s="27"/>
      <c r="ED685" s="27"/>
      <c r="EE685" s="27"/>
      <c r="EF685" s="27"/>
      <c r="EG685" s="27"/>
      <c r="EH685" s="27"/>
      <c r="EI685" s="27"/>
      <c r="EJ685" s="27"/>
      <c r="EK685" s="27"/>
      <c r="EL685" s="27"/>
      <c r="EM685" s="27"/>
      <c r="EN685" s="27"/>
      <c r="EO685" s="27"/>
      <c r="EP685" s="27"/>
      <c r="EQ685" s="27"/>
      <c r="ER685" s="27"/>
      <c r="ES685" s="27"/>
      <c r="ET685" s="27"/>
      <c r="EU685" s="27"/>
      <c r="EV685" s="27"/>
      <c r="EW685" s="27"/>
      <c r="EX685" s="27"/>
      <c r="EY685" s="27"/>
      <c r="EZ685" s="27"/>
      <c r="FA685" s="27"/>
      <c r="FB685" s="27"/>
      <c r="FC685" s="27"/>
      <c r="FD685" s="27"/>
      <c r="FE685" s="27"/>
      <c r="FF685" s="27"/>
      <c r="FG685" s="27"/>
      <c r="FH685" s="27"/>
      <c r="FI685" s="27"/>
      <c r="FJ685" s="27"/>
      <c r="FK685" s="27"/>
      <c r="FL685" s="27"/>
      <c r="FM685" s="27"/>
      <c r="FN685" s="27"/>
      <c r="FO685" s="27"/>
      <c r="FP685" s="27"/>
      <c r="FQ685" s="27"/>
      <c r="FR685" s="27"/>
      <c r="FS685" s="27"/>
      <c r="FT685" s="27"/>
      <c r="FU685" s="27"/>
      <c r="FV685" s="27"/>
      <c r="FW685" s="27"/>
      <c r="FX685" s="27"/>
      <c r="FY685" s="27"/>
      <c r="FZ685" s="27"/>
      <c r="GA685" s="27"/>
      <c r="GB685" s="27"/>
      <c r="GC685" s="27"/>
      <c r="GD685" s="27"/>
      <c r="GE685" s="27"/>
      <c r="GF685" s="27"/>
      <c r="GG685" s="27"/>
      <c r="GH685" s="27"/>
      <c r="GI685" s="27"/>
      <c r="GJ685" s="27"/>
      <c r="GK685" s="27"/>
      <c r="GL685" s="27"/>
      <c r="GM685" s="27"/>
      <c r="GN685" s="27"/>
      <c r="GO685" s="27"/>
      <c r="GP685" s="27"/>
      <c r="GQ685" s="27"/>
      <c r="GR685" s="27"/>
      <c r="GS685" s="27"/>
      <c r="GT685" s="27"/>
      <c r="GU685" s="27"/>
      <c r="GV685" s="27"/>
      <c r="GW685" s="27"/>
      <c r="GX685" s="27"/>
      <c r="GY685" s="27"/>
      <c r="GZ685" s="27"/>
      <c r="HA685" s="27"/>
      <c r="HB685" s="27"/>
      <c r="HC685" s="27"/>
      <c r="HD685" s="27"/>
      <c r="HE685" s="27"/>
      <c r="HF685" s="27"/>
      <c r="HG685" s="27"/>
      <c r="HH685" s="27"/>
      <c r="HI685" s="27"/>
      <c r="HJ685" s="27"/>
      <c r="HK685" s="27"/>
      <c r="HL685" s="27"/>
      <c r="HM685" s="27"/>
      <c r="HN685" s="27"/>
      <c r="HO685" s="27"/>
      <c r="HP685" s="27"/>
      <c r="HQ685" s="27"/>
      <c r="HR685" s="27"/>
      <c r="HS685" s="27"/>
      <c r="HT685" s="27"/>
    </row>
    <row r="686" spans="1:228" s="62" customFormat="1" ht="37.5">
      <c r="A686" s="72" t="s">
        <v>91</v>
      </c>
      <c r="B686" s="110" t="s">
        <v>601</v>
      </c>
      <c r="C686" s="74">
        <v>240000000</v>
      </c>
      <c r="D686" s="50"/>
      <c r="E686" s="114"/>
      <c r="F686" s="114"/>
      <c r="G686" s="214"/>
      <c r="H686" s="214"/>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27"/>
      <c r="DX686" s="27"/>
      <c r="DY686" s="27"/>
      <c r="DZ686" s="27"/>
      <c r="EA686" s="27"/>
      <c r="EB686" s="27"/>
      <c r="EC686" s="27"/>
      <c r="ED686" s="27"/>
      <c r="EE686" s="27"/>
      <c r="EF686" s="27"/>
      <c r="EG686" s="27"/>
      <c r="EH686" s="27"/>
      <c r="EI686" s="27"/>
      <c r="EJ686" s="27"/>
      <c r="EK686" s="27"/>
      <c r="EL686" s="27"/>
      <c r="EM686" s="27"/>
      <c r="EN686" s="27"/>
      <c r="EO686" s="27"/>
      <c r="EP686" s="27"/>
      <c r="EQ686" s="27"/>
      <c r="ER686" s="27"/>
      <c r="ES686" s="27"/>
      <c r="ET686" s="27"/>
      <c r="EU686" s="27"/>
      <c r="EV686" s="27"/>
      <c r="EW686" s="27"/>
      <c r="EX686" s="27"/>
      <c r="EY686" s="27"/>
      <c r="EZ686" s="27"/>
      <c r="FA686" s="27"/>
      <c r="FB686" s="27"/>
      <c r="FC686" s="27"/>
      <c r="FD686" s="27"/>
      <c r="FE686" s="27"/>
      <c r="FF686" s="27"/>
      <c r="FG686" s="27"/>
      <c r="FH686" s="27"/>
      <c r="FI686" s="27"/>
      <c r="FJ686" s="27"/>
      <c r="FK686" s="27"/>
      <c r="FL686" s="27"/>
      <c r="FM686" s="27"/>
      <c r="FN686" s="27"/>
      <c r="FO686" s="27"/>
      <c r="FP686" s="27"/>
      <c r="FQ686" s="27"/>
      <c r="FR686" s="27"/>
      <c r="FS686" s="27"/>
      <c r="FT686" s="27"/>
      <c r="FU686" s="27"/>
      <c r="FV686" s="27"/>
      <c r="FW686" s="27"/>
      <c r="FX686" s="27"/>
      <c r="FY686" s="27"/>
      <c r="FZ686" s="27"/>
      <c r="GA686" s="27"/>
      <c r="GB686" s="27"/>
      <c r="GC686" s="27"/>
      <c r="GD686" s="27"/>
      <c r="GE686" s="27"/>
      <c r="GF686" s="27"/>
      <c r="GG686" s="27"/>
      <c r="GH686" s="27"/>
      <c r="GI686" s="27"/>
      <c r="GJ686" s="27"/>
      <c r="GK686" s="27"/>
      <c r="GL686" s="27"/>
      <c r="GM686" s="27"/>
      <c r="GN686" s="27"/>
      <c r="GO686" s="27"/>
      <c r="GP686" s="27"/>
      <c r="GQ686" s="27"/>
      <c r="GR686" s="27"/>
      <c r="GS686" s="27"/>
      <c r="GT686" s="27"/>
      <c r="GU686" s="27"/>
      <c r="GV686" s="27"/>
      <c r="GW686" s="27"/>
      <c r="GX686" s="27"/>
      <c r="GY686" s="27"/>
      <c r="GZ686" s="27"/>
      <c r="HA686" s="27"/>
      <c r="HB686" s="27"/>
      <c r="HC686" s="27"/>
      <c r="HD686" s="27"/>
      <c r="HE686" s="27"/>
      <c r="HF686" s="27"/>
      <c r="HG686" s="27"/>
      <c r="HH686" s="27"/>
      <c r="HI686" s="27"/>
      <c r="HJ686" s="27"/>
      <c r="HK686" s="27"/>
      <c r="HL686" s="27"/>
      <c r="HM686" s="27"/>
      <c r="HN686" s="27"/>
      <c r="HO686" s="27"/>
      <c r="HP686" s="27"/>
      <c r="HQ686" s="27"/>
      <c r="HR686" s="27"/>
      <c r="HS686" s="27"/>
      <c r="HT686" s="27"/>
    </row>
    <row r="687" spans="1:228" s="88" customFormat="1" ht="19.5">
      <c r="A687" s="106" t="s">
        <v>91</v>
      </c>
      <c r="B687" s="105" t="s">
        <v>262</v>
      </c>
      <c r="C687" s="74">
        <v>291900000</v>
      </c>
      <c r="D687" s="50"/>
      <c r="E687" s="114"/>
      <c r="F687" s="114"/>
      <c r="G687" s="114"/>
      <c r="H687" s="114"/>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c r="AT687" s="71"/>
      <c r="AU687" s="71"/>
      <c r="AV687" s="71"/>
      <c r="AW687" s="71"/>
      <c r="AX687" s="71"/>
      <c r="AY687" s="71"/>
      <c r="AZ687" s="71"/>
      <c r="BA687" s="71"/>
      <c r="BB687" s="71"/>
      <c r="BC687" s="71"/>
      <c r="BD687" s="71"/>
      <c r="BE687" s="71"/>
      <c r="BF687" s="71"/>
      <c r="BG687" s="71"/>
      <c r="BH687" s="71"/>
      <c r="BI687" s="71"/>
      <c r="BJ687" s="71"/>
      <c r="BK687" s="71"/>
      <c r="BL687" s="71"/>
      <c r="BM687" s="71"/>
      <c r="BN687" s="71"/>
      <c r="BO687" s="71"/>
      <c r="BP687" s="71"/>
      <c r="BQ687" s="71"/>
      <c r="BR687" s="71"/>
      <c r="BS687" s="71"/>
      <c r="BT687" s="71"/>
      <c r="BU687" s="71"/>
      <c r="BV687" s="71"/>
      <c r="BW687" s="71"/>
      <c r="BX687" s="71"/>
      <c r="BY687" s="71"/>
      <c r="BZ687" s="71"/>
      <c r="CA687" s="71"/>
      <c r="CB687" s="71"/>
      <c r="CC687" s="71"/>
      <c r="CD687" s="71"/>
      <c r="CE687" s="71"/>
      <c r="CF687" s="71"/>
      <c r="CG687" s="71"/>
      <c r="CH687" s="71"/>
      <c r="CI687" s="71"/>
      <c r="CJ687" s="71"/>
      <c r="CK687" s="71"/>
      <c r="CL687" s="71"/>
      <c r="CM687" s="71"/>
      <c r="CN687" s="71"/>
      <c r="CO687" s="71"/>
      <c r="CP687" s="71"/>
      <c r="CQ687" s="71"/>
      <c r="CR687" s="71"/>
      <c r="CS687" s="71"/>
      <c r="CT687" s="71"/>
      <c r="CU687" s="71"/>
      <c r="CV687" s="71"/>
      <c r="CW687" s="71"/>
      <c r="CX687" s="71"/>
      <c r="CY687" s="71"/>
      <c r="CZ687" s="71"/>
      <c r="DA687" s="71"/>
      <c r="DB687" s="71"/>
      <c r="DC687" s="71"/>
      <c r="DD687" s="71"/>
      <c r="DE687" s="71"/>
      <c r="DF687" s="71"/>
      <c r="DG687" s="71"/>
      <c r="DH687" s="71"/>
      <c r="DI687" s="71"/>
      <c r="DJ687" s="71"/>
      <c r="DK687" s="71"/>
      <c r="DL687" s="71"/>
      <c r="DM687" s="71"/>
      <c r="DN687" s="71"/>
      <c r="DO687" s="71"/>
      <c r="DP687" s="71"/>
      <c r="DQ687" s="71"/>
      <c r="DR687" s="71"/>
      <c r="DS687" s="71"/>
      <c r="DT687" s="71"/>
      <c r="DU687" s="71"/>
      <c r="DV687" s="71"/>
      <c r="DW687" s="71"/>
      <c r="DX687" s="71"/>
      <c r="DY687" s="71"/>
      <c r="DZ687" s="71"/>
      <c r="EA687" s="71"/>
      <c r="EB687" s="71"/>
      <c r="EC687" s="71"/>
      <c r="ED687" s="71"/>
      <c r="EE687" s="71"/>
      <c r="EF687" s="71"/>
      <c r="EG687" s="71"/>
      <c r="EH687" s="71"/>
      <c r="EI687" s="71"/>
      <c r="EJ687" s="71"/>
      <c r="EK687" s="71"/>
      <c r="EL687" s="71"/>
      <c r="EM687" s="71"/>
      <c r="EN687" s="71"/>
      <c r="EO687" s="71"/>
      <c r="EP687" s="71"/>
      <c r="EQ687" s="71"/>
      <c r="ER687" s="71"/>
      <c r="ES687" s="71"/>
      <c r="ET687" s="71"/>
      <c r="EU687" s="71"/>
      <c r="EV687" s="71"/>
      <c r="EW687" s="71"/>
      <c r="EX687" s="71"/>
      <c r="EY687" s="71"/>
      <c r="EZ687" s="71"/>
      <c r="FA687" s="71"/>
      <c r="FB687" s="71"/>
      <c r="FC687" s="71"/>
      <c r="FD687" s="71"/>
      <c r="FE687" s="71"/>
      <c r="FF687" s="71"/>
      <c r="FG687" s="71"/>
      <c r="FH687" s="71"/>
      <c r="FI687" s="71"/>
      <c r="FJ687" s="71"/>
      <c r="FK687" s="71"/>
      <c r="FL687" s="71"/>
      <c r="FM687" s="71"/>
      <c r="FN687" s="71"/>
      <c r="FO687" s="71"/>
      <c r="FP687" s="71"/>
      <c r="FQ687" s="71"/>
      <c r="FR687" s="71"/>
      <c r="FS687" s="71"/>
      <c r="FT687" s="71"/>
      <c r="FU687" s="71"/>
      <c r="FV687" s="71"/>
      <c r="FW687" s="71"/>
      <c r="FX687" s="71"/>
      <c r="FY687" s="71"/>
      <c r="FZ687" s="71"/>
      <c r="GA687" s="71"/>
      <c r="GB687" s="71"/>
      <c r="GC687" s="71"/>
      <c r="GD687" s="71"/>
      <c r="GE687" s="71"/>
      <c r="GF687" s="71"/>
      <c r="GG687" s="71"/>
      <c r="GH687" s="71"/>
      <c r="GI687" s="71"/>
      <c r="GJ687" s="71"/>
      <c r="GK687" s="71"/>
      <c r="GL687" s="71"/>
      <c r="GM687" s="71"/>
      <c r="GN687" s="71"/>
      <c r="GO687" s="71"/>
      <c r="GP687" s="71"/>
      <c r="GQ687" s="71"/>
      <c r="GR687" s="71"/>
      <c r="GS687" s="71"/>
      <c r="GT687" s="71"/>
      <c r="GU687" s="71"/>
      <c r="GV687" s="71"/>
      <c r="GW687" s="71"/>
      <c r="GX687" s="71"/>
      <c r="GY687" s="71"/>
      <c r="GZ687" s="71"/>
      <c r="HA687" s="71"/>
      <c r="HB687" s="71"/>
      <c r="HC687" s="71"/>
      <c r="HD687" s="71"/>
      <c r="HE687" s="71"/>
      <c r="HF687" s="71"/>
      <c r="HG687" s="71"/>
      <c r="HH687" s="71"/>
      <c r="HI687" s="71"/>
      <c r="HJ687" s="71"/>
      <c r="HK687" s="71"/>
      <c r="HL687" s="71"/>
      <c r="HM687" s="71"/>
      <c r="HN687" s="71"/>
      <c r="HO687" s="71"/>
      <c r="HP687" s="71"/>
      <c r="HQ687" s="71"/>
      <c r="HR687" s="71"/>
      <c r="HS687" s="71"/>
      <c r="HT687" s="71"/>
    </row>
    <row r="688" spans="1:228" s="88" customFormat="1" ht="19.5">
      <c r="A688" s="89"/>
      <c r="B688" s="110" t="s">
        <v>263</v>
      </c>
      <c r="C688" s="91">
        <v>291900000</v>
      </c>
      <c r="D688" s="79"/>
      <c r="E688" s="127"/>
      <c r="F688" s="127"/>
      <c r="G688" s="114"/>
      <c r="H688" s="114"/>
      <c r="I688" s="71"/>
      <c r="J688" s="71"/>
      <c r="K688" s="71"/>
      <c r="L688" s="71"/>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c r="AT688" s="71"/>
      <c r="AU688" s="71"/>
      <c r="AV688" s="71"/>
      <c r="AW688" s="71"/>
      <c r="AX688" s="71"/>
      <c r="AY688" s="71"/>
      <c r="AZ688" s="71"/>
      <c r="BA688" s="71"/>
      <c r="BB688" s="71"/>
      <c r="BC688" s="71"/>
      <c r="BD688" s="71"/>
      <c r="BE688" s="71"/>
      <c r="BF688" s="71"/>
      <c r="BG688" s="71"/>
      <c r="BH688" s="71"/>
      <c r="BI688" s="71"/>
      <c r="BJ688" s="71"/>
      <c r="BK688" s="71"/>
      <c r="BL688" s="71"/>
      <c r="BM688" s="71"/>
      <c r="BN688" s="71"/>
      <c r="BO688" s="71"/>
      <c r="BP688" s="71"/>
      <c r="BQ688" s="71"/>
      <c r="BR688" s="71"/>
      <c r="BS688" s="71"/>
      <c r="BT688" s="71"/>
      <c r="BU688" s="71"/>
      <c r="BV688" s="71"/>
      <c r="BW688" s="71"/>
      <c r="BX688" s="71"/>
      <c r="BY688" s="71"/>
      <c r="BZ688" s="71"/>
      <c r="CA688" s="71"/>
      <c r="CB688" s="71"/>
      <c r="CC688" s="71"/>
      <c r="CD688" s="71"/>
      <c r="CE688" s="71"/>
      <c r="CF688" s="71"/>
      <c r="CG688" s="71"/>
      <c r="CH688" s="71"/>
      <c r="CI688" s="71"/>
      <c r="CJ688" s="71"/>
      <c r="CK688" s="71"/>
      <c r="CL688" s="71"/>
      <c r="CM688" s="71"/>
      <c r="CN688" s="71"/>
      <c r="CO688" s="71"/>
      <c r="CP688" s="71"/>
      <c r="CQ688" s="71"/>
      <c r="CR688" s="71"/>
      <c r="CS688" s="71"/>
      <c r="CT688" s="71"/>
      <c r="CU688" s="71"/>
      <c r="CV688" s="71"/>
      <c r="CW688" s="71"/>
      <c r="CX688" s="71"/>
      <c r="CY688" s="71"/>
      <c r="CZ688" s="71"/>
      <c r="DA688" s="71"/>
      <c r="DB688" s="71"/>
      <c r="DC688" s="71"/>
      <c r="DD688" s="71"/>
      <c r="DE688" s="71"/>
      <c r="DF688" s="71"/>
      <c r="DG688" s="71"/>
      <c r="DH688" s="71"/>
      <c r="DI688" s="71"/>
      <c r="DJ688" s="71"/>
      <c r="DK688" s="71"/>
      <c r="DL688" s="71"/>
      <c r="DM688" s="71"/>
      <c r="DN688" s="71"/>
      <c r="DO688" s="71"/>
      <c r="DP688" s="71"/>
      <c r="DQ688" s="71"/>
      <c r="DR688" s="71"/>
      <c r="DS688" s="71"/>
      <c r="DT688" s="71"/>
      <c r="DU688" s="71"/>
      <c r="DV688" s="71"/>
      <c r="DW688" s="71"/>
      <c r="DX688" s="71"/>
      <c r="DY688" s="71"/>
      <c r="DZ688" s="71"/>
      <c r="EA688" s="71"/>
      <c r="EB688" s="71"/>
      <c r="EC688" s="71"/>
      <c r="ED688" s="71"/>
      <c r="EE688" s="71"/>
      <c r="EF688" s="71"/>
      <c r="EG688" s="71"/>
      <c r="EH688" s="71"/>
      <c r="EI688" s="71"/>
      <c r="EJ688" s="71"/>
      <c r="EK688" s="71"/>
      <c r="EL688" s="71"/>
      <c r="EM688" s="71"/>
      <c r="EN688" s="71"/>
      <c r="EO688" s="71"/>
      <c r="EP688" s="71"/>
      <c r="EQ688" s="71"/>
      <c r="ER688" s="71"/>
      <c r="ES688" s="71"/>
      <c r="ET688" s="71"/>
      <c r="EU688" s="71"/>
      <c r="EV688" s="71"/>
      <c r="EW688" s="71"/>
      <c r="EX688" s="71"/>
      <c r="EY688" s="71"/>
      <c r="EZ688" s="71"/>
      <c r="FA688" s="71"/>
      <c r="FB688" s="71"/>
      <c r="FC688" s="71"/>
      <c r="FD688" s="71"/>
      <c r="FE688" s="71"/>
      <c r="FF688" s="71"/>
      <c r="FG688" s="71"/>
      <c r="FH688" s="71"/>
      <c r="FI688" s="71"/>
      <c r="FJ688" s="71"/>
      <c r="FK688" s="71"/>
      <c r="FL688" s="71"/>
      <c r="FM688" s="71"/>
      <c r="FN688" s="71"/>
      <c r="FO688" s="71"/>
      <c r="FP688" s="71"/>
      <c r="FQ688" s="71"/>
      <c r="FR688" s="71"/>
      <c r="FS688" s="71"/>
      <c r="FT688" s="71"/>
      <c r="FU688" s="71"/>
      <c r="FV688" s="71"/>
      <c r="FW688" s="71"/>
      <c r="FX688" s="71"/>
      <c r="FY688" s="71"/>
      <c r="FZ688" s="71"/>
      <c r="GA688" s="71"/>
      <c r="GB688" s="71"/>
      <c r="GC688" s="71"/>
      <c r="GD688" s="71"/>
      <c r="GE688" s="71"/>
      <c r="GF688" s="71"/>
      <c r="GG688" s="71"/>
      <c r="GH688" s="71"/>
      <c r="GI688" s="71"/>
      <c r="GJ688" s="71"/>
      <c r="GK688" s="71"/>
      <c r="GL688" s="71"/>
      <c r="GM688" s="71"/>
      <c r="GN688" s="71"/>
      <c r="GO688" s="71"/>
      <c r="GP688" s="71"/>
      <c r="GQ688" s="71"/>
      <c r="GR688" s="71"/>
      <c r="GS688" s="71"/>
      <c r="GT688" s="71"/>
      <c r="GU688" s="71"/>
      <c r="GV688" s="71"/>
      <c r="GW688" s="71"/>
      <c r="GX688" s="71"/>
      <c r="GY688" s="71"/>
      <c r="GZ688" s="71"/>
      <c r="HA688" s="71"/>
      <c r="HB688" s="71"/>
      <c r="HC688" s="71"/>
      <c r="HD688" s="71"/>
      <c r="HE688" s="71"/>
      <c r="HF688" s="71"/>
      <c r="HG688" s="71"/>
      <c r="HH688" s="71"/>
      <c r="HI688" s="71"/>
      <c r="HJ688" s="71"/>
      <c r="HK688" s="71"/>
      <c r="HL688" s="71"/>
      <c r="HM688" s="71"/>
      <c r="HN688" s="71"/>
      <c r="HO688" s="71"/>
      <c r="HP688" s="71"/>
      <c r="HQ688" s="71"/>
      <c r="HR688" s="71"/>
      <c r="HS688" s="71"/>
      <c r="HT688" s="71"/>
    </row>
    <row r="689" spans="1:228" s="88" customFormat="1" ht="19.5">
      <c r="A689" s="31">
        <v>3</v>
      </c>
      <c r="B689" s="147" t="s">
        <v>602</v>
      </c>
      <c r="C689" s="84">
        <v>540000000</v>
      </c>
      <c r="D689" s="92"/>
      <c r="E689" s="131"/>
      <c r="F689" s="131"/>
      <c r="G689" s="133"/>
      <c r="H689" s="133"/>
      <c r="I689" s="71"/>
      <c r="J689" s="71"/>
      <c r="K689" s="71"/>
      <c r="L689" s="71"/>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c r="AT689" s="71"/>
      <c r="AU689" s="71"/>
      <c r="AV689" s="71"/>
      <c r="AW689" s="71"/>
      <c r="AX689" s="71"/>
      <c r="AY689" s="71"/>
      <c r="AZ689" s="71"/>
      <c r="BA689" s="71"/>
      <c r="BB689" s="71"/>
      <c r="BC689" s="71"/>
      <c r="BD689" s="71"/>
      <c r="BE689" s="71"/>
      <c r="BF689" s="71"/>
      <c r="BG689" s="71"/>
      <c r="BH689" s="71"/>
      <c r="BI689" s="71"/>
      <c r="BJ689" s="71"/>
      <c r="BK689" s="71"/>
      <c r="BL689" s="71"/>
      <c r="BM689" s="71"/>
      <c r="BN689" s="71"/>
      <c r="BO689" s="71"/>
      <c r="BP689" s="71"/>
      <c r="BQ689" s="71"/>
      <c r="BR689" s="71"/>
      <c r="BS689" s="71"/>
      <c r="BT689" s="71"/>
      <c r="BU689" s="71"/>
      <c r="BV689" s="71"/>
      <c r="BW689" s="71"/>
      <c r="BX689" s="71"/>
      <c r="BY689" s="71"/>
      <c r="BZ689" s="71"/>
      <c r="CA689" s="71"/>
      <c r="CB689" s="71"/>
      <c r="CC689" s="71"/>
      <c r="CD689" s="71"/>
      <c r="CE689" s="71"/>
      <c r="CF689" s="71"/>
      <c r="CG689" s="71"/>
      <c r="CH689" s="71"/>
      <c r="CI689" s="71"/>
      <c r="CJ689" s="71"/>
      <c r="CK689" s="71"/>
      <c r="CL689" s="71"/>
      <c r="CM689" s="71"/>
      <c r="CN689" s="71"/>
      <c r="CO689" s="71"/>
      <c r="CP689" s="71"/>
      <c r="CQ689" s="71"/>
      <c r="CR689" s="71"/>
      <c r="CS689" s="71"/>
      <c r="CT689" s="71"/>
      <c r="CU689" s="71"/>
      <c r="CV689" s="71"/>
      <c r="CW689" s="71"/>
      <c r="CX689" s="71"/>
      <c r="CY689" s="71"/>
      <c r="CZ689" s="71"/>
      <c r="DA689" s="71"/>
      <c r="DB689" s="71"/>
      <c r="DC689" s="71"/>
      <c r="DD689" s="71"/>
      <c r="DE689" s="71"/>
      <c r="DF689" s="71"/>
      <c r="DG689" s="71"/>
      <c r="DH689" s="71"/>
      <c r="DI689" s="71"/>
      <c r="DJ689" s="71"/>
      <c r="DK689" s="71"/>
      <c r="DL689" s="71"/>
      <c r="DM689" s="71"/>
      <c r="DN689" s="71"/>
      <c r="DO689" s="71"/>
      <c r="DP689" s="71"/>
      <c r="DQ689" s="71"/>
      <c r="DR689" s="71"/>
      <c r="DS689" s="71"/>
      <c r="DT689" s="71"/>
      <c r="DU689" s="71"/>
      <c r="DV689" s="71"/>
      <c r="DW689" s="71"/>
      <c r="DX689" s="71"/>
      <c r="DY689" s="71"/>
      <c r="DZ689" s="71"/>
      <c r="EA689" s="71"/>
      <c r="EB689" s="71"/>
      <c r="EC689" s="71"/>
      <c r="ED689" s="71"/>
      <c r="EE689" s="71"/>
      <c r="EF689" s="71"/>
      <c r="EG689" s="71"/>
      <c r="EH689" s="71"/>
      <c r="EI689" s="71"/>
      <c r="EJ689" s="71"/>
      <c r="EK689" s="71"/>
      <c r="EL689" s="71"/>
      <c r="EM689" s="71"/>
      <c r="EN689" s="71"/>
      <c r="EO689" s="71"/>
      <c r="EP689" s="71"/>
      <c r="EQ689" s="71"/>
      <c r="ER689" s="71"/>
      <c r="ES689" s="71"/>
      <c r="ET689" s="71"/>
      <c r="EU689" s="71"/>
      <c r="EV689" s="71"/>
      <c r="EW689" s="71"/>
      <c r="EX689" s="71"/>
      <c r="EY689" s="71"/>
      <c r="EZ689" s="71"/>
      <c r="FA689" s="71"/>
      <c r="FB689" s="71"/>
      <c r="FC689" s="71"/>
      <c r="FD689" s="71"/>
      <c r="FE689" s="71"/>
      <c r="FF689" s="71"/>
      <c r="FG689" s="71"/>
      <c r="FH689" s="71"/>
      <c r="FI689" s="71"/>
      <c r="FJ689" s="71"/>
      <c r="FK689" s="71"/>
      <c r="FL689" s="71"/>
      <c r="FM689" s="71"/>
      <c r="FN689" s="71"/>
      <c r="FO689" s="71"/>
      <c r="FP689" s="71"/>
      <c r="FQ689" s="71"/>
      <c r="FR689" s="71"/>
      <c r="FS689" s="71"/>
      <c r="FT689" s="71"/>
      <c r="FU689" s="71"/>
      <c r="FV689" s="71"/>
      <c r="FW689" s="71"/>
      <c r="FX689" s="71"/>
      <c r="FY689" s="71"/>
      <c r="FZ689" s="71"/>
      <c r="GA689" s="71"/>
      <c r="GB689" s="71"/>
      <c r="GC689" s="71"/>
      <c r="GD689" s="71"/>
      <c r="GE689" s="71"/>
      <c r="GF689" s="71"/>
      <c r="GG689" s="71"/>
      <c r="GH689" s="71"/>
      <c r="GI689" s="71"/>
      <c r="GJ689" s="71"/>
      <c r="GK689" s="71"/>
      <c r="GL689" s="71"/>
      <c r="GM689" s="71"/>
      <c r="GN689" s="71"/>
      <c r="GO689" s="71"/>
      <c r="GP689" s="71"/>
      <c r="GQ689" s="71"/>
      <c r="GR689" s="71"/>
      <c r="GS689" s="71"/>
      <c r="GT689" s="71"/>
      <c r="GU689" s="71"/>
      <c r="GV689" s="71"/>
      <c r="GW689" s="71"/>
      <c r="GX689" s="71"/>
      <c r="GY689" s="71"/>
      <c r="GZ689" s="71"/>
      <c r="HA689" s="71"/>
      <c r="HB689" s="71"/>
      <c r="HC689" s="71"/>
      <c r="HD689" s="71"/>
      <c r="HE689" s="71"/>
      <c r="HF689" s="71"/>
      <c r="HG689" s="71"/>
      <c r="HH689" s="71"/>
      <c r="HI689" s="71"/>
      <c r="HJ689" s="71"/>
      <c r="HK689" s="71"/>
      <c r="HL689" s="71"/>
      <c r="HM689" s="71"/>
      <c r="HN689" s="71"/>
      <c r="HO689" s="71"/>
      <c r="HP689" s="71"/>
      <c r="HQ689" s="71"/>
      <c r="HR689" s="71"/>
      <c r="HS689" s="71"/>
      <c r="HT689" s="71"/>
    </row>
    <row r="690" spans="1:228" s="88" customFormat="1" ht="56.25">
      <c r="A690" s="72"/>
      <c r="B690" s="110" t="s">
        <v>603</v>
      </c>
      <c r="C690" s="91">
        <v>70000000</v>
      </c>
      <c r="D690" s="79"/>
      <c r="E690" s="127"/>
      <c r="F690" s="127"/>
      <c r="G690" s="113"/>
      <c r="H690" s="113"/>
      <c r="I690" s="71"/>
      <c r="J690" s="71"/>
      <c r="K690" s="71"/>
      <c r="L690" s="71"/>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c r="AT690" s="71"/>
      <c r="AU690" s="71"/>
      <c r="AV690" s="71"/>
      <c r="AW690" s="71"/>
      <c r="AX690" s="71"/>
      <c r="AY690" s="71"/>
      <c r="AZ690" s="71"/>
      <c r="BA690" s="71"/>
      <c r="BB690" s="71"/>
      <c r="BC690" s="71"/>
      <c r="BD690" s="71"/>
      <c r="BE690" s="71"/>
      <c r="BF690" s="71"/>
      <c r="BG690" s="71"/>
      <c r="BH690" s="71"/>
      <c r="BI690" s="71"/>
      <c r="BJ690" s="71"/>
      <c r="BK690" s="71"/>
      <c r="BL690" s="71"/>
      <c r="BM690" s="71"/>
      <c r="BN690" s="71"/>
      <c r="BO690" s="71"/>
      <c r="BP690" s="71"/>
      <c r="BQ690" s="71"/>
      <c r="BR690" s="71"/>
      <c r="BS690" s="71"/>
      <c r="BT690" s="71"/>
      <c r="BU690" s="71"/>
      <c r="BV690" s="71"/>
      <c r="BW690" s="71"/>
      <c r="BX690" s="71"/>
      <c r="BY690" s="71"/>
      <c r="BZ690" s="71"/>
      <c r="CA690" s="71"/>
      <c r="CB690" s="71"/>
      <c r="CC690" s="71"/>
      <c r="CD690" s="71"/>
      <c r="CE690" s="71"/>
      <c r="CF690" s="71"/>
      <c r="CG690" s="71"/>
      <c r="CH690" s="71"/>
      <c r="CI690" s="71"/>
      <c r="CJ690" s="71"/>
      <c r="CK690" s="71"/>
      <c r="CL690" s="71"/>
      <c r="CM690" s="71"/>
      <c r="CN690" s="71"/>
      <c r="CO690" s="71"/>
      <c r="CP690" s="71"/>
      <c r="CQ690" s="71"/>
      <c r="CR690" s="71"/>
      <c r="CS690" s="71"/>
      <c r="CT690" s="71"/>
      <c r="CU690" s="71"/>
      <c r="CV690" s="71"/>
      <c r="CW690" s="71"/>
      <c r="CX690" s="71"/>
      <c r="CY690" s="71"/>
      <c r="CZ690" s="71"/>
      <c r="DA690" s="71"/>
      <c r="DB690" s="71"/>
      <c r="DC690" s="71"/>
      <c r="DD690" s="71"/>
      <c r="DE690" s="71"/>
      <c r="DF690" s="71"/>
      <c r="DG690" s="71"/>
      <c r="DH690" s="71"/>
      <c r="DI690" s="71"/>
      <c r="DJ690" s="71"/>
      <c r="DK690" s="71"/>
      <c r="DL690" s="71"/>
      <c r="DM690" s="71"/>
      <c r="DN690" s="71"/>
      <c r="DO690" s="71"/>
      <c r="DP690" s="71"/>
      <c r="DQ690" s="71"/>
      <c r="DR690" s="71"/>
      <c r="DS690" s="71"/>
      <c r="DT690" s="71"/>
      <c r="DU690" s="71"/>
      <c r="DV690" s="71"/>
      <c r="DW690" s="71"/>
      <c r="DX690" s="71"/>
      <c r="DY690" s="71"/>
      <c r="DZ690" s="71"/>
      <c r="EA690" s="71"/>
      <c r="EB690" s="71"/>
      <c r="EC690" s="71"/>
      <c r="ED690" s="71"/>
      <c r="EE690" s="71"/>
      <c r="EF690" s="71"/>
      <c r="EG690" s="71"/>
      <c r="EH690" s="71"/>
      <c r="EI690" s="71"/>
      <c r="EJ690" s="71"/>
      <c r="EK690" s="71"/>
      <c r="EL690" s="71"/>
      <c r="EM690" s="71"/>
      <c r="EN690" s="71"/>
      <c r="EO690" s="71"/>
      <c r="EP690" s="71"/>
      <c r="EQ690" s="71"/>
      <c r="ER690" s="71"/>
      <c r="ES690" s="71"/>
      <c r="ET690" s="71"/>
      <c r="EU690" s="71"/>
      <c r="EV690" s="71"/>
      <c r="EW690" s="71"/>
      <c r="EX690" s="71"/>
      <c r="EY690" s="71"/>
      <c r="EZ690" s="71"/>
      <c r="FA690" s="71"/>
      <c r="FB690" s="71"/>
      <c r="FC690" s="71"/>
      <c r="FD690" s="71"/>
      <c r="FE690" s="71"/>
      <c r="FF690" s="71"/>
      <c r="FG690" s="71"/>
      <c r="FH690" s="71"/>
      <c r="FI690" s="71"/>
      <c r="FJ690" s="71"/>
      <c r="FK690" s="71"/>
      <c r="FL690" s="71"/>
      <c r="FM690" s="71"/>
      <c r="FN690" s="71"/>
      <c r="FO690" s="71"/>
      <c r="FP690" s="71"/>
      <c r="FQ690" s="71"/>
      <c r="FR690" s="71"/>
      <c r="FS690" s="71"/>
      <c r="FT690" s="71"/>
      <c r="FU690" s="71"/>
      <c r="FV690" s="71"/>
      <c r="FW690" s="71"/>
      <c r="FX690" s="71"/>
      <c r="FY690" s="71"/>
      <c r="FZ690" s="71"/>
      <c r="GA690" s="71"/>
      <c r="GB690" s="71"/>
      <c r="GC690" s="71"/>
      <c r="GD690" s="71"/>
      <c r="GE690" s="71"/>
      <c r="GF690" s="71"/>
      <c r="GG690" s="71"/>
      <c r="GH690" s="71"/>
      <c r="GI690" s="71"/>
      <c r="GJ690" s="71"/>
      <c r="GK690" s="71"/>
      <c r="GL690" s="71"/>
      <c r="GM690" s="71"/>
      <c r="GN690" s="71"/>
      <c r="GO690" s="71"/>
      <c r="GP690" s="71"/>
      <c r="GQ690" s="71"/>
      <c r="GR690" s="71"/>
      <c r="GS690" s="71"/>
      <c r="GT690" s="71"/>
      <c r="GU690" s="71"/>
      <c r="GV690" s="71"/>
      <c r="GW690" s="71"/>
      <c r="GX690" s="71"/>
      <c r="GY690" s="71"/>
      <c r="GZ690" s="71"/>
      <c r="HA690" s="71"/>
      <c r="HB690" s="71"/>
      <c r="HC690" s="71"/>
      <c r="HD690" s="71"/>
      <c r="HE690" s="71"/>
      <c r="HF690" s="71"/>
      <c r="HG690" s="71"/>
      <c r="HH690" s="71"/>
      <c r="HI690" s="71"/>
      <c r="HJ690" s="71"/>
      <c r="HK690" s="71"/>
      <c r="HL690" s="71"/>
      <c r="HM690" s="71"/>
      <c r="HN690" s="71"/>
      <c r="HO690" s="71"/>
      <c r="HP690" s="71"/>
      <c r="HQ690" s="71"/>
      <c r="HR690" s="71"/>
      <c r="HS690" s="71"/>
      <c r="HT690" s="71"/>
    </row>
    <row r="691" spans="1:228" s="88" customFormat="1" ht="37.5">
      <c r="A691" s="72"/>
      <c r="B691" s="110" t="s">
        <v>604</v>
      </c>
      <c r="C691" s="91">
        <v>400000000</v>
      </c>
      <c r="D691" s="79"/>
      <c r="E691" s="127"/>
      <c r="F691" s="127"/>
      <c r="G691" s="113"/>
      <c r="H691" s="113"/>
      <c r="I691" s="71"/>
      <c r="J691" s="71"/>
      <c r="K691" s="71"/>
      <c r="L691" s="71"/>
      <c r="M691" s="71"/>
      <c r="N691" s="71"/>
      <c r="O691" s="71"/>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c r="AT691" s="71"/>
      <c r="AU691" s="71"/>
      <c r="AV691" s="71"/>
      <c r="AW691" s="71"/>
      <c r="AX691" s="71"/>
      <c r="AY691" s="71"/>
      <c r="AZ691" s="71"/>
      <c r="BA691" s="71"/>
      <c r="BB691" s="71"/>
      <c r="BC691" s="71"/>
      <c r="BD691" s="71"/>
      <c r="BE691" s="71"/>
      <c r="BF691" s="71"/>
      <c r="BG691" s="71"/>
      <c r="BH691" s="71"/>
      <c r="BI691" s="71"/>
      <c r="BJ691" s="71"/>
      <c r="BK691" s="71"/>
      <c r="BL691" s="71"/>
      <c r="BM691" s="71"/>
      <c r="BN691" s="71"/>
      <c r="BO691" s="71"/>
      <c r="BP691" s="71"/>
      <c r="BQ691" s="71"/>
      <c r="BR691" s="71"/>
      <c r="BS691" s="71"/>
      <c r="BT691" s="71"/>
      <c r="BU691" s="71"/>
      <c r="BV691" s="71"/>
      <c r="BW691" s="71"/>
      <c r="BX691" s="71"/>
      <c r="BY691" s="71"/>
      <c r="BZ691" s="71"/>
      <c r="CA691" s="71"/>
      <c r="CB691" s="71"/>
      <c r="CC691" s="71"/>
      <c r="CD691" s="71"/>
      <c r="CE691" s="71"/>
      <c r="CF691" s="71"/>
      <c r="CG691" s="71"/>
      <c r="CH691" s="71"/>
      <c r="CI691" s="71"/>
      <c r="CJ691" s="71"/>
      <c r="CK691" s="71"/>
      <c r="CL691" s="71"/>
      <c r="CM691" s="71"/>
      <c r="CN691" s="71"/>
      <c r="CO691" s="71"/>
      <c r="CP691" s="71"/>
      <c r="CQ691" s="71"/>
      <c r="CR691" s="71"/>
      <c r="CS691" s="71"/>
      <c r="CT691" s="71"/>
      <c r="CU691" s="71"/>
      <c r="CV691" s="71"/>
      <c r="CW691" s="71"/>
      <c r="CX691" s="71"/>
      <c r="CY691" s="71"/>
      <c r="CZ691" s="71"/>
      <c r="DA691" s="71"/>
      <c r="DB691" s="71"/>
      <c r="DC691" s="71"/>
      <c r="DD691" s="71"/>
      <c r="DE691" s="71"/>
      <c r="DF691" s="71"/>
      <c r="DG691" s="71"/>
      <c r="DH691" s="71"/>
      <c r="DI691" s="71"/>
      <c r="DJ691" s="71"/>
      <c r="DK691" s="71"/>
      <c r="DL691" s="71"/>
      <c r="DM691" s="71"/>
      <c r="DN691" s="71"/>
      <c r="DO691" s="71"/>
      <c r="DP691" s="71"/>
      <c r="DQ691" s="71"/>
      <c r="DR691" s="71"/>
      <c r="DS691" s="71"/>
      <c r="DT691" s="71"/>
      <c r="DU691" s="71"/>
      <c r="DV691" s="71"/>
      <c r="DW691" s="71"/>
      <c r="DX691" s="71"/>
      <c r="DY691" s="71"/>
      <c r="DZ691" s="71"/>
      <c r="EA691" s="71"/>
      <c r="EB691" s="71"/>
      <c r="EC691" s="71"/>
      <c r="ED691" s="71"/>
      <c r="EE691" s="71"/>
      <c r="EF691" s="71"/>
      <c r="EG691" s="71"/>
      <c r="EH691" s="71"/>
      <c r="EI691" s="71"/>
      <c r="EJ691" s="71"/>
      <c r="EK691" s="71"/>
      <c r="EL691" s="71"/>
      <c r="EM691" s="71"/>
      <c r="EN691" s="71"/>
      <c r="EO691" s="71"/>
      <c r="EP691" s="71"/>
      <c r="EQ691" s="71"/>
      <c r="ER691" s="71"/>
      <c r="ES691" s="71"/>
      <c r="ET691" s="71"/>
      <c r="EU691" s="71"/>
      <c r="EV691" s="71"/>
      <c r="EW691" s="71"/>
      <c r="EX691" s="71"/>
      <c r="EY691" s="71"/>
      <c r="EZ691" s="71"/>
      <c r="FA691" s="71"/>
      <c r="FB691" s="71"/>
      <c r="FC691" s="71"/>
      <c r="FD691" s="71"/>
      <c r="FE691" s="71"/>
      <c r="FF691" s="71"/>
      <c r="FG691" s="71"/>
      <c r="FH691" s="71"/>
      <c r="FI691" s="71"/>
      <c r="FJ691" s="71"/>
      <c r="FK691" s="71"/>
      <c r="FL691" s="71"/>
      <c r="FM691" s="71"/>
      <c r="FN691" s="71"/>
      <c r="FO691" s="71"/>
      <c r="FP691" s="71"/>
      <c r="FQ691" s="71"/>
      <c r="FR691" s="71"/>
      <c r="FS691" s="71"/>
      <c r="FT691" s="71"/>
      <c r="FU691" s="71"/>
      <c r="FV691" s="71"/>
      <c r="FW691" s="71"/>
      <c r="FX691" s="71"/>
      <c r="FY691" s="71"/>
      <c r="FZ691" s="71"/>
      <c r="GA691" s="71"/>
      <c r="GB691" s="71"/>
      <c r="GC691" s="71"/>
      <c r="GD691" s="71"/>
      <c r="GE691" s="71"/>
      <c r="GF691" s="71"/>
      <c r="GG691" s="71"/>
      <c r="GH691" s="71"/>
      <c r="GI691" s="71"/>
      <c r="GJ691" s="71"/>
      <c r="GK691" s="71"/>
      <c r="GL691" s="71"/>
      <c r="GM691" s="71"/>
      <c r="GN691" s="71"/>
      <c r="GO691" s="71"/>
      <c r="GP691" s="71"/>
      <c r="GQ691" s="71"/>
      <c r="GR691" s="71"/>
      <c r="GS691" s="71"/>
      <c r="GT691" s="71"/>
      <c r="GU691" s="71"/>
      <c r="GV691" s="71"/>
      <c r="GW691" s="71"/>
      <c r="GX691" s="71"/>
      <c r="GY691" s="71"/>
      <c r="GZ691" s="71"/>
      <c r="HA691" s="71"/>
      <c r="HB691" s="71"/>
      <c r="HC691" s="71"/>
      <c r="HD691" s="71"/>
      <c r="HE691" s="71"/>
      <c r="HF691" s="71"/>
      <c r="HG691" s="71"/>
      <c r="HH691" s="71"/>
      <c r="HI691" s="71"/>
      <c r="HJ691" s="71"/>
      <c r="HK691" s="71"/>
      <c r="HL691" s="71"/>
      <c r="HM691" s="71"/>
      <c r="HN691" s="71"/>
      <c r="HO691" s="71"/>
      <c r="HP691" s="71"/>
      <c r="HQ691" s="71"/>
      <c r="HR691" s="71"/>
      <c r="HS691" s="71"/>
      <c r="HT691" s="71"/>
    </row>
    <row r="692" spans="1:228" s="88" customFormat="1" ht="19.5">
      <c r="A692" s="72"/>
      <c r="B692" s="110" t="s">
        <v>605</v>
      </c>
      <c r="C692" s="91">
        <v>70000000</v>
      </c>
      <c r="D692" s="79"/>
      <c r="E692" s="127"/>
      <c r="F692" s="127"/>
      <c r="G692" s="113"/>
      <c r="H692" s="113"/>
      <c r="I692" s="71"/>
      <c r="J692" s="71"/>
      <c r="K692" s="71"/>
      <c r="L692" s="71"/>
      <c r="M692" s="71"/>
      <c r="N692" s="71"/>
      <c r="O692" s="71"/>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c r="AT692" s="71"/>
      <c r="AU692" s="71"/>
      <c r="AV692" s="71"/>
      <c r="AW692" s="71"/>
      <c r="AX692" s="71"/>
      <c r="AY692" s="71"/>
      <c r="AZ692" s="71"/>
      <c r="BA692" s="71"/>
      <c r="BB692" s="71"/>
      <c r="BC692" s="71"/>
      <c r="BD692" s="71"/>
      <c r="BE692" s="71"/>
      <c r="BF692" s="71"/>
      <c r="BG692" s="71"/>
      <c r="BH692" s="71"/>
      <c r="BI692" s="71"/>
      <c r="BJ692" s="71"/>
      <c r="BK692" s="71"/>
      <c r="BL692" s="71"/>
      <c r="BM692" s="71"/>
      <c r="BN692" s="71"/>
      <c r="BO692" s="71"/>
      <c r="BP692" s="71"/>
      <c r="BQ692" s="71"/>
      <c r="BR692" s="71"/>
      <c r="BS692" s="71"/>
      <c r="BT692" s="71"/>
      <c r="BU692" s="71"/>
      <c r="BV692" s="71"/>
      <c r="BW692" s="71"/>
      <c r="BX692" s="71"/>
      <c r="BY692" s="71"/>
      <c r="BZ692" s="71"/>
      <c r="CA692" s="71"/>
      <c r="CB692" s="71"/>
      <c r="CC692" s="71"/>
      <c r="CD692" s="71"/>
      <c r="CE692" s="71"/>
      <c r="CF692" s="71"/>
      <c r="CG692" s="71"/>
      <c r="CH692" s="71"/>
      <c r="CI692" s="71"/>
      <c r="CJ692" s="71"/>
      <c r="CK692" s="71"/>
      <c r="CL692" s="71"/>
      <c r="CM692" s="71"/>
      <c r="CN692" s="71"/>
      <c r="CO692" s="71"/>
      <c r="CP692" s="71"/>
      <c r="CQ692" s="71"/>
      <c r="CR692" s="71"/>
      <c r="CS692" s="71"/>
      <c r="CT692" s="71"/>
      <c r="CU692" s="71"/>
      <c r="CV692" s="71"/>
      <c r="CW692" s="71"/>
      <c r="CX692" s="71"/>
      <c r="CY692" s="71"/>
      <c r="CZ692" s="71"/>
      <c r="DA692" s="71"/>
      <c r="DB692" s="71"/>
      <c r="DC692" s="71"/>
      <c r="DD692" s="71"/>
      <c r="DE692" s="71"/>
      <c r="DF692" s="71"/>
      <c r="DG692" s="71"/>
      <c r="DH692" s="71"/>
      <c r="DI692" s="71"/>
      <c r="DJ692" s="71"/>
      <c r="DK692" s="71"/>
      <c r="DL692" s="71"/>
      <c r="DM692" s="71"/>
      <c r="DN692" s="71"/>
      <c r="DO692" s="71"/>
      <c r="DP692" s="71"/>
      <c r="DQ692" s="71"/>
      <c r="DR692" s="71"/>
      <c r="DS692" s="71"/>
      <c r="DT692" s="71"/>
      <c r="DU692" s="71"/>
      <c r="DV692" s="71"/>
      <c r="DW692" s="71"/>
      <c r="DX692" s="71"/>
      <c r="DY692" s="71"/>
      <c r="DZ692" s="71"/>
      <c r="EA692" s="71"/>
      <c r="EB692" s="71"/>
      <c r="EC692" s="71"/>
      <c r="ED692" s="71"/>
      <c r="EE692" s="71"/>
      <c r="EF692" s="71"/>
      <c r="EG692" s="71"/>
      <c r="EH692" s="71"/>
      <c r="EI692" s="71"/>
      <c r="EJ692" s="71"/>
      <c r="EK692" s="71"/>
      <c r="EL692" s="71"/>
      <c r="EM692" s="71"/>
      <c r="EN692" s="71"/>
      <c r="EO692" s="71"/>
      <c r="EP692" s="71"/>
      <c r="EQ692" s="71"/>
      <c r="ER692" s="71"/>
      <c r="ES692" s="71"/>
      <c r="ET692" s="71"/>
      <c r="EU692" s="71"/>
      <c r="EV692" s="71"/>
      <c r="EW692" s="71"/>
      <c r="EX692" s="71"/>
      <c r="EY692" s="71"/>
      <c r="EZ692" s="71"/>
      <c r="FA692" s="71"/>
      <c r="FB692" s="71"/>
      <c r="FC692" s="71"/>
      <c r="FD692" s="71"/>
      <c r="FE692" s="71"/>
      <c r="FF692" s="71"/>
      <c r="FG692" s="71"/>
      <c r="FH692" s="71"/>
      <c r="FI692" s="71"/>
      <c r="FJ692" s="71"/>
      <c r="FK692" s="71"/>
      <c r="FL692" s="71"/>
      <c r="FM692" s="71"/>
      <c r="FN692" s="71"/>
      <c r="FO692" s="71"/>
      <c r="FP692" s="71"/>
      <c r="FQ692" s="71"/>
      <c r="FR692" s="71"/>
      <c r="FS692" s="71"/>
      <c r="FT692" s="71"/>
      <c r="FU692" s="71"/>
      <c r="FV692" s="71"/>
      <c r="FW692" s="71"/>
      <c r="FX692" s="71"/>
      <c r="FY692" s="71"/>
      <c r="FZ692" s="71"/>
      <c r="GA692" s="71"/>
      <c r="GB692" s="71"/>
      <c r="GC692" s="71"/>
      <c r="GD692" s="71"/>
      <c r="GE692" s="71"/>
      <c r="GF692" s="71"/>
      <c r="GG692" s="71"/>
      <c r="GH692" s="71"/>
      <c r="GI692" s="71"/>
      <c r="GJ692" s="71"/>
      <c r="GK692" s="71"/>
      <c r="GL692" s="71"/>
      <c r="GM692" s="71"/>
      <c r="GN692" s="71"/>
      <c r="GO692" s="71"/>
      <c r="GP692" s="71"/>
      <c r="GQ692" s="71"/>
      <c r="GR692" s="71"/>
      <c r="GS692" s="71"/>
      <c r="GT692" s="71"/>
      <c r="GU692" s="71"/>
      <c r="GV692" s="71"/>
      <c r="GW692" s="71"/>
      <c r="GX692" s="71"/>
      <c r="GY692" s="71"/>
      <c r="GZ692" s="71"/>
      <c r="HA692" s="71"/>
      <c r="HB692" s="71"/>
      <c r="HC692" s="71"/>
      <c r="HD692" s="71"/>
      <c r="HE692" s="71"/>
      <c r="HF692" s="71"/>
      <c r="HG692" s="71"/>
      <c r="HH692" s="71"/>
      <c r="HI692" s="71"/>
      <c r="HJ692" s="71"/>
      <c r="HK692" s="71"/>
      <c r="HL692" s="71"/>
      <c r="HM692" s="71"/>
      <c r="HN692" s="71"/>
      <c r="HO692" s="71"/>
      <c r="HP692" s="71"/>
      <c r="HQ692" s="71"/>
      <c r="HR692" s="71"/>
      <c r="HS692" s="71"/>
      <c r="HT692" s="71"/>
    </row>
    <row r="693" spans="1:228" s="88" customFormat="1" ht="19.5">
      <c r="A693" s="106" t="s">
        <v>91</v>
      </c>
      <c r="B693" s="105" t="s">
        <v>262</v>
      </c>
      <c r="C693" s="74">
        <v>54000000</v>
      </c>
      <c r="D693" s="50"/>
      <c r="E693" s="114"/>
      <c r="F693" s="114"/>
      <c r="G693" s="114"/>
      <c r="H693" s="114"/>
      <c r="I693" s="71"/>
      <c r="J693" s="71"/>
      <c r="K693" s="71"/>
      <c r="L693" s="71"/>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c r="AT693" s="71"/>
      <c r="AU693" s="71"/>
      <c r="AV693" s="71"/>
      <c r="AW693" s="71"/>
      <c r="AX693" s="71"/>
      <c r="AY693" s="71"/>
      <c r="AZ693" s="71"/>
      <c r="BA693" s="71"/>
      <c r="BB693" s="71"/>
      <c r="BC693" s="71"/>
      <c r="BD693" s="71"/>
      <c r="BE693" s="71"/>
      <c r="BF693" s="71"/>
      <c r="BG693" s="71"/>
      <c r="BH693" s="71"/>
      <c r="BI693" s="71"/>
      <c r="BJ693" s="71"/>
      <c r="BK693" s="71"/>
      <c r="BL693" s="71"/>
      <c r="BM693" s="71"/>
      <c r="BN693" s="71"/>
      <c r="BO693" s="71"/>
      <c r="BP693" s="71"/>
      <c r="BQ693" s="71"/>
      <c r="BR693" s="71"/>
      <c r="BS693" s="71"/>
      <c r="BT693" s="71"/>
      <c r="BU693" s="71"/>
      <c r="BV693" s="71"/>
      <c r="BW693" s="71"/>
      <c r="BX693" s="71"/>
      <c r="BY693" s="71"/>
      <c r="BZ693" s="71"/>
      <c r="CA693" s="71"/>
      <c r="CB693" s="71"/>
      <c r="CC693" s="71"/>
      <c r="CD693" s="71"/>
      <c r="CE693" s="71"/>
      <c r="CF693" s="71"/>
      <c r="CG693" s="71"/>
      <c r="CH693" s="71"/>
      <c r="CI693" s="71"/>
      <c r="CJ693" s="71"/>
      <c r="CK693" s="71"/>
      <c r="CL693" s="71"/>
      <c r="CM693" s="71"/>
      <c r="CN693" s="71"/>
      <c r="CO693" s="71"/>
      <c r="CP693" s="71"/>
      <c r="CQ693" s="71"/>
      <c r="CR693" s="71"/>
      <c r="CS693" s="71"/>
      <c r="CT693" s="71"/>
      <c r="CU693" s="71"/>
      <c r="CV693" s="71"/>
      <c r="CW693" s="71"/>
      <c r="CX693" s="71"/>
      <c r="CY693" s="71"/>
      <c r="CZ693" s="71"/>
      <c r="DA693" s="71"/>
      <c r="DB693" s="71"/>
      <c r="DC693" s="71"/>
      <c r="DD693" s="71"/>
      <c r="DE693" s="71"/>
      <c r="DF693" s="71"/>
      <c r="DG693" s="71"/>
      <c r="DH693" s="71"/>
      <c r="DI693" s="71"/>
      <c r="DJ693" s="71"/>
      <c r="DK693" s="71"/>
      <c r="DL693" s="71"/>
      <c r="DM693" s="71"/>
      <c r="DN693" s="71"/>
      <c r="DO693" s="71"/>
      <c r="DP693" s="71"/>
      <c r="DQ693" s="71"/>
      <c r="DR693" s="71"/>
      <c r="DS693" s="71"/>
      <c r="DT693" s="71"/>
      <c r="DU693" s="71"/>
      <c r="DV693" s="71"/>
      <c r="DW693" s="71"/>
      <c r="DX693" s="71"/>
      <c r="DY693" s="71"/>
      <c r="DZ693" s="71"/>
      <c r="EA693" s="71"/>
      <c r="EB693" s="71"/>
      <c r="EC693" s="71"/>
      <c r="ED693" s="71"/>
      <c r="EE693" s="71"/>
      <c r="EF693" s="71"/>
      <c r="EG693" s="71"/>
      <c r="EH693" s="71"/>
      <c r="EI693" s="71"/>
      <c r="EJ693" s="71"/>
      <c r="EK693" s="71"/>
      <c r="EL693" s="71"/>
      <c r="EM693" s="71"/>
      <c r="EN693" s="71"/>
      <c r="EO693" s="71"/>
      <c r="EP693" s="71"/>
      <c r="EQ693" s="71"/>
      <c r="ER693" s="71"/>
      <c r="ES693" s="71"/>
      <c r="ET693" s="71"/>
      <c r="EU693" s="71"/>
      <c r="EV693" s="71"/>
      <c r="EW693" s="71"/>
      <c r="EX693" s="71"/>
      <c r="EY693" s="71"/>
      <c r="EZ693" s="71"/>
      <c r="FA693" s="71"/>
      <c r="FB693" s="71"/>
      <c r="FC693" s="71"/>
      <c r="FD693" s="71"/>
      <c r="FE693" s="71"/>
      <c r="FF693" s="71"/>
      <c r="FG693" s="71"/>
      <c r="FH693" s="71"/>
      <c r="FI693" s="71"/>
      <c r="FJ693" s="71"/>
      <c r="FK693" s="71"/>
      <c r="FL693" s="71"/>
      <c r="FM693" s="71"/>
      <c r="FN693" s="71"/>
      <c r="FO693" s="71"/>
      <c r="FP693" s="71"/>
      <c r="FQ693" s="71"/>
      <c r="FR693" s="71"/>
      <c r="FS693" s="71"/>
      <c r="FT693" s="71"/>
      <c r="FU693" s="71"/>
      <c r="FV693" s="71"/>
      <c r="FW693" s="71"/>
      <c r="FX693" s="71"/>
      <c r="FY693" s="71"/>
      <c r="FZ693" s="71"/>
      <c r="GA693" s="71"/>
      <c r="GB693" s="71"/>
      <c r="GC693" s="71"/>
      <c r="GD693" s="71"/>
      <c r="GE693" s="71"/>
      <c r="GF693" s="71"/>
      <c r="GG693" s="71"/>
      <c r="GH693" s="71"/>
      <c r="GI693" s="71"/>
      <c r="GJ693" s="71"/>
      <c r="GK693" s="71"/>
      <c r="GL693" s="71"/>
      <c r="GM693" s="71"/>
      <c r="GN693" s="71"/>
      <c r="GO693" s="71"/>
      <c r="GP693" s="71"/>
      <c r="GQ693" s="71"/>
      <c r="GR693" s="71"/>
      <c r="GS693" s="71"/>
      <c r="GT693" s="71"/>
      <c r="GU693" s="71"/>
      <c r="GV693" s="71"/>
      <c r="GW693" s="71"/>
      <c r="GX693" s="71"/>
      <c r="GY693" s="71"/>
      <c r="GZ693" s="71"/>
      <c r="HA693" s="71"/>
      <c r="HB693" s="71"/>
      <c r="HC693" s="71"/>
      <c r="HD693" s="71"/>
      <c r="HE693" s="71"/>
      <c r="HF693" s="71"/>
      <c r="HG693" s="71"/>
      <c r="HH693" s="71"/>
      <c r="HI693" s="71"/>
      <c r="HJ693" s="71"/>
      <c r="HK693" s="71"/>
      <c r="HL693" s="71"/>
      <c r="HM693" s="71"/>
      <c r="HN693" s="71"/>
      <c r="HO693" s="71"/>
      <c r="HP693" s="71"/>
      <c r="HQ693" s="71"/>
      <c r="HR693" s="71"/>
      <c r="HS693" s="71"/>
      <c r="HT693" s="71"/>
    </row>
    <row r="694" spans="1:228" s="88" customFormat="1" ht="19.5">
      <c r="A694" s="72"/>
      <c r="B694" s="110" t="s">
        <v>263</v>
      </c>
      <c r="C694" s="91">
        <v>54000000</v>
      </c>
      <c r="D694" s="79"/>
      <c r="E694" s="127"/>
      <c r="F694" s="127"/>
      <c r="G694" s="113"/>
      <c r="H694" s="113"/>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c r="AT694" s="71"/>
      <c r="AU694" s="71"/>
      <c r="AV694" s="71"/>
      <c r="AW694" s="71"/>
      <c r="AX694" s="71"/>
      <c r="AY694" s="71"/>
      <c r="AZ694" s="71"/>
      <c r="BA694" s="71"/>
      <c r="BB694" s="71"/>
      <c r="BC694" s="71"/>
      <c r="BD694" s="71"/>
      <c r="BE694" s="71"/>
      <c r="BF694" s="71"/>
      <c r="BG694" s="71"/>
      <c r="BH694" s="71"/>
      <c r="BI694" s="71"/>
      <c r="BJ694" s="71"/>
      <c r="BK694" s="71"/>
      <c r="BL694" s="71"/>
      <c r="BM694" s="71"/>
      <c r="BN694" s="71"/>
      <c r="BO694" s="71"/>
      <c r="BP694" s="71"/>
      <c r="BQ694" s="71"/>
      <c r="BR694" s="71"/>
      <c r="BS694" s="71"/>
      <c r="BT694" s="71"/>
      <c r="BU694" s="71"/>
      <c r="BV694" s="71"/>
      <c r="BW694" s="71"/>
      <c r="BX694" s="71"/>
      <c r="BY694" s="71"/>
      <c r="BZ694" s="71"/>
      <c r="CA694" s="71"/>
      <c r="CB694" s="71"/>
      <c r="CC694" s="71"/>
      <c r="CD694" s="71"/>
      <c r="CE694" s="71"/>
      <c r="CF694" s="71"/>
      <c r="CG694" s="71"/>
      <c r="CH694" s="71"/>
      <c r="CI694" s="71"/>
      <c r="CJ694" s="71"/>
      <c r="CK694" s="71"/>
      <c r="CL694" s="71"/>
      <c r="CM694" s="71"/>
      <c r="CN694" s="71"/>
      <c r="CO694" s="71"/>
      <c r="CP694" s="71"/>
      <c r="CQ694" s="71"/>
      <c r="CR694" s="71"/>
      <c r="CS694" s="71"/>
      <c r="CT694" s="71"/>
      <c r="CU694" s="71"/>
      <c r="CV694" s="71"/>
      <c r="CW694" s="71"/>
      <c r="CX694" s="71"/>
      <c r="CY694" s="71"/>
      <c r="CZ694" s="71"/>
      <c r="DA694" s="71"/>
      <c r="DB694" s="71"/>
      <c r="DC694" s="71"/>
      <c r="DD694" s="71"/>
      <c r="DE694" s="71"/>
      <c r="DF694" s="71"/>
      <c r="DG694" s="71"/>
      <c r="DH694" s="71"/>
      <c r="DI694" s="71"/>
      <c r="DJ694" s="71"/>
      <c r="DK694" s="71"/>
      <c r="DL694" s="71"/>
      <c r="DM694" s="71"/>
      <c r="DN694" s="71"/>
      <c r="DO694" s="71"/>
      <c r="DP694" s="71"/>
      <c r="DQ694" s="71"/>
      <c r="DR694" s="71"/>
      <c r="DS694" s="71"/>
      <c r="DT694" s="71"/>
      <c r="DU694" s="71"/>
      <c r="DV694" s="71"/>
      <c r="DW694" s="71"/>
      <c r="DX694" s="71"/>
      <c r="DY694" s="71"/>
      <c r="DZ694" s="71"/>
      <c r="EA694" s="71"/>
      <c r="EB694" s="71"/>
      <c r="EC694" s="71"/>
      <c r="ED694" s="71"/>
      <c r="EE694" s="71"/>
      <c r="EF694" s="71"/>
      <c r="EG694" s="71"/>
      <c r="EH694" s="71"/>
      <c r="EI694" s="71"/>
      <c r="EJ694" s="71"/>
      <c r="EK694" s="71"/>
      <c r="EL694" s="71"/>
      <c r="EM694" s="71"/>
      <c r="EN694" s="71"/>
      <c r="EO694" s="71"/>
      <c r="EP694" s="71"/>
      <c r="EQ694" s="71"/>
      <c r="ER694" s="71"/>
      <c r="ES694" s="71"/>
      <c r="ET694" s="71"/>
      <c r="EU694" s="71"/>
      <c r="EV694" s="71"/>
      <c r="EW694" s="71"/>
      <c r="EX694" s="71"/>
      <c r="EY694" s="71"/>
      <c r="EZ694" s="71"/>
      <c r="FA694" s="71"/>
      <c r="FB694" s="71"/>
      <c r="FC694" s="71"/>
      <c r="FD694" s="71"/>
      <c r="FE694" s="71"/>
      <c r="FF694" s="71"/>
      <c r="FG694" s="71"/>
      <c r="FH694" s="71"/>
      <c r="FI694" s="71"/>
      <c r="FJ694" s="71"/>
      <c r="FK694" s="71"/>
      <c r="FL694" s="71"/>
      <c r="FM694" s="71"/>
      <c r="FN694" s="71"/>
      <c r="FO694" s="71"/>
      <c r="FP694" s="71"/>
      <c r="FQ694" s="71"/>
      <c r="FR694" s="71"/>
      <c r="FS694" s="71"/>
      <c r="FT694" s="71"/>
      <c r="FU694" s="71"/>
      <c r="FV694" s="71"/>
      <c r="FW694" s="71"/>
      <c r="FX694" s="71"/>
      <c r="FY694" s="71"/>
      <c r="FZ694" s="71"/>
      <c r="GA694" s="71"/>
      <c r="GB694" s="71"/>
      <c r="GC694" s="71"/>
      <c r="GD694" s="71"/>
      <c r="GE694" s="71"/>
      <c r="GF694" s="71"/>
      <c r="GG694" s="71"/>
      <c r="GH694" s="71"/>
      <c r="GI694" s="71"/>
      <c r="GJ694" s="71"/>
      <c r="GK694" s="71"/>
      <c r="GL694" s="71"/>
      <c r="GM694" s="71"/>
      <c r="GN694" s="71"/>
      <c r="GO694" s="71"/>
      <c r="GP694" s="71"/>
      <c r="GQ694" s="71"/>
      <c r="GR694" s="71"/>
      <c r="GS694" s="71"/>
      <c r="GT694" s="71"/>
      <c r="GU694" s="71"/>
      <c r="GV694" s="71"/>
      <c r="GW694" s="71"/>
      <c r="GX694" s="71"/>
      <c r="GY694" s="71"/>
      <c r="GZ694" s="71"/>
      <c r="HA694" s="71"/>
      <c r="HB694" s="71"/>
      <c r="HC694" s="71"/>
      <c r="HD694" s="71"/>
      <c r="HE694" s="71"/>
      <c r="HF694" s="71"/>
      <c r="HG694" s="71"/>
      <c r="HH694" s="71"/>
      <c r="HI694" s="71"/>
      <c r="HJ694" s="71"/>
      <c r="HK694" s="71"/>
      <c r="HL694" s="71"/>
      <c r="HM694" s="71"/>
      <c r="HN694" s="71"/>
      <c r="HO694" s="71"/>
      <c r="HP694" s="71"/>
      <c r="HQ694" s="71"/>
      <c r="HR694" s="71"/>
      <c r="HS694" s="71"/>
      <c r="HT694" s="71"/>
    </row>
    <row r="695" spans="1:228" s="88" customFormat="1" ht="19.5">
      <c r="A695" s="32">
        <v>4</v>
      </c>
      <c r="B695" s="41" t="s">
        <v>606</v>
      </c>
      <c r="C695" s="42">
        <v>4482000000</v>
      </c>
      <c r="D695" s="56"/>
      <c r="E695" s="119"/>
      <c r="F695" s="119"/>
      <c r="G695" s="119"/>
      <c r="H695" s="119"/>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c r="AT695" s="71"/>
      <c r="AU695" s="71"/>
      <c r="AV695" s="71"/>
      <c r="AW695" s="71"/>
      <c r="AX695" s="71"/>
      <c r="AY695" s="71"/>
      <c r="AZ695" s="71"/>
      <c r="BA695" s="71"/>
      <c r="BB695" s="71"/>
      <c r="BC695" s="71"/>
      <c r="BD695" s="71"/>
      <c r="BE695" s="71"/>
      <c r="BF695" s="71"/>
      <c r="BG695" s="71"/>
      <c r="BH695" s="71"/>
      <c r="BI695" s="71"/>
      <c r="BJ695" s="71"/>
      <c r="BK695" s="71"/>
      <c r="BL695" s="71"/>
      <c r="BM695" s="71"/>
      <c r="BN695" s="71"/>
      <c r="BO695" s="71"/>
      <c r="BP695" s="71"/>
      <c r="BQ695" s="71"/>
      <c r="BR695" s="71"/>
      <c r="BS695" s="71"/>
      <c r="BT695" s="71"/>
      <c r="BU695" s="71"/>
      <c r="BV695" s="71"/>
      <c r="BW695" s="71"/>
      <c r="BX695" s="71"/>
      <c r="BY695" s="71"/>
      <c r="BZ695" s="71"/>
      <c r="CA695" s="71"/>
      <c r="CB695" s="71"/>
      <c r="CC695" s="71"/>
      <c r="CD695" s="71"/>
      <c r="CE695" s="71"/>
      <c r="CF695" s="71"/>
      <c r="CG695" s="71"/>
      <c r="CH695" s="71"/>
      <c r="CI695" s="71"/>
      <c r="CJ695" s="71"/>
      <c r="CK695" s="71"/>
      <c r="CL695" s="71"/>
      <c r="CM695" s="71"/>
      <c r="CN695" s="71"/>
      <c r="CO695" s="71"/>
      <c r="CP695" s="71"/>
      <c r="CQ695" s="71"/>
      <c r="CR695" s="71"/>
      <c r="CS695" s="71"/>
      <c r="CT695" s="71"/>
      <c r="CU695" s="71"/>
      <c r="CV695" s="71"/>
      <c r="CW695" s="71"/>
      <c r="CX695" s="71"/>
      <c r="CY695" s="71"/>
      <c r="CZ695" s="71"/>
      <c r="DA695" s="71"/>
      <c r="DB695" s="71"/>
      <c r="DC695" s="71"/>
      <c r="DD695" s="71"/>
      <c r="DE695" s="71"/>
      <c r="DF695" s="71"/>
      <c r="DG695" s="71"/>
      <c r="DH695" s="71"/>
      <c r="DI695" s="71"/>
      <c r="DJ695" s="71"/>
      <c r="DK695" s="71"/>
      <c r="DL695" s="71"/>
      <c r="DM695" s="71"/>
      <c r="DN695" s="71"/>
      <c r="DO695" s="71"/>
      <c r="DP695" s="71"/>
      <c r="DQ695" s="71"/>
      <c r="DR695" s="71"/>
      <c r="DS695" s="71"/>
      <c r="DT695" s="71"/>
      <c r="DU695" s="71"/>
      <c r="DV695" s="71"/>
      <c r="DW695" s="71"/>
      <c r="DX695" s="71"/>
      <c r="DY695" s="71"/>
      <c r="DZ695" s="71"/>
      <c r="EA695" s="71"/>
      <c r="EB695" s="71"/>
      <c r="EC695" s="71"/>
      <c r="ED695" s="71"/>
      <c r="EE695" s="71"/>
      <c r="EF695" s="71"/>
      <c r="EG695" s="71"/>
      <c r="EH695" s="71"/>
      <c r="EI695" s="71"/>
      <c r="EJ695" s="71"/>
      <c r="EK695" s="71"/>
      <c r="EL695" s="71"/>
      <c r="EM695" s="71"/>
      <c r="EN695" s="71"/>
      <c r="EO695" s="71"/>
      <c r="EP695" s="71"/>
      <c r="EQ695" s="71"/>
      <c r="ER695" s="71"/>
      <c r="ES695" s="71"/>
      <c r="ET695" s="71"/>
      <c r="EU695" s="71"/>
      <c r="EV695" s="71"/>
      <c r="EW695" s="71"/>
      <c r="EX695" s="71"/>
      <c r="EY695" s="71"/>
      <c r="EZ695" s="71"/>
      <c r="FA695" s="71"/>
      <c r="FB695" s="71"/>
      <c r="FC695" s="71"/>
      <c r="FD695" s="71"/>
      <c r="FE695" s="71"/>
      <c r="FF695" s="71"/>
      <c r="FG695" s="71"/>
      <c r="FH695" s="71"/>
      <c r="FI695" s="71"/>
      <c r="FJ695" s="71"/>
      <c r="FK695" s="71"/>
      <c r="FL695" s="71"/>
      <c r="FM695" s="71"/>
      <c r="FN695" s="71"/>
      <c r="FO695" s="71"/>
      <c r="FP695" s="71"/>
      <c r="FQ695" s="71"/>
      <c r="FR695" s="71"/>
      <c r="FS695" s="71"/>
      <c r="FT695" s="71"/>
      <c r="FU695" s="71"/>
      <c r="FV695" s="71"/>
      <c r="FW695" s="71"/>
      <c r="FX695" s="71"/>
      <c r="FY695" s="71"/>
      <c r="FZ695" s="71"/>
      <c r="GA695" s="71"/>
      <c r="GB695" s="71"/>
      <c r="GC695" s="71"/>
      <c r="GD695" s="71"/>
      <c r="GE695" s="71"/>
      <c r="GF695" s="71"/>
      <c r="GG695" s="71"/>
      <c r="GH695" s="71"/>
      <c r="GI695" s="71"/>
      <c r="GJ695" s="71"/>
      <c r="GK695" s="71"/>
      <c r="GL695" s="71"/>
      <c r="GM695" s="71"/>
      <c r="GN695" s="71"/>
      <c r="GO695" s="71"/>
      <c r="GP695" s="71"/>
      <c r="GQ695" s="71"/>
      <c r="GR695" s="71"/>
      <c r="GS695" s="71"/>
      <c r="GT695" s="71"/>
      <c r="GU695" s="71"/>
      <c r="GV695" s="71"/>
      <c r="GW695" s="71"/>
      <c r="GX695" s="71"/>
      <c r="GY695" s="71"/>
      <c r="GZ695" s="71"/>
      <c r="HA695" s="71"/>
      <c r="HB695" s="71"/>
      <c r="HC695" s="71"/>
      <c r="HD695" s="71"/>
      <c r="HE695" s="71"/>
      <c r="HF695" s="71"/>
      <c r="HG695" s="71"/>
      <c r="HH695" s="71"/>
      <c r="HI695" s="71"/>
      <c r="HJ695" s="71"/>
      <c r="HK695" s="71"/>
      <c r="HL695" s="71"/>
      <c r="HM695" s="71"/>
      <c r="HN695" s="71"/>
      <c r="HO695" s="71"/>
      <c r="HP695" s="71"/>
      <c r="HQ695" s="71"/>
      <c r="HR695" s="71"/>
      <c r="HS695" s="71"/>
      <c r="HT695" s="71"/>
    </row>
    <row r="696" spans="1:228" s="88" customFormat="1" ht="19.5">
      <c r="A696" s="41" t="s">
        <v>607</v>
      </c>
      <c r="B696" s="41" t="s">
        <v>608</v>
      </c>
      <c r="C696" s="42">
        <v>4482000000</v>
      </c>
      <c r="D696" s="56"/>
      <c r="E696" s="119"/>
      <c r="F696" s="119"/>
      <c r="G696" s="119"/>
      <c r="H696" s="119"/>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c r="AT696" s="71"/>
      <c r="AU696" s="71"/>
      <c r="AV696" s="71"/>
      <c r="AW696" s="71"/>
      <c r="AX696" s="71"/>
      <c r="AY696" s="71"/>
      <c r="AZ696" s="71"/>
      <c r="BA696" s="71"/>
      <c r="BB696" s="71"/>
      <c r="BC696" s="71"/>
      <c r="BD696" s="71"/>
      <c r="BE696" s="71"/>
      <c r="BF696" s="71"/>
      <c r="BG696" s="71"/>
      <c r="BH696" s="71"/>
      <c r="BI696" s="71"/>
      <c r="BJ696" s="71"/>
      <c r="BK696" s="71"/>
      <c r="BL696" s="71"/>
      <c r="BM696" s="71"/>
      <c r="BN696" s="71"/>
      <c r="BO696" s="71"/>
      <c r="BP696" s="71"/>
      <c r="BQ696" s="71"/>
      <c r="BR696" s="71"/>
      <c r="BS696" s="71"/>
      <c r="BT696" s="71"/>
      <c r="BU696" s="71"/>
      <c r="BV696" s="71"/>
      <c r="BW696" s="71"/>
      <c r="BX696" s="71"/>
      <c r="BY696" s="71"/>
      <c r="BZ696" s="71"/>
      <c r="CA696" s="71"/>
      <c r="CB696" s="71"/>
      <c r="CC696" s="71"/>
      <c r="CD696" s="71"/>
      <c r="CE696" s="71"/>
      <c r="CF696" s="71"/>
      <c r="CG696" s="71"/>
      <c r="CH696" s="71"/>
      <c r="CI696" s="71"/>
      <c r="CJ696" s="71"/>
      <c r="CK696" s="71"/>
      <c r="CL696" s="71"/>
      <c r="CM696" s="71"/>
      <c r="CN696" s="71"/>
      <c r="CO696" s="71"/>
      <c r="CP696" s="71"/>
      <c r="CQ696" s="71"/>
      <c r="CR696" s="71"/>
      <c r="CS696" s="71"/>
      <c r="CT696" s="71"/>
      <c r="CU696" s="71"/>
      <c r="CV696" s="71"/>
      <c r="CW696" s="71"/>
      <c r="CX696" s="71"/>
      <c r="CY696" s="71"/>
      <c r="CZ696" s="71"/>
      <c r="DA696" s="71"/>
      <c r="DB696" s="71"/>
      <c r="DC696" s="71"/>
      <c r="DD696" s="71"/>
      <c r="DE696" s="71"/>
      <c r="DF696" s="71"/>
      <c r="DG696" s="71"/>
      <c r="DH696" s="71"/>
      <c r="DI696" s="71"/>
      <c r="DJ696" s="71"/>
      <c r="DK696" s="71"/>
      <c r="DL696" s="71"/>
      <c r="DM696" s="71"/>
      <c r="DN696" s="71"/>
      <c r="DO696" s="71"/>
      <c r="DP696" s="71"/>
      <c r="DQ696" s="71"/>
      <c r="DR696" s="71"/>
      <c r="DS696" s="71"/>
      <c r="DT696" s="71"/>
      <c r="DU696" s="71"/>
      <c r="DV696" s="71"/>
      <c r="DW696" s="71"/>
      <c r="DX696" s="71"/>
      <c r="DY696" s="71"/>
      <c r="DZ696" s="71"/>
      <c r="EA696" s="71"/>
      <c r="EB696" s="71"/>
      <c r="EC696" s="71"/>
      <c r="ED696" s="71"/>
      <c r="EE696" s="71"/>
      <c r="EF696" s="71"/>
      <c r="EG696" s="71"/>
      <c r="EH696" s="71"/>
      <c r="EI696" s="71"/>
      <c r="EJ696" s="71"/>
      <c r="EK696" s="71"/>
      <c r="EL696" s="71"/>
      <c r="EM696" s="71"/>
      <c r="EN696" s="71"/>
      <c r="EO696" s="71"/>
      <c r="EP696" s="71"/>
      <c r="EQ696" s="71"/>
      <c r="ER696" s="71"/>
      <c r="ES696" s="71"/>
      <c r="ET696" s="71"/>
      <c r="EU696" s="71"/>
      <c r="EV696" s="71"/>
      <c r="EW696" s="71"/>
      <c r="EX696" s="71"/>
      <c r="EY696" s="71"/>
      <c r="EZ696" s="71"/>
      <c r="FA696" s="71"/>
      <c r="FB696" s="71"/>
      <c r="FC696" s="71"/>
      <c r="FD696" s="71"/>
      <c r="FE696" s="71"/>
      <c r="FF696" s="71"/>
      <c r="FG696" s="71"/>
      <c r="FH696" s="71"/>
      <c r="FI696" s="71"/>
      <c r="FJ696" s="71"/>
      <c r="FK696" s="71"/>
      <c r="FL696" s="71"/>
      <c r="FM696" s="71"/>
      <c r="FN696" s="71"/>
      <c r="FO696" s="71"/>
      <c r="FP696" s="71"/>
      <c r="FQ696" s="71"/>
      <c r="FR696" s="71"/>
      <c r="FS696" s="71"/>
      <c r="FT696" s="71"/>
      <c r="FU696" s="71"/>
      <c r="FV696" s="71"/>
      <c r="FW696" s="71"/>
      <c r="FX696" s="71"/>
      <c r="FY696" s="71"/>
      <c r="FZ696" s="71"/>
      <c r="GA696" s="71"/>
      <c r="GB696" s="71"/>
      <c r="GC696" s="71"/>
      <c r="GD696" s="71"/>
      <c r="GE696" s="71"/>
      <c r="GF696" s="71"/>
      <c r="GG696" s="71"/>
      <c r="GH696" s="71"/>
      <c r="GI696" s="71"/>
      <c r="GJ696" s="71"/>
      <c r="GK696" s="71"/>
      <c r="GL696" s="71"/>
      <c r="GM696" s="71"/>
      <c r="GN696" s="71"/>
      <c r="GO696" s="71"/>
      <c r="GP696" s="71"/>
      <c r="GQ696" s="71"/>
      <c r="GR696" s="71"/>
      <c r="GS696" s="71"/>
      <c r="GT696" s="71"/>
      <c r="GU696" s="71"/>
      <c r="GV696" s="71"/>
      <c r="GW696" s="71"/>
      <c r="GX696" s="71"/>
      <c r="GY696" s="71"/>
      <c r="GZ696" s="71"/>
      <c r="HA696" s="71"/>
      <c r="HB696" s="71"/>
      <c r="HC696" s="71"/>
      <c r="HD696" s="71"/>
      <c r="HE696" s="71"/>
      <c r="HF696" s="71"/>
      <c r="HG696" s="71"/>
      <c r="HH696" s="71"/>
      <c r="HI696" s="71"/>
      <c r="HJ696" s="71"/>
      <c r="HK696" s="71"/>
      <c r="HL696" s="71"/>
      <c r="HM696" s="71"/>
      <c r="HN696" s="71"/>
      <c r="HO696" s="71"/>
      <c r="HP696" s="71"/>
      <c r="HQ696" s="71"/>
      <c r="HR696" s="71"/>
      <c r="HS696" s="71"/>
      <c r="HT696" s="71"/>
    </row>
    <row r="697" spans="1:228" s="88" customFormat="1" ht="19.5">
      <c r="A697" s="31"/>
      <c r="B697" s="110" t="s">
        <v>263</v>
      </c>
      <c r="C697" s="91">
        <v>448200000</v>
      </c>
      <c r="D697" s="79"/>
      <c r="E697" s="127"/>
      <c r="F697" s="127"/>
      <c r="G697" s="117"/>
      <c r="H697" s="117"/>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c r="AT697" s="71"/>
      <c r="AU697" s="71"/>
      <c r="AV697" s="71"/>
      <c r="AW697" s="71"/>
      <c r="AX697" s="71"/>
      <c r="AY697" s="71"/>
      <c r="AZ697" s="71"/>
      <c r="BA697" s="71"/>
      <c r="BB697" s="71"/>
      <c r="BC697" s="71"/>
      <c r="BD697" s="71"/>
      <c r="BE697" s="71"/>
      <c r="BF697" s="71"/>
      <c r="BG697" s="71"/>
      <c r="BH697" s="71"/>
      <c r="BI697" s="71"/>
      <c r="BJ697" s="71"/>
      <c r="BK697" s="71"/>
      <c r="BL697" s="71"/>
      <c r="BM697" s="71"/>
      <c r="BN697" s="71"/>
      <c r="BO697" s="71"/>
      <c r="BP697" s="71"/>
      <c r="BQ697" s="71"/>
      <c r="BR697" s="71"/>
      <c r="BS697" s="71"/>
      <c r="BT697" s="71"/>
      <c r="BU697" s="71"/>
      <c r="BV697" s="71"/>
      <c r="BW697" s="71"/>
      <c r="BX697" s="71"/>
      <c r="BY697" s="71"/>
      <c r="BZ697" s="71"/>
      <c r="CA697" s="71"/>
      <c r="CB697" s="71"/>
      <c r="CC697" s="71"/>
      <c r="CD697" s="71"/>
      <c r="CE697" s="71"/>
      <c r="CF697" s="71"/>
      <c r="CG697" s="71"/>
      <c r="CH697" s="71"/>
      <c r="CI697" s="71"/>
      <c r="CJ697" s="71"/>
      <c r="CK697" s="71"/>
      <c r="CL697" s="71"/>
      <c r="CM697" s="71"/>
      <c r="CN697" s="71"/>
      <c r="CO697" s="71"/>
      <c r="CP697" s="71"/>
      <c r="CQ697" s="71"/>
      <c r="CR697" s="71"/>
      <c r="CS697" s="71"/>
      <c r="CT697" s="71"/>
      <c r="CU697" s="71"/>
      <c r="CV697" s="71"/>
      <c r="CW697" s="71"/>
      <c r="CX697" s="71"/>
      <c r="CY697" s="71"/>
      <c r="CZ697" s="71"/>
      <c r="DA697" s="71"/>
      <c r="DB697" s="71"/>
      <c r="DC697" s="71"/>
      <c r="DD697" s="71"/>
      <c r="DE697" s="71"/>
      <c r="DF697" s="71"/>
      <c r="DG697" s="71"/>
      <c r="DH697" s="71"/>
      <c r="DI697" s="71"/>
      <c r="DJ697" s="71"/>
      <c r="DK697" s="71"/>
      <c r="DL697" s="71"/>
      <c r="DM697" s="71"/>
      <c r="DN697" s="71"/>
      <c r="DO697" s="71"/>
      <c r="DP697" s="71"/>
      <c r="DQ697" s="71"/>
      <c r="DR697" s="71"/>
      <c r="DS697" s="71"/>
      <c r="DT697" s="71"/>
      <c r="DU697" s="71"/>
      <c r="DV697" s="71"/>
      <c r="DW697" s="71"/>
      <c r="DX697" s="71"/>
      <c r="DY697" s="71"/>
      <c r="DZ697" s="71"/>
      <c r="EA697" s="71"/>
      <c r="EB697" s="71"/>
      <c r="EC697" s="71"/>
      <c r="ED697" s="71"/>
      <c r="EE697" s="71"/>
      <c r="EF697" s="71"/>
      <c r="EG697" s="71"/>
      <c r="EH697" s="71"/>
      <c r="EI697" s="71"/>
      <c r="EJ697" s="71"/>
      <c r="EK697" s="71"/>
      <c r="EL697" s="71"/>
      <c r="EM697" s="71"/>
      <c r="EN697" s="71"/>
      <c r="EO697" s="71"/>
      <c r="EP697" s="71"/>
      <c r="EQ697" s="71"/>
      <c r="ER697" s="71"/>
      <c r="ES697" s="71"/>
      <c r="ET697" s="71"/>
      <c r="EU697" s="71"/>
      <c r="EV697" s="71"/>
      <c r="EW697" s="71"/>
      <c r="EX697" s="71"/>
      <c r="EY697" s="71"/>
      <c r="EZ697" s="71"/>
      <c r="FA697" s="71"/>
      <c r="FB697" s="71"/>
      <c r="FC697" s="71"/>
      <c r="FD697" s="71"/>
      <c r="FE697" s="71"/>
      <c r="FF697" s="71"/>
      <c r="FG697" s="71"/>
      <c r="FH697" s="71"/>
      <c r="FI697" s="71"/>
      <c r="FJ697" s="71"/>
      <c r="FK697" s="71"/>
      <c r="FL697" s="71"/>
      <c r="FM697" s="71"/>
      <c r="FN697" s="71"/>
      <c r="FO697" s="71"/>
      <c r="FP697" s="71"/>
      <c r="FQ697" s="71"/>
      <c r="FR697" s="71"/>
      <c r="FS697" s="71"/>
      <c r="FT697" s="71"/>
      <c r="FU697" s="71"/>
      <c r="FV697" s="71"/>
      <c r="FW697" s="71"/>
      <c r="FX697" s="71"/>
      <c r="FY697" s="71"/>
      <c r="FZ697" s="71"/>
      <c r="GA697" s="71"/>
      <c r="GB697" s="71"/>
      <c r="GC697" s="71"/>
      <c r="GD697" s="71"/>
      <c r="GE697" s="71"/>
      <c r="GF697" s="71"/>
      <c r="GG697" s="71"/>
      <c r="GH697" s="71"/>
      <c r="GI697" s="71"/>
      <c r="GJ697" s="71"/>
      <c r="GK697" s="71"/>
      <c r="GL697" s="71"/>
      <c r="GM697" s="71"/>
      <c r="GN697" s="71"/>
      <c r="GO697" s="71"/>
      <c r="GP697" s="71"/>
      <c r="GQ697" s="71"/>
      <c r="GR697" s="71"/>
      <c r="GS697" s="71"/>
      <c r="GT697" s="71"/>
      <c r="GU697" s="71"/>
      <c r="GV697" s="71"/>
      <c r="GW697" s="71"/>
      <c r="GX697" s="71"/>
      <c r="GY697" s="71"/>
      <c r="GZ697" s="71"/>
      <c r="HA697" s="71"/>
      <c r="HB697" s="71"/>
      <c r="HC697" s="71"/>
      <c r="HD697" s="71"/>
      <c r="HE697" s="71"/>
      <c r="HF697" s="71"/>
      <c r="HG697" s="71"/>
      <c r="HH697" s="71"/>
      <c r="HI697" s="71"/>
      <c r="HJ697" s="71"/>
      <c r="HK697" s="71"/>
      <c r="HL697" s="71"/>
      <c r="HM697" s="71"/>
      <c r="HN697" s="71"/>
      <c r="HO697" s="71"/>
      <c r="HP697" s="71"/>
      <c r="HQ697" s="71"/>
      <c r="HR697" s="71"/>
      <c r="HS697" s="71"/>
      <c r="HT697" s="71"/>
    </row>
    <row r="698" spans="1:228" s="88" customFormat="1" ht="19.5">
      <c r="A698" s="31"/>
      <c r="B698" s="110"/>
      <c r="C698" s="91"/>
      <c r="D698" s="79"/>
      <c r="E698" s="127"/>
      <c r="F698" s="127"/>
      <c r="G698" s="117"/>
      <c r="H698" s="117"/>
      <c r="I698" s="71"/>
      <c r="J698" s="71"/>
      <c r="K698" s="71"/>
      <c r="L698" s="71"/>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c r="AT698" s="71"/>
      <c r="AU698" s="71"/>
      <c r="AV698" s="71"/>
      <c r="AW698" s="71"/>
      <c r="AX698" s="71"/>
      <c r="AY698" s="71"/>
      <c r="AZ698" s="71"/>
      <c r="BA698" s="71"/>
      <c r="BB698" s="71"/>
      <c r="BC698" s="71"/>
      <c r="BD698" s="71"/>
      <c r="BE698" s="71"/>
      <c r="BF698" s="71"/>
      <c r="BG698" s="71"/>
      <c r="BH698" s="71"/>
      <c r="BI698" s="71"/>
      <c r="BJ698" s="71"/>
      <c r="BK698" s="71"/>
      <c r="BL698" s="71"/>
      <c r="BM698" s="71"/>
      <c r="BN698" s="71"/>
      <c r="BO698" s="71"/>
      <c r="BP698" s="71"/>
      <c r="BQ698" s="71"/>
      <c r="BR698" s="71"/>
      <c r="BS698" s="71"/>
      <c r="BT698" s="71"/>
      <c r="BU698" s="71"/>
      <c r="BV698" s="71"/>
      <c r="BW698" s="71"/>
      <c r="BX698" s="71"/>
      <c r="BY698" s="71"/>
      <c r="BZ698" s="71"/>
      <c r="CA698" s="71"/>
      <c r="CB698" s="71"/>
      <c r="CC698" s="71"/>
      <c r="CD698" s="71"/>
      <c r="CE698" s="71"/>
      <c r="CF698" s="71"/>
      <c r="CG698" s="71"/>
      <c r="CH698" s="71"/>
      <c r="CI698" s="71"/>
      <c r="CJ698" s="71"/>
      <c r="CK698" s="71"/>
      <c r="CL698" s="71"/>
      <c r="CM698" s="71"/>
      <c r="CN698" s="71"/>
      <c r="CO698" s="71"/>
      <c r="CP698" s="71"/>
      <c r="CQ698" s="71"/>
      <c r="CR698" s="71"/>
      <c r="CS698" s="71"/>
      <c r="CT698" s="71"/>
      <c r="CU698" s="71"/>
      <c r="CV698" s="71"/>
      <c r="CW698" s="71"/>
      <c r="CX698" s="71"/>
      <c r="CY698" s="71"/>
      <c r="CZ698" s="71"/>
      <c r="DA698" s="71"/>
      <c r="DB698" s="71"/>
      <c r="DC698" s="71"/>
      <c r="DD698" s="71"/>
      <c r="DE698" s="71"/>
      <c r="DF698" s="71"/>
      <c r="DG698" s="71"/>
      <c r="DH698" s="71"/>
      <c r="DI698" s="71"/>
      <c r="DJ698" s="71"/>
      <c r="DK698" s="71"/>
      <c r="DL698" s="71"/>
      <c r="DM698" s="71"/>
      <c r="DN698" s="71"/>
      <c r="DO698" s="71"/>
      <c r="DP698" s="71"/>
      <c r="DQ698" s="71"/>
      <c r="DR698" s="71"/>
      <c r="DS698" s="71"/>
      <c r="DT698" s="71"/>
      <c r="DU698" s="71"/>
      <c r="DV698" s="71"/>
      <c r="DW698" s="71"/>
      <c r="DX698" s="71"/>
      <c r="DY698" s="71"/>
      <c r="DZ698" s="71"/>
      <c r="EA698" s="71"/>
      <c r="EB698" s="71"/>
      <c r="EC698" s="71"/>
      <c r="ED698" s="71"/>
      <c r="EE698" s="71"/>
      <c r="EF698" s="71"/>
      <c r="EG698" s="71"/>
      <c r="EH698" s="71"/>
      <c r="EI698" s="71"/>
      <c r="EJ698" s="71"/>
      <c r="EK698" s="71"/>
      <c r="EL698" s="71"/>
      <c r="EM698" s="71"/>
      <c r="EN698" s="71"/>
      <c r="EO698" s="71"/>
      <c r="EP698" s="71"/>
      <c r="EQ698" s="71"/>
      <c r="ER698" s="71"/>
      <c r="ES698" s="71"/>
      <c r="ET698" s="71"/>
      <c r="EU698" s="71"/>
      <c r="EV698" s="71"/>
      <c r="EW698" s="71"/>
      <c r="EX698" s="71"/>
      <c r="EY698" s="71"/>
      <c r="EZ698" s="71"/>
      <c r="FA698" s="71"/>
      <c r="FB698" s="71"/>
      <c r="FC698" s="71"/>
      <c r="FD698" s="71"/>
      <c r="FE698" s="71"/>
      <c r="FF698" s="71"/>
      <c r="FG698" s="71"/>
      <c r="FH698" s="71"/>
      <c r="FI698" s="71"/>
      <c r="FJ698" s="71"/>
      <c r="FK698" s="71"/>
      <c r="FL698" s="71"/>
      <c r="FM698" s="71"/>
      <c r="FN698" s="71"/>
      <c r="FO698" s="71"/>
      <c r="FP698" s="71"/>
      <c r="FQ698" s="71"/>
      <c r="FR698" s="71"/>
      <c r="FS698" s="71"/>
      <c r="FT698" s="71"/>
      <c r="FU698" s="71"/>
      <c r="FV698" s="71"/>
      <c r="FW698" s="71"/>
      <c r="FX698" s="71"/>
      <c r="FY698" s="71"/>
      <c r="FZ698" s="71"/>
      <c r="GA698" s="71"/>
      <c r="GB698" s="71"/>
      <c r="GC698" s="71"/>
      <c r="GD698" s="71"/>
      <c r="GE698" s="71"/>
      <c r="GF698" s="71"/>
      <c r="GG698" s="71"/>
      <c r="GH698" s="71"/>
      <c r="GI698" s="71"/>
      <c r="GJ698" s="71"/>
      <c r="GK698" s="71"/>
      <c r="GL698" s="71"/>
      <c r="GM698" s="71"/>
      <c r="GN698" s="71"/>
      <c r="GO698" s="71"/>
      <c r="GP698" s="71"/>
      <c r="GQ698" s="71"/>
      <c r="GR698" s="71"/>
      <c r="GS698" s="71"/>
      <c r="GT698" s="71"/>
      <c r="GU698" s="71"/>
      <c r="GV698" s="71"/>
      <c r="GW698" s="71"/>
      <c r="GX698" s="71"/>
      <c r="GY698" s="71"/>
      <c r="GZ698" s="71"/>
      <c r="HA698" s="71"/>
      <c r="HB698" s="71"/>
      <c r="HC698" s="71"/>
      <c r="HD698" s="71"/>
      <c r="HE698" s="71"/>
      <c r="HF698" s="71"/>
      <c r="HG698" s="71"/>
      <c r="HH698" s="71"/>
      <c r="HI698" s="71"/>
      <c r="HJ698" s="71"/>
      <c r="HK698" s="71"/>
      <c r="HL698" s="71"/>
      <c r="HM698" s="71"/>
      <c r="HN698" s="71"/>
      <c r="HO698" s="71"/>
      <c r="HP698" s="71"/>
      <c r="HQ698" s="71"/>
      <c r="HR698" s="71"/>
      <c r="HS698" s="71"/>
      <c r="HT698" s="71"/>
    </row>
    <row r="699" spans="1:228" s="88" customFormat="1" ht="37.5">
      <c r="A699" s="31">
        <v>5</v>
      </c>
      <c r="B699" s="41" t="s">
        <v>609</v>
      </c>
      <c r="C699" s="69">
        <v>1610000000</v>
      </c>
      <c r="D699" s="56"/>
      <c r="E699" s="117"/>
      <c r="F699" s="117"/>
      <c r="G699" s="117"/>
      <c r="H699" s="117"/>
      <c r="I699" s="71"/>
      <c r="J699" s="71"/>
      <c r="K699" s="71"/>
      <c r="L699" s="71"/>
      <c r="M699" s="71"/>
      <c r="N699" s="71"/>
      <c r="O699" s="71"/>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c r="AT699" s="71"/>
      <c r="AU699" s="71"/>
      <c r="AV699" s="71"/>
      <c r="AW699" s="71"/>
      <c r="AX699" s="71"/>
      <c r="AY699" s="71"/>
      <c r="AZ699" s="71"/>
      <c r="BA699" s="71"/>
      <c r="BB699" s="71"/>
      <c r="BC699" s="71"/>
      <c r="BD699" s="71"/>
      <c r="BE699" s="71"/>
      <c r="BF699" s="71"/>
      <c r="BG699" s="71"/>
      <c r="BH699" s="71"/>
      <c r="BI699" s="71"/>
      <c r="BJ699" s="71"/>
      <c r="BK699" s="71"/>
      <c r="BL699" s="71"/>
      <c r="BM699" s="71"/>
      <c r="BN699" s="71"/>
      <c r="BO699" s="71"/>
      <c r="BP699" s="71"/>
      <c r="BQ699" s="71"/>
      <c r="BR699" s="71"/>
      <c r="BS699" s="71"/>
      <c r="BT699" s="71"/>
      <c r="BU699" s="71"/>
      <c r="BV699" s="71"/>
      <c r="BW699" s="71"/>
      <c r="BX699" s="71"/>
      <c r="BY699" s="71"/>
      <c r="BZ699" s="71"/>
      <c r="CA699" s="71"/>
      <c r="CB699" s="71"/>
      <c r="CC699" s="71"/>
      <c r="CD699" s="71"/>
      <c r="CE699" s="71"/>
      <c r="CF699" s="71"/>
      <c r="CG699" s="71"/>
      <c r="CH699" s="71"/>
      <c r="CI699" s="71"/>
      <c r="CJ699" s="71"/>
      <c r="CK699" s="71"/>
      <c r="CL699" s="71"/>
      <c r="CM699" s="71"/>
      <c r="CN699" s="71"/>
      <c r="CO699" s="71"/>
      <c r="CP699" s="71"/>
      <c r="CQ699" s="71"/>
      <c r="CR699" s="71"/>
      <c r="CS699" s="71"/>
      <c r="CT699" s="71"/>
      <c r="CU699" s="71"/>
      <c r="CV699" s="71"/>
      <c r="CW699" s="71"/>
      <c r="CX699" s="71"/>
      <c r="CY699" s="71"/>
      <c r="CZ699" s="71"/>
      <c r="DA699" s="71"/>
      <c r="DB699" s="71"/>
      <c r="DC699" s="71"/>
      <c r="DD699" s="71"/>
      <c r="DE699" s="71"/>
      <c r="DF699" s="71"/>
      <c r="DG699" s="71"/>
      <c r="DH699" s="71"/>
      <c r="DI699" s="71"/>
      <c r="DJ699" s="71"/>
      <c r="DK699" s="71"/>
      <c r="DL699" s="71"/>
      <c r="DM699" s="71"/>
      <c r="DN699" s="71"/>
      <c r="DO699" s="71"/>
      <c r="DP699" s="71"/>
      <c r="DQ699" s="71"/>
      <c r="DR699" s="71"/>
      <c r="DS699" s="71"/>
      <c r="DT699" s="71"/>
      <c r="DU699" s="71"/>
      <c r="DV699" s="71"/>
      <c r="DW699" s="71"/>
      <c r="DX699" s="71"/>
      <c r="DY699" s="71"/>
      <c r="DZ699" s="71"/>
      <c r="EA699" s="71"/>
      <c r="EB699" s="71"/>
      <c r="EC699" s="71"/>
      <c r="ED699" s="71"/>
      <c r="EE699" s="71"/>
      <c r="EF699" s="71"/>
      <c r="EG699" s="71"/>
      <c r="EH699" s="71"/>
      <c r="EI699" s="71"/>
      <c r="EJ699" s="71"/>
      <c r="EK699" s="71"/>
      <c r="EL699" s="71"/>
      <c r="EM699" s="71"/>
      <c r="EN699" s="71"/>
      <c r="EO699" s="71"/>
      <c r="EP699" s="71"/>
      <c r="EQ699" s="71"/>
      <c r="ER699" s="71"/>
      <c r="ES699" s="71"/>
      <c r="ET699" s="71"/>
      <c r="EU699" s="71"/>
      <c r="EV699" s="71"/>
      <c r="EW699" s="71"/>
      <c r="EX699" s="71"/>
      <c r="EY699" s="71"/>
      <c r="EZ699" s="71"/>
      <c r="FA699" s="71"/>
      <c r="FB699" s="71"/>
      <c r="FC699" s="71"/>
      <c r="FD699" s="71"/>
      <c r="FE699" s="71"/>
      <c r="FF699" s="71"/>
      <c r="FG699" s="71"/>
      <c r="FH699" s="71"/>
      <c r="FI699" s="71"/>
      <c r="FJ699" s="71"/>
      <c r="FK699" s="71"/>
      <c r="FL699" s="71"/>
      <c r="FM699" s="71"/>
      <c r="FN699" s="71"/>
      <c r="FO699" s="71"/>
      <c r="FP699" s="71"/>
      <c r="FQ699" s="71"/>
      <c r="FR699" s="71"/>
      <c r="FS699" s="71"/>
      <c r="FT699" s="71"/>
      <c r="FU699" s="71"/>
      <c r="FV699" s="71"/>
      <c r="FW699" s="71"/>
      <c r="FX699" s="71"/>
      <c r="FY699" s="71"/>
      <c r="FZ699" s="71"/>
      <c r="GA699" s="71"/>
      <c r="GB699" s="71"/>
      <c r="GC699" s="71"/>
      <c r="GD699" s="71"/>
      <c r="GE699" s="71"/>
      <c r="GF699" s="71"/>
      <c r="GG699" s="71"/>
      <c r="GH699" s="71"/>
      <c r="GI699" s="71"/>
      <c r="GJ699" s="71"/>
      <c r="GK699" s="71"/>
      <c r="GL699" s="71"/>
      <c r="GM699" s="71"/>
      <c r="GN699" s="71"/>
      <c r="GO699" s="71"/>
      <c r="GP699" s="71"/>
      <c r="GQ699" s="71"/>
      <c r="GR699" s="71"/>
      <c r="GS699" s="71"/>
      <c r="GT699" s="71"/>
      <c r="GU699" s="71"/>
      <c r="GV699" s="71"/>
      <c r="GW699" s="71"/>
      <c r="GX699" s="71"/>
      <c r="GY699" s="71"/>
      <c r="GZ699" s="71"/>
      <c r="HA699" s="71"/>
      <c r="HB699" s="71"/>
      <c r="HC699" s="71"/>
      <c r="HD699" s="71"/>
      <c r="HE699" s="71"/>
      <c r="HF699" s="71"/>
      <c r="HG699" s="71"/>
      <c r="HH699" s="71"/>
      <c r="HI699" s="71"/>
      <c r="HJ699" s="71"/>
      <c r="HK699" s="71"/>
      <c r="HL699" s="71"/>
      <c r="HM699" s="71"/>
      <c r="HN699" s="71"/>
      <c r="HO699" s="71"/>
      <c r="HP699" s="71"/>
      <c r="HQ699" s="71"/>
      <c r="HR699" s="71"/>
      <c r="HS699" s="71"/>
      <c r="HT699" s="71"/>
    </row>
    <row r="700" spans="1:228" s="215" customFormat="1" ht="37.5">
      <c r="A700" s="32" t="s">
        <v>610</v>
      </c>
      <c r="B700" s="41" t="s">
        <v>611</v>
      </c>
      <c r="C700" s="42">
        <v>3000000000</v>
      </c>
      <c r="D700" s="56"/>
      <c r="E700" s="119"/>
      <c r="F700" s="119"/>
      <c r="G700" s="113"/>
      <c r="H700" s="113"/>
    </row>
    <row r="701" spans="1:228" s="215" customFormat="1" ht="19.5">
      <c r="A701" s="32" t="s">
        <v>70</v>
      </c>
      <c r="B701" s="41" t="s">
        <v>612</v>
      </c>
      <c r="C701" s="42">
        <v>25343000000</v>
      </c>
      <c r="D701" s="56"/>
      <c r="E701" s="119"/>
      <c r="F701" s="119"/>
      <c r="G701" s="113"/>
      <c r="H701" s="113"/>
    </row>
    <row r="702" spans="1:228" ht="37.5">
      <c r="A702" s="216" t="s">
        <v>91</v>
      </c>
      <c r="B702" s="90" t="s">
        <v>613</v>
      </c>
      <c r="C702" s="202">
        <v>25343000000</v>
      </c>
      <c r="D702" s="79"/>
      <c r="E702" s="217"/>
      <c r="F702" s="217"/>
      <c r="G702" s="68"/>
      <c r="H702" s="68"/>
    </row>
    <row r="703" spans="1:228" s="43" customFormat="1">
      <c r="A703" s="32" t="s">
        <v>614</v>
      </c>
      <c r="B703" s="41" t="s">
        <v>615</v>
      </c>
      <c r="C703" s="42">
        <v>26846000000</v>
      </c>
      <c r="D703" s="56"/>
      <c r="E703" s="119"/>
      <c r="F703" s="119"/>
      <c r="G703" s="149"/>
      <c r="H703" s="149"/>
    </row>
    <row r="704" spans="1:228" s="61" customFormat="1">
      <c r="A704" s="63">
        <v>1</v>
      </c>
      <c r="B704" s="110" t="s">
        <v>616</v>
      </c>
      <c r="C704" s="65">
        <v>300000000</v>
      </c>
      <c r="D704" s="79"/>
      <c r="E704" s="118" t="s">
        <v>617</v>
      </c>
      <c r="F704" s="118"/>
      <c r="G704" s="118"/>
      <c r="H704" s="118"/>
    </row>
    <row r="705" spans="1:8" s="61" customFormat="1" ht="37.5">
      <c r="A705" s="63">
        <v>2</v>
      </c>
      <c r="B705" s="90" t="s">
        <v>618</v>
      </c>
      <c r="C705" s="65">
        <v>1000000000</v>
      </c>
      <c r="D705" s="79"/>
      <c r="E705" s="218"/>
      <c r="F705" s="218"/>
      <c r="G705" s="218"/>
      <c r="H705" s="218"/>
    </row>
    <row r="706" spans="1:8" s="61" customFormat="1">
      <c r="A706" s="63">
        <v>3</v>
      </c>
      <c r="B706" s="90" t="s">
        <v>619</v>
      </c>
      <c r="C706" s="65">
        <v>600000000</v>
      </c>
      <c r="D706" s="79"/>
      <c r="E706" s="218"/>
      <c r="F706" s="218"/>
      <c r="G706" s="218"/>
      <c r="H706" s="218"/>
    </row>
    <row r="707" spans="1:8" s="61" customFormat="1">
      <c r="A707" s="63">
        <v>4</v>
      </c>
      <c r="B707" s="110" t="s">
        <v>620</v>
      </c>
      <c r="C707" s="65">
        <v>2714000000</v>
      </c>
      <c r="D707" s="79"/>
      <c r="E707" s="218" t="s">
        <v>617</v>
      </c>
      <c r="F707" s="218"/>
      <c r="G707" s="218"/>
      <c r="H707" s="218"/>
    </row>
    <row r="708" spans="1:8">
      <c r="A708" s="32" t="s">
        <v>621</v>
      </c>
      <c r="B708" s="41" t="s">
        <v>622</v>
      </c>
      <c r="C708" s="42">
        <v>116026403000</v>
      </c>
      <c r="D708" s="56"/>
      <c r="E708" s="219"/>
      <c r="F708" s="219"/>
      <c r="G708" s="220"/>
      <c r="H708" s="220"/>
    </row>
    <row r="709" spans="1:8">
      <c r="A709" s="49">
        <v>1</v>
      </c>
      <c r="B709" s="48" t="s">
        <v>623</v>
      </c>
      <c r="C709" s="23">
        <v>82600904000</v>
      </c>
      <c r="D709" s="50"/>
      <c r="E709" s="51"/>
      <c r="F709" s="51"/>
      <c r="G709" s="54"/>
      <c r="H709" s="54"/>
    </row>
    <row r="710" spans="1:8">
      <c r="A710" s="49">
        <v>2</v>
      </c>
      <c r="B710" s="48" t="s">
        <v>624</v>
      </c>
      <c r="C710" s="23">
        <v>33425499000</v>
      </c>
      <c r="D710" s="50"/>
      <c r="E710" s="51"/>
      <c r="F710" s="51"/>
      <c r="G710" s="54"/>
      <c r="H710" s="54"/>
    </row>
    <row r="711" spans="1:8" ht="37.5">
      <c r="A711" s="32" t="s">
        <v>625</v>
      </c>
      <c r="B711" s="41" t="s">
        <v>626</v>
      </c>
      <c r="C711" s="42">
        <v>164987000000</v>
      </c>
      <c r="D711" s="56"/>
      <c r="E711" s="57"/>
      <c r="F711" s="57"/>
      <c r="G711" s="34"/>
      <c r="H711" s="34"/>
    </row>
    <row r="712" spans="1:8" ht="37.5">
      <c r="A712" s="32" t="s">
        <v>627</v>
      </c>
      <c r="B712" s="41" t="s">
        <v>628</v>
      </c>
      <c r="C712" s="42"/>
      <c r="D712" s="56"/>
      <c r="E712" s="57"/>
      <c r="F712" s="57"/>
      <c r="G712" s="60"/>
      <c r="H712" s="60"/>
    </row>
    <row r="713" spans="1:8" ht="39">
      <c r="A713" s="44" t="s">
        <v>629</v>
      </c>
      <c r="B713" s="83" t="s">
        <v>630</v>
      </c>
      <c r="C713" s="221">
        <v>3445000000</v>
      </c>
      <c r="D713" s="92"/>
      <c r="E713" s="122"/>
      <c r="F713" s="122"/>
      <c r="G713" s="222"/>
      <c r="H713" s="222"/>
    </row>
    <row r="714" spans="1:8">
      <c r="A714" s="28"/>
      <c r="B714" s="29"/>
      <c r="C714" s="30"/>
      <c r="D714" s="30"/>
      <c r="E714" s="30"/>
      <c r="F714" s="30"/>
      <c r="G714" s="30"/>
      <c r="H714" s="30"/>
    </row>
    <row r="715" spans="1:8">
      <c r="A715" s="28"/>
      <c r="B715" s="29"/>
      <c r="C715" s="104"/>
      <c r="D715" s="104"/>
      <c r="E715" s="104"/>
      <c r="F715" s="104"/>
      <c r="G715" s="104"/>
      <c r="H715" s="104"/>
    </row>
    <row r="716" spans="1:8">
      <c r="A716" s="28"/>
      <c r="B716" s="29"/>
      <c r="C716" s="30"/>
      <c r="D716" s="30"/>
      <c r="E716" s="30"/>
      <c r="F716" s="30"/>
      <c r="G716" s="30"/>
      <c r="H716" s="30"/>
    </row>
    <row r="717" spans="1:8">
      <c r="A717" s="28"/>
      <c r="B717" s="29"/>
      <c r="C717" s="30"/>
      <c r="D717" s="30"/>
      <c r="E717" s="30"/>
      <c r="F717" s="30"/>
      <c r="G717" s="30"/>
      <c r="H717" s="30"/>
    </row>
    <row r="718" spans="1:8">
      <c r="A718" s="28"/>
      <c r="B718" s="29"/>
      <c r="C718" s="27"/>
      <c r="D718" s="27"/>
      <c r="E718" s="27"/>
      <c r="F718" s="27"/>
      <c r="G718" s="30"/>
      <c r="H718" s="30"/>
    </row>
    <row r="719" spans="1:8">
      <c r="A719" s="28"/>
      <c r="B719" s="29"/>
      <c r="C719" s="30"/>
      <c r="D719" s="30"/>
      <c r="E719" s="30"/>
      <c r="F719" s="30"/>
      <c r="G719" s="30"/>
      <c r="H719" s="30"/>
    </row>
    <row r="720" spans="1:8">
      <c r="A720" s="28"/>
      <c r="B720" s="29"/>
      <c r="C720" s="30"/>
      <c r="D720" s="30"/>
      <c r="E720" s="30"/>
      <c r="F720" s="30"/>
      <c r="G720" s="30"/>
      <c r="H720" s="30"/>
    </row>
    <row r="721" spans="1:8">
      <c r="A721" s="28"/>
      <c r="B721" s="29"/>
      <c r="C721" s="30"/>
      <c r="D721" s="30"/>
      <c r="E721" s="30"/>
      <c r="F721" s="30"/>
      <c r="G721" s="30"/>
      <c r="H721" s="30"/>
    </row>
    <row r="722" spans="1:8">
      <c r="A722" s="28"/>
      <c r="B722" s="29"/>
      <c r="C722" s="30"/>
      <c r="D722" s="30"/>
      <c r="E722" s="30"/>
      <c r="F722" s="30"/>
      <c r="G722" s="30"/>
      <c r="H722" s="30"/>
    </row>
    <row r="723" spans="1:8">
      <c r="A723" s="28"/>
      <c r="B723" s="29"/>
      <c r="C723" s="30"/>
      <c r="D723" s="30"/>
      <c r="E723" s="30"/>
      <c r="F723" s="30"/>
      <c r="G723" s="30"/>
      <c r="H723" s="30"/>
    </row>
    <row r="724" spans="1:8">
      <c r="A724" s="28"/>
      <c r="B724" s="29"/>
      <c r="C724" s="30"/>
      <c r="D724" s="30"/>
      <c r="E724" s="30"/>
      <c r="F724" s="30"/>
      <c r="G724" s="30"/>
      <c r="H724" s="30"/>
    </row>
    <row r="725" spans="1:8">
      <c r="A725" s="28"/>
      <c r="B725" s="29"/>
      <c r="C725" s="30"/>
      <c r="D725" s="30"/>
      <c r="E725" s="30"/>
      <c r="F725" s="30"/>
      <c r="G725" s="30"/>
      <c r="H725" s="30"/>
    </row>
    <row r="726" spans="1:8">
      <c r="A726" s="28"/>
      <c r="B726" s="29"/>
      <c r="C726" s="30"/>
      <c r="D726" s="30"/>
      <c r="E726" s="30"/>
      <c r="F726" s="30"/>
      <c r="G726" s="30"/>
      <c r="H726" s="30"/>
    </row>
    <row r="727" spans="1:8">
      <c r="A727" s="28"/>
      <c r="B727" s="29"/>
      <c r="C727" s="30"/>
      <c r="D727" s="30"/>
      <c r="E727" s="30"/>
      <c r="F727" s="30"/>
      <c r="G727" s="30"/>
      <c r="H727" s="30"/>
    </row>
    <row r="728" spans="1:8">
      <c r="A728" s="28"/>
      <c r="B728" s="29"/>
      <c r="C728" s="30"/>
      <c r="D728" s="30"/>
      <c r="E728" s="30"/>
      <c r="F728" s="30"/>
      <c r="G728" s="30"/>
      <c r="H728" s="30"/>
    </row>
    <row r="729" spans="1:8">
      <c r="A729" s="28"/>
      <c r="B729" s="29"/>
      <c r="C729" s="30"/>
      <c r="D729" s="30"/>
      <c r="E729" s="30"/>
      <c r="F729" s="30"/>
      <c r="G729" s="30"/>
      <c r="H729" s="30"/>
    </row>
    <row r="730" spans="1:8">
      <c r="A730" s="28"/>
      <c r="B730" s="29"/>
      <c r="C730" s="30"/>
      <c r="D730" s="30"/>
      <c r="E730" s="30"/>
      <c r="F730" s="30"/>
      <c r="G730" s="30"/>
      <c r="H730" s="30"/>
    </row>
    <row r="731" spans="1:8">
      <c r="A731" s="28"/>
      <c r="B731" s="29"/>
      <c r="C731" s="30"/>
      <c r="D731" s="30"/>
      <c r="E731" s="30"/>
      <c r="F731" s="30"/>
      <c r="G731" s="30"/>
      <c r="H731" s="30"/>
    </row>
    <row r="732" spans="1:8">
      <c r="A732" s="28"/>
      <c r="B732" s="29"/>
      <c r="C732" s="30"/>
      <c r="D732" s="30"/>
      <c r="E732" s="30"/>
      <c r="F732" s="30"/>
      <c r="G732" s="30"/>
      <c r="H732" s="30"/>
    </row>
    <row r="733" spans="1:8">
      <c r="A733" s="28"/>
      <c r="B733" s="29"/>
      <c r="C733" s="30"/>
      <c r="D733" s="30"/>
      <c r="E733" s="30"/>
      <c r="F733" s="30"/>
      <c r="G733" s="30"/>
      <c r="H733" s="30"/>
    </row>
    <row r="734" spans="1:8">
      <c r="A734" s="28"/>
      <c r="B734" s="29"/>
      <c r="C734" s="30"/>
      <c r="D734" s="30"/>
      <c r="E734" s="30"/>
      <c r="F734" s="30"/>
      <c r="G734" s="30"/>
      <c r="H734" s="30"/>
    </row>
    <row r="735" spans="1:8">
      <c r="A735" s="28"/>
      <c r="B735" s="29"/>
      <c r="C735" s="30"/>
      <c r="D735" s="30"/>
      <c r="E735" s="30"/>
      <c r="F735" s="30"/>
      <c r="G735" s="30"/>
      <c r="H735" s="30"/>
    </row>
    <row r="736" spans="1:8">
      <c r="A736" s="28"/>
      <c r="B736" s="29"/>
      <c r="C736" s="30"/>
      <c r="D736" s="30"/>
      <c r="E736" s="30"/>
      <c r="F736" s="30"/>
      <c r="G736" s="30"/>
      <c r="H736" s="30"/>
    </row>
    <row r="737" spans="1:8">
      <c r="A737" s="28"/>
      <c r="B737" s="29"/>
      <c r="C737" s="30"/>
      <c r="D737" s="30"/>
      <c r="E737" s="30"/>
      <c r="F737" s="30"/>
      <c r="G737" s="30"/>
      <c r="H737" s="30"/>
    </row>
    <row r="738" spans="1:8">
      <c r="A738" s="28"/>
      <c r="B738" s="29"/>
      <c r="C738" s="27"/>
      <c r="D738" s="27"/>
      <c r="E738" s="27"/>
      <c r="F738" s="27"/>
      <c r="G738" s="30"/>
      <c r="H738" s="30"/>
    </row>
    <row r="739" spans="1:8">
      <c r="A739" s="28"/>
      <c r="B739" s="29"/>
      <c r="C739" s="30"/>
      <c r="D739" s="30"/>
      <c r="E739" s="30"/>
      <c r="F739" s="30"/>
      <c r="G739" s="30"/>
      <c r="H739" s="30"/>
    </row>
    <row r="740" spans="1:8">
      <c r="A740" s="28"/>
      <c r="B740" s="29"/>
      <c r="C740" s="30"/>
      <c r="D740" s="30"/>
      <c r="E740" s="30"/>
      <c r="F740" s="30"/>
      <c r="G740" s="30"/>
      <c r="H740" s="30"/>
    </row>
    <row r="741" spans="1:8">
      <c r="A741" s="28"/>
      <c r="B741" s="29"/>
      <c r="C741" s="30"/>
      <c r="D741" s="30"/>
      <c r="E741" s="30"/>
      <c r="F741" s="30"/>
      <c r="G741" s="30"/>
      <c r="H741" s="30"/>
    </row>
    <row r="742" spans="1:8">
      <c r="A742" s="28"/>
      <c r="B742" s="29"/>
      <c r="C742" s="30"/>
      <c r="D742" s="30"/>
      <c r="E742" s="30"/>
      <c r="F742" s="30"/>
      <c r="G742" s="30"/>
      <c r="H742" s="30"/>
    </row>
    <row r="743" spans="1:8">
      <c r="A743" s="28"/>
      <c r="B743" s="29"/>
      <c r="C743" s="30"/>
      <c r="D743" s="30"/>
      <c r="E743" s="30"/>
      <c r="F743" s="30"/>
      <c r="G743" s="30"/>
      <c r="H743" s="30"/>
    </row>
    <row r="744" spans="1:8">
      <c r="A744" s="28"/>
      <c r="B744" s="29"/>
      <c r="C744" s="30"/>
      <c r="D744" s="30"/>
      <c r="E744" s="30"/>
      <c r="F744" s="30"/>
      <c r="G744" s="30"/>
      <c r="H744" s="30"/>
    </row>
    <row r="745" spans="1:8">
      <c r="A745" s="28"/>
      <c r="B745" s="29"/>
      <c r="C745" s="30"/>
      <c r="D745" s="30"/>
      <c r="E745" s="30"/>
      <c r="F745" s="30"/>
      <c r="G745" s="30"/>
      <c r="H745" s="30"/>
    </row>
    <row r="746" spans="1:8">
      <c r="A746" s="28"/>
      <c r="B746" s="29"/>
      <c r="C746" s="30"/>
      <c r="D746" s="30"/>
      <c r="E746" s="30"/>
      <c r="F746" s="30"/>
      <c r="G746" s="30"/>
      <c r="H746" s="30"/>
    </row>
    <row r="747" spans="1:8">
      <c r="A747" s="28"/>
      <c r="B747" s="29"/>
      <c r="C747" s="30"/>
      <c r="D747" s="30"/>
      <c r="E747" s="30"/>
      <c r="F747" s="30"/>
      <c r="G747" s="30"/>
      <c r="H747" s="30"/>
    </row>
    <row r="748" spans="1:8">
      <c r="A748" s="28"/>
      <c r="B748" s="29"/>
      <c r="C748" s="30"/>
      <c r="D748" s="30"/>
      <c r="E748" s="30"/>
      <c r="F748" s="30"/>
      <c r="G748" s="30"/>
      <c r="H748" s="30"/>
    </row>
    <row r="749" spans="1:8">
      <c r="A749" s="28"/>
      <c r="B749" s="29"/>
      <c r="C749" s="30"/>
      <c r="D749" s="30"/>
      <c r="E749" s="30"/>
      <c r="F749" s="30"/>
      <c r="G749" s="30"/>
      <c r="H749" s="30"/>
    </row>
    <row r="750" spans="1:8">
      <c r="A750" s="28"/>
      <c r="B750" s="29"/>
      <c r="C750" s="30"/>
      <c r="D750" s="30"/>
      <c r="E750" s="30"/>
      <c r="F750" s="30"/>
      <c r="G750" s="30"/>
      <c r="H750" s="30"/>
    </row>
    <row r="751" spans="1:8">
      <c r="A751" s="28"/>
      <c r="B751" s="29"/>
      <c r="C751" s="30"/>
      <c r="D751" s="30"/>
      <c r="E751" s="30"/>
      <c r="F751" s="30"/>
      <c r="G751" s="30"/>
      <c r="H751" s="30"/>
    </row>
    <row r="752" spans="1:8">
      <c r="A752" s="28"/>
      <c r="B752" s="29">
        <v>147599</v>
      </c>
      <c r="C752" s="30"/>
      <c r="D752" s="30"/>
      <c r="E752" s="30"/>
      <c r="F752" s="30"/>
      <c r="G752" s="30"/>
      <c r="H752" s="30"/>
    </row>
    <row r="753" spans="1:8">
      <c r="A753" s="28"/>
      <c r="B753" s="29">
        <v>130749</v>
      </c>
      <c r="C753" s="30"/>
      <c r="D753" s="30"/>
      <c r="E753" s="30"/>
      <c r="F753" s="30"/>
      <c r="G753" s="30"/>
      <c r="H753" s="30"/>
    </row>
    <row r="754" spans="1:8">
      <c r="A754" s="28"/>
      <c r="B754" s="29"/>
      <c r="C754" s="30"/>
      <c r="D754" s="30"/>
      <c r="E754" s="30"/>
      <c r="F754" s="30"/>
      <c r="G754" s="30"/>
      <c r="H754" s="30"/>
    </row>
    <row r="755" spans="1:8">
      <c r="A755" s="28"/>
      <c r="B755" s="29"/>
      <c r="C755" s="30"/>
      <c r="D755" s="30"/>
      <c r="E755" s="30"/>
      <c r="F755" s="30"/>
      <c r="G755" s="30"/>
      <c r="H755" s="30"/>
    </row>
    <row r="756" spans="1:8">
      <c r="A756" s="28"/>
      <c r="B756" s="29"/>
      <c r="C756" s="30"/>
      <c r="D756" s="30"/>
      <c r="E756" s="30"/>
      <c r="F756" s="30"/>
      <c r="G756" s="30"/>
      <c r="H756" s="30"/>
    </row>
    <row r="757" spans="1:8">
      <c r="A757" s="28"/>
      <c r="B757" s="29"/>
      <c r="C757" s="30"/>
      <c r="D757" s="30"/>
      <c r="E757" s="30"/>
      <c r="F757" s="30"/>
      <c r="G757" s="30"/>
      <c r="H757" s="30"/>
    </row>
    <row r="758" spans="1:8">
      <c r="A758" s="28"/>
      <c r="B758" s="29"/>
      <c r="C758" s="30"/>
      <c r="D758" s="30"/>
      <c r="E758" s="30"/>
      <c r="F758" s="30"/>
      <c r="G758" s="30"/>
      <c r="H758" s="30"/>
    </row>
    <row r="759" spans="1:8">
      <c r="A759" s="28"/>
      <c r="B759" s="29"/>
      <c r="C759" s="30"/>
      <c r="D759" s="30"/>
      <c r="E759" s="30"/>
      <c r="F759" s="30"/>
      <c r="G759" s="30"/>
      <c r="H759" s="30"/>
    </row>
    <row r="760" spans="1:8">
      <c r="A760" s="28"/>
      <c r="B760" s="29"/>
      <c r="C760" s="30"/>
      <c r="D760" s="30"/>
      <c r="E760" s="30"/>
      <c r="F760" s="30"/>
      <c r="G760" s="30"/>
      <c r="H760" s="30"/>
    </row>
    <row r="761" spans="1:8">
      <c r="A761" s="28"/>
      <c r="B761" s="29"/>
      <c r="C761" s="30"/>
      <c r="D761" s="30"/>
      <c r="E761" s="30"/>
      <c r="F761" s="30"/>
      <c r="G761" s="30"/>
      <c r="H761" s="30"/>
    </row>
    <row r="762" spans="1:8">
      <c r="A762" s="28"/>
      <c r="B762" s="29"/>
      <c r="C762" s="30"/>
      <c r="D762" s="30"/>
      <c r="E762" s="30"/>
      <c r="F762" s="30"/>
      <c r="G762" s="30"/>
      <c r="H762" s="30"/>
    </row>
    <row r="763" spans="1:8">
      <c r="A763" s="28"/>
      <c r="B763" s="29"/>
      <c r="C763" s="30"/>
      <c r="D763" s="30"/>
      <c r="E763" s="30"/>
      <c r="F763" s="30"/>
      <c r="G763" s="30"/>
      <c r="H763" s="30"/>
    </row>
    <row r="764" spans="1:8">
      <c r="A764" s="28"/>
      <c r="B764" s="29"/>
      <c r="C764" s="30"/>
      <c r="D764" s="30"/>
      <c r="E764" s="30"/>
      <c r="F764" s="30"/>
      <c r="G764" s="30"/>
      <c r="H764" s="30"/>
    </row>
    <row r="765" spans="1:8">
      <c r="A765" s="28"/>
      <c r="B765" s="29"/>
      <c r="C765" s="30"/>
      <c r="D765" s="30"/>
      <c r="E765" s="30"/>
      <c r="F765" s="30"/>
      <c r="G765" s="30"/>
      <c r="H765" s="30"/>
    </row>
    <row r="766" spans="1:8">
      <c r="A766" s="28"/>
      <c r="B766" s="29"/>
      <c r="C766" s="30"/>
      <c r="D766" s="30"/>
      <c r="E766" s="30"/>
      <c r="F766" s="30"/>
      <c r="G766" s="30"/>
      <c r="H766" s="30"/>
    </row>
    <row r="767" spans="1:8">
      <c r="A767" s="28"/>
      <c r="B767" s="29"/>
      <c r="C767" s="30"/>
      <c r="D767" s="30"/>
      <c r="E767" s="30"/>
      <c r="F767" s="30"/>
      <c r="G767" s="30"/>
      <c r="H767" s="30"/>
    </row>
    <row r="768" spans="1:8">
      <c r="A768" s="28"/>
      <c r="B768" s="29"/>
      <c r="C768" s="30"/>
      <c r="D768" s="30"/>
      <c r="E768" s="30"/>
      <c r="F768" s="30"/>
      <c r="G768" s="30"/>
      <c r="H768" s="30"/>
    </row>
    <row r="769" spans="1:8">
      <c r="A769" s="28"/>
      <c r="B769" s="29"/>
      <c r="C769" s="30"/>
      <c r="D769" s="30"/>
      <c r="E769" s="30"/>
      <c r="F769" s="30"/>
      <c r="G769" s="30"/>
      <c r="H769" s="30"/>
    </row>
    <row r="770" spans="1:8">
      <c r="A770" s="28"/>
      <c r="B770" s="29"/>
      <c r="C770" s="30"/>
      <c r="D770" s="30"/>
      <c r="E770" s="30"/>
      <c r="F770" s="30"/>
      <c r="G770" s="30"/>
      <c r="H770" s="30"/>
    </row>
    <row r="771" spans="1:8">
      <c r="A771" s="28"/>
      <c r="B771" s="29"/>
      <c r="C771" s="30"/>
      <c r="D771" s="30"/>
      <c r="E771" s="30"/>
      <c r="F771" s="30"/>
      <c r="G771" s="30"/>
      <c r="H771" s="30"/>
    </row>
    <row r="772" spans="1:8">
      <c r="A772" s="28"/>
      <c r="B772" s="29"/>
      <c r="C772" s="30"/>
      <c r="D772" s="30"/>
      <c r="E772" s="30"/>
      <c r="F772" s="30"/>
      <c r="G772" s="30"/>
      <c r="H772" s="30"/>
    </row>
    <row r="773" spans="1:8">
      <c r="A773" s="28"/>
      <c r="B773" s="29"/>
      <c r="C773" s="30"/>
      <c r="D773" s="30"/>
      <c r="E773" s="30"/>
      <c r="F773" s="30"/>
      <c r="G773" s="30"/>
      <c r="H773" s="30"/>
    </row>
    <row r="774" spans="1:8">
      <c r="A774" s="28"/>
      <c r="B774" s="29"/>
      <c r="C774" s="30"/>
      <c r="D774" s="30"/>
      <c r="E774" s="30"/>
      <c r="F774" s="30"/>
      <c r="G774" s="30"/>
      <c r="H774" s="30"/>
    </row>
    <row r="775" spans="1:8">
      <c r="A775" s="28"/>
      <c r="B775" s="29"/>
      <c r="C775" s="30"/>
      <c r="D775" s="30"/>
      <c r="E775" s="30"/>
      <c r="F775" s="30"/>
      <c r="G775" s="30"/>
      <c r="H775" s="30"/>
    </row>
    <row r="776" spans="1:8">
      <c r="A776" s="28"/>
      <c r="B776" s="29"/>
      <c r="C776" s="30"/>
      <c r="D776" s="30"/>
      <c r="E776" s="30"/>
      <c r="F776" s="30"/>
      <c r="G776" s="30"/>
      <c r="H776" s="30"/>
    </row>
    <row r="777" spans="1:8">
      <c r="A777" s="28"/>
      <c r="B777" s="29"/>
      <c r="C777" s="30"/>
      <c r="D777" s="30"/>
      <c r="E777" s="30"/>
      <c r="F777" s="30"/>
      <c r="G777" s="30"/>
      <c r="H777" s="30"/>
    </row>
    <row r="778" spans="1:8">
      <c r="A778" s="28"/>
      <c r="B778" s="29"/>
      <c r="C778" s="30"/>
      <c r="D778" s="30"/>
      <c r="E778" s="30"/>
      <c r="F778" s="30"/>
      <c r="G778" s="30"/>
      <c r="H778" s="30"/>
    </row>
    <row r="779" spans="1:8">
      <c r="A779" s="28"/>
      <c r="B779" s="29"/>
      <c r="C779" s="30"/>
      <c r="D779" s="30"/>
      <c r="E779" s="30"/>
      <c r="F779" s="30"/>
      <c r="G779" s="30"/>
      <c r="H779" s="30"/>
    </row>
    <row r="780" spans="1:8">
      <c r="A780" s="28"/>
      <c r="B780" s="29"/>
      <c r="C780" s="30"/>
      <c r="D780" s="30"/>
      <c r="E780" s="30"/>
      <c r="F780" s="30"/>
      <c r="G780" s="30"/>
      <c r="H780" s="30"/>
    </row>
    <row r="781" spans="1:8">
      <c r="A781" s="28"/>
      <c r="B781" s="29"/>
      <c r="C781" s="30"/>
      <c r="D781" s="30"/>
      <c r="E781" s="30"/>
      <c r="F781" s="30"/>
      <c r="G781" s="30"/>
      <c r="H781" s="30"/>
    </row>
    <row r="782" spans="1:8">
      <c r="A782" s="28"/>
      <c r="B782" s="29"/>
      <c r="C782" s="30"/>
      <c r="D782" s="30"/>
      <c r="E782" s="30"/>
      <c r="F782" s="30"/>
      <c r="G782" s="30"/>
      <c r="H782" s="30"/>
    </row>
    <row r="783" spans="1:8">
      <c r="A783" s="28"/>
      <c r="B783" s="29"/>
      <c r="C783" s="30"/>
      <c r="D783" s="30"/>
      <c r="E783" s="30"/>
      <c r="F783" s="30"/>
      <c r="G783" s="30"/>
      <c r="H783" s="30"/>
    </row>
    <row r="784" spans="1:8">
      <c r="A784" s="28"/>
      <c r="B784" s="29"/>
      <c r="C784" s="30"/>
      <c r="D784" s="30"/>
      <c r="E784" s="30"/>
      <c r="F784" s="30"/>
      <c r="G784" s="30"/>
      <c r="H784" s="30"/>
    </row>
    <row r="785" spans="1:253">
      <c r="A785" s="28"/>
      <c r="B785" s="29"/>
      <c r="C785" s="30"/>
      <c r="D785" s="30"/>
      <c r="E785" s="30"/>
      <c r="F785" s="30"/>
      <c r="G785" s="30"/>
      <c r="H785" s="30"/>
    </row>
    <row r="786" spans="1:253">
      <c r="A786" s="28"/>
      <c r="B786" s="29"/>
      <c r="C786" s="30"/>
      <c r="D786" s="30"/>
      <c r="E786" s="30"/>
      <c r="F786" s="30"/>
      <c r="G786" s="30"/>
      <c r="H786" s="30"/>
    </row>
    <row r="787" spans="1:253">
      <c r="A787" s="28"/>
      <c r="B787" s="29"/>
      <c r="C787" s="30"/>
      <c r="D787" s="30"/>
      <c r="E787" s="30"/>
      <c r="F787" s="30"/>
      <c r="G787" s="30"/>
      <c r="H787" s="30"/>
    </row>
    <row r="788" spans="1:253">
      <c r="A788" s="28"/>
      <c r="B788" s="29"/>
      <c r="C788" s="30"/>
      <c r="D788" s="30"/>
      <c r="E788" s="30"/>
      <c r="F788" s="30"/>
      <c r="G788" s="30"/>
      <c r="H788" s="30"/>
    </row>
    <row r="789" spans="1:253" s="223" customFormat="1">
      <c r="A789" s="28"/>
      <c r="B789" s="29"/>
      <c r="C789" s="30"/>
      <c r="D789" s="30"/>
      <c r="E789" s="30"/>
      <c r="F789" s="30"/>
      <c r="G789" s="30"/>
      <c r="H789" s="30"/>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c r="CC789" s="27"/>
      <c r="CD789" s="27"/>
      <c r="CE789" s="27"/>
      <c r="CF789" s="27"/>
      <c r="CG789" s="27"/>
      <c r="CH789" s="27"/>
      <c r="CI789" s="27"/>
      <c r="CJ789" s="27"/>
      <c r="CK789" s="27"/>
      <c r="CL789" s="27"/>
      <c r="CM789" s="27"/>
      <c r="CN789" s="27"/>
      <c r="CO789" s="27"/>
      <c r="CP789" s="27"/>
      <c r="CQ789" s="27"/>
      <c r="CR789" s="27"/>
      <c r="CS789" s="27"/>
      <c r="CT789" s="27"/>
      <c r="CU789" s="27"/>
      <c r="CV789" s="27"/>
      <c r="CW789" s="27"/>
      <c r="CX789" s="27"/>
      <c r="CY789" s="27"/>
      <c r="CZ789" s="27"/>
      <c r="DA789" s="27"/>
      <c r="DB789" s="27"/>
      <c r="DC789" s="27"/>
      <c r="DD789" s="27"/>
      <c r="DE789" s="27"/>
      <c r="DF789" s="27"/>
      <c r="DG789" s="27"/>
      <c r="DH789" s="27"/>
      <c r="DI789" s="27"/>
      <c r="DJ789" s="27"/>
      <c r="DK789" s="27"/>
      <c r="DL789" s="27"/>
      <c r="DM789" s="27"/>
      <c r="DN789" s="27"/>
      <c r="DO789" s="27"/>
      <c r="DP789" s="27"/>
      <c r="DQ789" s="27"/>
      <c r="DR789" s="27"/>
      <c r="DS789" s="27"/>
      <c r="DT789" s="27"/>
      <c r="DU789" s="27"/>
      <c r="DV789" s="27"/>
      <c r="DW789" s="27"/>
      <c r="DX789" s="27"/>
      <c r="DY789" s="27"/>
      <c r="DZ789" s="27"/>
      <c r="EA789" s="27"/>
      <c r="EB789" s="27"/>
      <c r="EC789" s="27"/>
      <c r="ED789" s="27"/>
      <c r="EE789" s="27"/>
      <c r="EF789" s="27"/>
      <c r="EG789" s="27"/>
      <c r="EH789" s="27"/>
      <c r="EI789" s="27"/>
      <c r="EJ789" s="27"/>
      <c r="EK789" s="27"/>
      <c r="EL789" s="27"/>
      <c r="EM789" s="27"/>
      <c r="EN789" s="27"/>
      <c r="EO789" s="27"/>
      <c r="EP789" s="27"/>
      <c r="EQ789" s="27"/>
      <c r="ER789" s="27"/>
      <c r="ES789" s="27"/>
      <c r="ET789" s="27"/>
      <c r="EU789" s="27"/>
      <c r="EV789" s="27"/>
      <c r="EW789" s="27"/>
      <c r="EX789" s="27"/>
      <c r="EY789" s="27"/>
      <c r="EZ789" s="27"/>
      <c r="FA789" s="27"/>
      <c r="FB789" s="27"/>
      <c r="FC789" s="27"/>
      <c r="FD789" s="27"/>
      <c r="FE789" s="27"/>
      <c r="FF789" s="27"/>
      <c r="FG789" s="27"/>
      <c r="FH789" s="27"/>
      <c r="FI789" s="27"/>
      <c r="FJ789" s="27"/>
      <c r="FK789" s="27"/>
      <c r="FL789" s="27"/>
      <c r="FM789" s="27"/>
      <c r="FN789" s="27"/>
      <c r="FO789" s="27"/>
      <c r="FP789" s="27"/>
      <c r="FQ789" s="27"/>
      <c r="FR789" s="27"/>
      <c r="FS789" s="27"/>
      <c r="FT789" s="27"/>
      <c r="FU789" s="27"/>
      <c r="FV789" s="27"/>
      <c r="FW789" s="27"/>
      <c r="FX789" s="27"/>
      <c r="FY789" s="27"/>
      <c r="FZ789" s="27"/>
      <c r="GA789" s="27"/>
      <c r="GB789" s="27"/>
      <c r="GC789" s="27"/>
      <c r="GD789" s="27"/>
      <c r="GE789" s="27"/>
      <c r="GF789" s="27"/>
      <c r="GG789" s="27"/>
      <c r="GH789" s="27"/>
      <c r="GI789" s="27"/>
      <c r="GJ789" s="27"/>
      <c r="GK789" s="27"/>
      <c r="GL789" s="27"/>
      <c r="GM789" s="27"/>
      <c r="GN789" s="27"/>
      <c r="GO789" s="27"/>
      <c r="GP789" s="27"/>
      <c r="GQ789" s="27"/>
      <c r="GR789" s="27"/>
      <c r="GS789" s="27"/>
      <c r="GT789" s="27"/>
      <c r="GU789" s="27"/>
      <c r="GV789" s="27"/>
      <c r="GW789" s="27"/>
      <c r="GX789" s="27"/>
      <c r="GY789" s="27"/>
      <c r="GZ789" s="27"/>
      <c r="HA789" s="27"/>
      <c r="HB789" s="27"/>
      <c r="HC789" s="27"/>
      <c r="HD789" s="27"/>
      <c r="HE789" s="27"/>
      <c r="HF789" s="27"/>
      <c r="HG789" s="27"/>
      <c r="HH789" s="27"/>
      <c r="HI789" s="27"/>
      <c r="HJ789" s="27"/>
      <c r="HK789" s="27"/>
      <c r="HL789" s="27"/>
      <c r="HM789" s="27"/>
      <c r="HN789" s="27"/>
      <c r="HO789" s="27"/>
      <c r="HP789" s="27"/>
      <c r="HQ789" s="27"/>
      <c r="HR789" s="27"/>
      <c r="HS789" s="27"/>
      <c r="HT789" s="27"/>
      <c r="HU789" s="27"/>
      <c r="HV789" s="27"/>
      <c r="HW789" s="27"/>
      <c r="HX789" s="27"/>
      <c r="HY789" s="27"/>
      <c r="HZ789" s="27"/>
      <c r="IA789" s="27"/>
      <c r="IB789" s="27"/>
      <c r="IC789" s="27"/>
      <c r="ID789" s="27"/>
      <c r="IE789" s="27"/>
      <c r="IF789" s="27"/>
      <c r="IG789" s="27"/>
      <c r="IH789" s="27"/>
      <c r="II789" s="27"/>
      <c r="IJ789" s="27"/>
      <c r="IK789" s="27"/>
      <c r="IL789" s="27"/>
      <c r="IM789" s="27"/>
      <c r="IN789" s="27"/>
      <c r="IO789" s="27"/>
      <c r="IP789" s="27"/>
      <c r="IQ789" s="27"/>
      <c r="IR789" s="27"/>
      <c r="IS789" s="27"/>
    </row>
    <row r="790" spans="1:253" s="223" customFormat="1">
      <c r="A790" s="28"/>
      <c r="B790" s="29"/>
      <c r="C790" s="30"/>
      <c r="D790" s="30"/>
      <c r="E790" s="30"/>
      <c r="F790" s="30"/>
      <c r="G790" s="30"/>
      <c r="H790" s="30"/>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c r="CC790" s="27"/>
      <c r="CD790" s="27"/>
      <c r="CE790" s="27"/>
      <c r="CF790" s="27"/>
      <c r="CG790" s="27"/>
      <c r="CH790" s="27"/>
      <c r="CI790" s="27"/>
      <c r="CJ790" s="27"/>
      <c r="CK790" s="27"/>
      <c r="CL790" s="27"/>
      <c r="CM790" s="27"/>
      <c r="CN790" s="27"/>
      <c r="CO790" s="27"/>
      <c r="CP790" s="27"/>
      <c r="CQ790" s="27"/>
      <c r="CR790" s="27"/>
      <c r="CS790" s="27"/>
      <c r="CT790" s="27"/>
      <c r="CU790" s="27"/>
      <c r="CV790" s="27"/>
      <c r="CW790" s="27"/>
      <c r="CX790" s="27"/>
      <c r="CY790" s="27"/>
      <c r="CZ790" s="27"/>
      <c r="DA790" s="27"/>
      <c r="DB790" s="27"/>
      <c r="DC790" s="27"/>
      <c r="DD790" s="27"/>
      <c r="DE790" s="27"/>
      <c r="DF790" s="27"/>
      <c r="DG790" s="27"/>
      <c r="DH790" s="27"/>
      <c r="DI790" s="27"/>
      <c r="DJ790" s="27"/>
      <c r="DK790" s="27"/>
      <c r="DL790" s="27"/>
      <c r="DM790" s="27"/>
      <c r="DN790" s="27"/>
      <c r="DO790" s="27"/>
      <c r="DP790" s="27"/>
      <c r="DQ790" s="27"/>
      <c r="DR790" s="27"/>
      <c r="DS790" s="27"/>
      <c r="DT790" s="27"/>
      <c r="DU790" s="27"/>
      <c r="DV790" s="27"/>
      <c r="DW790" s="27"/>
      <c r="DX790" s="27"/>
      <c r="DY790" s="27"/>
      <c r="DZ790" s="27"/>
      <c r="EA790" s="27"/>
      <c r="EB790" s="27"/>
      <c r="EC790" s="27"/>
      <c r="ED790" s="27"/>
      <c r="EE790" s="27"/>
      <c r="EF790" s="27"/>
      <c r="EG790" s="27"/>
      <c r="EH790" s="27"/>
      <c r="EI790" s="27"/>
      <c r="EJ790" s="27"/>
      <c r="EK790" s="27"/>
      <c r="EL790" s="27"/>
      <c r="EM790" s="27"/>
      <c r="EN790" s="27"/>
      <c r="EO790" s="27"/>
      <c r="EP790" s="27"/>
      <c r="EQ790" s="27"/>
      <c r="ER790" s="27"/>
      <c r="ES790" s="27"/>
      <c r="ET790" s="27"/>
      <c r="EU790" s="27"/>
      <c r="EV790" s="27"/>
      <c r="EW790" s="27"/>
      <c r="EX790" s="27"/>
      <c r="EY790" s="27"/>
      <c r="EZ790" s="27"/>
      <c r="FA790" s="27"/>
      <c r="FB790" s="27"/>
      <c r="FC790" s="27"/>
      <c r="FD790" s="27"/>
      <c r="FE790" s="27"/>
      <c r="FF790" s="27"/>
      <c r="FG790" s="27"/>
      <c r="FH790" s="27"/>
      <c r="FI790" s="27"/>
      <c r="FJ790" s="27"/>
      <c r="FK790" s="27"/>
      <c r="FL790" s="27"/>
      <c r="FM790" s="27"/>
      <c r="FN790" s="27"/>
      <c r="FO790" s="27"/>
      <c r="FP790" s="27"/>
      <c r="FQ790" s="27"/>
      <c r="FR790" s="27"/>
      <c r="FS790" s="27"/>
      <c r="FT790" s="27"/>
      <c r="FU790" s="27"/>
      <c r="FV790" s="27"/>
      <c r="FW790" s="27"/>
      <c r="FX790" s="27"/>
      <c r="FY790" s="27"/>
      <c r="FZ790" s="27"/>
      <c r="GA790" s="27"/>
      <c r="GB790" s="27"/>
      <c r="GC790" s="27"/>
      <c r="GD790" s="27"/>
      <c r="GE790" s="27"/>
      <c r="GF790" s="27"/>
      <c r="GG790" s="27"/>
      <c r="GH790" s="27"/>
      <c r="GI790" s="27"/>
      <c r="GJ790" s="27"/>
      <c r="GK790" s="27"/>
      <c r="GL790" s="27"/>
      <c r="GM790" s="27"/>
      <c r="GN790" s="27"/>
      <c r="GO790" s="27"/>
      <c r="GP790" s="27"/>
      <c r="GQ790" s="27"/>
      <c r="GR790" s="27"/>
      <c r="GS790" s="27"/>
      <c r="GT790" s="27"/>
      <c r="GU790" s="27"/>
      <c r="GV790" s="27"/>
      <c r="GW790" s="27"/>
      <c r="GX790" s="27"/>
      <c r="GY790" s="27"/>
      <c r="GZ790" s="27"/>
      <c r="HA790" s="27"/>
      <c r="HB790" s="27"/>
      <c r="HC790" s="27"/>
      <c r="HD790" s="27"/>
      <c r="HE790" s="27"/>
      <c r="HF790" s="27"/>
      <c r="HG790" s="27"/>
      <c r="HH790" s="27"/>
      <c r="HI790" s="27"/>
      <c r="HJ790" s="27"/>
      <c r="HK790" s="27"/>
      <c r="HL790" s="27"/>
      <c r="HM790" s="27"/>
      <c r="HN790" s="27"/>
      <c r="HO790" s="27"/>
      <c r="HP790" s="27"/>
      <c r="HQ790" s="27"/>
      <c r="HR790" s="27"/>
      <c r="HS790" s="27"/>
      <c r="HT790" s="27"/>
      <c r="HU790" s="27"/>
      <c r="HV790" s="27"/>
      <c r="HW790" s="27"/>
      <c r="HX790" s="27"/>
      <c r="HY790" s="27"/>
      <c r="HZ790" s="27"/>
      <c r="IA790" s="27"/>
      <c r="IB790" s="27"/>
      <c r="IC790" s="27"/>
      <c r="ID790" s="27"/>
      <c r="IE790" s="27"/>
      <c r="IF790" s="27"/>
      <c r="IG790" s="27"/>
      <c r="IH790" s="27"/>
      <c r="II790" s="27"/>
      <c r="IJ790" s="27"/>
      <c r="IK790" s="27"/>
      <c r="IL790" s="27"/>
      <c r="IM790" s="27"/>
      <c r="IN790" s="27"/>
      <c r="IO790" s="27"/>
      <c r="IP790" s="27"/>
      <c r="IQ790" s="27"/>
      <c r="IR790" s="27"/>
      <c r="IS790" s="27"/>
    </row>
    <row r="791" spans="1:253" s="223" customFormat="1">
      <c r="A791" s="28"/>
      <c r="B791" s="29"/>
      <c r="C791" s="30"/>
      <c r="D791" s="30"/>
      <c r="E791" s="30"/>
      <c r="F791" s="30"/>
      <c r="G791" s="30"/>
      <c r="H791" s="30"/>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c r="CC791" s="27"/>
      <c r="CD791" s="27"/>
      <c r="CE791" s="27"/>
      <c r="CF791" s="27"/>
      <c r="CG791" s="27"/>
      <c r="CH791" s="27"/>
      <c r="CI791" s="27"/>
      <c r="CJ791" s="27"/>
      <c r="CK791" s="27"/>
      <c r="CL791" s="27"/>
      <c r="CM791" s="27"/>
      <c r="CN791" s="27"/>
      <c r="CO791" s="27"/>
      <c r="CP791" s="27"/>
      <c r="CQ791" s="27"/>
      <c r="CR791" s="27"/>
      <c r="CS791" s="27"/>
      <c r="CT791" s="27"/>
      <c r="CU791" s="27"/>
      <c r="CV791" s="27"/>
      <c r="CW791" s="27"/>
      <c r="CX791" s="27"/>
      <c r="CY791" s="27"/>
      <c r="CZ791" s="27"/>
      <c r="DA791" s="27"/>
      <c r="DB791" s="27"/>
      <c r="DC791" s="27"/>
      <c r="DD791" s="27"/>
      <c r="DE791" s="27"/>
      <c r="DF791" s="27"/>
      <c r="DG791" s="27"/>
      <c r="DH791" s="27"/>
      <c r="DI791" s="27"/>
      <c r="DJ791" s="27"/>
      <c r="DK791" s="27"/>
      <c r="DL791" s="27"/>
      <c r="DM791" s="27"/>
      <c r="DN791" s="27"/>
      <c r="DO791" s="27"/>
      <c r="DP791" s="27"/>
      <c r="DQ791" s="27"/>
      <c r="DR791" s="27"/>
      <c r="DS791" s="27"/>
      <c r="DT791" s="27"/>
      <c r="DU791" s="27"/>
      <c r="DV791" s="27"/>
      <c r="DW791" s="27"/>
      <c r="DX791" s="27"/>
      <c r="DY791" s="27"/>
      <c r="DZ791" s="27"/>
      <c r="EA791" s="27"/>
      <c r="EB791" s="27"/>
      <c r="EC791" s="27"/>
      <c r="ED791" s="27"/>
      <c r="EE791" s="27"/>
      <c r="EF791" s="27"/>
      <c r="EG791" s="27"/>
      <c r="EH791" s="27"/>
      <c r="EI791" s="27"/>
      <c r="EJ791" s="27"/>
      <c r="EK791" s="27"/>
      <c r="EL791" s="27"/>
      <c r="EM791" s="27"/>
      <c r="EN791" s="27"/>
      <c r="EO791" s="27"/>
      <c r="EP791" s="27"/>
      <c r="EQ791" s="27"/>
      <c r="ER791" s="27"/>
      <c r="ES791" s="27"/>
      <c r="ET791" s="27"/>
      <c r="EU791" s="27"/>
      <c r="EV791" s="27"/>
      <c r="EW791" s="27"/>
      <c r="EX791" s="27"/>
      <c r="EY791" s="27"/>
      <c r="EZ791" s="27"/>
      <c r="FA791" s="27"/>
      <c r="FB791" s="27"/>
      <c r="FC791" s="27"/>
      <c r="FD791" s="27"/>
      <c r="FE791" s="27"/>
      <c r="FF791" s="27"/>
      <c r="FG791" s="27"/>
      <c r="FH791" s="27"/>
      <c r="FI791" s="27"/>
      <c r="FJ791" s="27"/>
      <c r="FK791" s="27"/>
      <c r="FL791" s="27"/>
      <c r="FM791" s="27"/>
      <c r="FN791" s="27"/>
      <c r="FO791" s="27"/>
      <c r="FP791" s="27"/>
      <c r="FQ791" s="27"/>
      <c r="FR791" s="27"/>
      <c r="FS791" s="27"/>
      <c r="FT791" s="27"/>
      <c r="FU791" s="27"/>
      <c r="FV791" s="27"/>
      <c r="FW791" s="27"/>
      <c r="FX791" s="27"/>
      <c r="FY791" s="27"/>
      <c r="FZ791" s="27"/>
      <c r="GA791" s="27"/>
      <c r="GB791" s="27"/>
      <c r="GC791" s="27"/>
      <c r="GD791" s="27"/>
      <c r="GE791" s="27"/>
      <c r="GF791" s="27"/>
      <c r="GG791" s="27"/>
      <c r="GH791" s="27"/>
      <c r="GI791" s="27"/>
      <c r="GJ791" s="27"/>
      <c r="GK791" s="27"/>
      <c r="GL791" s="27"/>
      <c r="GM791" s="27"/>
      <c r="GN791" s="27"/>
      <c r="GO791" s="27"/>
      <c r="GP791" s="27"/>
      <c r="GQ791" s="27"/>
      <c r="GR791" s="27"/>
      <c r="GS791" s="27"/>
      <c r="GT791" s="27"/>
      <c r="GU791" s="27"/>
      <c r="GV791" s="27"/>
      <c r="GW791" s="27"/>
      <c r="GX791" s="27"/>
      <c r="GY791" s="27"/>
      <c r="GZ791" s="27"/>
      <c r="HA791" s="27"/>
      <c r="HB791" s="27"/>
      <c r="HC791" s="27"/>
      <c r="HD791" s="27"/>
      <c r="HE791" s="27"/>
      <c r="HF791" s="27"/>
      <c r="HG791" s="27"/>
      <c r="HH791" s="27"/>
      <c r="HI791" s="27"/>
      <c r="HJ791" s="27"/>
      <c r="HK791" s="27"/>
      <c r="HL791" s="27"/>
      <c r="HM791" s="27"/>
      <c r="HN791" s="27"/>
      <c r="HO791" s="27"/>
      <c r="HP791" s="27"/>
      <c r="HQ791" s="27"/>
      <c r="HR791" s="27"/>
      <c r="HS791" s="27"/>
      <c r="HT791" s="27"/>
      <c r="HU791" s="27"/>
      <c r="HV791" s="27"/>
      <c r="HW791" s="27"/>
      <c r="HX791" s="27"/>
      <c r="HY791" s="27"/>
      <c r="HZ791" s="27"/>
      <c r="IA791" s="27"/>
      <c r="IB791" s="27"/>
      <c r="IC791" s="27"/>
      <c r="ID791" s="27"/>
      <c r="IE791" s="27"/>
      <c r="IF791" s="27"/>
      <c r="IG791" s="27"/>
      <c r="IH791" s="27"/>
      <c r="II791" s="27"/>
      <c r="IJ791" s="27"/>
      <c r="IK791" s="27"/>
      <c r="IL791" s="27"/>
      <c r="IM791" s="27"/>
      <c r="IN791" s="27"/>
      <c r="IO791" s="27"/>
      <c r="IP791" s="27"/>
      <c r="IQ791" s="27"/>
      <c r="IR791" s="27"/>
      <c r="IS791" s="27"/>
    </row>
    <row r="792" spans="1:253" s="223" customFormat="1">
      <c r="A792" s="28"/>
      <c r="B792" s="29"/>
      <c r="C792" s="30"/>
      <c r="D792" s="30"/>
      <c r="E792" s="30"/>
      <c r="F792" s="30"/>
      <c r="G792" s="30"/>
      <c r="H792" s="30"/>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c r="CC792" s="27"/>
      <c r="CD792" s="27"/>
      <c r="CE792" s="27"/>
      <c r="CF792" s="27"/>
      <c r="CG792" s="27"/>
      <c r="CH792" s="27"/>
      <c r="CI792" s="27"/>
      <c r="CJ792" s="27"/>
      <c r="CK792" s="27"/>
      <c r="CL792" s="27"/>
      <c r="CM792" s="27"/>
      <c r="CN792" s="27"/>
      <c r="CO792" s="27"/>
      <c r="CP792" s="27"/>
      <c r="CQ792" s="27"/>
      <c r="CR792" s="27"/>
      <c r="CS792" s="27"/>
      <c r="CT792" s="27"/>
      <c r="CU792" s="27"/>
      <c r="CV792" s="27"/>
      <c r="CW792" s="27"/>
      <c r="CX792" s="27"/>
      <c r="CY792" s="27"/>
      <c r="CZ792" s="27"/>
      <c r="DA792" s="27"/>
      <c r="DB792" s="27"/>
      <c r="DC792" s="27"/>
      <c r="DD792" s="27"/>
      <c r="DE792" s="27"/>
      <c r="DF792" s="27"/>
      <c r="DG792" s="27"/>
      <c r="DH792" s="27"/>
      <c r="DI792" s="27"/>
      <c r="DJ792" s="27"/>
      <c r="DK792" s="27"/>
      <c r="DL792" s="27"/>
      <c r="DM792" s="27"/>
      <c r="DN792" s="27"/>
      <c r="DO792" s="27"/>
      <c r="DP792" s="27"/>
      <c r="DQ792" s="27"/>
      <c r="DR792" s="27"/>
      <c r="DS792" s="27"/>
      <c r="DT792" s="27"/>
      <c r="DU792" s="27"/>
      <c r="DV792" s="27"/>
      <c r="DW792" s="27"/>
      <c r="DX792" s="27"/>
      <c r="DY792" s="27"/>
      <c r="DZ792" s="27"/>
      <c r="EA792" s="27"/>
      <c r="EB792" s="27"/>
      <c r="EC792" s="27"/>
      <c r="ED792" s="27"/>
      <c r="EE792" s="27"/>
      <c r="EF792" s="27"/>
      <c r="EG792" s="27"/>
      <c r="EH792" s="27"/>
      <c r="EI792" s="27"/>
      <c r="EJ792" s="27"/>
      <c r="EK792" s="27"/>
      <c r="EL792" s="27"/>
      <c r="EM792" s="27"/>
      <c r="EN792" s="27"/>
      <c r="EO792" s="27"/>
      <c r="EP792" s="27"/>
      <c r="EQ792" s="27"/>
      <c r="ER792" s="27"/>
      <c r="ES792" s="27"/>
      <c r="ET792" s="27"/>
      <c r="EU792" s="27"/>
      <c r="EV792" s="27"/>
      <c r="EW792" s="27"/>
      <c r="EX792" s="27"/>
      <c r="EY792" s="27"/>
      <c r="EZ792" s="27"/>
      <c r="FA792" s="27"/>
      <c r="FB792" s="27"/>
      <c r="FC792" s="27"/>
      <c r="FD792" s="27"/>
      <c r="FE792" s="27"/>
      <c r="FF792" s="27"/>
      <c r="FG792" s="27"/>
      <c r="FH792" s="27"/>
      <c r="FI792" s="27"/>
      <c r="FJ792" s="27"/>
      <c r="FK792" s="27"/>
      <c r="FL792" s="27"/>
      <c r="FM792" s="27"/>
      <c r="FN792" s="27"/>
      <c r="FO792" s="27"/>
      <c r="FP792" s="27"/>
      <c r="FQ792" s="27"/>
      <c r="FR792" s="27"/>
      <c r="FS792" s="27"/>
      <c r="FT792" s="27"/>
      <c r="FU792" s="27"/>
      <c r="FV792" s="27"/>
      <c r="FW792" s="27"/>
      <c r="FX792" s="27"/>
      <c r="FY792" s="27"/>
      <c r="FZ792" s="27"/>
      <c r="GA792" s="27"/>
      <c r="GB792" s="27"/>
      <c r="GC792" s="27"/>
      <c r="GD792" s="27"/>
      <c r="GE792" s="27"/>
      <c r="GF792" s="27"/>
      <c r="GG792" s="27"/>
      <c r="GH792" s="27"/>
      <c r="GI792" s="27"/>
      <c r="GJ792" s="27"/>
      <c r="GK792" s="27"/>
      <c r="GL792" s="27"/>
      <c r="GM792" s="27"/>
      <c r="GN792" s="27"/>
      <c r="GO792" s="27"/>
      <c r="GP792" s="27"/>
      <c r="GQ792" s="27"/>
      <c r="GR792" s="27"/>
      <c r="GS792" s="27"/>
      <c r="GT792" s="27"/>
      <c r="GU792" s="27"/>
      <c r="GV792" s="27"/>
      <c r="GW792" s="27"/>
      <c r="GX792" s="27"/>
      <c r="GY792" s="27"/>
      <c r="GZ792" s="27"/>
      <c r="HA792" s="27"/>
      <c r="HB792" s="27"/>
      <c r="HC792" s="27"/>
      <c r="HD792" s="27"/>
      <c r="HE792" s="27"/>
      <c r="HF792" s="27"/>
      <c r="HG792" s="27"/>
      <c r="HH792" s="27"/>
      <c r="HI792" s="27"/>
      <c r="HJ792" s="27"/>
      <c r="HK792" s="27"/>
      <c r="HL792" s="27"/>
      <c r="HM792" s="27"/>
      <c r="HN792" s="27"/>
      <c r="HO792" s="27"/>
      <c r="HP792" s="27"/>
      <c r="HQ792" s="27"/>
      <c r="HR792" s="27"/>
      <c r="HS792" s="27"/>
      <c r="HT792" s="27"/>
      <c r="HU792" s="27"/>
      <c r="HV792" s="27"/>
      <c r="HW792" s="27"/>
      <c r="HX792" s="27"/>
      <c r="HY792" s="27"/>
      <c r="HZ792" s="27"/>
      <c r="IA792" s="27"/>
      <c r="IB792" s="27"/>
      <c r="IC792" s="27"/>
      <c r="ID792" s="27"/>
      <c r="IE792" s="27"/>
      <c r="IF792" s="27"/>
      <c r="IG792" s="27"/>
      <c r="IH792" s="27"/>
      <c r="II792" s="27"/>
      <c r="IJ792" s="27"/>
      <c r="IK792" s="27"/>
      <c r="IL792" s="27"/>
      <c r="IM792" s="27"/>
      <c r="IN792" s="27"/>
      <c r="IO792" s="27"/>
      <c r="IP792" s="27"/>
      <c r="IQ792" s="27"/>
      <c r="IR792" s="27"/>
      <c r="IS792" s="27"/>
    </row>
    <row r="793" spans="1:253" s="223" customFormat="1">
      <c r="A793" s="28"/>
      <c r="B793" s="29"/>
      <c r="C793" s="30"/>
      <c r="D793" s="30"/>
      <c r="E793" s="30"/>
      <c r="F793" s="30"/>
      <c r="G793" s="30"/>
      <c r="H793" s="30"/>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c r="CC793" s="27"/>
      <c r="CD793" s="27"/>
      <c r="CE793" s="27"/>
      <c r="CF793" s="27"/>
      <c r="CG793" s="27"/>
      <c r="CH793" s="27"/>
      <c r="CI793" s="27"/>
      <c r="CJ793" s="27"/>
      <c r="CK793" s="27"/>
      <c r="CL793" s="27"/>
      <c r="CM793" s="27"/>
      <c r="CN793" s="27"/>
      <c r="CO793" s="27"/>
      <c r="CP793" s="27"/>
      <c r="CQ793" s="27"/>
      <c r="CR793" s="27"/>
      <c r="CS793" s="27"/>
      <c r="CT793" s="27"/>
      <c r="CU793" s="27"/>
      <c r="CV793" s="27"/>
      <c r="CW793" s="27"/>
      <c r="CX793" s="27"/>
      <c r="CY793" s="27"/>
      <c r="CZ793" s="27"/>
      <c r="DA793" s="27"/>
      <c r="DB793" s="27"/>
      <c r="DC793" s="27"/>
      <c r="DD793" s="27"/>
      <c r="DE793" s="27"/>
      <c r="DF793" s="27"/>
      <c r="DG793" s="27"/>
      <c r="DH793" s="27"/>
      <c r="DI793" s="27"/>
      <c r="DJ793" s="27"/>
      <c r="DK793" s="27"/>
      <c r="DL793" s="27"/>
      <c r="DM793" s="27"/>
      <c r="DN793" s="27"/>
      <c r="DO793" s="27"/>
      <c r="DP793" s="27"/>
      <c r="DQ793" s="27"/>
      <c r="DR793" s="27"/>
      <c r="DS793" s="27"/>
      <c r="DT793" s="27"/>
      <c r="DU793" s="27"/>
      <c r="DV793" s="27"/>
      <c r="DW793" s="27"/>
      <c r="DX793" s="27"/>
      <c r="DY793" s="27"/>
      <c r="DZ793" s="27"/>
      <c r="EA793" s="27"/>
      <c r="EB793" s="27"/>
      <c r="EC793" s="27"/>
      <c r="ED793" s="27"/>
      <c r="EE793" s="27"/>
      <c r="EF793" s="27"/>
      <c r="EG793" s="27"/>
      <c r="EH793" s="27"/>
      <c r="EI793" s="27"/>
      <c r="EJ793" s="27"/>
      <c r="EK793" s="27"/>
      <c r="EL793" s="27"/>
      <c r="EM793" s="27"/>
      <c r="EN793" s="27"/>
      <c r="EO793" s="27"/>
      <c r="EP793" s="27"/>
      <c r="EQ793" s="27"/>
      <c r="ER793" s="27"/>
      <c r="ES793" s="27"/>
      <c r="ET793" s="27"/>
      <c r="EU793" s="27"/>
      <c r="EV793" s="27"/>
      <c r="EW793" s="27"/>
      <c r="EX793" s="27"/>
      <c r="EY793" s="27"/>
      <c r="EZ793" s="27"/>
      <c r="FA793" s="27"/>
      <c r="FB793" s="27"/>
      <c r="FC793" s="27"/>
      <c r="FD793" s="27"/>
      <c r="FE793" s="27"/>
      <c r="FF793" s="27"/>
      <c r="FG793" s="27"/>
      <c r="FH793" s="27"/>
      <c r="FI793" s="27"/>
      <c r="FJ793" s="27"/>
      <c r="FK793" s="27"/>
      <c r="FL793" s="27"/>
      <c r="FM793" s="27"/>
      <c r="FN793" s="27"/>
      <c r="FO793" s="27"/>
      <c r="FP793" s="27"/>
      <c r="FQ793" s="27"/>
      <c r="FR793" s="27"/>
      <c r="FS793" s="27"/>
      <c r="FT793" s="27"/>
      <c r="FU793" s="27"/>
      <c r="FV793" s="27"/>
      <c r="FW793" s="27"/>
      <c r="FX793" s="27"/>
      <c r="FY793" s="27"/>
      <c r="FZ793" s="27"/>
      <c r="GA793" s="27"/>
      <c r="GB793" s="27"/>
      <c r="GC793" s="27"/>
      <c r="GD793" s="27"/>
      <c r="GE793" s="27"/>
      <c r="GF793" s="27"/>
      <c r="GG793" s="27"/>
      <c r="GH793" s="27"/>
      <c r="GI793" s="27"/>
      <c r="GJ793" s="27"/>
      <c r="GK793" s="27"/>
      <c r="GL793" s="27"/>
      <c r="GM793" s="27"/>
      <c r="GN793" s="27"/>
      <c r="GO793" s="27"/>
      <c r="GP793" s="27"/>
      <c r="GQ793" s="27"/>
      <c r="GR793" s="27"/>
      <c r="GS793" s="27"/>
      <c r="GT793" s="27"/>
      <c r="GU793" s="27"/>
      <c r="GV793" s="27"/>
      <c r="GW793" s="27"/>
      <c r="GX793" s="27"/>
      <c r="GY793" s="27"/>
      <c r="GZ793" s="27"/>
      <c r="HA793" s="27"/>
      <c r="HB793" s="27"/>
      <c r="HC793" s="27"/>
      <c r="HD793" s="27"/>
      <c r="HE793" s="27"/>
      <c r="HF793" s="27"/>
      <c r="HG793" s="27"/>
      <c r="HH793" s="27"/>
      <c r="HI793" s="27"/>
      <c r="HJ793" s="27"/>
      <c r="HK793" s="27"/>
      <c r="HL793" s="27"/>
      <c r="HM793" s="27"/>
      <c r="HN793" s="27"/>
      <c r="HO793" s="27"/>
      <c r="HP793" s="27"/>
      <c r="HQ793" s="27"/>
      <c r="HR793" s="27"/>
      <c r="HS793" s="27"/>
      <c r="HT793" s="27"/>
      <c r="HU793" s="27"/>
      <c r="HV793" s="27"/>
      <c r="HW793" s="27"/>
      <c r="HX793" s="27"/>
      <c r="HY793" s="27"/>
      <c r="HZ793" s="27"/>
      <c r="IA793" s="27"/>
      <c r="IB793" s="27"/>
      <c r="IC793" s="27"/>
      <c r="ID793" s="27"/>
      <c r="IE793" s="27"/>
      <c r="IF793" s="27"/>
      <c r="IG793" s="27"/>
      <c r="IH793" s="27"/>
      <c r="II793" s="27"/>
      <c r="IJ793" s="27"/>
      <c r="IK793" s="27"/>
      <c r="IL793" s="27"/>
      <c r="IM793" s="27"/>
      <c r="IN793" s="27"/>
      <c r="IO793" s="27"/>
      <c r="IP793" s="27"/>
      <c r="IQ793" s="27"/>
      <c r="IR793" s="27"/>
      <c r="IS793" s="27"/>
    </row>
    <row r="794" spans="1:253" s="223" customFormat="1">
      <c r="A794" s="28"/>
      <c r="B794" s="29"/>
      <c r="C794" s="30"/>
      <c r="D794" s="30"/>
      <c r="E794" s="30"/>
      <c r="F794" s="30"/>
      <c r="G794" s="30"/>
      <c r="H794" s="30"/>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c r="CC794" s="27"/>
      <c r="CD794" s="27"/>
      <c r="CE794" s="27"/>
      <c r="CF794" s="27"/>
      <c r="CG794" s="27"/>
      <c r="CH794" s="27"/>
      <c r="CI794" s="27"/>
      <c r="CJ794" s="27"/>
      <c r="CK794" s="27"/>
      <c r="CL794" s="27"/>
      <c r="CM794" s="27"/>
      <c r="CN794" s="27"/>
      <c r="CO794" s="27"/>
      <c r="CP794" s="27"/>
      <c r="CQ794" s="27"/>
      <c r="CR794" s="27"/>
      <c r="CS794" s="27"/>
      <c r="CT794" s="27"/>
      <c r="CU794" s="27"/>
      <c r="CV794" s="27"/>
      <c r="CW794" s="27"/>
      <c r="CX794" s="27"/>
      <c r="CY794" s="27"/>
      <c r="CZ794" s="27"/>
      <c r="DA794" s="27"/>
      <c r="DB794" s="27"/>
      <c r="DC794" s="27"/>
      <c r="DD794" s="27"/>
      <c r="DE794" s="27"/>
      <c r="DF794" s="27"/>
      <c r="DG794" s="27"/>
      <c r="DH794" s="27"/>
      <c r="DI794" s="27"/>
      <c r="DJ794" s="27"/>
      <c r="DK794" s="27"/>
      <c r="DL794" s="27"/>
      <c r="DM794" s="27"/>
      <c r="DN794" s="27"/>
      <c r="DO794" s="27"/>
      <c r="DP794" s="27"/>
      <c r="DQ794" s="27"/>
      <c r="DR794" s="27"/>
      <c r="DS794" s="27"/>
      <c r="DT794" s="27"/>
      <c r="DU794" s="27"/>
      <c r="DV794" s="27"/>
      <c r="DW794" s="27"/>
      <c r="DX794" s="27"/>
      <c r="DY794" s="27"/>
      <c r="DZ794" s="27"/>
      <c r="EA794" s="27"/>
      <c r="EB794" s="27"/>
      <c r="EC794" s="27"/>
      <c r="ED794" s="27"/>
      <c r="EE794" s="27"/>
      <c r="EF794" s="27"/>
      <c r="EG794" s="27"/>
      <c r="EH794" s="27"/>
      <c r="EI794" s="27"/>
      <c r="EJ794" s="27"/>
      <c r="EK794" s="27"/>
      <c r="EL794" s="27"/>
      <c r="EM794" s="27"/>
      <c r="EN794" s="27"/>
      <c r="EO794" s="27"/>
      <c r="EP794" s="27"/>
      <c r="EQ794" s="27"/>
      <c r="ER794" s="27"/>
      <c r="ES794" s="27"/>
      <c r="ET794" s="27"/>
      <c r="EU794" s="27"/>
      <c r="EV794" s="27"/>
      <c r="EW794" s="27"/>
      <c r="EX794" s="27"/>
      <c r="EY794" s="27"/>
      <c r="EZ794" s="27"/>
      <c r="FA794" s="27"/>
      <c r="FB794" s="27"/>
      <c r="FC794" s="27"/>
      <c r="FD794" s="27"/>
      <c r="FE794" s="27"/>
      <c r="FF794" s="27"/>
      <c r="FG794" s="27"/>
      <c r="FH794" s="27"/>
      <c r="FI794" s="27"/>
      <c r="FJ794" s="27"/>
      <c r="FK794" s="27"/>
      <c r="FL794" s="27"/>
      <c r="FM794" s="27"/>
      <c r="FN794" s="27"/>
      <c r="FO794" s="27"/>
      <c r="FP794" s="27"/>
      <c r="FQ794" s="27"/>
      <c r="FR794" s="27"/>
      <c r="FS794" s="27"/>
      <c r="FT794" s="27"/>
      <c r="FU794" s="27"/>
      <c r="FV794" s="27"/>
      <c r="FW794" s="27"/>
      <c r="FX794" s="27"/>
      <c r="FY794" s="27"/>
      <c r="FZ794" s="27"/>
      <c r="GA794" s="27"/>
      <c r="GB794" s="27"/>
      <c r="GC794" s="27"/>
      <c r="GD794" s="27"/>
      <c r="GE794" s="27"/>
      <c r="GF794" s="27"/>
      <c r="GG794" s="27"/>
      <c r="GH794" s="27"/>
      <c r="GI794" s="27"/>
      <c r="GJ794" s="27"/>
      <c r="GK794" s="27"/>
      <c r="GL794" s="27"/>
      <c r="GM794" s="27"/>
      <c r="GN794" s="27"/>
      <c r="GO794" s="27"/>
      <c r="GP794" s="27"/>
      <c r="GQ794" s="27"/>
      <c r="GR794" s="27"/>
      <c r="GS794" s="27"/>
      <c r="GT794" s="27"/>
      <c r="GU794" s="27"/>
      <c r="GV794" s="27"/>
      <c r="GW794" s="27"/>
      <c r="GX794" s="27"/>
      <c r="GY794" s="27"/>
      <c r="GZ794" s="27"/>
      <c r="HA794" s="27"/>
      <c r="HB794" s="27"/>
      <c r="HC794" s="27"/>
      <c r="HD794" s="27"/>
      <c r="HE794" s="27"/>
      <c r="HF794" s="27"/>
      <c r="HG794" s="27"/>
      <c r="HH794" s="27"/>
      <c r="HI794" s="27"/>
      <c r="HJ794" s="27"/>
      <c r="HK794" s="27"/>
      <c r="HL794" s="27"/>
      <c r="HM794" s="27"/>
      <c r="HN794" s="27"/>
      <c r="HO794" s="27"/>
      <c r="HP794" s="27"/>
      <c r="HQ794" s="27"/>
      <c r="HR794" s="27"/>
      <c r="HS794" s="27"/>
      <c r="HT794" s="27"/>
      <c r="HU794" s="27"/>
      <c r="HV794" s="27"/>
      <c r="HW794" s="27"/>
      <c r="HX794" s="27"/>
      <c r="HY794" s="27"/>
      <c r="HZ794" s="27"/>
      <c r="IA794" s="27"/>
      <c r="IB794" s="27"/>
      <c r="IC794" s="27"/>
      <c r="ID794" s="27"/>
      <c r="IE794" s="27"/>
      <c r="IF794" s="27"/>
      <c r="IG794" s="27"/>
      <c r="IH794" s="27"/>
      <c r="II794" s="27"/>
      <c r="IJ794" s="27"/>
      <c r="IK794" s="27"/>
      <c r="IL794" s="27"/>
      <c r="IM794" s="27"/>
      <c r="IN794" s="27"/>
      <c r="IO794" s="27"/>
      <c r="IP794" s="27"/>
      <c r="IQ794" s="27"/>
      <c r="IR794" s="27"/>
      <c r="IS794" s="27"/>
    </row>
    <row r="795" spans="1:253" s="223" customFormat="1">
      <c r="A795" s="28"/>
      <c r="B795" s="29"/>
      <c r="C795" s="30"/>
      <c r="D795" s="30"/>
      <c r="E795" s="30"/>
      <c r="F795" s="30"/>
      <c r="G795" s="30"/>
      <c r="H795" s="30"/>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c r="CC795" s="27"/>
      <c r="CD795" s="27"/>
      <c r="CE795" s="27"/>
      <c r="CF795" s="27"/>
      <c r="CG795" s="27"/>
      <c r="CH795" s="27"/>
      <c r="CI795" s="27"/>
      <c r="CJ795" s="27"/>
      <c r="CK795" s="27"/>
      <c r="CL795" s="27"/>
      <c r="CM795" s="27"/>
      <c r="CN795" s="27"/>
      <c r="CO795" s="27"/>
      <c r="CP795" s="27"/>
      <c r="CQ795" s="27"/>
      <c r="CR795" s="27"/>
      <c r="CS795" s="27"/>
      <c r="CT795" s="27"/>
      <c r="CU795" s="27"/>
      <c r="CV795" s="27"/>
      <c r="CW795" s="27"/>
      <c r="CX795" s="27"/>
      <c r="CY795" s="27"/>
      <c r="CZ795" s="27"/>
      <c r="DA795" s="27"/>
      <c r="DB795" s="27"/>
      <c r="DC795" s="27"/>
      <c r="DD795" s="27"/>
      <c r="DE795" s="27"/>
      <c r="DF795" s="27"/>
      <c r="DG795" s="27"/>
      <c r="DH795" s="27"/>
      <c r="DI795" s="27"/>
      <c r="DJ795" s="27"/>
      <c r="DK795" s="27"/>
      <c r="DL795" s="27"/>
      <c r="DM795" s="27"/>
      <c r="DN795" s="27"/>
      <c r="DO795" s="27"/>
      <c r="DP795" s="27"/>
      <c r="DQ795" s="27"/>
      <c r="DR795" s="27"/>
      <c r="DS795" s="27"/>
      <c r="DT795" s="27"/>
      <c r="DU795" s="27"/>
      <c r="DV795" s="27"/>
      <c r="DW795" s="27"/>
      <c r="DX795" s="27"/>
      <c r="DY795" s="27"/>
      <c r="DZ795" s="27"/>
      <c r="EA795" s="27"/>
      <c r="EB795" s="27"/>
      <c r="EC795" s="27"/>
      <c r="ED795" s="27"/>
      <c r="EE795" s="27"/>
      <c r="EF795" s="27"/>
      <c r="EG795" s="27"/>
      <c r="EH795" s="27"/>
      <c r="EI795" s="27"/>
      <c r="EJ795" s="27"/>
      <c r="EK795" s="27"/>
      <c r="EL795" s="27"/>
      <c r="EM795" s="27"/>
      <c r="EN795" s="27"/>
      <c r="EO795" s="27"/>
      <c r="EP795" s="27"/>
      <c r="EQ795" s="27"/>
      <c r="ER795" s="27"/>
      <c r="ES795" s="27"/>
      <c r="ET795" s="27"/>
      <c r="EU795" s="27"/>
      <c r="EV795" s="27"/>
      <c r="EW795" s="27"/>
      <c r="EX795" s="27"/>
      <c r="EY795" s="27"/>
      <c r="EZ795" s="27"/>
      <c r="FA795" s="27"/>
      <c r="FB795" s="27"/>
      <c r="FC795" s="27"/>
      <c r="FD795" s="27"/>
      <c r="FE795" s="27"/>
      <c r="FF795" s="27"/>
      <c r="FG795" s="27"/>
      <c r="FH795" s="27"/>
      <c r="FI795" s="27"/>
      <c r="FJ795" s="27"/>
      <c r="FK795" s="27"/>
      <c r="FL795" s="27"/>
      <c r="FM795" s="27"/>
      <c r="FN795" s="27"/>
      <c r="FO795" s="27"/>
      <c r="FP795" s="27"/>
      <c r="FQ795" s="27"/>
      <c r="FR795" s="27"/>
      <c r="FS795" s="27"/>
      <c r="FT795" s="27"/>
      <c r="FU795" s="27"/>
      <c r="FV795" s="27"/>
      <c r="FW795" s="27"/>
      <c r="FX795" s="27"/>
      <c r="FY795" s="27"/>
      <c r="FZ795" s="27"/>
      <c r="GA795" s="27"/>
      <c r="GB795" s="27"/>
      <c r="GC795" s="27"/>
      <c r="GD795" s="27"/>
      <c r="GE795" s="27"/>
      <c r="GF795" s="27"/>
      <c r="GG795" s="27"/>
      <c r="GH795" s="27"/>
      <c r="GI795" s="27"/>
      <c r="GJ795" s="27"/>
      <c r="GK795" s="27"/>
      <c r="GL795" s="27"/>
      <c r="GM795" s="27"/>
      <c r="GN795" s="27"/>
      <c r="GO795" s="27"/>
      <c r="GP795" s="27"/>
      <c r="GQ795" s="27"/>
      <c r="GR795" s="27"/>
      <c r="GS795" s="27"/>
      <c r="GT795" s="27"/>
      <c r="GU795" s="27"/>
      <c r="GV795" s="27"/>
      <c r="GW795" s="27"/>
      <c r="GX795" s="27"/>
      <c r="GY795" s="27"/>
      <c r="GZ795" s="27"/>
      <c r="HA795" s="27"/>
      <c r="HB795" s="27"/>
      <c r="HC795" s="27"/>
      <c r="HD795" s="27"/>
      <c r="HE795" s="27"/>
      <c r="HF795" s="27"/>
      <c r="HG795" s="27"/>
      <c r="HH795" s="27"/>
      <c r="HI795" s="27"/>
      <c r="HJ795" s="27"/>
      <c r="HK795" s="27"/>
      <c r="HL795" s="27"/>
      <c r="HM795" s="27"/>
      <c r="HN795" s="27"/>
      <c r="HO795" s="27"/>
      <c r="HP795" s="27"/>
      <c r="HQ795" s="27"/>
      <c r="HR795" s="27"/>
      <c r="HS795" s="27"/>
      <c r="HT795" s="27"/>
      <c r="HU795" s="27"/>
      <c r="HV795" s="27"/>
      <c r="HW795" s="27"/>
      <c r="HX795" s="27"/>
      <c r="HY795" s="27"/>
      <c r="HZ795" s="27"/>
      <c r="IA795" s="27"/>
      <c r="IB795" s="27"/>
      <c r="IC795" s="27"/>
      <c r="ID795" s="27"/>
      <c r="IE795" s="27"/>
      <c r="IF795" s="27"/>
      <c r="IG795" s="27"/>
      <c r="IH795" s="27"/>
      <c r="II795" s="27"/>
      <c r="IJ795" s="27"/>
      <c r="IK795" s="27"/>
      <c r="IL795" s="27"/>
      <c r="IM795" s="27"/>
      <c r="IN795" s="27"/>
      <c r="IO795" s="27"/>
      <c r="IP795" s="27"/>
      <c r="IQ795" s="27"/>
      <c r="IR795" s="27"/>
      <c r="IS795" s="27"/>
    </row>
    <row r="796" spans="1:253" s="223" customFormat="1">
      <c r="A796" s="28"/>
      <c r="B796" s="29"/>
      <c r="C796" s="30"/>
      <c r="D796" s="30"/>
      <c r="E796" s="30"/>
      <c r="F796" s="30"/>
      <c r="G796" s="30"/>
      <c r="H796" s="30"/>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c r="CC796" s="27"/>
      <c r="CD796" s="27"/>
      <c r="CE796" s="27"/>
      <c r="CF796" s="27"/>
      <c r="CG796" s="27"/>
      <c r="CH796" s="27"/>
      <c r="CI796" s="27"/>
      <c r="CJ796" s="27"/>
      <c r="CK796" s="27"/>
      <c r="CL796" s="27"/>
      <c r="CM796" s="27"/>
      <c r="CN796" s="27"/>
      <c r="CO796" s="27"/>
      <c r="CP796" s="27"/>
      <c r="CQ796" s="27"/>
      <c r="CR796" s="27"/>
      <c r="CS796" s="27"/>
      <c r="CT796" s="27"/>
      <c r="CU796" s="27"/>
      <c r="CV796" s="27"/>
      <c r="CW796" s="27"/>
      <c r="CX796" s="27"/>
      <c r="CY796" s="27"/>
      <c r="CZ796" s="27"/>
      <c r="DA796" s="27"/>
      <c r="DB796" s="27"/>
      <c r="DC796" s="27"/>
      <c r="DD796" s="27"/>
      <c r="DE796" s="27"/>
      <c r="DF796" s="27"/>
      <c r="DG796" s="27"/>
      <c r="DH796" s="27"/>
      <c r="DI796" s="27"/>
      <c r="DJ796" s="27"/>
      <c r="DK796" s="27"/>
      <c r="DL796" s="27"/>
      <c r="DM796" s="27"/>
      <c r="DN796" s="27"/>
      <c r="DO796" s="27"/>
      <c r="DP796" s="27"/>
      <c r="DQ796" s="27"/>
      <c r="DR796" s="27"/>
      <c r="DS796" s="27"/>
      <c r="DT796" s="27"/>
      <c r="DU796" s="27"/>
      <c r="DV796" s="27"/>
      <c r="DW796" s="27"/>
      <c r="DX796" s="27"/>
      <c r="DY796" s="27"/>
      <c r="DZ796" s="27"/>
      <c r="EA796" s="27"/>
      <c r="EB796" s="27"/>
      <c r="EC796" s="27"/>
      <c r="ED796" s="27"/>
      <c r="EE796" s="27"/>
      <c r="EF796" s="27"/>
      <c r="EG796" s="27"/>
      <c r="EH796" s="27"/>
      <c r="EI796" s="27"/>
      <c r="EJ796" s="27"/>
      <c r="EK796" s="27"/>
      <c r="EL796" s="27"/>
      <c r="EM796" s="27"/>
      <c r="EN796" s="27"/>
      <c r="EO796" s="27"/>
      <c r="EP796" s="27"/>
      <c r="EQ796" s="27"/>
      <c r="ER796" s="27"/>
      <c r="ES796" s="27"/>
      <c r="ET796" s="27"/>
      <c r="EU796" s="27"/>
      <c r="EV796" s="27"/>
      <c r="EW796" s="27"/>
      <c r="EX796" s="27"/>
      <c r="EY796" s="27"/>
      <c r="EZ796" s="27"/>
      <c r="FA796" s="27"/>
      <c r="FB796" s="27"/>
      <c r="FC796" s="27"/>
      <c r="FD796" s="27"/>
      <c r="FE796" s="27"/>
      <c r="FF796" s="27"/>
      <c r="FG796" s="27"/>
      <c r="FH796" s="27"/>
      <c r="FI796" s="27"/>
      <c r="FJ796" s="27"/>
      <c r="FK796" s="27"/>
      <c r="FL796" s="27"/>
      <c r="FM796" s="27"/>
      <c r="FN796" s="27"/>
      <c r="FO796" s="27"/>
      <c r="FP796" s="27"/>
      <c r="FQ796" s="27"/>
      <c r="FR796" s="27"/>
      <c r="FS796" s="27"/>
      <c r="FT796" s="27"/>
      <c r="FU796" s="27"/>
      <c r="FV796" s="27"/>
      <c r="FW796" s="27"/>
      <c r="FX796" s="27"/>
      <c r="FY796" s="27"/>
      <c r="FZ796" s="27"/>
      <c r="GA796" s="27"/>
      <c r="GB796" s="27"/>
      <c r="GC796" s="27"/>
      <c r="GD796" s="27"/>
      <c r="GE796" s="27"/>
      <c r="GF796" s="27"/>
      <c r="GG796" s="27"/>
      <c r="GH796" s="27"/>
      <c r="GI796" s="27"/>
      <c r="GJ796" s="27"/>
      <c r="GK796" s="27"/>
      <c r="GL796" s="27"/>
      <c r="GM796" s="27"/>
      <c r="GN796" s="27"/>
      <c r="GO796" s="27"/>
      <c r="GP796" s="27"/>
      <c r="GQ796" s="27"/>
      <c r="GR796" s="27"/>
      <c r="GS796" s="27"/>
      <c r="GT796" s="27"/>
      <c r="GU796" s="27"/>
      <c r="GV796" s="27"/>
      <c r="GW796" s="27"/>
      <c r="GX796" s="27"/>
      <c r="GY796" s="27"/>
      <c r="GZ796" s="27"/>
      <c r="HA796" s="27"/>
      <c r="HB796" s="27"/>
      <c r="HC796" s="27"/>
      <c r="HD796" s="27"/>
      <c r="HE796" s="27"/>
      <c r="HF796" s="27"/>
      <c r="HG796" s="27"/>
      <c r="HH796" s="27"/>
      <c r="HI796" s="27"/>
      <c r="HJ796" s="27"/>
      <c r="HK796" s="27"/>
      <c r="HL796" s="27"/>
      <c r="HM796" s="27"/>
      <c r="HN796" s="27"/>
      <c r="HO796" s="27"/>
      <c r="HP796" s="27"/>
      <c r="HQ796" s="27"/>
      <c r="HR796" s="27"/>
      <c r="HS796" s="27"/>
      <c r="HT796" s="27"/>
      <c r="HU796" s="27"/>
      <c r="HV796" s="27"/>
      <c r="HW796" s="27"/>
      <c r="HX796" s="27"/>
      <c r="HY796" s="27"/>
      <c r="HZ796" s="27"/>
      <c r="IA796" s="27"/>
      <c r="IB796" s="27"/>
      <c r="IC796" s="27"/>
      <c r="ID796" s="27"/>
      <c r="IE796" s="27"/>
      <c r="IF796" s="27"/>
      <c r="IG796" s="27"/>
      <c r="IH796" s="27"/>
      <c r="II796" s="27"/>
      <c r="IJ796" s="27"/>
      <c r="IK796" s="27"/>
      <c r="IL796" s="27"/>
      <c r="IM796" s="27"/>
      <c r="IN796" s="27"/>
      <c r="IO796" s="27"/>
      <c r="IP796" s="27"/>
      <c r="IQ796" s="27"/>
      <c r="IR796" s="27"/>
      <c r="IS796" s="27"/>
    </row>
    <row r="800" spans="1:253" s="223" customFormat="1">
      <c r="A800" s="28"/>
      <c r="B800" s="29"/>
      <c r="C800" s="30"/>
      <c r="D800" s="30"/>
      <c r="E800" s="30"/>
      <c r="F800" s="30"/>
      <c r="G800" s="30"/>
      <c r="H800" s="30"/>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c r="CC800" s="27"/>
      <c r="CD800" s="27"/>
      <c r="CE800" s="27"/>
      <c r="CF800" s="27"/>
      <c r="CG800" s="27"/>
      <c r="CH800" s="27"/>
      <c r="CI800" s="27"/>
      <c r="CJ800" s="27"/>
      <c r="CK800" s="27"/>
      <c r="CL800" s="27"/>
      <c r="CM800" s="27"/>
      <c r="CN800" s="27"/>
      <c r="CO800" s="27"/>
      <c r="CP800" s="27"/>
      <c r="CQ800" s="27"/>
      <c r="CR800" s="27"/>
      <c r="CS800" s="27"/>
      <c r="CT800" s="27"/>
      <c r="CU800" s="27"/>
      <c r="CV800" s="27"/>
      <c r="CW800" s="27"/>
      <c r="CX800" s="27"/>
      <c r="CY800" s="27"/>
      <c r="CZ800" s="27"/>
      <c r="DA800" s="27"/>
      <c r="DB800" s="27"/>
      <c r="DC800" s="27"/>
      <c r="DD800" s="27"/>
      <c r="DE800" s="27"/>
      <c r="DF800" s="27"/>
      <c r="DG800" s="27"/>
      <c r="DH800" s="27"/>
      <c r="DI800" s="27"/>
      <c r="DJ800" s="27"/>
      <c r="DK800" s="27"/>
      <c r="DL800" s="27"/>
      <c r="DM800" s="27"/>
      <c r="DN800" s="27"/>
      <c r="DO800" s="27"/>
      <c r="DP800" s="27"/>
      <c r="DQ800" s="27"/>
      <c r="DR800" s="27"/>
      <c r="DS800" s="27"/>
      <c r="DT800" s="27"/>
      <c r="DU800" s="27"/>
      <c r="DV800" s="27"/>
      <c r="DW800" s="27"/>
      <c r="DX800" s="27"/>
      <c r="DY800" s="27"/>
      <c r="DZ800" s="27"/>
      <c r="EA800" s="27"/>
      <c r="EB800" s="27"/>
      <c r="EC800" s="27"/>
      <c r="ED800" s="27"/>
      <c r="EE800" s="27"/>
      <c r="EF800" s="27"/>
      <c r="EG800" s="27"/>
      <c r="EH800" s="27"/>
      <c r="EI800" s="27"/>
      <c r="EJ800" s="27"/>
      <c r="EK800" s="27"/>
      <c r="EL800" s="27"/>
      <c r="EM800" s="27"/>
      <c r="EN800" s="27"/>
      <c r="EO800" s="27"/>
      <c r="EP800" s="27"/>
      <c r="EQ800" s="27"/>
      <c r="ER800" s="27"/>
      <c r="ES800" s="27"/>
      <c r="ET800" s="27"/>
      <c r="EU800" s="27"/>
      <c r="EV800" s="27"/>
      <c r="EW800" s="27"/>
      <c r="EX800" s="27"/>
      <c r="EY800" s="27"/>
      <c r="EZ800" s="27"/>
      <c r="FA800" s="27"/>
      <c r="FB800" s="27"/>
      <c r="FC800" s="27"/>
      <c r="FD800" s="27"/>
      <c r="FE800" s="27"/>
      <c r="FF800" s="27"/>
      <c r="FG800" s="27"/>
      <c r="FH800" s="27"/>
      <c r="FI800" s="27"/>
      <c r="FJ800" s="27"/>
      <c r="FK800" s="27"/>
      <c r="FL800" s="27"/>
      <c r="FM800" s="27"/>
      <c r="FN800" s="27"/>
      <c r="FO800" s="27"/>
      <c r="FP800" s="27"/>
      <c r="FQ800" s="27"/>
      <c r="FR800" s="27"/>
      <c r="FS800" s="27"/>
      <c r="FT800" s="27"/>
      <c r="FU800" s="27"/>
      <c r="FV800" s="27"/>
      <c r="FW800" s="27"/>
      <c r="FX800" s="27"/>
      <c r="FY800" s="27"/>
      <c r="FZ800" s="27"/>
      <c r="GA800" s="27"/>
      <c r="GB800" s="27"/>
      <c r="GC800" s="27"/>
      <c r="GD800" s="27"/>
      <c r="GE800" s="27"/>
      <c r="GF800" s="27"/>
      <c r="GG800" s="27"/>
      <c r="GH800" s="27"/>
      <c r="GI800" s="27"/>
      <c r="GJ800" s="27"/>
      <c r="GK800" s="27"/>
      <c r="GL800" s="27"/>
      <c r="GM800" s="27"/>
      <c r="GN800" s="27"/>
      <c r="GO800" s="27"/>
      <c r="GP800" s="27"/>
      <c r="GQ800" s="27"/>
      <c r="GR800" s="27"/>
      <c r="GS800" s="27"/>
      <c r="GT800" s="27"/>
      <c r="GU800" s="27"/>
      <c r="GV800" s="27"/>
      <c r="GW800" s="27"/>
      <c r="GX800" s="27"/>
      <c r="GY800" s="27"/>
      <c r="GZ800" s="27"/>
      <c r="HA800" s="27"/>
      <c r="HB800" s="27"/>
      <c r="HC800" s="27"/>
      <c r="HD800" s="27"/>
      <c r="HE800" s="27"/>
      <c r="HF800" s="27"/>
      <c r="HG800" s="27"/>
      <c r="HH800" s="27"/>
      <c r="HI800" s="27"/>
      <c r="HJ800" s="27"/>
      <c r="HK800" s="27"/>
      <c r="HL800" s="27"/>
      <c r="HM800" s="27"/>
      <c r="HN800" s="27"/>
      <c r="HO800" s="27"/>
      <c r="HP800" s="27"/>
      <c r="HQ800" s="27"/>
      <c r="HR800" s="27"/>
      <c r="HS800" s="27"/>
      <c r="HT800" s="27"/>
      <c r="HU800" s="27"/>
      <c r="HV800" s="27"/>
      <c r="HW800" s="27"/>
      <c r="HX800" s="27"/>
      <c r="HY800" s="27"/>
      <c r="HZ800" s="27"/>
      <c r="IA800" s="27"/>
      <c r="IB800" s="27"/>
      <c r="IC800" s="27"/>
      <c r="ID800" s="27"/>
      <c r="IE800" s="27"/>
      <c r="IF800" s="27"/>
      <c r="IG800" s="27"/>
      <c r="IH800" s="27"/>
      <c r="II800" s="27"/>
      <c r="IJ800" s="27"/>
      <c r="IK800" s="27"/>
      <c r="IL800" s="27"/>
      <c r="IM800" s="27"/>
      <c r="IN800" s="27"/>
      <c r="IO800" s="27"/>
      <c r="IP800" s="27"/>
      <c r="IQ800" s="27"/>
      <c r="IR800" s="27"/>
      <c r="IS800" s="27"/>
    </row>
    <row r="801" spans="1:253" s="223" customFormat="1">
      <c r="A801" s="28"/>
      <c r="B801" s="29"/>
      <c r="C801" s="30"/>
      <c r="D801" s="30"/>
      <c r="E801" s="30"/>
      <c r="F801" s="30"/>
      <c r="G801" s="30"/>
      <c r="H801" s="30"/>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c r="CC801" s="27"/>
      <c r="CD801" s="27"/>
      <c r="CE801" s="27"/>
      <c r="CF801" s="27"/>
      <c r="CG801" s="27"/>
      <c r="CH801" s="27"/>
      <c r="CI801" s="27"/>
      <c r="CJ801" s="27"/>
      <c r="CK801" s="27"/>
      <c r="CL801" s="27"/>
      <c r="CM801" s="27"/>
      <c r="CN801" s="27"/>
      <c r="CO801" s="27"/>
      <c r="CP801" s="27"/>
      <c r="CQ801" s="27"/>
      <c r="CR801" s="27"/>
      <c r="CS801" s="27"/>
      <c r="CT801" s="27"/>
      <c r="CU801" s="27"/>
      <c r="CV801" s="27"/>
      <c r="CW801" s="27"/>
      <c r="CX801" s="27"/>
      <c r="CY801" s="27"/>
      <c r="CZ801" s="27"/>
      <c r="DA801" s="27"/>
      <c r="DB801" s="27"/>
      <c r="DC801" s="27"/>
      <c r="DD801" s="27"/>
      <c r="DE801" s="27"/>
      <c r="DF801" s="27"/>
      <c r="DG801" s="27"/>
      <c r="DH801" s="27"/>
      <c r="DI801" s="27"/>
      <c r="DJ801" s="27"/>
      <c r="DK801" s="27"/>
      <c r="DL801" s="27"/>
      <c r="DM801" s="27"/>
      <c r="DN801" s="27"/>
      <c r="DO801" s="27"/>
      <c r="DP801" s="27"/>
      <c r="DQ801" s="27"/>
      <c r="DR801" s="27"/>
      <c r="DS801" s="27"/>
      <c r="DT801" s="27"/>
      <c r="DU801" s="27"/>
      <c r="DV801" s="27"/>
      <c r="DW801" s="27"/>
      <c r="DX801" s="27"/>
      <c r="DY801" s="27"/>
      <c r="DZ801" s="27"/>
      <c r="EA801" s="27"/>
      <c r="EB801" s="27"/>
      <c r="EC801" s="27"/>
      <c r="ED801" s="27"/>
      <c r="EE801" s="27"/>
      <c r="EF801" s="27"/>
      <c r="EG801" s="27"/>
      <c r="EH801" s="27"/>
      <c r="EI801" s="27"/>
      <c r="EJ801" s="27"/>
      <c r="EK801" s="27"/>
      <c r="EL801" s="27"/>
      <c r="EM801" s="27"/>
      <c r="EN801" s="27"/>
      <c r="EO801" s="27"/>
      <c r="EP801" s="27"/>
      <c r="EQ801" s="27"/>
      <c r="ER801" s="27"/>
      <c r="ES801" s="27"/>
      <c r="ET801" s="27"/>
      <c r="EU801" s="27"/>
      <c r="EV801" s="27"/>
      <c r="EW801" s="27"/>
      <c r="EX801" s="27"/>
      <c r="EY801" s="27"/>
      <c r="EZ801" s="27"/>
      <c r="FA801" s="27"/>
      <c r="FB801" s="27"/>
      <c r="FC801" s="27"/>
      <c r="FD801" s="27"/>
      <c r="FE801" s="27"/>
      <c r="FF801" s="27"/>
      <c r="FG801" s="27"/>
      <c r="FH801" s="27"/>
      <c r="FI801" s="27"/>
      <c r="FJ801" s="27"/>
      <c r="FK801" s="27"/>
      <c r="FL801" s="27"/>
      <c r="FM801" s="27"/>
      <c r="FN801" s="27"/>
      <c r="FO801" s="27"/>
      <c r="FP801" s="27"/>
      <c r="FQ801" s="27"/>
      <c r="FR801" s="27"/>
      <c r="FS801" s="27"/>
      <c r="FT801" s="27"/>
      <c r="FU801" s="27"/>
      <c r="FV801" s="27"/>
      <c r="FW801" s="27"/>
      <c r="FX801" s="27"/>
      <c r="FY801" s="27"/>
      <c r="FZ801" s="27"/>
      <c r="GA801" s="27"/>
      <c r="GB801" s="27"/>
      <c r="GC801" s="27"/>
      <c r="GD801" s="27"/>
      <c r="GE801" s="27"/>
      <c r="GF801" s="27"/>
      <c r="GG801" s="27"/>
      <c r="GH801" s="27"/>
      <c r="GI801" s="27"/>
      <c r="GJ801" s="27"/>
      <c r="GK801" s="27"/>
      <c r="GL801" s="27"/>
      <c r="GM801" s="27"/>
      <c r="GN801" s="27"/>
      <c r="GO801" s="27"/>
      <c r="GP801" s="27"/>
      <c r="GQ801" s="27"/>
      <c r="GR801" s="27"/>
      <c r="GS801" s="27"/>
      <c r="GT801" s="27"/>
      <c r="GU801" s="27"/>
      <c r="GV801" s="27"/>
      <c r="GW801" s="27"/>
      <c r="GX801" s="27"/>
      <c r="GY801" s="27"/>
      <c r="GZ801" s="27"/>
      <c r="HA801" s="27"/>
      <c r="HB801" s="27"/>
      <c r="HC801" s="27"/>
      <c r="HD801" s="27"/>
      <c r="HE801" s="27"/>
      <c r="HF801" s="27"/>
      <c r="HG801" s="27"/>
      <c r="HH801" s="27"/>
      <c r="HI801" s="27"/>
      <c r="HJ801" s="27"/>
      <c r="HK801" s="27"/>
      <c r="HL801" s="27"/>
      <c r="HM801" s="27"/>
      <c r="HN801" s="27"/>
      <c r="HO801" s="27"/>
      <c r="HP801" s="27"/>
      <c r="HQ801" s="27"/>
      <c r="HR801" s="27"/>
      <c r="HS801" s="27"/>
      <c r="HT801" s="27"/>
      <c r="HU801" s="27"/>
      <c r="HV801" s="27"/>
      <c r="HW801" s="27"/>
      <c r="HX801" s="27"/>
      <c r="HY801" s="27"/>
      <c r="HZ801" s="27"/>
      <c r="IA801" s="27"/>
      <c r="IB801" s="27"/>
      <c r="IC801" s="27"/>
      <c r="ID801" s="27"/>
      <c r="IE801" s="27"/>
      <c r="IF801" s="27"/>
      <c r="IG801" s="27"/>
      <c r="IH801" s="27"/>
      <c r="II801" s="27"/>
      <c r="IJ801" s="27"/>
      <c r="IK801" s="27"/>
      <c r="IL801" s="27"/>
      <c r="IM801" s="27"/>
      <c r="IN801" s="27"/>
      <c r="IO801" s="27"/>
      <c r="IP801" s="27"/>
      <c r="IQ801" s="27"/>
      <c r="IR801" s="27"/>
      <c r="IS801" s="27"/>
    </row>
    <row r="802" spans="1:253" s="223" customFormat="1">
      <c r="A802" s="28"/>
      <c r="B802" s="29"/>
      <c r="C802" s="30"/>
      <c r="D802" s="30"/>
      <c r="E802" s="30"/>
      <c r="F802" s="30"/>
      <c r="G802" s="30"/>
      <c r="H802" s="30"/>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c r="CC802" s="27"/>
      <c r="CD802" s="27"/>
      <c r="CE802" s="27"/>
      <c r="CF802" s="27"/>
      <c r="CG802" s="27"/>
      <c r="CH802" s="27"/>
      <c r="CI802" s="27"/>
      <c r="CJ802" s="27"/>
      <c r="CK802" s="27"/>
      <c r="CL802" s="27"/>
      <c r="CM802" s="27"/>
      <c r="CN802" s="27"/>
      <c r="CO802" s="27"/>
      <c r="CP802" s="27"/>
      <c r="CQ802" s="27"/>
      <c r="CR802" s="27"/>
      <c r="CS802" s="27"/>
      <c r="CT802" s="27"/>
      <c r="CU802" s="27"/>
      <c r="CV802" s="27"/>
      <c r="CW802" s="27"/>
      <c r="CX802" s="27"/>
      <c r="CY802" s="27"/>
      <c r="CZ802" s="27"/>
      <c r="DA802" s="27"/>
      <c r="DB802" s="27"/>
      <c r="DC802" s="27"/>
      <c r="DD802" s="27"/>
      <c r="DE802" s="27"/>
      <c r="DF802" s="27"/>
      <c r="DG802" s="27"/>
      <c r="DH802" s="27"/>
      <c r="DI802" s="27"/>
      <c r="DJ802" s="27"/>
      <c r="DK802" s="27"/>
      <c r="DL802" s="27"/>
      <c r="DM802" s="27"/>
      <c r="DN802" s="27"/>
      <c r="DO802" s="27"/>
      <c r="DP802" s="27"/>
      <c r="DQ802" s="27"/>
      <c r="DR802" s="27"/>
      <c r="DS802" s="27"/>
      <c r="DT802" s="27"/>
      <c r="DU802" s="27"/>
      <c r="DV802" s="27"/>
      <c r="DW802" s="27"/>
      <c r="DX802" s="27"/>
      <c r="DY802" s="27"/>
      <c r="DZ802" s="27"/>
      <c r="EA802" s="27"/>
      <c r="EB802" s="27"/>
      <c r="EC802" s="27"/>
      <c r="ED802" s="27"/>
      <c r="EE802" s="27"/>
      <c r="EF802" s="27"/>
      <c r="EG802" s="27"/>
      <c r="EH802" s="27"/>
      <c r="EI802" s="27"/>
      <c r="EJ802" s="27"/>
      <c r="EK802" s="27"/>
      <c r="EL802" s="27"/>
      <c r="EM802" s="27"/>
      <c r="EN802" s="27"/>
      <c r="EO802" s="27"/>
      <c r="EP802" s="27"/>
      <c r="EQ802" s="27"/>
      <c r="ER802" s="27"/>
      <c r="ES802" s="27"/>
      <c r="ET802" s="27"/>
      <c r="EU802" s="27"/>
      <c r="EV802" s="27"/>
      <c r="EW802" s="27"/>
      <c r="EX802" s="27"/>
      <c r="EY802" s="27"/>
      <c r="EZ802" s="27"/>
      <c r="FA802" s="27"/>
      <c r="FB802" s="27"/>
      <c r="FC802" s="27"/>
      <c r="FD802" s="27"/>
      <c r="FE802" s="27"/>
      <c r="FF802" s="27"/>
      <c r="FG802" s="27"/>
      <c r="FH802" s="27"/>
      <c r="FI802" s="27"/>
      <c r="FJ802" s="27"/>
      <c r="FK802" s="27"/>
      <c r="FL802" s="27"/>
      <c r="FM802" s="27"/>
      <c r="FN802" s="27"/>
      <c r="FO802" s="27"/>
      <c r="FP802" s="27"/>
      <c r="FQ802" s="27"/>
      <c r="FR802" s="27"/>
      <c r="FS802" s="27"/>
      <c r="FT802" s="27"/>
      <c r="FU802" s="27"/>
      <c r="FV802" s="27"/>
      <c r="FW802" s="27"/>
      <c r="FX802" s="27"/>
      <c r="FY802" s="27"/>
      <c r="FZ802" s="27"/>
      <c r="GA802" s="27"/>
      <c r="GB802" s="27"/>
      <c r="GC802" s="27"/>
      <c r="GD802" s="27"/>
      <c r="GE802" s="27"/>
      <c r="GF802" s="27"/>
      <c r="GG802" s="27"/>
      <c r="GH802" s="27"/>
      <c r="GI802" s="27"/>
      <c r="GJ802" s="27"/>
      <c r="GK802" s="27"/>
      <c r="GL802" s="27"/>
      <c r="GM802" s="27"/>
      <c r="GN802" s="27"/>
      <c r="GO802" s="27"/>
      <c r="GP802" s="27"/>
      <c r="GQ802" s="27"/>
      <c r="GR802" s="27"/>
      <c r="GS802" s="27"/>
      <c r="GT802" s="27"/>
      <c r="GU802" s="27"/>
      <c r="GV802" s="27"/>
      <c r="GW802" s="27"/>
      <c r="GX802" s="27"/>
      <c r="GY802" s="27"/>
      <c r="GZ802" s="27"/>
      <c r="HA802" s="27"/>
      <c r="HB802" s="27"/>
      <c r="HC802" s="27"/>
      <c r="HD802" s="27"/>
      <c r="HE802" s="27"/>
      <c r="HF802" s="27"/>
      <c r="HG802" s="27"/>
      <c r="HH802" s="27"/>
      <c r="HI802" s="27"/>
      <c r="HJ802" s="27"/>
      <c r="HK802" s="27"/>
      <c r="HL802" s="27"/>
      <c r="HM802" s="27"/>
      <c r="HN802" s="27"/>
      <c r="HO802" s="27"/>
      <c r="HP802" s="27"/>
      <c r="HQ802" s="27"/>
      <c r="HR802" s="27"/>
      <c r="HS802" s="27"/>
      <c r="HT802" s="27"/>
      <c r="HU802" s="27"/>
      <c r="HV802" s="27"/>
      <c r="HW802" s="27"/>
      <c r="HX802" s="27"/>
      <c r="HY802" s="27"/>
      <c r="HZ802" s="27"/>
      <c r="IA802" s="27"/>
      <c r="IB802" s="27"/>
      <c r="IC802" s="27"/>
      <c r="ID802" s="27"/>
      <c r="IE802" s="27"/>
      <c r="IF802" s="27"/>
      <c r="IG802" s="27"/>
      <c r="IH802" s="27"/>
      <c r="II802" s="27"/>
      <c r="IJ802" s="27"/>
      <c r="IK802" s="27"/>
      <c r="IL802" s="27"/>
      <c r="IM802" s="27"/>
      <c r="IN802" s="27"/>
      <c r="IO802" s="27"/>
      <c r="IP802" s="27"/>
      <c r="IQ802" s="27"/>
      <c r="IR802" s="27"/>
      <c r="IS802" s="27"/>
    </row>
  </sheetData>
  <mergeCells count="5">
    <mergeCell ref="A1:D1"/>
    <mergeCell ref="C2:D2"/>
    <mergeCell ref="D71:D72"/>
    <mergeCell ref="D501:D503"/>
    <mergeCell ref="D674:D676"/>
  </mergeCells>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workbookViewId="0">
      <selection activeCell="C9" sqref="C9"/>
    </sheetView>
  </sheetViews>
  <sheetFormatPr defaultRowHeight="15"/>
  <cols>
    <col min="1" max="1" width="5.140625" customWidth="1"/>
    <col min="2" max="2" width="41" bestFit="1" customWidth="1"/>
    <col min="3" max="3" width="18.5703125" bestFit="1" customWidth="1"/>
    <col min="4" max="4" width="12" bestFit="1" customWidth="1"/>
    <col min="5" max="5" width="12.7109375" bestFit="1" customWidth="1"/>
  </cols>
  <sheetData>
    <row r="1" spans="1:5" s="244" customFormat="1">
      <c r="A1" s="1852" t="s">
        <v>743</v>
      </c>
      <c r="B1" s="1852"/>
      <c r="C1" s="1852"/>
      <c r="D1" s="1852"/>
    </row>
    <row r="2" spans="1:5" s="251" customFormat="1">
      <c r="A2" s="250" t="s">
        <v>0</v>
      </c>
      <c r="B2" s="250" t="s">
        <v>744</v>
      </c>
      <c r="C2" s="250" t="s">
        <v>745</v>
      </c>
      <c r="D2" s="250" t="s">
        <v>165</v>
      </c>
    </row>
    <row r="3" spans="1:5" s="244" customFormat="1">
      <c r="A3" s="247"/>
      <c r="B3" s="247" t="s">
        <v>762</v>
      </c>
      <c r="C3" s="248">
        <f>SUM(C4:C54)</f>
        <v>6294414000</v>
      </c>
      <c r="D3" s="247">
        <v>17073000000</v>
      </c>
      <c r="E3" s="245">
        <f>D3-C3</f>
        <v>10778586000</v>
      </c>
    </row>
    <row r="4" spans="1:5">
      <c r="A4" s="246">
        <v>1</v>
      </c>
      <c r="B4" s="246" t="s">
        <v>746</v>
      </c>
      <c r="C4" s="249">
        <f>'Trung tâm Chính trị V'!D13</f>
        <v>159000000</v>
      </c>
      <c r="D4" s="246"/>
    </row>
    <row r="5" spans="1:5">
      <c r="A5" s="246">
        <v>2</v>
      </c>
      <c r="B5" s="246" t="s">
        <v>747</v>
      </c>
      <c r="C5" s="249">
        <f>'TTDVNN V '!D14</f>
        <v>100500000</v>
      </c>
      <c r="D5" s="246"/>
    </row>
    <row r="6" spans="1:5">
      <c r="A6" s="246">
        <v>3</v>
      </c>
      <c r="B6" s="246" t="s">
        <v>748</v>
      </c>
      <c r="C6" s="249">
        <f>'Đội QLTTĐT V'!D14</f>
        <v>129000000</v>
      </c>
      <c r="D6" s="246"/>
    </row>
    <row r="7" spans="1:5">
      <c r="A7" s="246">
        <v>4</v>
      </c>
      <c r="B7" s="246" t="s">
        <v>749</v>
      </c>
      <c r="C7" s="249">
        <f>'Hội Chữ thập đỏ V'!D13</f>
        <v>31000000</v>
      </c>
      <c r="D7" s="246"/>
    </row>
    <row r="8" spans="1:5">
      <c r="A8" s="246">
        <v>5</v>
      </c>
      <c r="B8" s="246" t="s">
        <v>197</v>
      </c>
      <c r="C8" s="249">
        <f>'Trung tâm TTVHTT V'!D13</f>
        <v>1010000000</v>
      </c>
      <c r="D8" s="246"/>
    </row>
    <row r="9" spans="1:5">
      <c r="A9" s="246">
        <v>6</v>
      </c>
      <c r="B9" s="246" t="s">
        <v>750</v>
      </c>
      <c r="C9" s="249">
        <f>'Y tế V'!D14</f>
        <v>115400000</v>
      </c>
      <c r="D9" s="246"/>
    </row>
    <row r="10" spans="1:5">
      <c r="A10" s="246">
        <v>7</v>
      </c>
      <c r="B10" s="246" t="s">
        <v>201</v>
      </c>
      <c r="C10" s="249">
        <f>'Tư pháp V'!D16</f>
        <v>131700000</v>
      </c>
      <c r="D10" s="246"/>
    </row>
    <row r="11" spans="1:5">
      <c r="A11" s="246">
        <v>8</v>
      </c>
      <c r="B11" s="246" t="s">
        <v>203</v>
      </c>
      <c r="C11" s="249">
        <f>'TCKH V '!D15</f>
        <v>214000000</v>
      </c>
      <c r="D11" s="246"/>
    </row>
    <row r="12" spans="1:5">
      <c r="A12" s="246">
        <v>9</v>
      </c>
      <c r="B12" s="246" t="s">
        <v>751</v>
      </c>
      <c r="C12" s="249">
        <f>'Quản lý đô thị V'!D15</f>
        <v>217800000</v>
      </c>
      <c r="D12" s="246"/>
    </row>
    <row r="13" spans="1:5">
      <c r="A13" s="246">
        <v>10</v>
      </c>
      <c r="B13" s="246" t="s">
        <v>752</v>
      </c>
      <c r="C13" s="249">
        <f>'Tài nguyên Môi trường V'!D15</f>
        <v>892900000</v>
      </c>
      <c r="D13" s="246"/>
    </row>
    <row r="14" spans="1:5">
      <c r="A14" s="246">
        <v>11</v>
      </c>
      <c r="B14" s="246" t="s">
        <v>753</v>
      </c>
      <c r="C14" s="249">
        <f>'Kinh tế V'!D17</f>
        <v>228800000</v>
      </c>
      <c r="D14" s="246"/>
    </row>
    <row r="15" spans="1:5">
      <c r="A15" s="246">
        <v>12</v>
      </c>
      <c r="B15" s="246" t="s">
        <v>423</v>
      </c>
      <c r="C15" s="249">
        <f>'Lao động TBXH V'!D15</f>
        <v>46300000</v>
      </c>
      <c r="D15" s="246"/>
    </row>
    <row r="16" spans="1:5">
      <c r="A16" s="246">
        <v>13</v>
      </c>
      <c r="B16" s="246" t="s">
        <v>209</v>
      </c>
      <c r="C16" s="249"/>
      <c r="D16" s="246"/>
    </row>
    <row r="17" spans="1:4">
      <c r="A17" s="246">
        <v>14</v>
      </c>
      <c r="B17" s="246" t="s">
        <v>208</v>
      </c>
      <c r="C17" s="249">
        <f>'Văn hóa và TT V'!D16</f>
        <v>162800000</v>
      </c>
      <c r="D17" s="246"/>
    </row>
    <row r="18" spans="1:4">
      <c r="A18" s="246">
        <v>15</v>
      </c>
      <c r="B18" s="246" t="s">
        <v>754</v>
      </c>
      <c r="C18" s="249">
        <f>'Giáo dục V'!D15+1500000000</f>
        <v>1738900000</v>
      </c>
      <c r="D18" s="246"/>
    </row>
    <row r="19" spans="1:4">
      <c r="A19" s="246">
        <v>16</v>
      </c>
      <c r="B19" s="246" t="s">
        <v>755</v>
      </c>
      <c r="C19" s="249">
        <f>'UBMTTQ V'!D15</f>
        <v>135200000</v>
      </c>
      <c r="D19" s="246"/>
    </row>
    <row r="20" spans="1:4">
      <c r="A20" s="246">
        <v>17</v>
      </c>
      <c r="B20" s="246" t="s">
        <v>756</v>
      </c>
      <c r="C20" s="249">
        <f>'Thành đoàn V'!D15</f>
        <v>68800000</v>
      </c>
      <c r="D20" s="246"/>
    </row>
    <row r="21" spans="1:4">
      <c r="A21" s="246">
        <v>18</v>
      </c>
      <c r="B21" s="246" t="s">
        <v>757</v>
      </c>
      <c r="C21" s="249">
        <f>'Phụ nữ V'!D15</f>
        <v>56300000</v>
      </c>
      <c r="D21" s="246"/>
    </row>
    <row r="22" spans="1:4">
      <c r="A22" s="246">
        <v>19</v>
      </c>
      <c r="B22" s="246" t="s">
        <v>218</v>
      </c>
      <c r="C22" s="249">
        <f>'Nông dân V'!D15</f>
        <v>62100000</v>
      </c>
      <c r="D22" s="246"/>
    </row>
    <row r="23" spans="1:4">
      <c r="A23" s="246">
        <v>20</v>
      </c>
      <c r="B23" s="246" t="s">
        <v>758</v>
      </c>
      <c r="C23" s="249">
        <f>'Cựu chiến binh V'!D15</f>
        <v>28600000</v>
      </c>
      <c r="D23" s="246"/>
    </row>
    <row r="24" spans="1:4">
      <c r="A24" s="246">
        <v>21</v>
      </c>
      <c r="B24" s="246" t="s">
        <v>759</v>
      </c>
      <c r="C24" s="249">
        <f>'Công an V'!D12</f>
        <v>329400000</v>
      </c>
      <c r="D24" s="246"/>
    </row>
    <row r="25" spans="1:4">
      <c r="A25" s="246">
        <v>22</v>
      </c>
      <c r="B25" s="246" t="s">
        <v>760</v>
      </c>
      <c r="C25" s="249">
        <f>'BCH QS V'!D12+'Biên phòng'!D12</f>
        <v>385914000</v>
      </c>
      <c r="D25" s="246"/>
    </row>
    <row r="26" spans="1:4">
      <c r="A26" s="246">
        <v>23</v>
      </c>
      <c r="B26" s="246" t="s">
        <v>761</v>
      </c>
      <c r="C26" s="249">
        <f>'Ban ATGT V'!D13</f>
        <v>50000000</v>
      </c>
      <c r="D26" s="246"/>
    </row>
    <row r="27" spans="1:4">
      <c r="A27" s="246">
        <v>24</v>
      </c>
      <c r="B27" s="246" t="s">
        <v>763</v>
      </c>
      <c r="C27" s="249"/>
      <c r="D27" s="246"/>
    </row>
    <row r="28" spans="1:4">
      <c r="A28" s="246">
        <v>25</v>
      </c>
      <c r="B28" s="246" t="s">
        <v>740</v>
      </c>
      <c r="C28" s="249"/>
      <c r="D28" s="246"/>
    </row>
    <row r="29" spans="1:4">
      <c r="A29" s="246">
        <v>26</v>
      </c>
      <c r="B29" s="246" t="s">
        <v>764</v>
      </c>
      <c r="C29" s="249"/>
      <c r="D29" s="246"/>
    </row>
    <row r="30" spans="1:4">
      <c r="A30" s="246">
        <v>27</v>
      </c>
      <c r="B30" s="246" t="s">
        <v>765</v>
      </c>
      <c r="C30" s="249"/>
      <c r="D30" s="246"/>
    </row>
    <row r="31" spans="1:4">
      <c r="A31" s="246">
        <v>29</v>
      </c>
      <c r="B31" s="246" t="s">
        <v>766</v>
      </c>
      <c r="C31" s="249"/>
      <c r="D31" s="246"/>
    </row>
    <row r="32" spans="1:4">
      <c r="A32" s="246">
        <v>30</v>
      </c>
      <c r="B32" s="246" t="s">
        <v>767</v>
      </c>
      <c r="C32" s="249"/>
      <c r="D32" s="246"/>
    </row>
    <row r="33" spans="1:4">
      <c r="A33" s="246">
        <v>31</v>
      </c>
      <c r="B33" s="246" t="s">
        <v>768</v>
      </c>
      <c r="C33" s="249"/>
      <c r="D33" s="246"/>
    </row>
    <row r="34" spans="1:4">
      <c r="A34" s="246">
        <v>32</v>
      </c>
      <c r="B34" s="246" t="s">
        <v>769</v>
      </c>
      <c r="C34" s="249"/>
      <c r="D34" s="246"/>
    </row>
  </sheetData>
  <mergeCells count="1">
    <mergeCell ref="A1:D1"/>
  </mergeCells>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K14" sqref="K14"/>
    </sheetView>
  </sheetViews>
  <sheetFormatPr defaultRowHeight="15"/>
  <cols>
    <col min="1" max="1" width="12.7109375" bestFit="1" customWidth="1"/>
  </cols>
  <sheetData>
    <row r="1" spans="1:1">
      <c r="A1" s="285">
        <f>'CĐ DC V'!C7+'Khuyến học V'!C7+'NCT V'!C7+'TNXP V'!C7+'Tù yêu nước V'!C7+'LUẬT GIA V'!C7+'NGƯỜI MÙ V'!C7+'ĐÔNG Y V'!C7+'CỰU GIÁO CHỨC V'!C7</f>
        <v>1874153000</v>
      </c>
    </row>
    <row r="2" spans="1:1">
      <c r="A2">
        <v>1810000000</v>
      </c>
    </row>
    <row r="3" spans="1:1">
      <c r="A3" s="285">
        <f>A2-A1</f>
        <v>-64153000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35"/>
  <sheetViews>
    <sheetView topLeftCell="A39" workbookViewId="0">
      <selection activeCell="B18" sqref="B18"/>
    </sheetView>
  </sheetViews>
  <sheetFormatPr defaultRowHeight="18.75"/>
  <cols>
    <col min="1" max="1" width="7.140625" style="2" customWidth="1"/>
    <col min="2" max="2" width="38.5703125" style="2" customWidth="1"/>
    <col min="3" max="3" width="18.85546875" style="2" customWidth="1"/>
    <col min="4" max="5" width="21.140625" style="2" customWidth="1"/>
    <col min="6" max="6" width="19.42578125" style="2" customWidth="1"/>
    <col min="7" max="7" width="20" style="2" customWidth="1"/>
    <col min="8" max="8" width="18" style="2" hidden="1" customWidth="1"/>
    <col min="9" max="9" width="0" style="2" hidden="1" customWidth="1"/>
    <col min="10"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8" ht="15.75" customHeight="1">
      <c r="A1" s="1" t="s">
        <v>1458</v>
      </c>
      <c r="B1" s="1"/>
      <c r="C1" s="1"/>
      <c r="G1" s="3"/>
    </row>
    <row r="2" spans="1:8">
      <c r="A2" s="1798" t="s">
        <v>1457</v>
      </c>
      <c r="B2" s="1798"/>
      <c r="C2" s="1798"/>
      <c r="D2" s="1798"/>
      <c r="E2" s="1798"/>
      <c r="F2" s="4"/>
    </row>
    <row r="3" spans="1:8">
      <c r="A3" s="5"/>
    </row>
    <row r="4" spans="1:8">
      <c r="A4" s="1798" t="s">
        <v>1358</v>
      </c>
      <c r="B4" s="1798"/>
      <c r="C4" s="1798"/>
      <c r="D4" s="1798"/>
      <c r="E4" s="1798"/>
      <c r="F4" s="1798"/>
      <c r="G4" s="1798"/>
    </row>
    <row r="5" spans="1:8">
      <c r="A5" s="1798" t="s">
        <v>1456</v>
      </c>
      <c r="B5" s="1798"/>
      <c r="C5" s="1798"/>
      <c r="D5" s="1798"/>
      <c r="E5" s="1798"/>
      <c r="F5" s="1798"/>
      <c r="G5" s="1798"/>
    </row>
    <row r="6" spans="1:8">
      <c r="A6" s="1798" t="s">
        <v>1452</v>
      </c>
      <c r="B6" s="1798"/>
      <c r="C6" s="1798"/>
      <c r="D6" s="1798"/>
      <c r="E6" s="1798"/>
      <c r="F6" s="1798"/>
      <c r="G6" s="1798"/>
    </row>
    <row r="7" spans="1:8">
      <c r="A7" s="1798" t="s">
        <v>17</v>
      </c>
      <c r="B7" s="1798"/>
      <c r="C7" s="1798"/>
      <c r="D7" s="1798"/>
      <c r="E7" s="1798"/>
      <c r="F7" s="1798"/>
      <c r="G7" s="1798"/>
    </row>
    <row r="8" spans="1:8">
      <c r="A8" s="1799">
        <f>'TTDVNN V '!A8:G8</f>
        <v>0</v>
      </c>
      <c r="B8" s="1799"/>
      <c r="C8" s="1799"/>
      <c r="D8" s="1799"/>
      <c r="E8" s="1799"/>
      <c r="F8" s="1799"/>
      <c r="G8" s="1799"/>
    </row>
    <row r="9" spans="1:8">
      <c r="G9" s="6" t="s">
        <v>43</v>
      </c>
    </row>
    <row r="10" spans="1:8"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8">
      <c r="A11" s="8" t="s">
        <v>20</v>
      </c>
      <c r="B11" s="8" t="s">
        <v>21</v>
      </c>
      <c r="C11" s="8" t="s">
        <v>22</v>
      </c>
      <c r="D11" s="8" t="s">
        <v>23</v>
      </c>
      <c r="E11" s="8" t="str">
        <f>'TTDVNN V '!E12</f>
        <v>(5)</v>
      </c>
      <c r="F11" s="8" t="str">
        <f>'TTDVNN V '!F12</f>
        <v>(6)=(3)-(4)+(5)</v>
      </c>
      <c r="G11" s="8" t="s">
        <v>1287</v>
      </c>
    </row>
    <row r="12" spans="1:8">
      <c r="A12" s="7" t="s">
        <v>2</v>
      </c>
      <c r="B12" s="9" t="s">
        <v>712</v>
      </c>
      <c r="C12" s="10"/>
      <c r="D12" s="10"/>
      <c r="E12" s="10"/>
      <c r="F12" s="10"/>
      <c r="G12" s="11"/>
    </row>
    <row r="13" spans="1:8" ht="37.5">
      <c r="A13" s="7" t="s">
        <v>12</v>
      </c>
      <c r="B13" s="9" t="s">
        <v>71</v>
      </c>
      <c r="C13" s="10">
        <f>C14</f>
        <v>1000000000</v>
      </c>
      <c r="D13" s="10">
        <f>D14</f>
        <v>100000000</v>
      </c>
      <c r="E13" s="1377">
        <f>E14</f>
        <v>0</v>
      </c>
      <c r="F13" s="10">
        <f>F14</f>
        <v>900000000</v>
      </c>
      <c r="G13" s="11"/>
      <c r="H13" s="240">
        <f>C13+E13-D13</f>
        <v>900000000</v>
      </c>
    </row>
    <row r="14" spans="1:8">
      <c r="A14" s="7"/>
      <c r="B14" s="9" t="s">
        <v>1453</v>
      </c>
      <c r="C14" s="10">
        <f>C15+C19</f>
        <v>1000000000</v>
      </c>
      <c r="D14" s="10">
        <f>D15+D19</f>
        <v>100000000</v>
      </c>
      <c r="E14" s="1377">
        <f>E15+E19</f>
        <v>0</v>
      </c>
      <c r="F14" s="10">
        <f>F15+F19</f>
        <v>900000000</v>
      </c>
      <c r="G14" s="11"/>
      <c r="H14" s="240">
        <f t="shared" ref="H14:H23" si="0">C14+E14-D14</f>
        <v>900000000</v>
      </c>
    </row>
    <row r="15" spans="1:8" s="16" customFormat="1" ht="39">
      <c r="A15" s="12"/>
      <c r="B15" s="13" t="s">
        <v>10</v>
      </c>
      <c r="C15" s="14">
        <f>SUM(C16:C18)</f>
        <v>1000000000</v>
      </c>
      <c r="D15" s="14">
        <f>SUM(D16:D18)</f>
        <v>100000000</v>
      </c>
      <c r="E15" s="1376">
        <f>SUM(E16:E18)</f>
        <v>0</v>
      </c>
      <c r="F15" s="14">
        <f>SUM(F16:F18)</f>
        <v>900000000</v>
      </c>
      <c r="G15" s="15"/>
      <c r="H15" s="240">
        <f t="shared" si="0"/>
        <v>900000000</v>
      </c>
    </row>
    <row r="16" spans="1:8" ht="37.5">
      <c r="A16" s="17" t="s">
        <v>5</v>
      </c>
      <c r="B16" s="18" t="s">
        <v>935</v>
      </c>
      <c r="C16" s="19">
        <f>'Dự toán Chi tiết 2025'!L231</f>
        <v>200000000</v>
      </c>
      <c r="D16" s="19">
        <f>C16*10%</f>
        <v>20000000</v>
      </c>
      <c r="E16" s="19"/>
      <c r="F16" s="19">
        <f>C16-D16+E16</f>
        <v>180000000</v>
      </c>
      <c r="G16" s="11"/>
      <c r="H16" s="240">
        <f t="shared" si="0"/>
        <v>180000000</v>
      </c>
    </row>
    <row r="17" spans="1:8" ht="78.75" customHeight="1">
      <c r="A17" s="17" t="s">
        <v>6</v>
      </c>
      <c r="B17" s="18" t="s">
        <v>1454</v>
      </c>
      <c r="C17" s="19">
        <f>'Dự toán Chi tiết 2025'!L237</f>
        <v>600000000</v>
      </c>
      <c r="D17" s="19">
        <f>C17*10%</f>
        <v>60000000</v>
      </c>
      <c r="E17" s="19"/>
      <c r="F17" s="19">
        <f>C17-D17+E17</f>
        <v>540000000</v>
      </c>
      <c r="G17" s="11"/>
      <c r="H17" s="240">
        <f t="shared" si="0"/>
        <v>540000000</v>
      </c>
    </row>
    <row r="18" spans="1:8" ht="75">
      <c r="A18" s="17" t="s">
        <v>157</v>
      </c>
      <c r="B18" s="18" t="s">
        <v>1455</v>
      </c>
      <c r="C18" s="19">
        <f>'Dự toán Chi tiết 2025'!L236</f>
        <v>200000000</v>
      </c>
      <c r="D18" s="19">
        <f>C18*10%</f>
        <v>20000000</v>
      </c>
      <c r="E18" s="19"/>
      <c r="F18" s="19">
        <f>C18-D18+E18</f>
        <v>180000000</v>
      </c>
      <c r="G18" s="11"/>
      <c r="H18" s="240">
        <f t="shared" si="0"/>
        <v>180000000</v>
      </c>
    </row>
    <row r="19" spans="1:8" s="16" customFormat="1" ht="39" hidden="1">
      <c r="A19" s="12">
        <v>2</v>
      </c>
      <c r="B19" s="13" t="s">
        <v>10</v>
      </c>
      <c r="C19" s="14">
        <f>SUM(C20:C23)</f>
        <v>0</v>
      </c>
      <c r="D19" s="14">
        <f>SUM(D20:D23)</f>
        <v>0</v>
      </c>
      <c r="E19" s="14"/>
      <c r="F19" s="14">
        <f>SUM(F20:F23)</f>
        <v>0</v>
      </c>
      <c r="G19" s="15"/>
      <c r="H19" s="240">
        <f t="shared" si="0"/>
        <v>0</v>
      </c>
    </row>
    <row r="20" spans="1:8" ht="37.5" hidden="1">
      <c r="A20" s="17" t="s">
        <v>8</v>
      </c>
      <c r="B20" s="18" t="s">
        <v>307</v>
      </c>
      <c r="C20" s="19"/>
      <c r="D20" s="19">
        <f>C20*10%</f>
        <v>0</v>
      </c>
      <c r="E20" s="19"/>
      <c r="F20" s="19">
        <f>C20-D20</f>
        <v>0</v>
      </c>
      <c r="G20" s="11"/>
      <c r="H20" s="240">
        <f t="shared" si="0"/>
        <v>0</v>
      </c>
    </row>
    <row r="21" spans="1:8" ht="37.5" hidden="1">
      <c r="A21" s="17" t="s">
        <v>11</v>
      </c>
      <c r="B21" s="18" t="s">
        <v>308</v>
      </c>
      <c r="C21" s="19"/>
      <c r="D21" s="19">
        <f>C21*10%</f>
        <v>0</v>
      </c>
      <c r="E21" s="19"/>
      <c r="F21" s="19">
        <f>C21-D21</f>
        <v>0</v>
      </c>
      <c r="G21" s="11"/>
      <c r="H21" s="240">
        <f t="shared" si="0"/>
        <v>0</v>
      </c>
    </row>
    <row r="22" spans="1:8" ht="28.5" hidden="1" customHeight="1">
      <c r="A22" s="17" t="s">
        <v>13</v>
      </c>
      <c r="B22" s="18" t="s">
        <v>1277</v>
      </c>
      <c r="C22" s="19"/>
      <c r="D22" s="19"/>
      <c r="E22" s="19"/>
      <c r="F22" s="19">
        <f>C22-D22</f>
        <v>0</v>
      </c>
      <c r="G22" s="11"/>
      <c r="H22" s="240">
        <f t="shared" si="0"/>
        <v>0</v>
      </c>
    </row>
    <row r="23" spans="1:8" ht="56.25" hidden="1">
      <c r="A23" s="17" t="s">
        <v>28</v>
      </c>
      <c r="B23" s="18" t="s">
        <v>1005</v>
      </c>
      <c r="C23" s="19"/>
      <c r="D23" s="19"/>
      <c r="E23" s="19"/>
      <c r="F23" s="19">
        <f>C23-D23</f>
        <v>0</v>
      </c>
      <c r="G23" s="11"/>
      <c r="H23" s="240">
        <f t="shared" si="0"/>
        <v>0</v>
      </c>
    </row>
    <row r="24" spans="1:8" hidden="1"/>
    <row r="25" spans="1:8" hidden="1"/>
    <row r="26" spans="1:8" hidden="1"/>
    <row r="27" spans="1:8" hidden="1"/>
    <row r="28" spans="1:8" hidden="1"/>
    <row r="29" spans="1:8" hidden="1"/>
    <row r="30" spans="1:8" hidden="1"/>
    <row r="31" spans="1:8" hidden="1">
      <c r="B31" s="243">
        <v>3445000000</v>
      </c>
      <c r="C31" s="2" t="s">
        <v>741</v>
      </c>
    </row>
    <row r="32" spans="1:8" hidden="1">
      <c r="B32" s="240" t="e">
        <f>D13+'TTDVNN V '!D14+'Đội QLTTĐT V'!D14+'Hội Chữ thập đỏ V'!D13+'Trung tâm TTVHTT V'!D13+'VP HĐND&amp;UBND V'!D14+'Y tế V'!D14+'Tư pháp V'!D16+'TCKH V '!D15+'Quản lý đô thị V'!D15+'Tài nguyên Môi trường V'!D15+'Kinh tế V'!D17+'Lao động TBXH V'!D15+'Văn hóa và TT V'!D16+'Giáo dục V'!D15+'Thành ủy V'!D12+#REF!+'UBMTTQ V'!D15+'Thành đoàn V'!D15+'Phụ nữ V'!D15+'Nông dân V'!D15+'Cựu chiến binh V'!D15+'Công an V'!D12+'BCH QS V'!D12+'Biên phòng'!D12+'Ban ATGT V'!D13</f>
        <v>#REF!</v>
      </c>
      <c r="C32" s="2" t="s">
        <v>739</v>
      </c>
    </row>
    <row r="33" spans="2:3" hidden="1">
      <c r="B33" s="240">
        <v>3603000000</v>
      </c>
      <c r="C33" s="2" t="s">
        <v>740</v>
      </c>
    </row>
    <row r="34" spans="2:3" hidden="1">
      <c r="B34" s="240" t="e">
        <f>B31+B32+B33</f>
        <v>#REF!</v>
      </c>
      <c r="C34" s="2" t="s">
        <v>742</v>
      </c>
    </row>
    <row r="35" spans="2:3" hidden="1"/>
  </sheetData>
  <mergeCells count="6">
    <mergeCell ref="A8:G8"/>
    <mergeCell ref="A2:E2"/>
    <mergeCell ref="A4:G4"/>
    <mergeCell ref="A5:G5"/>
    <mergeCell ref="A6:G6"/>
    <mergeCell ref="A7:G7"/>
  </mergeCells>
  <pageMargins left="0.55000000000000004" right="0.39" top="0.6" bottom="0.74803149606299213" header="0.31496062992125984" footer="0.31496062992125984"/>
  <pageSetup paperSize="9" scale="63" fitToHeight="0"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35"/>
  <sheetViews>
    <sheetView topLeftCell="A16" workbookViewId="0">
      <selection activeCell="H1" sqref="H1:I1048576"/>
    </sheetView>
  </sheetViews>
  <sheetFormatPr defaultRowHeight="18.75"/>
  <cols>
    <col min="1" max="1" width="7.140625" style="2" customWidth="1"/>
    <col min="2" max="2" width="38.5703125" style="2" customWidth="1"/>
    <col min="3" max="3" width="18.85546875" style="2" customWidth="1"/>
    <col min="4" max="5" width="21.140625" style="2" customWidth="1"/>
    <col min="6" max="6" width="19.42578125" style="2" customWidth="1"/>
    <col min="7" max="7" width="20" style="2" customWidth="1"/>
    <col min="8" max="8" width="18" style="2" hidden="1" customWidth="1"/>
    <col min="9" max="9" width="0" style="2" hidden="1" customWidth="1"/>
    <col min="10"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8" ht="15.75" customHeight="1">
      <c r="A1" s="1798" t="s">
        <v>734</v>
      </c>
      <c r="B1" s="1798"/>
      <c r="C1" s="1798"/>
      <c r="G1" s="3"/>
    </row>
    <row r="2" spans="1:8">
      <c r="A2" s="1798" t="s">
        <v>738</v>
      </c>
      <c r="B2" s="1798"/>
      <c r="C2" s="1798"/>
      <c r="D2" s="4"/>
      <c r="E2" s="4"/>
      <c r="F2" s="4"/>
    </row>
    <row r="3" spans="1:8">
      <c r="A3" s="5"/>
    </row>
    <row r="4" spans="1:8">
      <c r="A4" s="1798" t="s">
        <v>1358</v>
      </c>
      <c r="B4" s="1798"/>
      <c r="C4" s="1798"/>
      <c r="D4" s="1798"/>
      <c r="E4" s="1798"/>
      <c r="F4" s="1798"/>
      <c r="G4" s="1798"/>
    </row>
    <row r="5" spans="1:8">
      <c r="A5" s="1798" t="s">
        <v>736</v>
      </c>
      <c r="B5" s="1798"/>
      <c r="C5" s="1798"/>
      <c r="D5" s="1798"/>
      <c r="E5" s="1798"/>
      <c r="F5" s="1798"/>
      <c r="G5" s="1798"/>
    </row>
    <row r="6" spans="1:8">
      <c r="A6" s="1798" t="s">
        <v>737</v>
      </c>
      <c r="B6" s="1798"/>
      <c r="C6" s="1798"/>
      <c r="D6" s="1798"/>
      <c r="E6" s="1798"/>
      <c r="F6" s="1798"/>
      <c r="G6" s="1798"/>
    </row>
    <row r="7" spans="1:8">
      <c r="A7" s="1798" t="s">
        <v>17</v>
      </c>
      <c r="B7" s="1798"/>
      <c r="C7" s="1798"/>
      <c r="D7" s="1798"/>
      <c r="E7" s="1798"/>
      <c r="F7" s="1798"/>
      <c r="G7" s="1798"/>
    </row>
    <row r="8" spans="1:8">
      <c r="A8" s="1799">
        <f>'TTDVNN V '!A8:G8</f>
        <v>0</v>
      </c>
      <c r="B8" s="1799"/>
      <c r="C8" s="1799"/>
      <c r="D8" s="1799"/>
      <c r="E8" s="1799"/>
      <c r="F8" s="1799"/>
      <c r="G8" s="1799"/>
    </row>
    <row r="9" spans="1:8">
      <c r="G9" s="6" t="s">
        <v>43</v>
      </c>
    </row>
    <row r="10" spans="1:8" ht="117" customHeight="1">
      <c r="A10" s="7" t="s">
        <v>0</v>
      </c>
      <c r="B10" s="7" t="s">
        <v>1</v>
      </c>
      <c r="C10" s="7" t="str">
        <f>'TTDVNN V '!C11</f>
        <v>Dự toán 
năm 2025</v>
      </c>
      <c r="D10" s="7" t="s">
        <v>18</v>
      </c>
      <c r="E10" s="7" t="str">
        <f>'TTDVNN V '!E11</f>
        <v>Thực hiện cải cách tiền lương từ nguồn tiết kiệm chi 10% của đơn vị</v>
      </c>
      <c r="F10" s="7" t="s">
        <v>117</v>
      </c>
      <c r="G10" s="7" t="s">
        <v>19</v>
      </c>
    </row>
    <row r="11" spans="1:8">
      <c r="A11" s="8" t="s">
        <v>20</v>
      </c>
      <c r="B11" s="8" t="s">
        <v>21</v>
      </c>
      <c r="C11" s="8" t="s">
        <v>22</v>
      </c>
      <c r="D11" s="8" t="s">
        <v>23</v>
      </c>
      <c r="E11" s="8" t="str">
        <f>'TTDVNN V '!E12</f>
        <v>(5)</v>
      </c>
      <c r="F11" s="8" t="str">
        <f>'TTDVNN V '!F12</f>
        <v>(6)=(3)-(4)+(5)</v>
      </c>
      <c r="G11" s="8" t="s">
        <v>1287</v>
      </c>
    </row>
    <row r="12" spans="1:8">
      <c r="A12" s="7" t="s">
        <v>2</v>
      </c>
      <c r="B12" s="9" t="s">
        <v>712</v>
      </c>
      <c r="C12" s="10"/>
      <c r="D12" s="10"/>
      <c r="E12" s="10"/>
      <c r="F12" s="10"/>
      <c r="G12" s="11"/>
    </row>
    <row r="13" spans="1:8" ht="37.5">
      <c r="A13" s="7" t="s">
        <v>12</v>
      </c>
      <c r="B13" s="9" t="s">
        <v>71</v>
      </c>
      <c r="C13" s="10">
        <f>C14</f>
        <v>2199000000</v>
      </c>
      <c r="D13" s="10">
        <f>D14</f>
        <v>159000000</v>
      </c>
      <c r="E13" s="10">
        <f>E14</f>
        <v>159000000</v>
      </c>
      <c r="F13" s="10">
        <f>F14</f>
        <v>2199000000</v>
      </c>
      <c r="G13" s="11"/>
      <c r="H13" s="240">
        <f>C13+E13-D13</f>
        <v>2199000000</v>
      </c>
    </row>
    <row r="14" spans="1:8" ht="37.5">
      <c r="A14" s="7"/>
      <c r="B14" s="9" t="s">
        <v>735</v>
      </c>
      <c r="C14" s="10">
        <f>C15+C19</f>
        <v>2199000000</v>
      </c>
      <c r="D14" s="10">
        <f>D15+D19</f>
        <v>159000000</v>
      </c>
      <c r="E14" s="10">
        <f>E15+E19</f>
        <v>159000000</v>
      </c>
      <c r="F14" s="10">
        <f>F15+F19</f>
        <v>2199000000</v>
      </c>
      <c r="G14" s="11"/>
      <c r="H14" s="240">
        <f t="shared" ref="H14:H24" si="0">C14+E14-D14</f>
        <v>2199000000</v>
      </c>
    </row>
    <row r="15" spans="1:8" s="16" customFormat="1" ht="39">
      <c r="A15" s="12">
        <v>1</v>
      </c>
      <c r="B15" s="13" t="s">
        <v>9</v>
      </c>
      <c r="C15" s="14">
        <f>SUM(C16:C18)</f>
        <v>617000000</v>
      </c>
      <c r="D15" s="14">
        <f>SUM(D16:D18)</f>
        <v>8000000</v>
      </c>
      <c r="E15" s="14">
        <f>SUM(E16:E18)</f>
        <v>159000000</v>
      </c>
      <c r="F15" s="14">
        <f>SUM(F16:F18)</f>
        <v>768000000</v>
      </c>
      <c r="G15" s="15"/>
      <c r="H15" s="240">
        <f t="shared" si="0"/>
        <v>768000000</v>
      </c>
    </row>
    <row r="16" spans="1:8" ht="37.5">
      <c r="A16" s="17" t="s">
        <v>5</v>
      </c>
      <c r="B16" s="18" t="s">
        <v>26</v>
      </c>
      <c r="C16" s="19">
        <f>'Dự toán Chi tiết 2025'!L382</f>
        <v>444000000</v>
      </c>
      <c r="D16" s="19"/>
      <c r="E16" s="19"/>
      <c r="F16" s="19">
        <f>C16-D16+E16</f>
        <v>444000000</v>
      </c>
      <c r="G16" s="11"/>
      <c r="H16" s="240">
        <f t="shared" si="0"/>
        <v>444000000</v>
      </c>
    </row>
    <row r="17" spans="1:8" ht="39" customHeight="1">
      <c r="A17" s="17" t="s">
        <v>6</v>
      </c>
      <c r="B17" s="18" t="str">
        <f>'TTDVNN V '!B18</f>
        <v>Kinh phí thực hiện cải cách tiền lương</v>
      </c>
      <c r="C17" s="19">
        <f>'Dự toán Chi tiết 2025'!L384</f>
        <v>93000000</v>
      </c>
      <c r="D17" s="19"/>
      <c r="E17" s="19">
        <f>D13</f>
        <v>159000000</v>
      </c>
      <c r="F17" s="19">
        <f>C17-D17+E17</f>
        <v>252000000</v>
      </c>
      <c r="G17" s="11"/>
      <c r="H17" s="240">
        <f t="shared" si="0"/>
        <v>252000000</v>
      </c>
    </row>
    <row r="18" spans="1:8" ht="37.5">
      <c r="A18" s="17" t="s">
        <v>157</v>
      </c>
      <c r="B18" s="18" t="s">
        <v>27</v>
      </c>
      <c r="C18" s="19">
        <f>'Dự toán Chi tiết 2025'!L385</f>
        <v>80000000</v>
      </c>
      <c r="D18" s="19">
        <f>C18*10%</f>
        <v>8000000</v>
      </c>
      <c r="E18" s="19"/>
      <c r="F18" s="19">
        <f>C18-D18+E18</f>
        <v>72000000</v>
      </c>
      <c r="G18" s="11"/>
      <c r="H18" s="240">
        <f t="shared" si="0"/>
        <v>72000000</v>
      </c>
    </row>
    <row r="19" spans="1:8" s="16" customFormat="1" ht="39">
      <c r="A19" s="12">
        <v>2</v>
      </c>
      <c r="B19" s="13" t="s">
        <v>10</v>
      </c>
      <c r="C19" s="14">
        <f>SUM(C20:C24)</f>
        <v>1582000000</v>
      </c>
      <c r="D19" s="14">
        <f>SUM(D20:D24)</f>
        <v>151000000</v>
      </c>
      <c r="E19" s="14"/>
      <c r="F19" s="14">
        <f>SUM(F20:F24)</f>
        <v>1431000000</v>
      </c>
      <c r="G19" s="15"/>
      <c r="H19" s="240">
        <f t="shared" si="0"/>
        <v>1431000000</v>
      </c>
    </row>
    <row r="20" spans="1:8" ht="37.5">
      <c r="A20" s="17" t="s">
        <v>8</v>
      </c>
      <c r="B20" s="18" t="s">
        <v>307</v>
      </c>
      <c r="C20" s="19">
        <f>'Dự toán Chi tiết 2025'!L389</f>
        <v>1300000000</v>
      </c>
      <c r="D20" s="19">
        <f>C20*10%</f>
        <v>130000000</v>
      </c>
      <c r="E20" s="19"/>
      <c r="F20" s="19">
        <f>C20-D20</f>
        <v>1170000000</v>
      </c>
      <c r="G20" s="11"/>
      <c r="H20" s="240">
        <f t="shared" si="0"/>
        <v>1170000000</v>
      </c>
    </row>
    <row r="21" spans="1:8" ht="37.5">
      <c r="A21" s="17" t="s">
        <v>11</v>
      </c>
      <c r="B21" s="18" t="s">
        <v>308</v>
      </c>
      <c r="C21" s="19">
        <f>'Dự toán Chi tiết 2025'!L390</f>
        <v>120000000</v>
      </c>
      <c r="D21" s="19">
        <f>C21*10%</f>
        <v>12000000</v>
      </c>
      <c r="E21" s="19"/>
      <c r="F21" s="19">
        <f>C21-D21</f>
        <v>108000000</v>
      </c>
      <c r="G21" s="11"/>
      <c r="H21" s="240">
        <f t="shared" si="0"/>
        <v>108000000</v>
      </c>
    </row>
    <row r="22" spans="1:8" ht="28.5" customHeight="1">
      <c r="A22" s="17" t="s">
        <v>13</v>
      </c>
      <c r="B22" s="18" t="s">
        <v>1277</v>
      </c>
      <c r="C22" s="19">
        <f>'Dự toán Chi tiết 2025'!L391</f>
        <v>72000000</v>
      </c>
      <c r="D22" s="19"/>
      <c r="E22" s="19"/>
      <c r="F22" s="19">
        <f>C22-D22</f>
        <v>72000000</v>
      </c>
      <c r="G22" s="11"/>
      <c r="H22" s="240">
        <f t="shared" si="0"/>
        <v>72000000</v>
      </c>
    </row>
    <row r="23" spans="1:8" ht="55.5" hidden="1" customHeight="1">
      <c r="A23" s="17" t="s">
        <v>28</v>
      </c>
      <c r="B23" s="18" t="str">
        <f>'Dự toán Chi tiết 2025'!B392</f>
        <v>Sửa chữa, bảo dưỡng và mua sắm trang thiết bị phục vụ công tác đào tạo</v>
      </c>
      <c r="C23" s="19"/>
      <c r="D23" s="19">
        <f>C23*10%</f>
        <v>0</v>
      </c>
      <c r="E23" s="19"/>
      <c r="F23" s="19">
        <f>C23-D23</f>
        <v>0</v>
      </c>
      <c r="G23" s="11"/>
      <c r="H23" s="240"/>
    </row>
    <row r="24" spans="1:8" ht="56.25">
      <c r="A24" s="17" t="s">
        <v>28</v>
      </c>
      <c r="B24" s="18" t="s">
        <v>1989</v>
      </c>
      <c r="C24" s="19">
        <f>'Dự toán Chi tiết 2025'!L392</f>
        <v>90000000</v>
      </c>
      <c r="D24" s="19">
        <f>C24*10%</f>
        <v>9000000</v>
      </c>
      <c r="E24" s="19"/>
      <c r="F24" s="19">
        <f>C24-D24</f>
        <v>81000000</v>
      </c>
      <c r="G24" s="11"/>
      <c r="H24" s="240">
        <f t="shared" si="0"/>
        <v>81000000</v>
      </c>
    </row>
    <row r="32" spans="1:8">
      <c r="B32" s="243">
        <v>3445000000</v>
      </c>
      <c r="C32" s="2" t="s">
        <v>741</v>
      </c>
    </row>
    <row r="33" spans="2:3">
      <c r="B33" s="240" t="e">
        <f>D13+'TTDVNN V '!D14+'Đội QLTTĐT V'!D14+'Hội Chữ thập đỏ V'!D13+'Trung tâm TTVHTT V'!D13+'VP HĐND&amp;UBND V'!D14+'Y tế V'!D14+'Tư pháp V'!D16+'TCKH V '!D15+'Quản lý đô thị V'!D15+'Tài nguyên Môi trường V'!D15+'Kinh tế V'!D17+'Lao động TBXH V'!D15+'Văn hóa và TT V'!D16+'Giáo dục V'!D15+'Thành ủy V'!D12+#REF!+'UBMTTQ V'!D15+'Thành đoàn V'!D15+'Phụ nữ V'!D15+'Nông dân V'!D15+'Cựu chiến binh V'!D15+'Công an V'!D12+'BCH QS V'!D12+'Biên phòng'!D12+'Ban ATGT V'!D13</f>
        <v>#REF!</v>
      </c>
      <c r="C33" s="2" t="s">
        <v>739</v>
      </c>
    </row>
    <row r="34" spans="2:3">
      <c r="B34" s="240">
        <v>3603000000</v>
      </c>
      <c r="C34" s="2" t="s">
        <v>740</v>
      </c>
    </row>
    <row r="35" spans="2:3">
      <c r="B35" s="240" t="e">
        <f>B32+B33+B34</f>
        <v>#REF!</v>
      </c>
      <c r="C35" s="2" t="s">
        <v>742</v>
      </c>
    </row>
  </sheetData>
  <mergeCells count="7">
    <mergeCell ref="A8:G8"/>
    <mergeCell ref="A1:C1"/>
    <mergeCell ref="A2:C2"/>
    <mergeCell ref="A4:G4"/>
    <mergeCell ref="A5:G5"/>
    <mergeCell ref="A6:G6"/>
    <mergeCell ref="A7:G7"/>
  </mergeCells>
  <pageMargins left="0.55000000000000004" right="0.39" top="0.6" bottom="0.74803149606299213" header="0.31496062992125984" footer="0.31496062992125984"/>
  <pageSetup paperSize="9" scale="63" fitToHeight="0"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32"/>
  <sheetViews>
    <sheetView topLeftCell="A26" workbookViewId="0">
      <selection activeCell="B29" sqref="B29"/>
    </sheetView>
  </sheetViews>
  <sheetFormatPr defaultRowHeight="18.75"/>
  <cols>
    <col min="1" max="1" width="7.140625" style="2" customWidth="1"/>
    <col min="2" max="2" width="38.5703125" style="2" customWidth="1"/>
    <col min="3" max="3" width="18.85546875" style="2" customWidth="1"/>
    <col min="4" max="4" width="21.140625" style="2" customWidth="1"/>
    <col min="5" max="5" width="18.85546875" style="2" customWidth="1"/>
    <col min="6" max="6" width="19.42578125" style="2" customWidth="1"/>
    <col min="7" max="7" width="20" style="2" customWidth="1"/>
    <col min="8" max="260" width="9.140625" style="2"/>
    <col min="261" max="261" width="7.140625" style="2" customWidth="1"/>
    <col min="262" max="262" width="47.7109375" style="2" customWidth="1"/>
    <col min="263" max="263" width="19.28515625" style="2" customWidth="1"/>
    <col min="264" max="516" width="9.140625" style="2"/>
    <col min="517" max="517" width="7.140625" style="2" customWidth="1"/>
    <col min="518" max="518" width="47.7109375" style="2" customWidth="1"/>
    <col min="519" max="519" width="19.28515625" style="2" customWidth="1"/>
    <col min="520" max="772" width="9.140625" style="2"/>
    <col min="773" max="773" width="7.140625" style="2" customWidth="1"/>
    <col min="774" max="774" width="47.7109375" style="2" customWidth="1"/>
    <col min="775" max="775" width="19.28515625" style="2" customWidth="1"/>
    <col min="776" max="1028" width="9.140625" style="2"/>
    <col min="1029" max="1029" width="7.140625" style="2" customWidth="1"/>
    <col min="1030" max="1030" width="47.7109375" style="2" customWidth="1"/>
    <col min="1031" max="1031" width="19.28515625" style="2" customWidth="1"/>
    <col min="1032" max="1284" width="9.140625" style="2"/>
    <col min="1285" max="1285" width="7.140625" style="2" customWidth="1"/>
    <col min="1286" max="1286" width="47.7109375" style="2" customWidth="1"/>
    <col min="1287" max="1287" width="19.28515625" style="2" customWidth="1"/>
    <col min="1288" max="1540" width="9.140625" style="2"/>
    <col min="1541" max="1541" width="7.140625" style="2" customWidth="1"/>
    <col min="1542" max="1542" width="47.7109375" style="2" customWidth="1"/>
    <col min="1543" max="1543" width="19.28515625" style="2" customWidth="1"/>
    <col min="1544" max="1796" width="9.140625" style="2"/>
    <col min="1797" max="1797" width="7.140625" style="2" customWidth="1"/>
    <col min="1798" max="1798" width="47.7109375" style="2" customWidth="1"/>
    <col min="1799" max="1799" width="19.28515625" style="2" customWidth="1"/>
    <col min="1800" max="2052" width="9.140625" style="2"/>
    <col min="2053" max="2053" width="7.140625" style="2" customWidth="1"/>
    <col min="2054" max="2054" width="47.7109375" style="2" customWidth="1"/>
    <col min="2055" max="2055" width="19.28515625" style="2" customWidth="1"/>
    <col min="2056" max="2308" width="9.140625" style="2"/>
    <col min="2309" max="2309" width="7.140625" style="2" customWidth="1"/>
    <col min="2310" max="2310" width="47.7109375" style="2" customWidth="1"/>
    <col min="2311" max="2311" width="19.28515625" style="2" customWidth="1"/>
    <col min="2312" max="2564" width="9.140625" style="2"/>
    <col min="2565" max="2565" width="7.140625" style="2" customWidth="1"/>
    <col min="2566" max="2566" width="47.7109375" style="2" customWidth="1"/>
    <col min="2567" max="2567" width="19.28515625" style="2" customWidth="1"/>
    <col min="2568" max="2820" width="9.140625" style="2"/>
    <col min="2821" max="2821" width="7.140625" style="2" customWidth="1"/>
    <col min="2822" max="2822" width="47.7109375" style="2" customWidth="1"/>
    <col min="2823" max="2823" width="19.28515625" style="2" customWidth="1"/>
    <col min="2824" max="3076" width="9.140625" style="2"/>
    <col min="3077" max="3077" width="7.140625" style="2" customWidth="1"/>
    <col min="3078" max="3078" width="47.7109375" style="2" customWidth="1"/>
    <col min="3079" max="3079" width="19.28515625" style="2" customWidth="1"/>
    <col min="3080" max="3332" width="9.140625" style="2"/>
    <col min="3333" max="3333" width="7.140625" style="2" customWidth="1"/>
    <col min="3334" max="3334" width="47.7109375" style="2" customWidth="1"/>
    <col min="3335" max="3335" width="19.28515625" style="2" customWidth="1"/>
    <col min="3336" max="3588" width="9.140625" style="2"/>
    <col min="3589" max="3589" width="7.140625" style="2" customWidth="1"/>
    <col min="3590" max="3590" width="47.7109375" style="2" customWidth="1"/>
    <col min="3591" max="3591" width="19.28515625" style="2" customWidth="1"/>
    <col min="3592" max="3844" width="9.140625" style="2"/>
    <col min="3845" max="3845" width="7.140625" style="2" customWidth="1"/>
    <col min="3846" max="3846" width="47.7109375" style="2" customWidth="1"/>
    <col min="3847" max="3847" width="19.28515625" style="2" customWidth="1"/>
    <col min="3848" max="4100" width="9.140625" style="2"/>
    <col min="4101" max="4101" width="7.140625" style="2" customWidth="1"/>
    <col min="4102" max="4102" width="47.7109375" style="2" customWidth="1"/>
    <col min="4103" max="4103" width="19.28515625" style="2" customWidth="1"/>
    <col min="4104" max="4356" width="9.140625" style="2"/>
    <col min="4357" max="4357" width="7.140625" style="2" customWidth="1"/>
    <col min="4358" max="4358" width="47.7109375" style="2" customWidth="1"/>
    <col min="4359" max="4359" width="19.28515625" style="2" customWidth="1"/>
    <col min="4360" max="4612" width="9.140625" style="2"/>
    <col min="4613" max="4613" width="7.140625" style="2" customWidth="1"/>
    <col min="4614" max="4614" width="47.7109375" style="2" customWidth="1"/>
    <col min="4615" max="4615" width="19.28515625" style="2" customWidth="1"/>
    <col min="4616" max="4868" width="9.140625" style="2"/>
    <col min="4869" max="4869" width="7.140625" style="2" customWidth="1"/>
    <col min="4870" max="4870" width="47.7109375" style="2" customWidth="1"/>
    <col min="4871" max="4871" width="19.28515625" style="2" customWidth="1"/>
    <col min="4872" max="5124" width="9.140625" style="2"/>
    <col min="5125" max="5125" width="7.140625" style="2" customWidth="1"/>
    <col min="5126" max="5126" width="47.7109375" style="2" customWidth="1"/>
    <col min="5127" max="5127" width="19.28515625" style="2" customWidth="1"/>
    <col min="5128" max="5380" width="9.140625" style="2"/>
    <col min="5381" max="5381" width="7.140625" style="2" customWidth="1"/>
    <col min="5382" max="5382" width="47.7109375" style="2" customWidth="1"/>
    <col min="5383" max="5383" width="19.28515625" style="2" customWidth="1"/>
    <col min="5384" max="5636" width="9.140625" style="2"/>
    <col min="5637" max="5637" width="7.140625" style="2" customWidth="1"/>
    <col min="5638" max="5638" width="47.7109375" style="2" customWidth="1"/>
    <col min="5639" max="5639" width="19.28515625" style="2" customWidth="1"/>
    <col min="5640" max="5892" width="9.140625" style="2"/>
    <col min="5893" max="5893" width="7.140625" style="2" customWidth="1"/>
    <col min="5894" max="5894" width="47.7109375" style="2" customWidth="1"/>
    <col min="5895" max="5895" width="19.28515625" style="2" customWidth="1"/>
    <col min="5896" max="6148" width="9.140625" style="2"/>
    <col min="6149" max="6149" width="7.140625" style="2" customWidth="1"/>
    <col min="6150" max="6150" width="47.7109375" style="2" customWidth="1"/>
    <col min="6151" max="6151" width="19.28515625" style="2" customWidth="1"/>
    <col min="6152" max="6404" width="9.140625" style="2"/>
    <col min="6405" max="6405" width="7.140625" style="2" customWidth="1"/>
    <col min="6406" max="6406" width="47.7109375" style="2" customWidth="1"/>
    <col min="6407" max="6407" width="19.28515625" style="2" customWidth="1"/>
    <col min="6408" max="6660" width="9.140625" style="2"/>
    <col min="6661" max="6661" width="7.140625" style="2" customWidth="1"/>
    <col min="6662" max="6662" width="47.7109375" style="2" customWidth="1"/>
    <col min="6663" max="6663" width="19.28515625" style="2" customWidth="1"/>
    <col min="6664" max="6916" width="9.140625" style="2"/>
    <col min="6917" max="6917" width="7.140625" style="2" customWidth="1"/>
    <col min="6918" max="6918" width="47.7109375" style="2" customWidth="1"/>
    <col min="6919" max="6919" width="19.28515625" style="2" customWidth="1"/>
    <col min="6920" max="7172" width="9.140625" style="2"/>
    <col min="7173" max="7173" width="7.140625" style="2" customWidth="1"/>
    <col min="7174" max="7174" width="47.7109375" style="2" customWidth="1"/>
    <col min="7175" max="7175" width="19.28515625" style="2" customWidth="1"/>
    <col min="7176" max="7428" width="9.140625" style="2"/>
    <col min="7429" max="7429" width="7.140625" style="2" customWidth="1"/>
    <col min="7430" max="7430" width="47.7109375" style="2" customWidth="1"/>
    <col min="7431" max="7431" width="19.28515625" style="2" customWidth="1"/>
    <col min="7432" max="7684" width="9.140625" style="2"/>
    <col min="7685" max="7685" width="7.140625" style="2" customWidth="1"/>
    <col min="7686" max="7686" width="47.7109375" style="2" customWidth="1"/>
    <col min="7687" max="7687" width="19.28515625" style="2" customWidth="1"/>
    <col min="7688" max="7940" width="9.140625" style="2"/>
    <col min="7941" max="7941" width="7.140625" style="2" customWidth="1"/>
    <col min="7942" max="7942" width="47.7109375" style="2" customWidth="1"/>
    <col min="7943" max="7943" width="19.28515625" style="2" customWidth="1"/>
    <col min="7944" max="8196" width="9.140625" style="2"/>
    <col min="8197" max="8197" width="7.140625" style="2" customWidth="1"/>
    <col min="8198" max="8198" width="47.7109375" style="2" customWidth="1"/>
    <col min="8199" max="8199" width="19.28515625" style="2" customWidth="1"/>
    <col min="8200" max="8452" width="9.140625" style="2"/>
    <col min="8453" max="8453" width="7.140625" style="2" customWidth="1"/>
    <col min="8454" max="8454" width="47.7109375" style="2" customWidth="1"/>
    <col min="8455" max="8455" width="19.28515625" style="2" customWidth="1"/>
    <col min="8456" max="8708" width="9.140625" style="2"/>
    <col min="8709" max="8709" width="7.140625" style="2" customWidth="1"/>
    <col min="8710" max="8710" width="47.7109375" style="2" customWidth="1"/>
    <col min="8711" max="8711" width="19.28515625" style="2" customWidth="1"/>
    <col min="8712" max="8964" width="9.140625" style="2"/>
    <col min="8965" max="8965" width="7.140625" style="2" customWidth="1"/>
    <col min="8966" max="8966" width="47.7109375" style="2" customWidth="1"/>
    <col min="8967" max="8967" width="19.28515625" style="2" customWidth="1"/>
    <col min="8968" max="9220" width="9.140625" style="2"/>
    <col min="9221" max="9221" width="7.140625" style="2" customWidth="1"/>
    <col min="9222" max="9222" width="47.7109375" style="2" customWidth="1"/>
    <col min="9223" max="9223" width="19.28515625" style="2" customWidth="1"/>
    <col min="9224" max="9476" width="9.140625" style="2"/>
    <col min="9477" max="9477" width="7.140625" style="2" customWidth="1"/>
    <col min="9478" max="9478" width="47.7109375" style="2" customWidth="1"/>
    <col min="9479" max="9479" width="19.28515625" style="2" customWidth="1"/>
    <col min="9480" max="9732" width="9.140625" style="2"/>
    <col min="9733" max="9733" width="7.140625" style="2" customWidth="1"/>
    <col min="9734" max="9734" width="47.7109375" style="2" customWidth="1"/>
    <col min="9735" max="9735" width="19.28515625" style="2" customWidth="1"/>
    <col min="9736" max="9988" width="9.140625" style="2"/>
    <col min="9989" max="9989" width="7.140625" style="2" customWidth="1"/>
    <col min="9990" max="9990" width="47.7109375" style="2" customWidth="1"/>
    <col min="9991" max="9991" width="19.28515625" style="2" customWidth="1"/>
    <col min="9992" max="10244" width="9.140625" style="2"/>
    <col min="10245" max="10245" width="7.140625" style="2" customWidth="1"/>
    <col min="10246" max="10246" width="47.7109375" style="2" customWidth="1"/>
    <col min="10247" max="10247" width="19.28515625" style="2" customWidth="1"/>
    <col min="10248" max="10500" width="9.140625" style="2"/>
    <col min="10501" max="10501" width="7.140625" style="2" customWidth="1"/>
    <col min="10502" max="10502" width="47.7109375" style="2" customWidth="1"/>
    <col min="10503" max="10503" width="19.28515625" style="2" customWidth="1"/>
    <col min="10504" max="10756" width="9.140625" style="2"/>
    <col min="10757" max="10757" width="7.140625" style="2" customWidth="1"/>
    <col min="10758" max="10758" width="47.7109375" style="2" customWidth="1"/>
    <col min="10759" max="10759" width="19.28515625" style="2" customWidth="1"/>
    <col min="10760" max="11012" width="9.140625" style="2"/>
    <col min="11013" max="11013" width="7.140625" style="2" customWidth="1"/>
    <col min="11014" max="11014" width="47.7109375" style="2" customWidth="1"/>
    <col min="11015" max="11015" width="19.28515625" style="2" customWidth="1"/>
    <col min="11016" max="11268" width="9.140625" style="2"/>
    <col min="11269" max="11269" width="7.140625" style="2" customWidth="1"/>
    <col min="11270" max="11270" width="47.7109375" style="2" customWidth="1"/>
    <col min="11271" max="11271" width="19.28515625" style="2" customWidth="1"/>
    <col min="11272" max="11524" width="9.140625" style="2"/>
    <col min="11525" max="11525" width="7.140625" style="2" customWidth="1"/>
    <col min="11526" max="11526" width="47.7109375" style="2" customWidth="1"/>
    <col min="11527" max="11527" width="19.28515625" style="2" customWidth="1"/>
    <col min="11528" max="11780" width="9.140625" style="2"/>
    <col min="11781" max="11781" width="7.140625" style="2" customWidth="1"/>
    <col min="11782" max="11782" width="47.7109375" style="2" customWidth="1"/>
    <col min="11783" max="11783" width="19.28515625" style="2" customWidth="1"/>
    <col min="11784" max="12036" width="9.140625" style="2"/>
    <col min="12037" max="12037" width="7.140625" style="2" customWidth="1"/>
    <col min="12038" max="12038" width="47.7109375" style="2" customWidth="1"/>
    <col min="12039" max="12039" width="19.28515625" style="2" customWidth="1"/>
    <col min="12040" max="12292" width="9.140625" style="2"/>
    <col min="12293" max="12293" width="7.140625" style="2" customWidth="1"/>
    <col min="12294" max="12294" width="47.7109375" style="2" customWidth="1"/>
    <col min="12295" max="12295" width="19.28515625" style="2" customWidth="1"/>
    <col min="12296" max="12548" width="9.140625" style="2"/>
    <col min="12549" max="12549" width="7.140625" style="2" customWidth="1"/>
    <col min="12550" max="12550" width="47.7109375" style="2" customWidth="1"/>
    <col min="12551" max="12551" width="19.28515625" style="2" customWidth="1"/>
    <col min="12552" max="12804" width="9.140625" style="2"/>
    <col min="12805" max="12805" width="7.140625" style="2" customWidth="1"/>
    <col min="12806" max="12806" width="47.7109375" style="2" customWidth="1"/>
    <col min="12807" max="12807" width="19.28515625" style="2" customWidth="1"/>
    <col min="12808" max="13060" width="9.140625" style="2"/>
    <col min="13061" max="13061" width="7.140625" style="2" customWidth="1"/>
    <col min="13062" max="13062" width="47.7109375" style="2" customWidth="1"/>
    <col min="13063" max="13063" width="19.28515625" style="2" customWidth="1"/>
    <col min="13064" max="13316" width="9.140625" style="2"/>
    <col min="13317" max="13317" width="7.140625" style="2" customWidth="1"/>
    <col min="13318" max="13318" width="47.7109375" style="2" customWidth="1"/>
    <col min="13319" max="13319" width="19.28515625" style="2" customWidth="1"/>
    <col min="13320" max="13572" width="9.140625" style="2"/>
    <col min="13573" max="13573" width="7.140625" style="2" customWidth="1"/>
    <col min="13574" max="13574" width="47.7109375" style="2" customWidth="1"/>
    <col min="13575" max="13575" width="19.28515625" style="2" customWidth="1"/>
    <col min="13576" max="13828" width="9.140625" style="2"/>
    <col min="13829" max="13829" width="7.140625" style="2" customWidth="1"/>
    <col min="13830" max="13830" width="47.7109375" style="2" customWidth="1"/>
    <col min="13831" max="13831" width="19.28515625" style="2" customWidth="1"/>
    <col min="13832" max="14084" width="9.140625" style="2"/>
    <col min="14085" max="14085" width="7.140625" style="2" customWidth="1"/>
    <col min="14086" max="14086" width="47.7109375" style="2" customWidth="1"/>
    <col min="14087" max="14087" width="19.28515625" style="2" customWidth="1"/>
    <col min="14088" max="14340" width="9.140625" style="2"/>
    <col min="14341" max="14341" width="7.140625" style="2" customWidth="1"/>
    <col min="14342" max="14342" width="47.7109375" style="2" customWidth="1"/>
    <col min="14343" max="14343" width="19.28515625" style="2" customWidth="1"/>
    <col min="14344" max="14596" width="9.140625" style="2"/>
    <col min="14597" max="14597" width="7.140625" style="2" customWidth="1"/>
    <col min="14598" max="14598" width="47.7109375" style="2" customWidth="1"/>
    <col min="14599" max="14599" width="19.28515625" style="2" customWidth="1"/>
    <col min="14600" max="14852" width="9.140625" style="2"/>
    <col min="14853" max="14853" width="7.140625" style="2" customWidth="1"/>
    <col min="14854" max="14854" width="47.7109375" style="2" customWidth="1"/>
    <col min="14855" max="14855" width="19.28515625" style="2" customWidth="1"/>
    <col min="14856" max="15108" width="9.140625" style="2"/>
    <col min="15109" max="15109" width="7.140625" style="2" customWidth="1"/>
    <col min="15110" max="15110" width="47.7109375" style="2" customWidth="1"/>
    <col min="15111" max="15111" width="19.28515625" style="2" customWidth="1"/>
    <col min="15112" max="15364" width="9.140625" style="2"/>
    <col min="15365" max="15365" width="7.140625" style="2" customWidth="1"/>
    <col min="15366" max="15366" width="47.7109375" style="2" customWidth="1"/>
    <col min="15367" max="15367" width="19.28515625" style="2" customWidth="1"/>
    <col min="15368" max="15620" width="9.140625" style="2"/>
    <col min="15621" max="15621" width="7.140625" style="2" customWidth="1"/>
    <col min="15622" max="15622" width="47.7109375" style="2" customWidth="1"/>
    <col min="15623" max="15623" width="19.28515625" style="2" customWidth="1"/>
    <col min="15624" max="15876" width="9.140625" style="2"/>
    <col min="15877" max="15877" width="7.140625" style="2" customWidth="1"/>
    <col min="15878" max="15878" width="47.7109375" style="2" customWidth="1"/>
    <col min="15879" max="15879" width="19.28515625" style="2" customWidth="1"/>
    <col min="15880" max="16132" width="9.140625" style="2"/>
    <col min="16133" max="16133" width="7.140625" style="2" customWidth="1"/>
    <col min="16134" max="16134" width="47.7109375" style="2" customWidth="1"/>
    <col min="16135" max="16135" width="19.28515625" style="2" customWidth="1"/>
    <col min="16136" max="16384" width="9.140625" style="2"/>
  </cols>
  <sheetData>
    <row r="1" spans="1:7" ht="15.75" customHeight="1">
      <c r="A1" s="1798" t="s">
        <v>44</v>
      </c>
      <c r="B1" s="1798"/>
      <c r="C1" s="1798"/>
      <c r="G1" s="3"/>
    </row>
    <row r="2" spans="1:7">
      <c r="A2" s="1798" t="s">
        <v>59</v>
      </c>
      <c r="B2" s="1798"/>
      <c r="C2" s="1798"/>
      <c r="D2" s="4"/>
      <c r="E2" s="4"/>
      <c r="F2" s="4"/>
    </row>
    <row r="3" spans="1:7">
      <c r="A3" s="5"/>
    </row>
    <row r="4" spans="1:7">
      <c r="A4" s="1798" t="str">
        <f>'TTDVNN V '!A4:G4</f>
        <v>DỰ TOÁN THU, CHI NGÂN SÁCH NHÀ NƯỚC NĂM 2025</v>
      </c>
      <c r="B4" s="1798"/>
      <c r="C4" s="1798"/>
      <c r="D4" s="1798"/>
      <c r="E4" s="1798"/>
      <c r="F4" s="1798"/>
      <c r="G4" s="1798"/>
    </row>
    <row r="5" spans="1:7">
      <c r="A5" s="1798" t="s">
        <v>45</v>
      </c>
      <c r="B5" s="1798"/>
      <c r="C5" s="1798"/>
      <c r="D5" s="1798"/>
      <c r="E5" s="1798"/>
      <c r="F5" s="1798"/>
      <c r="G5" s="1798"/>
    </row>
    <row r="6" spans="1:7">
      <c r="A6" s="1798" t="s">
        <v>46</v>
      </c>
      <c r="B6" s="1798"/>
      <c r="C6" s="1798"/>
      <c r="D6" s="1798"/>
      <c r="E6" s="1798"/>
      <c r="F6" s="1798"/>
      <c r="G6" s="1798"/>
    </row>
    <row r="7" spans="1:7">
      <c r="A7" s="1798" t="s">
        <v>17</v>
      </c>
      <c r="B7" s="1798"/>
      <c r="C7" s="1798"/>
      <c r="D7" s="1798"/>
      <c r="E7" s="1798"/>
      <c r="F7" s="1798"/>
      <c r="G7" s="1798"/>
    </row>
    <row r="8" spans="1:7">
      <c r="A8" s="1799">
        <f>'TTDVNN V '!A8:G8</f>
        <v>0</v>
      </c>
      <c r="B8" s="1799"/>
      <c r="C8" s="1799"/>
      <c r="D8" s="1799"/>
      <c r="E8" s="1799"/>
      <c r="F8" s="1799"/>
      <c r="G8" s="1799"/>
    </row>
    <row r="9" spans="1:7">
      <c r="A9" s="238"/>
      <c r="B9" s="238"/>
      <c r="C9" s="238"/>
      <c r="D9" s="238"/>
      <c r="E9" s="238"/>
      <c r="F9" s="238"/>
      <c r="G9" s="238"/>
    </row>
    <row r="10" spans="1:7">
      <c r="G10" s="6" t="s">
        <v>43</v>
      </c>
    </row>
    <row r="11" spans="1:7" ht="117" customHeight="1">
      <c r="A11" s="7" t="s">
        <v>0</v>
      </c>
      <c r="B11" s="7" t="s">
        <v>1</v>
      </c>
      <c r="C11" s="7" t="str">
        <f>'TTDVNN V '!C11</f>
        <v>Dự toán 
năm 2025</v>
      </c>
      <c r="D11" s="7" t="s">
        <v>18</v>
      </c>
      <c r="E11" s="7" t="str">
        <f>'TTDVNN V '!E11</f>
        <v>Thực hiện cải cách tiền lương từ nguồn tiết kiệm chi 10% của đơn vị</v>
      </c>
      <c r="F11" s="7" t="s">
        <v>117</v>
      </c>
      <c r="G11" s="7" t="s">
        <v>19</v>
      </c>
    </row>
    <row r="12" spans="1:7">
      <c r="A12" s="8" t="s">
        <v>20</v>
      </c>
      <c r="B12" s="8" t="s">
        <v>21</v>
      </c>
      <c r="C12" s="8" t="s">
        <v>22</v>
      </c>
      <c r="D12" s="8" t="s">
        <v>23</v>
      </c>
      <c r="E12" s="8" t="str">
        <f>'TTDVNN V '!E12</f>
        <v>(5)</v>
      </c>
      <c r="F12" s="8" t="str">
        <f>'TTDVNN V '!F12</f>
        <v>(6)=(3)-(4)+(5)</v>
      </c>
      <c r="G12" s="8" t="s">
        <v>1287</v>
      </c>
    </row>
    <row r="13" spans="1:7">
      <c r="A13" s="7" t="s">
        <v>2</v>
      </c>
      <c r="B13" s="9" t="s">
        <v>712</v>
      </c>
      <c r="C13" s="10">
        <v>100000000</v>
      </c>
      <c r="D13" s="10"/>
      <c r="E13" s="10"/>
      <c r="F13" s="10"/>
      <c r="G13" s="11"/>
    </row>
    <row r="14" spans="1:7" ht="37.5">
      <c r="A14" s="7" t="s">
        <v>12</v>
      </c>
      <c r="B14" s="9" t="s">
        <v>71</v>
      </c>
      <c r="C14" s="10">
        <f>C15</f>
        <v>3240216000</v>
      </c>
      <c r="D14" s="10">
        <f>D15</f>
        <v>129000000</v>
      </c>
      <c r="E14" s="10">
        <f>E15</f>
        <v>129000000</v>
      </c>
      <c r="F14" s="10">
        <f>F15</f>
        <v>3240216000</v>
      </c>
      <c r="G14" s="11"/>
    </row>
    <row r="15" spans="1:7">
      <c r="A15" s="7"/>
      <c r="B15" s="9" t="s">
        <v>14</v>
      </c>
      <c r="C15" s="10">
        <f>C16+C20</f>
        <v>3240216000</v>
      </c>
      <c r="D15" s="10">
        <f>D16+D20</f>
        <v>129000000</v>
      </c>
      <c r="E15" s="10">
        <f>E16+E20</f>
        <v>129000000</v>
      </c>
      <c r="F15" s="10">
        <f>F16+F20</f>
        <v>3240216000</v>
      </c>
      <c r="G15" s="11"/>
    </row>
    <row r="16" spans="1:7" s="16" customFormat="1" ht="39">
      <c r="A16" s="12">
        <v>1</v>
      </c>
      <c r="B16" s="13" t="s">
        <v>9</v>
      </c>
      <c r="C16" s="14">
        <f>SUM(C17:C19)</f>
        <v>2131216000</v>
      </c>
      <c r="D16" s="14">
        <f>SUM(D17:D19)</f>
        <v>32000000</v>
      </c>
      <c r="E16" s="14">
        <f>SUM(E17:E19)</f>
        <v>129000000</v>
      </c>
      <c r="F16" s="14">
        <f>SUM(F17:F19)</f>
        <v>2228216000</v>
      </c>
      <c r="G16" s="15"/>
    </row>
    <row r="17" spans="1:7" ht="37.5">
      <c r="A17" s="17" t="s">
        <v>5</v>
      </c>
      <c r="B17" s="18" t="s">
        <v>26</v>
      </c>
      <c r="C17" s="19">
        <f>'Dự toán Chi tiết 2025'!L180</f>
        <v>1233216000</v>
      </c>
      <c r="D17" s="19"/>
      <c r="E17" s="19"/>
      <c r="F17" s="19">
        <f>C17-D17+E17</f>
        <v>1233216000</v>
      </c>
      <c r="G17" s="11"/>
    </row>
    <row r="18" spans="1:7" ht="42.75" customHeight="1">
      <c r="A18" s="17" t="s">
        <v>6</v>
      </c>
      <c r="B18" s="18" t="str">
        <f>'TTDVNN V '!B18</f>
        <v>Kinh phí thực hiện cải cách tiền lương</v>
      </c>
      <c r="C18" s="19">
        <f>'Dự toán Chi tiết 2025'!L182</f>
        <v>578000000</v>
      </c>
      <c r="D18" s="19"/>
      <c r="E18" s="19">
        <f>D14</f>
        <v>129000000</v>
      </c>
      <c r="F18" s="19">
        <f>C18-D18+E18</f>
        <v>707000000</v>
      </c>
      <c r="G18" s="11"/>
    </row>
    <row r="19" spans="1:7" ht="37.5">
      <c r="A19" s="17" t="s">
        <v>157</v>
      </c>
      <c r="B19" s="18" t="s">
        <v>27</v>
      </c>
      <c r="C19" s="19">
        <f>'Dự toán Chi tiết 2025'!L183</f>
        <v>320000000</v>
      </c>
      <c r="D19" s="19">
        <f>C19*10%</f>
        <v>32000000</v>
      </c>
      <c r="E19" s="19"/>
      <c r="F19" s="19">
        <f>C19-D19+E19</f>
        <v>288000000</v>
      </c>
      <c r="G19" s="11"/>
    </row>
    <row r="20" spans="1:7" s="16" customFormat="1" ht="39">
      <c r="A20" s="12">
        <v>2</v>
      </c>
      <c r="B20" s="13" t="s">
        <v>10</v>
      </c>
      <c r="C20" s="14">
        <f>SUM(C21:C32)</f>
        <v>1109000000</v>
      </c>
      <c r="D20" s="14">
        <f>SUM(D21:D32)</f>
        <v>97000000</v>
      </c>
      <c r="E20" s="14">
        <f>SUM(E21:E32)</f>
        <v>0</v>
      </c>
      <c r="F20" s="14">
        <f>SUM(F21:F32)</f>
        <v>1012000000</v>
      </c>
      <c r="G20" s="1376">
        <f>SUM(G21:G32)</f>
        <v>0</v>
      </c>
    </row>
    <row r="21" spans="1:7">
      <c r="A21" s="17" t="s">
        <v>8</v>
      </c>
      <c r="B21" s="18" t="s">
        <v>1295</v>
      </c>
      <c r="C21" s="19">
        <v>102000000</v>
      </c>
      <c r="D21" s="19"/>
      <c r="E21" s="19"/>
      <c r="F21" s="19">
        <f>C21-D21</f>
        <v>102000000</v>
      </c>
      <c r="G21" s="11"/>
    </row>
    <row r="22" spans="1:7">
      <c r="A22" s="17" t="s">
        <v>11</v>
      </c>
      <c r="B22" s="18" t="s">
        <v>48</v>
      </c>
      <c r="C22" s="19">
        <f>'Dự toán Chi tiết 2025'!L187</f>
        <v>18100000</v>
      </c>
      <c r="D22" s="19"/>
      <c r="E22" s="19"/>
      <c r="F22" s="19">
        <f t="shared" ref="F22:F32" si="0">C22-D22</f>
        <v>18100000</v>
      </c>
      <c r="G22" s="11"/>
    </row>
    <row r="23" spans="1:7">
      <c r="A23" s="17" t="s">
        <v>13</v>
      </c>
      <c r="B23" s="18" t="str">
        <f>'Dự toán Chi tiết 2025'!B186</f>
        <v>Kinh phí tổ chức Đại hội Chi bộ</v>
      </c>
      <c r="C23" s="19">
        <f>'Dự toán Chi tiết 2025'!L186</f>
        <v>18900000</v>
      </c>
      <c r="D23" s="19"/>
      <c r="E23" s="19"/>
      <c r="F23" s="19">
        <f t="shared" si="0"/>
        <v>18900000</v>
      </c>
      <c r="G23" s="11"/>
    </row>
    <row r="24" spans="1:7" ht="56.25">
      <c r="A24" s="17" t="s">
        <v>13</v>
      </c>
      <c r="B24" s="18" t="s">
        <v>920</v>
      </c>
      <c r="C24" s="19">
        <f>'Dự toán Chi tiết 2025'!L188</f>
        <v>190000000</v>
      </c>
      <c r="D24" s="19">
        <f>C24*10%</f>
        <v>19000000</v>
      </c>
      <c r="E24" s="19"/>
      <c r="F24" s="19">
        <f t="shared" si="0"/>
        <v>171000000</v>
      </c>
      <c r="G24" s="11"/>
    </row>
    <row r="25" spans="1:7" ht="37.5">
      <c r="A25" s="17" t="s">
        <v>28</v>
      </c>
      <c r="B25" s="18" t="s">
        <v>50</v>
      </c>
      <c r="C25" s="19">
        <f>'Dự toán Chi tiết 2025'!L189</f>
        <v>30000000</v>
      </c>
      <c r="D25" s="19">
        <f t="shared" ref="D25:D32" si="1">C25*10%</f>
        <v>3000000</v>
      </c>
      <c r="E25" s="19"/>
      <c r="F25" s="19">
        <f t="shared" si="0"/>
        <v>27000000</v>
      </c>
      <c r="G25" s="11"/>
    </row>
    <row r="26" spans="1:7" ht="37.5">
      <c r="A26" s="17" t="s">
        <v>29</v>
      </c>
      <c r="B26" s="18" t="s">
        <v>51</v>
      </c>
      <c r="C26" s="19">
        <f>'Dự toán Chi tiết 2025'!L190</f>
        <v>30000000</v>
      </c>
      <c r="D26" s="19">
        <f t="shared" si="1"/>
        <v>3000000</v>
      </c>
      <c r="E26" s="19"/>
      <c r="F26" s="19">
        <f t="shared" si="0"/>
        <v>27000000</v>
      </c>
      <c r="G26" s="11"/>
    </row>
    <row r="27" spans="1:7" ht="96.75" customHeight="1">
      <c r="A27" s="17" t="s">
        <v>30</v>
      </c>
      <c r="B27" s="18" t="str">
        <f>'Dự toán Chi tiết 2025'!B192</f>
        <v>Kinh phí phục vụ đảm bảo trật tự đô thị và an toàn giao thông trên địa bàn thành phố và chi hỗ trợ lực lượng xử phạt theo Thông tư 18/2023/TT-BTC</v>
      </c>
      <c r="C27" s="19">
        <f>'Dự toán Chi tiết 2025'!L192</f>
        <v>300000000</v>
      </c>
      <c r="D27" s="19">
        <f t="shared" si="1"/>
        <v>30000000</v>
      </c>
      <c r="E27" s="19"/>
      <c r="F27" s="19">
        <f t="shared" si="0"/>
        <v>270000000</v>
      </c>
      <c r="G27" s="11"/>
    </row>
    <row r="28" spans="1:7" hidden="1">
      <c r="A28" s="17" t="s">
        <v>31</v>
      </c>
      <c r="B28" s="18" t="s">
        <v>921</v>
      </c>
      <c r="C28" s="19">
        <f>'Dự toán Chi tiết 2025'!L202</f>
        <v>0</v>
      </c>
      <c r="D28" s="19">
        <f t="shared" si="1"/>
        <v>0</v>
      </c>
      <c r="E28" s="19"/>
      <c r="F28" s="19">
        <f t="shared" si="0"/>
        <v>0</v>
      </c>
      <c r="G28" s="19"/>
    </row>
    <row r="29" spans="1:7" ht="73.5" customHeight="1">
      <c r="A29" s="17" t="s">
        <v>31</v>
      </c>
      <c r="B29" s="18" t="str">
        <f>'Dự toán Chi tiết 2025'!B206</f>
        <v>Thực hiện đề án Nếp sống văn minh đô thị và in ấn tuyên truyền hướng dẫn chuyên môn nghiệp vụ</v>
      </c>
      <c r="C29" s="19">
        <f>'Dự toán Chi tiết 2025'!L206</f>
        <v>110000000</v>
      </c>
      <c r="D29" s="19">
        <f t="shared" si="1"/>
        <v>11000000</v>
      </c>
      <c r="E29" s="252"/>
      <c r="F29" s="19">
        <f t="shared" si="0"/>
        <v>99000000</v>
      </c>
      <c r="G29" s="252"/>
    </row>
    <row r="30" spans="1:7" hidden="1">
      <c r="A30" s="17" t="s">
        <v>38</v>
      </c>
      <c r="B30" s="18"/>
      <c r="C30" s="19"/>
      <c r="D30" s="19">
        <f t="shared" si="1"/>
        <v>0</v>
      </c>
      <c r="E30" s="252"/>
      <c r="F30" s="19">
        <f t="shared" si="0"/>
        <v>0</v>
      </c>
      <c r="G30" s="252"/>
    </row>
    <row r="31" spans="1:7" ht="56.25">
      <c r="A31" s="17" t="s">
        <v>32</v>
      </c>
      <c r="B31" s="18" t="s">
        <v>927</v>
      </c>
      <c r="C31" s="19">
        <f>'Dự toán Chi tiết 2025'!L209</f>
        <v>250000000</v>
      </c>
      <c r="D31" s="19">
        <f t="shared" si="1"/>
        <v>25000000</v>
      </c>
      <c r="E31" s="252"/>
      <c r="F31" s="19">
        <f t="shared" si="0"/>
        <v>225000000</v>
      </c>
      <c r="G31" s="252"/>
    </row>
    <row r="32" spans="1:7" ht="93.75">
      <c r="A32" s="17" t="s">
        <v>38</v>
      </c>
      <c r="B32" s="18" t="s">
        <v>58</v>
      </c>
      <c r="C32" s="19">
        <f>'Dự toán Chi tiết 2025'!L215</f>
        <v>60000000</v>
      </c>
      <c r="D32" s="19">
        <f t="shared" si="1"/>
        <v>6000000</v>
      </c>
      <c r="E32" s="252"/>
      <c r="F32" s="19">
        <f t="shared" si="0"/>
        <v>54000000</v>
      </c>
      <c r="G32" s="252"/>
    </row>
  </sheetData>
  <mergeCells count="7">
    <mergeCell ref="A7:G7"/>
    <mergeCell ref="A8:G8"/>
    <mergeCell ref="A2:C2"/>
    <mergeCell ref="A1:C1"/>
    <mergeCell ref="A4:G4"/>
    <mergeCell ref="A5:G5"/>
    <mergeCell ref="A6:G6"/>
  </mergeCells>
  <pageMargins left="0.55000000000000004" right="0.39" top="0.6" bottom="0.74803149606299213" header="0.31496062992125984" footer="0.31496062992125984"/>
  <pageSetup paperSize="9" scale="64"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103</vt:i4>
      </vt:variant>
    </vt:vector>
  </HeadingPairs>
  <TitlesOfParts>
    <vt:vector size="168" baseType="lpstr">
      <vt:lpstr>GIÁO DỤC</vt:lpstr>
      <vt:lpstr>Sheet2</vt:lpstr>
      <vt:lpstr>TỔNG CHI XÃ</vt:lpstr>
      <vt:lpstr>BS XÃ</vt:lpstr>
      <vt:lpstr>Dự toán Chi tiết 2025</vt:lpstr>
      <vt:lpstr>TTDVNN V </vt:lpstr>
      <vt:lpstr>BQL DA ĐT V</vt:lpstr>
      <vt:lpstr>Trung tâm Chính trị V</vt:lpstr>
      <vt:lpstr>Đội QLTTĐT V</vt:lpstr>
      <vt:lpstr>BQL Chợ V</vt:lpstr>
      <vt:lpstr>Hội Chữ thập đỏ V</vt:lpstr>
      <vt:lpstr>Trung tâm TTVHTT V</vt:lpstr>
      <vt:lpstr>PL_01</vt:lpstr>
      <vt:lpstr>PL_ 02 </vt:lpstr>
      <vt:lpstr>Sheet8</vt:lpstr>
      <vt:lpstr>TỔNG HỢP ĐIỀU CHỈNH DỰ TOÁN</vt:lpstr>
      <vt:lpstr>VP HĐND&amp;UBND V_điều chỉnh</vt:lpstr>
      <vt:lpstr>VP HĐND&amp;UBND V</vt:lpstr>
      <vt:lpstr>Y tế V_điều chỉnh</vt:lpstr>
      <vt:lpstr>Y tế V</vt:lpstr>
      <vt:lpstr>Tư pháp V</vt:lpstr>
      <vt:lpstr>TCKH V </vt:lpstr>
      <vt:lpstr>ĐT_Kinh tế, HT &amp;Đô thị_V</vt:lpstr>
      <vt:lpstr>Quản lý đô thị _điều chỉnh</vt:lpstr>
      <vt:lpstr>Quản lý đô thị V</vt:lpstr>
      <vt:lpstr>ĐT_TN &amp; MT_ điều chỉnh</vt:lpstr>
      <vt:lpstr>Tài nguyên Môi trường V</vt:lpstr>
      <vt:lpstr>Kinh tế V_điều chỉnh</vt:lpstr>
      <vt:lpstr>Kinh tế V</vt:lpstr>
      <vt:lpstr>Lap động tbxh_điều chỉnh</vt:lpstr>
      <vt:lpstr>Lao động TBXH V</vt:lpstr>
      <vt:lpstr>ĐT_Văn hoá KH và TT_V</vt:lpstr>
      <vt:lpstr>Văn hóa và TT V_ điều chỉnh</vt:lpstr>
      <vt:lpstr>Văn hóa và TT V</vt:lpstr>
      <vt:lpstr>ĐT_ Nội vụ_ điều chỉnh</vt:lpstr>
      <vt:lpstr>nội vụ V</vt:lpstr>
      <vt:lpstr>Thanh tra V</vt:lpstr>
      <vt:lpstr>Giáo dục V</vt:lpstr>
      <vt:lpstr>Thành ủy V_điều chỉnh</vt:lpstr>
      <vt:lpstr>Thành ủy V</vt:lpstr>
      <vt:lpstr>UBMTTQ V-điều chỉnh</vt:lpstr>
      <vt:lpstr>UBMTTQ V</vt:lpstr>
      <vt:lpstr>Thành đoàn V</vt:lpstr>
      <vt:lpstr>Phụ nữ V -điều chỉnh</vt:lpstr>
      <vt:lpstr>Phụ nữ V</vt:lpstr>
      <vt:lpstr>Nông dân V</vt:lpstr>
      <vt:lpstr>Cựu chiến binh V-điều chỉnh</vt:lpstr>
      <vt:lpstr>Cựu chiến binh V</vt:lpstr>
      <vt:lpstr>Quỹ ND và Vốn vay V </vt:lpstr>
      <vt:lpstr>Ban ATGT V</vt:lpstr>
      <vt:lpstr>Công an V</vt:lpstr>
      <vt:lpstr>BCH QS V</vt:lpstr>
      <vt:lpstr>CĐ DC V</vt:lpstr>
      <vt:lpstr>Khuyến học V</vt:lpstr>
      <vt:lpstr>NCT V</vt:lpstr>
      <vt:lpstr>TNXP V</vt:lpstr>
      <vt:lpstr>Tù yêu nước V</vt:lpstr>
      <vt:lpstr>LUẬT GIA V</vt:lpstr>
      <vt:lpstr>NGƯỜI MÙ V</vt:lpstr>
      <vt:lpstr>ĐÔNG Y V</vt:lpstr>
      <vt:lpstr>CỰU GIÁO CHỨC V</vt:lpstr>
      <vt:lpstr>Biên phòng</vt:lpstr>
      <vt:lpstr>Chi tiết</vt:lpstr>
      <vt:lpstr>10% Tiết kiệm chi</vt:lpstr>
      <vt:lpstr>Sheet11</vt:lpstr>
      <vt:lpstr>'Ban ATGT V'!Print_Area</vt:lpstr>
      <vt:lpstr>'BCH QS V'!Print_Area</vt:lpstr>
      <vt:lpstr>'Biên phòng'!Print_Area</vt:lpstr>
      <vt:lpstr>'BQL Chợ V'!Print_Area</vt:lpstr>
      <vt:lpstr>'BQL DA ĐT V'!Print_Area</vt:lpstr>
      <vt:lpstr>'CĐ DC V'!Print_Area</vt:lpstr>
      <vt:lpstr>'Công an V'!Print_Area</vt:lpstr>
      <vt:lpstr>'Cựu chiến binh V'!Print_Area</vt:lpstr>
      <vt:lpstr>'Cựu chiến binh V-điều chỉnh'!Print_Area</vt:lpstr>
      <vt:lpstr>'CỰU GIÁO CHỨC V'!Print_Area</vt:lpstr>
      <vt:lpstr>'Đội QLTTĐT V'!Print_Area</vt:lpstr>
      <vt:lpstr>'ĐÔNG Y V'!Print_Area</vt:lpstr>
      <vt:lpstr>'ĐT_ Nội vụ_ điều chỉnh'!Print_Area</vt:lpstr>
      <vt:lpstr>'ĐT_Kinh tế, HT &amp;Đô thị_V'!Print_Area</vt:lpstr>
      <vt:lpstr>'ĐT_TN &amp; MT_ điều chỉnh'!Print_Area</vt:lpstr>
      <vt:lpstr>'ĐT_Văn hoá KH và TT_V'!Print_Area</vt:lpstr>
      <vt:lpstr>'Dự toán Chi tiết 2025'!Print_Area</vt:lpstr>
      <vt:lpstr>'GIÁO DỤC'!Print_Area</vt:lpstr>
      <vt:lpstr>'Giáo dục V'!Print_Area</vt:lpstr>
      <vt:lpstr>'Hội Chữ thập đỏ V'!Print_Area</vt:lpstr>
      <vt:lpstr>'Khuyến học V'!Print_Area</vt:lpstr>
      <vt:lpstr>'Kinh tế V'!Print_Area</vt:lpstr>
      <vt:lpstr>'Kinh tế V_điều chỉnh'!Print_Area</vt:lpstr>
      <vt:lpstr>'Lao động TBXH V'!Print_Area</vt:lpstr>
      <vt:lpstr>'Lap động tbxh_điều chỉnh'!Print_Area</vt:lpstr>
      <vt:lpstr>'LUẬT GIA V'!Print_Area</vt:lpstr>
      <vt:lpstr>'NCT V'!Print_Area</vt:lpstr>
      <vt:lpstr>'NGƯỜI MÙ V'!Print_Area</vt:lpstr>
      <vt:lpstr>'nội vụ V'!Print_Area</vt:lpstr>
      <vt:lpstr>'Nông dân V'!Print_Area</vt:lpstr>
      <vt:lpstr>'Phụ nữ V'!Print_Area</vt:lpstr>
      <vt:lpstr>'Phụ nữ V -điều chỉnh'!Print_Area</vt:lpstr>
      <vt:lpstr>'PL_ 02 '!Print_Area</vt:lpstr>
      <vt:lpstr>PL_01!Print_Area</vt:lpstr>
      <vt:lpstr>'Quản lý đô thị _điều chỉnh'!Print_Area</vt:lpstr>
      <vt:lpstr>'Quản lý đô thị V'!Print_Area</vt:lpstr>
      <vt:lpstr>'Quỹ ND và Vốn vay V '!Print_Area</vt:lpstr>
      <vt:lpstr>Sheet8!Print_Area</vt:lpstr>
      <vt:lpstr>'Tài nguyên Môi trường V'!Print_Area</vt:lpstr>
      <vt:lpstr>'TCKH V '!Print_Area</vt:lpstr>
      <vt:lpstr>'Thành đoàn V'!Print_Area</vt:lpstr>
      <vt:lpstr>'Thanh tra V'!Print_Area</vt:lpstr>
      <vt:lpstr>'Thành ủy V'!Print_Area</vt:lpstr>
      <vt:lpstr>'Thành ủy V_điều chỉnh'!Print_Area</vt:lpstr>
      <vt:lpstr>'TNXP V'!Print_Area</vt:lpstr>
      <vt:lpstr>'TỔNG HỢP ĐIỀU CHỈNH DỰ TOÁN'!Print_Area</vt:lpstr>
      <vt:lpstr>'Trung tâm Chính trị V'!Print_Area</vt:lpstr>
      <vt:lpstr>'Trung tâm TTVHTT V'!Print_Area</vt:lpstr>
      <vt:lpstr>'TTDVNN V '!Print_Area</vt:lpstr>
      <vt:lpstr>'Tư pháp V'!Print_Area</vt:lpstr>
      <vt:lpstr>'Tù yêu nước V'!Print_Area</vt:lpstr>
      <vt:lpstr>'UBMTTQ V'!Print_Area</vt:lpstr>
      <vt:lpstr>'UBMTTQ V-điều chỉnh'!Print_Area</vt:lpstr>
      <vt:lpstr>'Văn hóa và TT V'!Print_Area</vt:lpstr>
      <vt:lpstr>'Văn hóa và TT V_ điều chỉnh'!Print_Area</vt:lpstr>
      <vt:lpstr>'VP HĐND&amp;UBND V'!Print_Area</vt:lpstr>
      <vt:lpstr>'VP HĐND&amp;UBND V_điều chỉnh'!Print_Area</vt:lpstr>
      <vt:lpstr>'Y tế V'!Print_Area</vt:lpstr>
      <vt:lpstr>'Y tế V_điều chỉnh'!Print_Area</vt:lpstr>
      <vt:lpstr>'Ban ATGT V'!Print_Titles</vt:lpstr>
      <vt:lpstr>'BCH QS V'!Print_Titles</vt:lpstr>
      <vt:lpstr>'Biên phòng'!Print_Titles</vt:lpstr>
      <vt:lpstr>'BQL Chợ V'!Print_Titles</vt:lpstr>
      <vt:lpstr>'BQL DA ĐT V'!Print_Titles</vt:lpstr>
      <vt:lpstr>'Công an V'!Print_Titles</vt:lpstr>
      <vt:lpstr>'Cựu chiến binh V'!Print_Titles</vt:lpstr>
      <vt:lpstr>'Cựu chiến binh V-điều chỉnh'!Print_Titles</vt:lpstr>
      <vt:lpstr>'Đội QLTTĐT V'!Print_Titles</vt:lpstr>
      <vt:lpstr>'ĐT_ Nội vụ_ điều chỉnh'!Print_Titles</vt:lpstr>
      <vt:lpstr>'ĐT_Kinh tế, HT &amp;Đô thị_V'!Print_Titles</vt:lpstr>
      <vt:lpstr>'ĐT_TN &amp; MT_ điều chỉnh'!Print_Titles</vt:lpstr>
      <vt:lpstr>'ĐT_Văn hoá KH và TT_V'!Print_Titles</vt:lpstr>
      <vt:lpstr>'Dự toán Chi tiết 2025'!Print_Titles</vt:lpstr>
      <vt:lpstr>'GIÁO DỤC'!Print_Titles</vt:lpstr>
      <vt:lpstr>'Giáo dục V'!Print_Titles</vt:lpstr>
      <vt:lpstr>'Hội Chữ thập đỏ V'!Print_Titles</vt:lpstr>
      <vt:lpstr>'Kinh tế V'!Print_Titles</vt:lpstr>
      <vt:lpstr>'Kinh tế V_điều chỉnh'!Print_Titles</vt:lpstr>
      <vt:lpstr>'Lao động TBXH V'!Print_Titles</vt:lpstr>
      <vt:lpstr>'Lap động tbxh_điều chỉnh'!Print_Titles</vt:lpstr>
      <vt:lpstr>'Nông dân V'!Print_Titles</vt:lpstr>
      <vt:lpstr>'Phụ nữ V'!Print_Titles</vt:lpstr>
      <vt:lpstr>'Phụ nữ V -điều chỉnh'!Print_Titles</vt:lpstr>
      <vt:lpstr>'Quản lý đô thị _điều chỉnh'!Print_Titles</vt:lpstr>
      <vt:lpstr>'Quản lý đô thị V'!Print_Titles</vt:lpstr>
      <vt:lpstr>'Quỹ ND và Vốn vay V '!Print_Titles</vt:lpstr>
      <vt:lpstr>'Tài nguyên Môi trường V'!Print_Titles</vt:lpstr>
      <vt:lpstr>'TCKH V '!Print_Titles</vt:lpstr>
      <vt:lpstr>'Thành đoàn V'!Print_Titles</vt:lpstr>
      <vt:lpstr>'Thành ủy V'!Print_Titles</vt:lpstr>
      <vt:lpstr>'Thành ủy V_điều chỉnh'!Print_Titles</vt:lpstr>
      <vt:lpstr>'Trung tâm Chính trị V'!Print_Titles</vt:lpstr>
      <vt:lpstr>'Trung tâm TTVHTT V'!Print_Titles</vt:lpstr>
      <vt:lpstr>'TTDVNN V '!Print_Titles</vt:lpstr>
      <vt:lpstr>'Tư pháp V'!Print_Titles</vt:lpstr>
      <vt:lpstr>'UBMTTQ V'!Print_Titles</vt:lpstr>
      <vt:lpstr>'UBMTTQ V-điều chỉnh'!Print_Titles</vt:lpstr>
      <vt:lpstr>'Văn hóa và TT V'!Print_Titles</vt:lpstr>
      <vt:lpstr>'Văn hóa và TT V_ điều chỉnh'!Print_Titles</vt:lpstr>
      <vt:lpstr>'VP HĐND&amp;UBND V'!Print_Titles</vt:lpstr>
      <vt:lpstr>'VP HĐND&amp;UBND V_điều chỉnh'!Print_Titles</vt:lpstr>
      <vt:lpstr>'Y tế V'!Print_Titles</vt:lpstr>
      <vt:lpstr>'Y tế V_điều chỉnh'!Print_Titles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Phạm Viết Trung</dc:creator>
  <cp:lastModifiedBy>Admin</cp:lastModifiedBy>
  <cp:lastPrinted>2025-02-18T12:42:54Z</cp:lastPrinted>
  <dcterms:created xsi:type="dcterms:W3CDTF">2022-12-12T02:52:24Z</dcterms:created>
  <dcterms:modified xsi:type="dcterms:W3CDTF">2025-02-18T12:47:23Z</dcterms:modified>
</cp:coreProperties>
</file>